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1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2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5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2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3.xml" ContentType="application/vnd.openxmlformats-officedocument.drawing+xml"/>
  <Override PartName="/xl/comments2.xml" ContentType="application/vnd.openxmlformats-officedocument.spreadsheetml.comments+xml"/>
  <Override PartName="/xl/drawings/drawing24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26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7.xml" ContentType="application/vnd.openxmlformats-officedocument.drawing+xml"/>
  <Override PartName="/xl/comments3.xml" ContentType="application/vnd.openxmlformats-officedocument.spreadsheetml.comments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46B6FD93-AF93-4ABD-85EA-747B3DCC7394}" xr6:coauthVersionLast="47" xr6:coauthVersionMax="47" xr10:uidLastSave="{00000000-0000-0000-0000-000000000000}"/>
  <bookViews>
    <workbookView xWindow="-120" yWindow="-120" windowWidth="29040" windowHeight="15720" firstSheet="2" activeTab="6" xr2:uid="{00000000-000D-0000-FFFF-FFFF00000000}"/>
  </bookViews>
  <sheets>
    <sheet name="TOC" sheetId="13" r:id="rId1"/>
    <sheet name="Gemischte Schaltungen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 an Wechselspannung" sheetId="35" r:id="rId8"/>
    <sheet name="Kondensator an Gleichspannung" sheetId="36" r:id="rId9"/>
    <sheet name="Quelle mit Innenwiderstand" sheetId="29" r:id="rId10"/>
    <sheet name="Schiefeebene" sheetId="19" r:id="rId11"/>
    <sheet name="Leistung bei Wechselstrom" sheetId="28" r:id="rId12"/>
    <sheet name="Sinus_Cosinus" sheetId="22" r:id="rId13"/>
    <sheet name="Sinuskurve" sheetId="39" r:id="rId14"/>
    <sheet name="Vektoroperationen" sheetId="18" r:id="rId15"/>
    <sheet name="VektorZeitbereich" sheetId="24" r:id="rId16"/>
    <sheet name="Geburtstagsliste" sheetId="17" r:id="rId17"/>
    <sheet name="Einheiten umrechnen" sheetId="16" r:id="rId18"/>
    <sheet name="Flächenberechnungen" sheetId="14" r:id="rId19"/>
    <sheet name="Kinematik_1" sheetId="4" r:id="rId20"/>
    <sheet name="Kinematik_1 (Weg-Zeit)" sheetId="33" r:id="rId21"/>
    <sheet name="Kinematik_2" sheetId="9" r:id="rId22"/>
    <sheet name="Kinematik_2_Berechnungen" sheetId="11" r:id="rId23"/>
    <sheet name="Kinematik_2 (Weg-Zeit)" sheetId="34" r:id="rId24"/>
    <sheet name="Fourierreihe" sheetId="12" r:id="rId25"/>
    <sheet name="Scheinleistung" sheetId="15" r:id="rId26"/>
    <sheet name="3-Phasenstrom" sheetId="25" r:id="rId27"/>
    <sheet name="Gemischte Schaltung" sheetId="23" r:id="rId28"/>
    <sheet name="Theoreme" sheetId="26" r:id="rId29"/>
    <sheet name="Fläche eines Polygones" sheetId="27" r:id="rId30"/>
  </sheets>
  <definedNames>
    <definedName name="_xlnm._FilterDatabase" localSheetId="16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3" i="35" l="1"/>
  <c r="G104" i="35"/>
  <c r="G57" i="35"/>
  <c r="D53" i="35"/>
  <c r="E53" i="35"/>
  <c r="F53" i="35"/>
  <c r="G53" i="35"/>
  <c r="H53" i="35"/>
  <c r="I53" i="35"/>
  <c r="J53" i="35"/>
  <c r="K53" i="35"/>
  <c r="L53" i="35"/>
  <c r="M53" i="35"/>
  <c r="N53" i="35"/>
  <c r="O53" i="35"/>
  <c r="P53" i="35"/>
  <c r="Q53" i="35"/>
  <c r="R53" i="35"/>
  <c r="S53" i="35"/>
  <c r="T53" i="35"/>
  <c r="U53" i="35"/>
  <c r="V53" i="35"/>
  <c r="W53" i="35"/>
  <c r="X53" i="35"/>
  <c r="E48" i="35"/>
  <c r="F48" i="35"/>
  <c r="G48" i="35"/>
  <c r="H48" i="35"/>
  <c r="I48" i="35"/>
  <c r="J48" i="35"/>
  <c r="K48" i="35"/>
  <c r="L48" i="35"/>
  <c r="M48" i="35"/>
  <c r="N48" i="35"/>
  <c r="O48" i="35"/>
  <c r="P48" i="35"/>
  <c r="Q48" i="35"/>
  <c r="R48" i="35"/>
  <c r="S48" i="35"/>
  <c r="T48" i="35"/>
  <c r="U48" i="35"/>
  <c r="V48" i="35"/>
  <c r="W48" i="35"/>
  <c r="X48" i="35"/>
  <c r="D48" i="35"/>
  <c r="O62" i="35"/>
  <c r="E63" i="35"/>
  <c r="D65" i="35" s="1"/>
  <c r="N125" i="35"/>
  <c r="I125" i="35"/>
  <c r="N64" i="35"/>
  <c r="O64" i="35" s="1"/>
  <c r="M61" i="35"/>
  <c r="C62" i="35"/>
  <c r="D43" i="35"/>
  <c r="E42" i="35"/>
  <c r="F42" i="35" s="1"/>
  <c r="G42" i="35" s="1"/>
  <c r="H42" i="35" s="1"/>
  <c r="I42" i="35" s="1"/>
  <c r="J42" i="35" s="1"/>
  <c r="K42" i="35" s="1"/>
  <c r="L42" i="35" s="1"/>
  <c r="M42" i="35" s="1"/>
  <c r="N42" i="35" s="1"/>
  <c r="O42" i="35" s="1"/>
  <c r="P42" i="35" s="1"/>
  <c r="Q42" i="35" s="1"/>
  <c r="R42" i="35" s="1"/>
  <c r="S42" i="35" s="1"/>
  <c r="T42" i="35" s="1"/>
  <c r="U42" i="35" s="1"/>
  <c r="V42" i="35" s="1"/>
  <c r="W42" i="35" s="1"/>
  <c r="X42" i="35" s="1"/>
  <c r="X43" i="35" s="1"/>
  <c r="G126" i="22"/>
  <c r="K126" i="22" s="1"/>
  <c r="J125" i="22"/>
  <c r="G130" i="22" s="1"/>
  <c r="J126" i="22"/>
  <c r="J127" i="22"/>
  <c r="J128" i="22"/>
  <c r="J129" i="22"/>
  <c r="J130" i="22"/>
  <c r="J131" i="22"/>
  <c r="J132" i="22"/>
  <c r="J124" i="22"/>
  <c r="G128" i="22" s="1"/>
  <c r="G20" i="35"/>
  <c r="K125" i="22"/>
  <c r="M125" i="22"/>
  <c r="M126" i="22"/>
  <c r="K127" i="22"/>
  <c r="M127" i="22"/>
  <c r="M124" i="22"/>
  <c r="L111" i="22"/>
  <c r="K124" i="22"/>
  <c r="J111" i="22"/>
  <c r="E8" i="13"/>
  <c r="X268" i="41"/>
  <c r="V268" i="41"/>
  <c r="U268" i="41"/>
  <c r="S268" i="41"/>
  <c r="Q268" i="41"/>
  <c r="P268" i="41"/>
  <c r="X267" i="41"/>
  <c r="W267" i="41"/>
  <c r="V267" i="41"/>
  <c r="U267" i="41"/>
  <c r="S267" i="41"/>
  <c r="X219" i="41" s="1"/>
  <c r="R267" i="41"/>
  <c r="Q267" i="41"/>
  <c r="P267" i="41"/>
  <c r="U219" i="41" s="1"/>
  <c r="W219" i="41"/>
  <c r="V219" i="41"/>
  <c r="X218" i="41"/>
  <c r="V218" i="41"/>
  <c r="U218" i="41"/>
  <c r="S218" i="41"/>
  <c r="Q218" i="41"/>
  <c r="P218" i="41"/>
  <c r="X217" i="41"/>
  <c r="V217" i="41"/>
  <c r="V176" i="41" s="1"/>
  <c r="U217" i="41"/>
  <c r="S217" i="41"/>
  <c r="Q217" i="41"/>
  <c r="V174" i="41" s="1"/>
  <c r="P217" i="41"/>
  <c r="U174" i="41" s="1"/>
  <c r="X176" i="41"/>
  <c r="U176" i="41"/>
  <c r="V175" i="41"/>
  <c r="X174" i="41"/>
  <c r="X173" i="41"/>
  <c r="V173" i="41"/>
  <c r="U173" i="41"/>
  <c r="S173" i="41"/>
  <c r="Q173" i="41"/>
  <c r="P173" i="41"/>
  <c r="X172" i="41"/>
  <c r="X13" i="41" s="1"/>
  <c r="V172" i="41"/>
  <c r="U172" i="41"/>
  <c r="S172" i="41"/>
  <c r="X136" i="41" s="1"/>
  <c r="R172" i="41"/>
  <c r="Q172" i="41"/>
  <c r="P172" i="41"/>
  <c r="X137" i="41"/>
  <c r="V137" i="41"/>
  <c r="U137" i="41"/>
  <c r="W136" i="41"/>
  <c r="V136" i="41"/>
  <c r="U136" i="41"/>
  <c r="S136" i="41"/>
  <c r="Q136" i="41"/>
  <c r="P136" i="41"/>
  <c r="X135" i="41"/>
  <c r="V135" i="41"/>
  <c r="U135" i="41"/>
  <c r="S135" i="41"/>
  <c r="Q135" i="41"/>
  <c r="P135" i="41"/>
  <c r="U90" i="41" s="1"/>
  <c r="S91" i="41"/>
  <c r="R91" i="41"/>
  <c r="Q91" i="41"/>
  <c r="P91" i="41"/>
  <c r="X90" i="41"/>
  <c r="V90" i="41"/>
  <c r="S90" i="41"/>
  <c r="Q90" i="41"/>
  <c r="P90" i="41"/>
  <c r="X89" i="41"/>
  <c r="V89" i="41"/>
  <c r="U89" i="41"/>
  <c r="S89" i="41"/>
  <c r="R89" i="41"/>
  <c r="R101" i="41" s="1"/>
  <c r="Q89" i="41"/>
  <c r="P89" i="41"/>
  <c r="X88" i="41"/>
  <c r="X9" i="41" s="1"/>
  <c r="V88" i="41"/>
  <c r="U88" i="41"/>
  <c r="U9" i="41" s="1"/>
  <c r="S88" i="41"/>
  <c r="R88" i="41"/>
  <c r="Q88" i="41"/>
  <c r="P88" i="41"/>
  <c r="R65" i="41"/>
  <c r="R62" i="41"/>
  <c r="R19" i="41" s="1"/>
  <c r="R59" i="41"/>
  <c r="W51" i="41" s="1"/>
  <c r="X53" i="41"/>
  <c r="W53" i="41"/>
  <c r="V53" i="41"/>
  <c r="U53" i="41"/>
  <c r="S53" i="41"/>
  <c r="R53" i="41"/>
  <c r="Q53" i="41"/>
  <c r="P53" i="41"/>
  <c r="X52" i="41"/>
  <c r="W52" i="41"/>
  <c r="V52" i="41"/>
  <c r="U52" i="41"/>
  <c r="S52" i="41"/>
  <c r="R52" i="41"/>
  <c r="Q52" i="41"/>
  <c r="P52" i="41"/>
  <c r="X51" i="41"/>
  <c r="V51" i="41"/>
  <c r="U51" i="41"/>
  <c r="S51" i="41"/>
  <c r="R51" i="41"/>
  <c r="Q51" i="41"/>
  <c r="P51" i="41"/>
  <c r="X50" i="41"/>
  <c r="W50" i="41"/>
  <c r="V50" i="41"/>
  <c r="U50" i="41"/>
  <c r="S50" i="41"/>
  <c r="R50" i="41"/>
  <c r="Q50" i="41"/>
  <c r="P50" i="41"/>
  <c r="X49" i="41"/>
  <c r="V49" i="41"/>
  <c r="U49" i="41"/>
  <c r="S49" i="41"/>
  <c r="R49" i="41"/>
  <c r="Q49" i="41"/>
  <c r="P49" i="41"/>
  <c r="X48" i="41"/>
  <c r="V48" i="41"/>
  <c r="U48" i="41"/>
  <c r="S48" i="41"/>
  <c r="R48" i="41"/>
  <c r="Q48" i="41"/>
  <c r="P48" i="41"/>
  <c r="S31" i="41"/>
  <c r="Q31" i="41"/>
  <c r="P31" i="41"/>
  <c r="S29" i="41"/>
  <c r="Q29" i="41"/>
  <c r="P29" i="41"/>
  <c r="S27" i="41"/>
  <c r="Q27" i="41"/>
  <c r="P27" i="41"/>
  <c r="S25" i="41"/>
  <c r="Q25" i="41"/>
  <c r="P25" i="41"/>
  <c r="S23" i="41"/>
  <c r="Q23" i="41"/>
  <c r="P23" i="41"/>
  <c r="S22" i="41"/>
  <c r="Q22" i="41"/>
  <c r="P22" i="41"/>
  <c r="S20" i="41"/>
  <c r="R20" i="41"/>
  <c r="Q20" i="41"/>
  <c r="P20" i="41"/>
  <c r="S19" i="41"/>
  <c r="Q19" i="41"/>
  <c r="P19" i="41"/>
  <c r="S18" i="41"/>
  <c r="Q18" i="41"/>
  <c r="P18" i="41"/>
  <c r="AC15" i="41"/>
  <c r="AA15" i="41"/>
  <c r="Z15" i="41"/>
  <c r="AC14" i="41"/>
  <c r="AA14" i="41"/>
  <c r="Z14" i="41"/>
  <c r="X14" i="41"/>
  <c r="V14" i="41"/>
  <c r="U14" i="41"/>
  <c r="AC13" i="41"/>
  <c r="AA13" i="41"/>
  <c r="Z13" i="41"/>
  <c r="V13" i="41"/>
  <c r="U13" i="41"/>
  <c r="AC12" i="41"/>
  <c r="AA12" i="41"/>
  <c r="Z12" i="41"/>
  <c r="X12" i="41"/>
  <c r="V12" i="41"/>
  <c r="U12" i="41"/>
  <c r="AC11" i="41"/>
  <c r="AA11" i="41"/>
  <c r="Z11" i="41"/>
  <c r="X11" i="41"/>
  <c r="V11" i="41"/>
  <c r="U11" i="41"/>
  <c r="AC10" i="41"/>
  <c r="AA10" i="41"/>
  <c r="Z10" i="41"/>
  <c r="X10" i="41"/>
  <c r="V10" i="41"/>
  <c r="U10" i="41"/>
  <c r="AC9" i="41"/>
  <c r="AA9" i="41"/>
  <c r="Z9" i="41"/>
  <c r="V9" i="41"/>
  <c r="AC8" i="41"/>
  <c r="AA8" i="41"/>
  <c r="Z8" i="41"/>
  <c r="V8" i="41"/>
  <c r="AC7" i="41"/>
  <c r="AA7" i="41"/>
  <c r="Z7" i="41"/>
  <c r="X7" i="41"/>
  <c r="V7" i="41"/>
  <c r="U7" i="41"/>
  <c r="AC6" i="41"/>
  <c r="AA6" i="41"/>
  <c r="Z6" i="41"/>
  <c r="X6" i="41"/>
  <c r="V6" i="41"/>
  <c r="U6" i="41"/>
  <c r="AC5" i="41"/>
  <c r="AA5" i="41"/>
  <c r="Z5" i="41"/>
  <c r="X5" i="41"/>
  <c r="V5" i="41"/>
  <c r="U5" i="41"/>
  <c r="K104" i="35" l="1"/>
  <c r="H105" i="35" s="1"/>
  <c r="E65" i="35"/>
  <c r="E43" i="35"/>
  <c r="P43" i="35"/>
  <c r="G43" i="35"/>
  <c r="M43" i="35"/>
  <c r="T43" i="35"/>
  <c r="K43" i="35"/>
  <c r="H43" i="35"/>
  <c r="W43" i="35"/>
  <c r="O43" i="35"/>
  <c r="V43" i="35"/>
  <c r="N43" i="35"/>
  <c r="F43" i="35"/>
  <c r="J43" i="35"/>
  <c r="U43" i="35"/>
  <c r="L43" i="35"/>
  <c r="S43" i="35"/>
  <c r="R43" i="35"/>
  <c r="Q43" i="35"/>
  <c r="I43" i="35"/>
  <c r="G129" i="22"/>
  <c r="G131" i="22" s="1"/>
  <c r="G132" i="22"/>
  <c r="K128" i="22"/>
  <c r="M128" i="22"/>
  <c r="R23" i="41"/>
  <c r="R217" i="41"/>
  <c r="U175" i="41"/>
  <c r="R18" i="41"/>
  <c r="U8" i="41"/>
  <c r="W175" i="41"/>
  <c r="X175" i="41"/>
  <c r="R90" i="41"/>
  <c r="R98" i="41" s="1"/>
  <c r="X8" i="41"/>
  <c r="R135" i="41"/>
  <c r="I273" i="41"/>
  <c r="W90" i="41" l="1"/>
  <c r="W174" i="41"/>
  <c r="R22" i="41"/>
  <c r="R136" i="41"/>
  <c r="R141" i="41" s="1"/>
  <c r="W89" i="41"/>
  <c r="R173" i="41" l="1"/>
  <c r="R180" i="41" s="1"/>
  <c r="W135" i="41"/>
  <c r="R25" i="41"/>
  <c r="R27" i="41" l="1"/>
  <c r="R218" i="41"/>
  <c r="R226" i="41" s="1"/>
  <c r="W173" i="41"/>
  <c r="R268" i="41" l="1"/>
  <c r="R273" i="41" s="1"/>
  <c r="W218" i="41"/>
  <c r="R29" i="41"/>
  <c r="R31" i="41" l="1"/>
  <c r="W268" i="41"/>
  <c r="W273" i="41" s="1"/>
  <c r="R15" i="41"/>
  <c r="W217" i="41" l="1"/>
  <c r="AB15" i="41"/>
  <c r="H268" i="41"/>
  <c r="E171" i="41"/>
  <c r="H219" i="41"/>
  <c r="AB14" i="41"/>
  <c r="W176" i="41" l="1"/>
  <c r="W229" i="41"/>
  <c r="W226" i="41"/>
  <c r="I225" i="41" l="1"/>
  <c r="W49" i="41"/>
  <c r="V232" i="41"/>
  <c r="W172" i="41"/>
  <c r="I178" i="41"/>
  <c r="F178" i="41"/>
  <c r="D221" i="41"/>
  <c r="W14" i="41"/>
  <c r="D179" i="41"/>
  <c r="W183" i="41" l="1"/>
  <c r="W180" i="41"/>
  <c r="W13" i="41"/>
  <c r="W68" i="41"/>
  <c r="W65" i="41"/>
  <c r="V73" i="41" l="1"/>
  <c r="AB13" i="41"/>
  <c r="W31" i="41"/>
  <c r="W11" i="41" s="1"/>
  <c r="W34" i="41"/>
  <c r="W12" i="41" s="1"/>
  <c r="AB12" i="41"/>
  <c r="AB11" i="41"/>
  <c r="G187" i="41"/>
  <c r="V186" i="41"/>
  <c r="W137" i="41"/>
  <c r="I187" i="41"/>
  <c r="AB10" i="41"/>
  <c r="W144" i="41" l="1"/>
  <c r="W141" i="41"/>
  <c r="W88" i="41" s="1"/>
  <c r="W98" i="41" l="1"/>
  <c r="W27" i="41"/>
  <c r="AB9" i="41" s="1"/>
  <c r="W9" i="41"/>
  <c r="W8" i="41"/>
  <c r="W24" i="41"/>
  <c r="AB8" i="41" s="1"/>
  <c r="W101" i="41"/>
  <c r="V146" i="41"/>
  <c r="W10" i="41"/>
  <c r="W48" i="41" l="1"/>
  <c r="V104" i="41"/>
  <c r="AB5" i="41"/>
  <c r="W62" i="41" l="1"/>
  <c r="W59" i="41"/>
  <c r="W5" i="41" l="1"/>
  <c r="V71" i="41"/>
  <c r="W18" i="41"/>
  <c r="AB6" i="41" s="1"/>
  <c r="W7" i="41"/>
  <c r="W6" i="41"/>
  <c r="W21" i="41"/>
  <c r="AB7" i="41" s="1"/>
  <c r="V7" i="40" l="1"/>
  <c r="P7" i="40"/>
  <c r="V8" i="40"/>
  <c r="W8" i="40"/>
  <c r="W7" i="40"/>
  <c r="D32" i="40" s="1"/>
  <c r="Q7" i="40"/>
  <c r="U8" i="40"/>
  <c r="U7" i="40"/>
  <c r="F26" i="40"/>
  <c r="E27" i="40" s="1"/>
  <c r="I17" i="32"/>
  <c r="N14" i="40"/>
  <c r="P10" i="40"/>
  <c r="Q10" i="40"/>
  <c r="P8" i="40"/>
  <c r="Q8" i="40"/>
  <c r="P9" i="40"/>
  <c r="Q9" i="40"/>
  <c r="H20" i="35"/>
  <c r="O8" i="40"/>
  <c r="O9" i="40"/>
  <c r="O7" i="40"/>
  <c r="F20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C11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23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I73" i="35"/>
  <c r="D15" i="33"/>
  <c r="D13" i="33"/>
  <c r="D14" i="33"/>
  <c r="D12" i="33"/>
  <c r="I34" i="35"/>
  <c r="G34" i="35"/>
  <c r="I33" i="35"/>
  <c r="G33" i="35"/>
  <c r="I32" i="35"/>
  <c r="G32" i="35"/>
  <c r="I29" i="35"/>
  <c r="G29" i="35"/>
  <c r="I28" i="35"/>
  <c r="G28" i="35"/>
  <c r="G25" i="35"/>
  <c r="G21" i="35"/>
  <c r="G22" i="35"/>
  <c r="I19" i="32"/>
  <c r="H19" i="32"/>
  <c r="I25" i="35"/>
  <c r="K21" i="35"/>
  <c r="K22" i="35"/>
  <c r="K23" i="35"/>
  <c r="I21" i="35"/>
  <c r="I22" i="35"/>
  <c r="I23" i="35"/>
  <c r="I20" i="35"/>
  <c r="J21" i="35"/>
  <c r="J22" i="35"/>
  <c r="J23" i="35"/>
  <c r="O12" i="32"/>
  <c r="K20" i="35"/>
  <c r="H21" i="35"/>
  <c r="H22" i="35"/>
  <c r="H23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I132" i="22"/>
  <c r="I128" i="22"/>
  <c r="H118" i="22"/>
  <c r="J112" i="22"/>
  <c r="K112" i="22"/>
  <c r="L112" i="22"/>
  <c r="J113" i="22"/>
  <c r="K113" i="22"/>
  <c r="L113" i="22"/>
  <c r="F117" i="22" s="1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W47" i="35" l="1"/>
  <c r="M46" i="35"/>
  <c r="Q47" i="35"/>
  <c r="J47" i="35"/>
  <c r="Q46" i="35"/>
  <c r="G46" i="35"/>
  <c r="S47" i="35"/>
  <c r="T47" i="35"/>
  <c r="I103" i="35"/>
  <c r="G55" i="35"/>
  <c r="D62" i="35" s="1"/>
  <c r="G56" i="35"/>
  <c r="N61" i="35" s="1"/>
  <c r="O61" i="35" s="1"/>
  <c r="O63" i="35" s="1"/>
  <c r="D45" i="35"/>
  <c r="D47" i="35" s="1"/>
  <c r="X45" i="35"/>
  <c r="I45" i="35"/>
  <c r="K45" i="35"/>
  <c r="Q45" i="35"/>
  <c r="E45" i="35"/>
  <c r="E47" i="35" s="1"/>
  <c r="O45" i="35"/>
  <c r="O47" i="35" s="1"/>
  <c r="H45" i="35"/>
  <c r="J45" i="35"/>
  <c r="P45" i="35"/>
  <c r="U45" i="35"/>
  <c r="V45" i="35"/>
  <c r="N45" i="35"/>
  <c r="N47" i="35" s="1"/>
  <c r="M45" i="35"/>
  <c r="M47" i="35" s="1"/>
  <c r="T45" i="35"/>
  <c r="G45" i="35"/>
  <c r="G47" i="35" s="1"/>
  <c r="W45" i="35"/>
  <c r="S45" i="35"/>
  <c r="R45" i="35"/>
  <c r="L45" i="35"/>
  <c r="F45" i="35"/>
  <c r="F47" i="35" s="1"/>
  <c r="D44" i="35"/>
  <c r="D46" i="35" s="1"/>
  <c r="X44" i="35"/>
  <c r="X46" i="35" s="1"/>
  <c r="E44" i="35"/>
  <c r="E54" i="35" s="1"/>
  <c r="O44" i="35"/>
  <c r="O46" i="35" s="1"/>
  <c r="H44" i="35"/>
  <c r="H46" i="35" s="1"/>
  <c r="I44" i="35"/>
  <c r="I46" i="35" s="1"/>
  <c r="K44" i="35"/>
  <c r="K54" i="35" s="1"/>
  <c r="Q44" i="35"/>
  <c r="U44" i="35"/>
  <c r="U46" i="35" s="1"/>
  <c r="V44" i="35"/>
  <c r="V54" i="35" s="1"/>
  <c r="J44" i="35"/>
  <c r="P44" i="35"/>
  <c r="P46" i="35" s="1"/>
  <c r="L44" i="35"/>
  <c r="L46" i="35" s="1"/>
  <c r="G44" i="35"/>
  <c r="W44" i="35"/>
  <c r="W46" i="35" s="1"/>
  <c r="M44" i="35"/>
  <c r="T44" i="35"/>
  <c r="T46" i="35" s="1"/>
  <c r="N44" i="35"/>
  <c r="N46" i="35" s="1"/>
  <c r="S44" i="35"/>
  <c r="S46" i="35" s="1"/>
  <c r="R44" i="35"/>
  <c r="R46" i="35" s="1"/>
  <c r="F44" i="35"/>
  <c r="F46" i="35" s="1"/>
  <c r="Q11" i="40"/>
  <c r="B41" i="40" s="1"/>
  <c r="L23" i="35"/>
  <c r="AB69" i="35" s="1"/>
  <c r="Q12" i="40"/>
  <c r="Q13" i="40" s="1"/>
  <c r="D25" i="35"/>
  <c r="D28" i="35" s="1"/>
  <c r="W12" i="40"/>
  <c r="W13" i="40" s="1"/>
  <c r="D28" i="40"/>
  <c r="D29" i="40" s="1"/>
  <c r="D30" i="40" s="1"/>
  <c r="D31" i="40" s="1"/>
  <c r="E32" i="40"/>
  <c r="E33" i="40" s="1"/>
  <c r="E34" i="40" s="1"/>
  <c r="E35" i="40" s="1"/>
  <c r="D33" i="40"/>
  <c r="D34" i="40" s="1"/>
  <c r="D35" i="40" s="1"/>
  <c r="W11" i="40"/>
  <c r="B42" i="40" s="1"/>
  <c r="E28" i="40"/>
  <c r="E29" i="40" s="1"/>
  <c r="E30" i="40" s="1"/>
  <c r="E31" i="40" s="1"/>
  <c r="M14" i="40"/>
  <c r="M15" i="40" s="1"/>
  <c r="M16" i="40" s="1"/>
  <c r="M17" i="40" s="1"/>
  <c r="F27" i="40"/>
  <c r="F32" i="40" s="1"/>
  <c r="F33" i="40" s="1"/>
  <c r="F34" i="40" s="1"/>
  <c r="F35" i="40" s="1"/>
  <c r="J13" i="39"/>
  <c r="G15" i="39"/>
  <c r="K11" i="39"/>
  <c r="L11" i="39"/>
  <c r="N9" i="39"/>
  <c r="K10" i="39"/>
  <c r="L10" i="39"/>
  <c r="L12" i="39" s="1"/>
  <c r="M10" i="39"/>
  <c r="M12" i="39" s="1"/>
  <c r="D11" i="36"/>
  <c r="J11" i="36" s="1"/>
  <c r="C34" i="36"/>
  <c r="C33" i="36"/>
  <c r="I74" i="36"/>
  <c r="H78" i="36" s="1"/>
  <c r="I78" i="36" s="1"/>
  <c r="L8" i="36"/>
  <c r="I20" i="36" s="1"/>
  <c r="N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AF20" i="35"/>
  <c r="AI20" i="35" s="1"/>
  <c r="AI24" i="35" s="1"/>
  <c r="AF38" i="35"/>
  <c r="AF64" i="35"/>
  <c r="G14" i="33"/>
  <c r="J20" i="35"/>
  <c r="M20" i="35" s="1"/>
  <c r="L22" i="35"/>
  <c r="F28" i="35"/>
  <c r="F34" i="35" s="1"/>
  <c r="F29" i="35"/>
  <c r="M22" i="35"/>
  <c r="M21" i="35"/>
  <c r="M23" i="35"/>
  <c r="L21" i="35"/>
  <c r="L20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M22" i="24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L17" i="18"/>
  <c r="K17" i="18"/>
  <c r="J17" i="18"/>
  <c r="I17" i="18"/>
  <c r="S16" i="18"/>
  <c r="R16" i="18"/>
  <c r="W16" i="18" s="1"/>
  <c r="Q16" i="18"/>
  <c r="P16" i="18"/>
  <c r="I16" i="18"/>
  <c r="I15" i="18"/>
  <c r="J15" i="18" s="1"/>
  <c r="I14" i="18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L10" i="28"/>
  <c r="AI10" i="28"/>
  <c r="AD10" i="28"/>
  <c r="V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AO11" i="28" s="1"/>
  <c r="V4" i="28"/>
  <c r="U4" i="28"/>
  <c r="L4" i="28"/>
  <c r="AO10" i="28" s="1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L50" i="35" l="1"/>
  <c r="R50" i="35"/>
  <c r="I52" i="35"/>
  <c r="L47" i="35"/>
  <c r="U47" i="35"/>
  <c r="U50" i="35" s="1"/>
  <c r="V46" i="35"/>
  <c r="V49" i="35" s="1"/>
  <c r="S52" i="35"/>
  <c r="X47" i="35"/>
  <c r="X52" i="35" s="1"/>
  <c r="J50" i="35"/>
  <c r="P47" i="35"/>
  <c r="P52" i="35" s="1"/>
  <c r="H52" i="35"/>
  <c r="E46" i="35"/>
  <c r="H47" i="35"/>
  <c r="V47" i="35"/>
  <c r="V52" i="35" s="1"/>
  <c r="T50" i="35"/>
  <c r="O50" i="35"/>
  <c r="K47" i="35"/>
  <c r="K50" i="35" s="1"/>
  <c r="M50" i="35"/>
  <c r="F50" i="35"/>
  <c r="N52" i="35"/>
  <c r="Q52" i="35"/>
  <c r="R47" i="35"/>
  <c r="I47" i="35"/>
  <c r="K46" i="35"/>
  <c r="K49" i="35" s="1"/>
  <c r="J46" i="35"/>
  <c r="D49" i="35"/>
  <c r="D54" i="35"/>
  <c r="G58" i="35"/>
  <c r="J54" i="35"/>
  <c r="W54" i="35"/>
  <c r="M54" i="35"/>
  <c r="N103" i="35"/>
  <c r="J109" i="35"/>
  <c r="G120" i="35" s="1"/>
  <c r="H104" i="35"/>
  <c r="H109" i="35" s="1"/>
  <c r="W52" i="35"/>
  <c r="X54" i="35"/>
  <c r="T54" i="35"/>
  <c r="P54" i="35"/>
  <c r="L54" i="35"/>
  <c r="G54" i="35"/>
  <c r="O54" i="35"/>
  <c r="S54" i="35"/>
  <c r="F54" i="35"/>
  <c r="N54" i="35"/>
  <c r="Q54" i="35"/>
  <c r="U54" i="35"/>
  <c r="R54" i="35"/>
  <c r="I54" i="35"/>
  <c r="H54" i="35"/>
  <c r="N51" i="35"/>
  <c r="X49" i="35"/>
  <c r="Q49" i="35"/>
  <c r="W51" i="35"/>
  <c r="G49" i="35"/>
  <c r="I49" i="35"/>
  <c r="L49" i="35"/>
  <c r="H51" i="35"/>
  <c r="U49" i="35"/>
  <c r="R51" i="35"/>
  <c r="P49" i="35"/>
  <c r="O51" i="35"/>
  <c r="T51" i="35"/>
  <c r="E51" i="35"/>
  <c r="J52" i="35"/>
  <c r="O49" i="35"/>
  <c r="U51" i="35"/>
  <c r="F51" i="35"/>
  <c r="M51" i="35"/>
  <c r="F52" i="35"/>
  <c r="G50" i="35"/>
  <c r="G52" i="35"/>
  <c r="D51" i="35"/>
  <c r="T52" i="35"/>
  <c r="L52" i="35"/>
  <c r="K52" i="35"/>
  <c r="O52" i="35"/>
  <c r="M52" i="35"/>
  <c r="R52" i="35"/>
  <c r="D52" i="35"/>
  <c r="AB22" i="35"/>
  <c r="E64" i="35"/>
  <c r="E62" i="35"/>
  <c r="H50" i="35"/>
  <c r="M49" i="35"/>
  <c r="N50" i="35"/>
  <c r="Q50" i="35"/>
  <c r="V50" i="35"/>
  <c r="I50" i="35"/>
  <c r="F49" i="35"/>
  <c r="S50" i="35"/>
  <c r="P50" i="35"/>
  <c r="X50" i="35"/>
  <c r="H61" i="22"/>
  <c r="H12" i="22"/>
  <c r="AB40" i="35"/>
  <c r="K25" i="35"/>
  <c r="L25" i="35" s="1"/>
  <c r="AD20" i="35" s="1"/>
  <c r="J25" i="35"/>
  <c r="M25" i="35" s="1"/>
  <c r="K10" i="28"/>
  <c r="AQ10" i="28"/>
  <c r="N10" i="28"/>
  <c r="AT10" i="28"/>
  <c r="S10" i="28"/>
  <c r="AA10" i="28"/>
  <c r="J10" i="28"/>
  <c r="R10" i="28"/>
  <c r="Z10" i="28"/>
  <c r="AH10" i="28"/>
  <c r="AP10" i="28"/>
  <c r="AO13" i="28"/>
  <c r="L10" i="28"/>
  <c r="T10" i="28"/>
  <c r="AB10" i="28"/>
  <c r="AJ10" i="28"/>
  <c r="AR10" i="28"/>
  <c r="M10" i="28"/>
  <c r="U10" i="28"/>
  <c r="AC10" i="28"/>
  <c r="AK10" i="28"/>
  <c r="AS10" i="28"/>
  <c r="G10" i="28"/>
  <c r="O10" i="28"/>
  <c r="W10" i="28"/>
  <c r="AE10" i="28"/>
  <c r="AM10" i="28"/>
  <c r="H10" i="28"/>
  <c r="P10" i="28"/>
  <c r="X10" i="28"/>
  <c r="AF10" i="28"/>
  <c r="AN10" i="28"/>
  <c r="I10" i="28"/>
  <c r="Q10" i="28"/>
  <c r="Y10" i="28"/>
  <c r="AG10" i="28"/>
  <c r="K11" i="28"/>
  <c r="K13" i="28" s="1"/>
  <c r="S11" i="28"/>
  <c r="S13" i="28" s="1"/>
  <c r="AA11" i="28"/>
  <c r="AI11" i="28"/>
  <c r="AI13" i="28" s="1"/>
  <c r="AQ11" i="28"/>
  <c r="O11" i="28"/>
  <c r="AE11" i="28"/>
  <c r="J11" i="28"/>
  <c r="R11" i="28"/>
  <c r="Z11" i="28"/>
  <c r="Z13" i="28" s="1"/>
  <c r="AH11" i="28"/>
  <c r="AP11" i="28"/>
  <c r="AP13" i="28" s="1"/>
  <c r="L11" i="28"/>
  <c r="T11" i="28"/>
  <c r="T13" i="28" s="1"/>
  <c r="AB11" i="28"/>
  <c r="AJ11" i="28"/>
  <c r="AR11" i="28"/>
  <c r="AR13" i="28" s="1"/>
  <c r="M11" i="28"/>
  <c r="U11" i="28"/>
  <c r="U13" i="28" s="1"/>
  <c r="AC11" i="28"/>
  <c r="AC13" i="28" s="1"/>
  <c r="AK11" i="28"/>
  <c r="AS11" i="28"/>
  <c r="AS13" i="28" s="1"/>
  <c r="F11" i="28"/>
  <c r="F13" i="28" s="1"/>
  <c r="N11" i="28"/>
  <c r="N13" i="28" s="1"/>
  <c r="V11" i="28"/>
  <c r="V13" i="28" s="1"/>
  <c r="AD11" i="28"/>
  <c r="AD13" i="28" s="1"/>
  <c r="AL11" i="28"/>
  <c r="AL13" i="28" s="1"/>
  <c r="AT11" i="28"/>
  <c r="AT13" i="28" s="1"/>
  <c r="G11" i="28"/>
  <c r="W11" i="28"/>
  <c r="W13" i="28" s="1"/>
  <c r="AM11" i="28"/>
  <c r="AM13" i="28" s="1"/>
  <c r="H11" i="28"/>
  <c r="H13" i="28" s="1"/>
  <c r="P11" i="28"/>
  <c r="P13" i="28" s="1"/>
  <c r="X11" i="28"/>
  <c r="X13" i="28" s="1"/>
  <c r="AF11" i="28"/>
  <c r="AF13" i="28" s="1"/>
  <c r="AN11" i="28"/>
  <c r="AN13" i="28" s="1"/>
  <c r="I11" i="28"/>
  <c r="I13" i="28" s="1"/>
  <c r="Q11" i="28"/>
  <c r="Q13" i="28" s="1"/>
  <c r="Y11" i="28"/>
  <c r="Y13" i="28" s="1"/>
  <c r="AG11" i="28"/>
  <c r="AG13" i="28" s="1"/>
  <c r="N23" i="24"/>
  <c r="V17" i="18"/>
  <c r="V16" i="18"/>
  <c r="O17" i="18"/>
  <c r="J16" i="18"/>
  <c r="L16" i="18" s="1"/>
  <c r="N17" i="18"/>
  <c r="M17" i="18"/>
  <c r="L15" i="18"/>
  <c r="K15" i="18"/>
  <c r="N15" i="18" s="1"/>
  <c r="J14" i="18"/>
  <c r="L14" i="18" s="1"/>
  <c r="S14" i="18" s="1"/>
  <c r="R15" i="18" s="1"/>
  <c r="M23" i="24"/>
  <c r="G27" i="40"/>
  <c r="G32" i="40" s="1"/>
  <c r="G33" i="40" s="1"/>
  <c r="G34" i="40" s="1"/>
  <c r="G35" i="40" s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K11" i="36"/>
  <c r="L11" i="36" s="1"/>
  <c r="K19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29" i="35"/>
  <c r="H29" i="35" s="1"/>
  <c r="H25" i="35"/>
  <c r="G19" i="9"/>
  <c r="AI64" i="35"/>
  <c r="AI70" i="35" s="1"/>
  <c r="AB39" i="35"/>
  <c r="AB67" i="35"/>
  <c r="AB66" i="35"/>
  <c r="AB20" i="35"/>
  <c r="AB38" i="35"/>
  <c r="AI38" i="35"/>
  <c r="AI42" i="35" s="1"/>
  <c r="AB21" i="35"/>
  <c r="AB68" i="35"/>
  <c r="F33" i="35"/>
  <c r="F32" i="35"/>
  <c r="K28" i="35"/>
  <c r="L28" i="35" s="1"/>
  <c r="J28" i="35"/>
  <c r="M28" i="35" s="1"/>
  <c r="H28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I95" i="22"/>
  <c r="I93" i="22"/>
  <c r="E8" i="4"/>
  <c r="M17" i="4"/>
  <c r="L18" i="4"/>
  <c r="D8" i="4"/>
  <c r="C8" i="4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U52" i="35" l="1"/>
  <c r="V51" i="35"/>
  <c r="P51" i="35"/>
  <c r="G119" i="35"/>
  <c r="G110" i="35"/>
  <c r="H110" i="35" s="1"/>
  <c r="G115" i="35"/>
  <c r="H115" i="35" s="1"/>
  <c r="J122" i="35" s="1"/>
  <c r="J125" i="35" s="1"/>
  <c r="G51" i="35"/>
  <c r="G118" i="35"/>
  <c r="K51" i="35"/>
  <c r="L104" i="35"/>
  <c r="M104" i="35" s="1"/>
  <c r="M109" i="35" s="1"/>
  <c r="M105" i="35"/>
  <c r="L110" i="35" s="1"/>
  <c r="W50" i="35"/>
  <c r="T49" i="35"/>
  <c r="E49" i="35"/>
  <c r="X51" i="35"/>
  <c r="I51" i="35"/>
  <c r="Q51" i="35"/>
  <c r="R49" i="35"/>
  <c r="H49" i="35"/>
  <c r="W49" i="35"/>
  <c r="L51" i="35"/>
  <c r="N49" i="35"/>
  <c r="S49" i="35"/>
  <c r="S51" i="35"/>
  <c r="J49" i="35"/>
  <c r="J51" i="35"/>
  <c r="E50" i="35"/>
  <c r="E52" i="35"/>
  <c r="D50" i="35"/>
  <c r="D34" i="35"/>
  <c r="AF39" i="35"/>
  <c r="AL39" i="35" s="1"/>
  <c r="AL42" i="35" s="1"/>
  <c r="P34" i="35"/>
  <c r="R34" i="35" s="1"/>
  <c r="I17" i="22"/>
  <c r="AD38" i="35"/>
  <c r="AD66" i="35"/>
  <c r="B34" i="35"/>
  <c r="AD72" i="35" s="1"/>
  <c r="AH13" i="28"/>
  <c r="AA13" i="28"/>
  <c r="R13" i="28"/>
  <c r="AJ13" i="28"/>
  <c r="AQ13" i="28"/>
  <c r="M13" i="28"/>
  <c r="J13" i="28"/>
  <c r="AB13" i="28"/>
  <c r="AE13" i="28"/>
  <c r="O13" i="28"/>
  <c r="G13" i="28"/>
  <c r="AK13" i="28"/>
  <c r="L13" i="28"/>
  <c r="M25" i="24"/>
  <c r="K16" i="18"/>
  <c r="N16" i="18" s="1"/>
  <c r="M15" i="18"/>
  <c r="S15" i="18"/>
  <c r="W15" i="18" s="1"/>
  <c r="O15" i="18"/>
  <c r="K14" i="18"/>
  <c r="H27" i="40"/>
  <c r="H32" i="40" s="1"/>
  <c r="H33" i="40" s="1"/>
  <c r="H34" i="40" s="1"/>
  <c r="H35" i="40" s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AF66" i="35"/>
  <c r="AL66" i="35" s="1"/>
  <c r="AL73" i="35" s="1"/>
  <c r="K29" i="35"/>
  <c r="L29" i="35" s="1"/>
  <c r="AD39" i="35" s="1"/>
  <c r="D33" i="35"/>
  <c r="H33" i="35" s="1"/>
  <c r="P33" i="35"/>
  <c r="R33" i="35" s="1"/>
  <c r="J29" i="35"/>
  <c r="M29" i="35" s="1"/>
  <c r="G21" i="9"/>
  <c r="G20" i="9"/>
  <c r="H19" i="9"/>
  <c r="D32" i="35"/>
  <c r="H32" i="35" s="1"/>
  <c r="AF65" i="35"/>
  <c r="AF21" i="35"/>
  <c r="AL21" i="35" s="1"/>
  <c r="AL24" i="35" s="1"/>
  <c r="AD21" i="35"/>
  <c r="AD68" i="35"/>
  <c r="P32" i="35"/>
  <c r="R32" i="35" s="1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M110" i="35" l="1"/>
  <c r="L115" i="35"/>
  <c r="M115" i="35" s="1"/>
  <c r="O122" i="35" s="1"/>
  <c r="O125" i="35" s="1"/>
  <c r="J119" i="35"/>
  <c r="H114" i="35" s="1"/>
  <c r="M114" i="35" s="1"/>
  <c r="J118" i="35"/>
  <c r="AF40" i="35"/>
  <c r="AH40" i="35" s="1"/>
  <c r="AK41" i="35" s="1"/>
  <c r="T32" i="35"/>
  <c r="AD23" i="35" s="1"/>
  <c r="W32" i="35"/>
  <c r="X32" i="35" s="1"/>
  <c r="T33" i="35"/>
  <c r="AD41" i="35" s="1"/>
  <c r="W33" i="35"/>
  <c r="X33" i="35" s="1"/>
  <c r="AD42" i="35" s="1"/>
  <c r="AF71" i="35"/>
  <c r="AA5" i="28"/>
  <c r="Z5" i="28"/>
  <c r="AD67" i="35"/>
  <c r="O16" i="18"/>
  <c r="M16" i="18"/>
  <c r="O14" i="18"/>
  <c r="Q14" i="18"/>
  <c r="W3" i="18"/>
  <c r="W4" i="18" s="1"/>
  <c r="V3" i="18"/>
  <c r="V4" i="18" s="1"/>
  <c r="V5" i="18" s="1"/>
  <c r="W5" i="18" s="1"/>
  <c r="AA3" i="18" s="1"/>
  <c r="AC4" i="18" s="1"/>
  <c r="M14" i="18"/>
  <c r="N14" i="18"/>
  <c r="I27" i="40"/>
  <c r="I32" i="40" s="1"/>
  <c r="I33" i="40" s="1"/>
  <c r="I34" i="40" s="1"/>
  <c r="I35" i="40" s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R21" i="24"/>
  <c r="Q22" i="24"/>
  <c r="F17" i="24"/>
  <c r="D17" i="24" s="1"/>
  <c r="M17" i="24"/>
  <c r="Q15" i="24" s="1"/>
  <c r="Q16" i="24" s="1"/>
  <c r="R15" i="24" s="1"/>
  <c r="C17" i="24"/>
  <c r="H12" i="36"/>
  <c r="L20" i="36" s="1"/>
  <c r="K12" i="36"/>
  <c r="L12" i="36" s="1"/>
  <c r="K20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33" i="35"/>
  <c r="M33" i="35" s="1"/>
  <c r="K33" i="35"/>
  <c r="L33" i="35" s="1"/>
  <c r="AD40" i="35" s="1"/>
  <c r="G32" i="36"/>
  <c r="H20" i="9"/>
  <c r="H21" i="9"/>
  <c r="I19" i="9"/>
  <c r="AF22" i="35"/>
  <c r="AI22" i="35" s="1"/>
  <c r="AL23" i="35" s="1"/>
  <c r="AL65" i="35"/>
  <c r="AL67" i="35" s="1"/>
  <c r="AL70" i="35" s="1"/>
  <c r="AI40" i="35"/>
  <c r="AL41" i="35" s="1"/>
  <c r="J32" i="35"/>
  <c r="M32" i="35" s="1"/>
  <c r="K32" i="35"/>
  <c r="L32" i="35" s="1"/>
  <c r="AD22" i="35" s="1"/>
  <c r="K34" i="35"/>
  <c r="L34" i="35" s="1"/>
  <c r="AD69" i="35" s="1"/>
  <c r="J34" i="35"/>
  <c r="M34" i="35" s="1"/>
  <c r="H34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G114" i="35" l="1"/>
  <c r="I121" i="35"/>
  <c r="J121" i="35" s="1"/>
  <c r="N121" i="35"/>
  <c r="O121" i="35" s="1"/>
  <c r="N124" i="35"/>
  <c r="O124" i="35" s="1"/>
  <c r="I124" i="35"/>
  <c r="J124" i="35" s="1"/>
  <c r="AD24" i="35"/>
  <c r="P25" i="24"/>
  <c r="P15" i="18"/>
  <c r="Q15" i="18"/>
  <c r="J27" i="40"/>
  <c r="J32" i="40" s="1"/>
  <c r="J33" i="40" s="1"/>
  <c r="J34" i="40" s="1"/>
  <c r="J35" i="40" s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G31" i="36"/>
  <c r="G33" i="36" s="1"/>
  <c r="G34" i="36"/>
  <c r="U43" i="36"/>
  <c r="U45" i="36" s="1"/>
  <c r="T44" i="36"/>
  <c r="J16" i="22"/>
  <c r="H32" i="36"/>
  <c r="I21" i="9"/>
  <c r="I20" i="9"/>
  <c r="J19" i="9"/>
  <c r="AH71" i="35"/>
  <c r="AK72" i="35" s="1"/>
  <c r="AI71" i="35"/>
  <c r="AL72" i="35" s="1"/>
  <c r="AH22" i="35"/>
  <c r="AK23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I113" i="35" l="1"/>
  <c r="L114" i="35"/>
  <c r="T34" i="35"/>
  <c r="AD70" i="35" s="1"/>
  <c r="W34" i="35"/>
  <c r="X34" i="35" s="1"/>
  <c r="AD71" i="35" s="1"/>
  <c r="V15" i="18"/>
  <c r="K27" i="40"/>
  <c r="K32" i="40" s="1"/>
  <c r="K33" i="40" s="1"/>
  <c r="K34" i="40" s="1"/>
  <c r="K35" i="40" s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L32" i="40" s="1"/>
  <c r="L33" i="40" s="1"/>
  <c r="L34" i="40" s="1"/>
  <c r="L35" i="40" s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S25" i="24" l="1"/>
  <c r="M27" i="40"/>
  <c r="M32" i="40" s="1"/>
  <c r="M33" i="40" s="1"/>
  <c r="M34" i="40" s="1"/>
  <c r="M35" i="40" s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T25" i="24" l="1"/>
  <c r="N27" i="40"/>
  <c r="N32" i="40" s="1"/>
  <c r="N33" i="40" s="1"/>
  <c r="N34" i="40" s="1"/>
  <c r="N35" i="40" s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U25" i="24" l="1"/>
  <c r="O27" i="40"/>
  <c r="O32" i="40" s="1"/>
  <c r="O33" i="40" s="1"/>
  <c r="O34" i="40" s="1"/>
  <c r="O35" i="40" s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V25" i="24" l="1"/>
  <c r="P27" i="40"/>
  <c r="P32" i="40" s="1"/>
  <c r="P33" i="40" s="1"/>
  <c r="P34" i="40" s="1"/>
  <c r="P35" i="40" s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Q32" i="40" s="1"/>
  <c r="Q33" i="40" s="1"/>
  <c r="Q34" i="40" s="1"/>
  <c r="Q35" i="40" s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R32" i="40" s="1"/>
  <c r="R33" i="40" s="1"/>
  <c r="R34" i="40" s="1"/>
  <c r="R35" i="40" s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Y25" i="24" l="1"/>
  <c r="S27" i="40"/>
  <c r="S32" i="40" s="1"/>
  <c r="S33" i="40" s="1"/>
  <c r="S34" i="40" s="1"/>
  <c r="S35" i="40" s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T32" i="40" s="1"/>
  <c r="T33" i="40" s="1"/>
  <c r="T34" i="40" s="1"/>
  <c r="T35" i="40" s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A25" i="24" l="1"/>
  <c r="U27" i="40"/>
  <c r="U32" i="40" s="1"/>
  <c r="U33" i="40" s="1"/>
  <c r="U34" i="40" s="1"/>
  <c r="U35" i="40" s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V32" i="40" s="1"/>
  <c r="V33" i="40" s="1"/>
  <c r="V34" i="40" s="1"/>
  <c r="V35" i="40" s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W32" i="40" s="1"/>
  <c r="W33" i="40" s="1"/>
  <c r="W34" i="40" s="1"/>
  <c r="W35" i="40" s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D25" i="24" l="1"/>
  <c r="X27" i="40"/>
  <c r="X32" i="40" s="1"/>
  <c r="X33" i="40" s="1"/>
  <c r="X34" i="40" s="1"/>
  <c r="X35" i="40" s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E25" i="24" l="1"/>
  <c r="Y27" i="40"/>
  <c r="Y32" i="40" s="1"/>
  <c r="Y33" i="40" s="1"/>
  <c r="Y34" i="40" s="1"/>
  <c r="Y35" i="40" s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F25" i="24" l="1"/>
  <c r="Z27" i="40"/>
  <c r="Z32" i="40" s="1"/>
  <c r="Z33" i="40" s="1"/>
  <c r="Z34" i="40" s="1"/>
  <c r="Z35" i="40" s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G25" i="24" l="1"/>
  <c r="AA27" i="40"/>
  <c r="AA32" i="40" s="1"/>
  <c r="AA33" i="40" s="1"/>
  <c r="AA34" i="40" s="1"/>
  <c r="AA35" i="40" s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B32" i="40" s="1"/>
  <c r="AB33" i="40" s="1"/>
  <c r="AB34" i="40" s="1"/>
  <c r="AB35" i="40" s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I25" i="24" l="1"/>
  <c r="AC27" i="40"/>
  <c r="AC32" i="40" s="1"/>
  <c r="AC33" i="40" s="1"/>
  <c r="AC34" i="40" s="1"/>
  <c r="AC35" i="40" s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C17" i="22"/>
  <c r="AH18" i="4"/>
  <c r="AI17" i="4"/>
  <c r="AD12" i="22"/>
  <c r="AD13" i="22"/>
  <c r="AC16" i="22"/>
  <c r="AD61" i="22"/>
  <c r="AD62" i="22"/>
  <c r="AF10" i="22"/>
  <c r="AE11" i="22"/>
  <c r="AJ25" i="24" l="1"/>
  <c r="AD27" i="40"/>
  <c r="AD32" i="40" s="1"/>
  <c r="AD33" i="40" s="1"/>
  <c r="AD34" i="40" s="1"/>
  <c r="AD35" i="40" s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E32" i="40" s="1"/>
  <c r="AE33" i="40" s="1"/>
  <c r="AE34" i="40" s="1"/>
  <c r="AE35" i="40" s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F32" i="40" s="1"/>
  <c r="AF33" i="40" s="1"/>
  <c r="AF34" i="40" s="1"/>
  <c r="AF35" i="40" s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F17" i="22"/>
  <c r="AL17" i="4"/>
  <c r="AK18" i="4"/>
  <c r="AG13" i="22"/>
  <c r="AG12" i="22"/>
  <c r="AF16" i="22"/>
  <c r="AG61" i="22"/>
  <c r="AG62" i="22"/>
  <c r="AH11" i="22"/>
  <c r="AI10" i="22"/>
  <c r="AM25" i="24" l="1"/>
  <c r="AG27" i="40"/>
  <c r="AG32" i="40" s="1"/>
  <c r="AG33" i="40" s="1"/>
  <c r="AG34" i="40" s="1"/>
  <c r="AG35" i="40" s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H32" i="40" s="1"/>
  <c r="AH33" i="40" s="1"/>
  <c r="AH34" i="40" s="1"/>
  <c r="AH35" i="40" s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O25" i="24" l="1"/>
  <c r="AI27" i="40"/>
  <c r="AI32" i="40" s="1"/>
  <c r="AI33" i="40" s="1"/>
  <c r="AI34" i="40" s="1"/>
  <c r="AI35" i="40" s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J32" i="40" s="1"/>
  <c r="AJ33" i="40" s="1"/>
  <c r="AJ34" i="40" s="1"/>
  <c r="AJ35" i="40" s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P25" i="24"/>
  <c r="AJ17" i="22"/>
  <c r="AJ16" i="22"/>
  <c r="AK12" i="22"/>
  <c r="AK13" i="22"/>
  <c r="AK61" i="22"/>
  <c r="AK62" i="22"/>
  <c r="AL11" i="22"/>
  <c r="AM10" i="22"/>
  <c r="AQ25" i="24" l="1"/>
  <c r="AK27" i="40"/>
  <c r="AK32" i="40" s="1"/>
  <c r="AK33" i="40" s="1"/>
  <c r="AK34" i="40" s="1"/>
  <c r="AK35" i="40" s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K17" i="22"/>
  <c r="AL12" i="22"/>
  <c r="AL13" i="22"/>
  <c r="AK16" i="22"/>
  <c r="AL61" i="22"/>
  <c r="AL62" i="22"/>
  <c r="AM11" i="22"/>
  <c r="AN10" i="22"/>
  <c r="AR25" i="24" l="1"/>
  <c r="AL27" i="40"/>
  <c r="AL32" i="40" s="1"/>
  <c r="AL33" i="40" s="1"/>
  <c r="AL34" i="40" s="1"/>
  <c r="AL35" i="40" s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T22" i="24"/>
  <c r="AU21" i="24"/>
  <c r="AL17" i="22"/>
  <c r="AM12" i="22"/>
  <c r="AM13" i="22"/>
  <c r="AL16" i="22"/>
  <c r="AM61" i="22"/>
  <c r="AM62" i="22"/>
  <c r="AO10" i="22"/>
  <c r="AN11" i="22"/>
  <c r="AS25" i="24" l="1"/>
  <c r="AM27" i="40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V21" i="24"/>
  <c r="AU22" i="24"/>
  <c r="AM17" i="22"/>
  <c r="AN12" i="22"/>
  <c r="AN13" i="22"/>
  <c r="AM16" i="22"/>
  <c r="AN61" i="22"/>
  <c r="AN62" i="22"/>
  <c r="AO11" i="22"/>
  <c r="AP10" i="22"/>
  <c r="AT25" i="24" l="1"/>
  <c r="AM28" i="40"/>
  <c r="AM29" i="40" s="1"/>
  <c r="AM30" i="40" s="1"/>
  <c r="AM31" i="40" s="1"/>
  <c r="AM32" i="40"/>
  <c r="AM33" i="40" s="1"/>
  <c r="AM34" i="40" s="1"/>
  <c r="AM35" i="40" s="1"/>
  <c r="AU12" i="39"/>
  <c r="AW9" i="39"/>
  <c r="AW11" i="39" s="1"/>
  <c r="AV10" i="39"/>
  <c r="AV13" i="39" s="1"/>
  <c r="AU23" i="24"/>
  <c r="AU24" i="24"/>
  <c r="AW21" i="24"/>
  <c r="AW22" i="24" s="1"/>
  <c r="AV22" i="24"/>
  <c r="AN17" i="22"/>
  <c r="AO12" i="22"/>
  <c r="AO13" i="22"/>
  <c r="AN16" i="22"/>
  <c r="AO61" i="22"/>
  <c r="AO62" i="22"/>
  <c r="AP11" i="22"/>
  <c r="AQ10" i="22"/>
  <c r="AU25" i="24" l="1"/>
  <c r="AV12" i="39"/>
  <c r="AX9" i="39"/>
  <c r="AX11" i="39" s="1"/>
  <c r="F26" i="39" s="1"/>
  <c r="AW10" i="39"/>
  <c r="AW13" i="39" s="1"/>
  <c r="AV23" i="24"/>
  <c r="AV24" i="24"/>
  <c r="AW23" i="24"/>
  <c r="AW24" i="24"/>
  <c r="AO17" i="22"/>
  <c r="AP13" i="22"/>
  <c r="AP12" i="22"/>
  <c r="AO16" i="22"/>
  <c r="AP61" i="22"/>
  <c r="AP62" i="22"/>
  <c r="AQ11" i="22"/>
  <c r="AR10" i="22"/>
  <c r="AW25" i="24" l="1"/>
  <c r="AV25" i="24"/>
  <c r="AW12" i="39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<sst xmlns="http://schemas.openxmlformats.org/spreadsheetml/2006/main" count="1790" uniqueCount="998">
  <si>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</si>
  <si>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</si>
  <si>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</si>
  <si>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</si>
  <si>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</si>
  <si>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</si>
  <si>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</si>
  <si>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</si>
  <si>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</si>
  <si>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</si>
  <si>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</si>
  <si>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</si>
  <si>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</si>
  <si>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</si>
  <si>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</si>
  <si>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</si>
  <si>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</si>
  <si>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</si>
  <si>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</si>
  <si>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</si>
  <si>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</si>
  <si>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</si>
  <si>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</si>
  <si>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</si>
  <si>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</si>
  <si>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</si>
  <si>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</si>
  <si>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</si>
  <si>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</si>
  <si>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</si>
  <si>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</si>
  <si>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</si>
  <si>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</si>
  <si>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</si>
  <si>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</si>
  <si>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</si>
  <si>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</si>
  <si>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</si>
  <si>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</si>
  <si>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</si>
  <si>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</si>
  <si>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</si>
  <si>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</si>
  <si>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</si>
  <si>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</si>
  <si>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</si>
  <si>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</si>
  <si>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</si>
  <si>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</si>
  <si>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</si>
  <si>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</si>
  <si>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</si>
  <si>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</si>
  <si>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</si>
  <si>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</si>
  <si>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</si>
  <si>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</si>
  <si>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</si>
  <si>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</si>
  <si>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</si>
  <si>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</si>
  <si>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</si>
  <si>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</si>
  <si>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</si>
  <si>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</si>
  <si>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</si>
  <si>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</si>
  <si>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</si>
  <si>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</si>
  <si>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</si>
  <si>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</si>
  <si>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</si>
  <si>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</si>
  <si>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</si>
  <si>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</si>
  <si>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</si>
  <si>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</si>
  <si>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</si>
  <si>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</si>
  <si>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</si>
  <si>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</si>
  <si>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</si>
  <si>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</si>
  <si>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</si>
  <si>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</si>
  <si>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</si>
  <si>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</si>
  <si>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</si>
  <si>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</si>
  <si>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</si>
  <si>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</si>
  <si>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</si>
  <si>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</si>
  <si>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</si>
  <si>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</si>
  <si>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</si>
  <si>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</si>
  <si>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</si>
  <si>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</si>
  <si>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</si>
  <si>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</si>
  <si>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</si>
  <si>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</si>
  <si>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</si>
  <si>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</si>
  <si>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</si>
  <si>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</si>
  <si>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</si>
  <si>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</si>
  <si>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</si>
  <si>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</si>
  <si>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</si>
  <si>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</si>
  <si>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</si>
  <si>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</si>
  <si>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</si>
  <si>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</si>
  <si>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</si>
  <si>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</si>
  <si>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</si>
  <si>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</si>
  <si>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</si>
  <si>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</si>
  <si>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</si>
  <si>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</si>
  <si>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</si>
  <si>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</si>
  <si>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</si>
  <si>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</si>
  <si>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</si>
  <si>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</si>
  <si>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</si>
  <si>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</si>
  <si>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</si>
  <si>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</si>
  <si>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</si>
  <si>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</si>
  <si>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</si>
  <si>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</si>
  <si>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</si>
  <si>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</si>
  <si>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</si>
  <si>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</si>
  <si>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</si>
  <si>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</si>
  <si>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</si>
  <si>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</si>
  <si>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</si>
  <si>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</si>
  <si>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</si>
  <si>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</si>
  <si>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</si>
  <si>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</si>
  <si>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</si>
  <si>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</si>
  <si>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</si>
  <si>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</si>
  <si>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</si>
  <si>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</si>
  <si>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</si>
  <si>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</si>
  <si>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</si>
  <si>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</si>
  <si>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</si>
  <si>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</si>
  <si>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</si>
  <si>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</si>
  <si>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</si>
  <si>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</si>
  <si>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</si>
  <si>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</si>
  <si>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</si>
  <si>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</si>
  <si>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</si>
  <si>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</si>
  <si>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</si>
  <si>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</si>
  <si>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</si>
  <si>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</si>
  <si>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</si>
  <si>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</si>
  <si>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</si>
  <si>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</si>
  <si>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</si>
  <si>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</si>
  <si>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</si>
  <si>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</si>
  <si>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</si>
  <si>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</si>
  <si>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</si>
  <si>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</si>
  <si>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</si>
  <si>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</si>
  <si>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</si>
  <si>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</si>
  <si>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</si>
  <si>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</si>
  <si>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</si>
  <si>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</si>
  <si>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</si>
  <si>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</si>
  <si>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</si>
  <si>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</si>
  <si>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</si>
  <si>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</si>
  <si>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</si>
  <si>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</si>
  <si>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</si>
  <si>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</si>
  <si>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</si>
  <si>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</si>
  <si>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</si>
  <si>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</si>
  <si>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</si>
  <si>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</si>
  <si>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</si>
  <si>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</si>
  <si>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</si>
  <si>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</si>
  <si>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</si>
  <si>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</si>
  <si>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</si>
  <si>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</si>
  <si>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</si>
  <si>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</si>
  <si>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</si>
  <si>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</si>
  <si>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</si>
  <si>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</si>
  <si>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</si>
  <si>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</si>
  <si>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</si>
  <si>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</si>
  <si>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</si>
  <si>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</si>
  <si>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</si>
  <si>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</si>
  <si>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</si>
  <si>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</si>
  <si>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</si>
  <si>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</si>
  <si>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</si>
  <si>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</si>
  <si>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</si>
  <si>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</si>
  <si>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</si>
  <si>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</si>
  <si>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</si>
  <si>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</si>
  <si>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</si>
  <si>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</si>
  <si>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</si>
  <si>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</si>
  <si>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</si>
  <si>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</si>
  <si>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</si>
  <si>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</si>
  <si>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</si>
  <si>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</si>
  <si>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</si>
  <si>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</si>
  <si>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</si>
  <si>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</si>
  <si>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</si>
  <si>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</si>
  <si>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</si>
  <si>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</si>
  <si>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</si>
  <si>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</si>
  <si>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</si>
  <si>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</si>
  <si>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</si>
  <si>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</si>
  <si>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</si>
  <si>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</si>
  <si>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</si>
  <si>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</si>
  <si>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</si>
  <si>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</si>
  <si>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</si>
  <si>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</si>
  <si>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</si>
  <si>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</si>
  <si>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</si>
  <si>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</si>
  <si>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</si>
  <si>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</si>
  <si>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</si>
  <si>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</si>
  <si>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</si>
  <si>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</si>
  <si>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</si>
  <si>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</si>
  <si>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</si>
  <si>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</si>
  <si>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</si>
  <si>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</si>
  <si>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</si>
  <si>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</si>
  <si>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</si>
  <si>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</si>
  <si>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</si>
  <si>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</si>
  <si>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</si>
  <si>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</si>
  <si>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</si>
  <si>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</si>
  <si>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</si>
  <si>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</si>
  <si>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</si>
  <si>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</si>
  <si>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</si>
  <si>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</si>
  <si>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</si>
  <si>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</si>
  <si>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</si>
  <si>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</si>
  <si>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</si>
  <si>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</si>
  <si>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</si>
  <si>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</si>
  <si>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</si>
  <si>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</si>
  <si>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</si>
  <si>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</si>
  <si>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</si>
  <si>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</si>
  <si>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</si>
  <si>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</si>
  <si>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</si>
  <si>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</si>
  <si>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</si>
  <si>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</si>
  <si>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</si>
  <si>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</si>
  <si>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</si>
  <si>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</si>
  <si>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</si>
  <si>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</si>
  <si>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</si>
  <si>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</si>
  <si>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</si>
  <si>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</si>
  <si>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</si>
  <si>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</si>
  <si>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</si>
  <si>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</si>
  <si>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</si>
  <si>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</si>
  <si>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</si>
  <si>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</si>
  <si>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</si>
  <si>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</si>
  <si>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</si>
  <si>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</si>
  <si>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</si>
  <si>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</si>
  <si>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</si>
  <si>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</si>
  <si>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</si>
  <si>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</si>
  <si>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</si>
  <si>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</si>
  <si>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</si>
  <si>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</si>
  <si>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</si>
  <si>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</si>
  <si>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</si>
  <si>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</si>
  <si>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</si>
  <si>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</si>
  <si>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</si>
  <si>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</si>
  <si>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</si>
  <si>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</si>
  <si>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</si>
  <si>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</si>
  <si>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</si>
  <si>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</si>
  <si>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</si>
  <si>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</si>
  <si>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</si>
  <si>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</si>
  <si>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</si>
  <si>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</si>
  <si>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</si>
  <si>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</si>
  <si>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</si>
  <si>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</si>
  <si>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</si>
  <si>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</si>
  <si>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</si>
  <si>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</si>
  <si>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</si>
  <si>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</si>
  <si>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</si>
  <si>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</si>
  <si>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</si>
  <si>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</si>
  <si>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</si>
  <si>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</si>
  <si>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</si>
  <si>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</si>
  <si>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</si>
  <si>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</si>
  <si>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</si>
  <si>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</si>
  <si>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</si>
  <si>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</si>
  <si>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</si>
  <si>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</si>
  <si>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</si>
  <si>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</si>
  <si>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</si>
  <si>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</si>
  <si>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</si>
  <si>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</si>
  <si>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</si>
  <si>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</si>
  <si>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</si>
  <si>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</si>
  <si>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</si>
  <si>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</si>
  <si>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</si>
  <si>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</si>
  <si>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</si>
  <si>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</si>
  <si>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</si>
  <si>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</si>
  <si>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</si>
  <si>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</si>
  <si>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</si>
  <si>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</si>
  <si>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</si>
  <si>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</si>
  <si>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</si>
  <si>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</si>
  <si>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</si>
  <si>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</si>
  <si>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</si>
  <si>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</si>
  <si>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</si>
  <si>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</si>
  <si>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</si>
  <si>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</si>
  <si>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</si>
  <si>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</si>
  <si>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</si>
  <si>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</si>
  <si>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</si>
  <si>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</si>
  <si>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</si>
  <si>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</si>
  <si>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</si>
  <si>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</si>
  <si>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</si>
  <si>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</si>
  <si>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</si>
  <si>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</si>
  <si>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</si>
  <si>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</si>
  <si>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</si>
  <si>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</si>
  <si>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</si>
  <si>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</si>
  <si>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</si>
  <si>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</si>
  <si>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</si>
  <si>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</si>
  <si>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</si>
  <si>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</si>
  <si>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</si>
  <si>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</si>
  <si>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</si>
  <si>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</si>
  <si>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</si>
  <si>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</si>
  <si>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</si>
  <si>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</si>
  <si>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</si>
  <si>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</si>
  <si>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</si>
  <si>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</si>
  <si>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</si>
  <si>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</si>
  <si>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</si>
  <si>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</si>
  <si>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</si>
  <si>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</si>
  <si>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</si>
  <si>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</si>
  <si>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</si>
  <si>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</si>
  <si>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</si>
  <si>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</si>
  <si>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</si>
  <si>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</si>
  <si>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</si>
  <si>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</si>
  <si>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</si>
  <si>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</si>
  <si>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</si>
  <si>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</si>
  <si>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</si>
  <si>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</si>
  <si>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</si>
  <si>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</si>
  <si>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</si>
  <si>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</si>
  <si>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</si>
  <si>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</si>
  <si>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</si>
  <si>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</si>
  <si>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</si>
  <si>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</si>
  <si>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</si>
  <si>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</si>
  <si>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</si>
  <si>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</si>
  <si>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</si>
  <si>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</si>
  <si>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</si>
  <si>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</si>
  <si>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</si>
  <si>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</si>
  <si>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</si>
  <si>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</si>
  <si>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</si>
  <si>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</si>
  <si>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</si>
  <si>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</si>
  <si>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</si>
  <si>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</si>
  <si>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</si>
  <si>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</si>
  <si>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</si>
  <si>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</si>
  <si>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</si>
  <si>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</si>
  <si>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</si>
  <si>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</si>
  <si>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</si>
  <si>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</si>
  <si>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</si>
  <si>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</si>
  <si>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</si>
  <si>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</si>
  <si>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</si>
  <si>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</si>
  <si>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</si>
  <si>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</si>
  <si>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</si>
  <si>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</si>
  <si>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</si>
  <si>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</si>
  <si>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</si>
  <si>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</si>
  <si>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</si>
  <si>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</si>
  <si>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</si>
  <si>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</si>
  <si>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</si>
  <si>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</si>
  <si>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</si>
  <si>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</si>
  <si>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</si>
  <si>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</si>
  <si>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</si>
  <si>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</si>
  <si>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</si>
  <si>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</si>
  <si>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</si>
  <si>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</si>
  <si>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</si>
  <si>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</si>
  <si>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</si>
  <si>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</si>
  <si>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</si>
  <si>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</si>
  <si>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</si>
  <si>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</si>
  <si>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</si>
  <si>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</si>
  <si>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</si>
  <si>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</si>
  <si>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</si>
  <si>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</si>
  <si>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</si>
  <si>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</si>
  <si>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</si>
  <si>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</si>
  <si>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</si>
  <si>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</si>
  <si>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</si>
  <si>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</si>
  <si>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</si>
  <si>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</si>
  <si>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</si>
  <si>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</si>
  <si>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</si>
  <si>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</si>
  <si>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</si>
  <si>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</si>
  <si>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</si>
  <si>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</si>
  <si>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</si>
  <si>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</si>
  <si>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</si>
  <si>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</si>
  <si>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</si>
  <si>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</si>
  <si>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</si>
  <si>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</si>
  <si>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</si>
  <si>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</si>
  <si>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</si>
  <si>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</si>
  <si>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</si>
  <si>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</si>
  <si>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</si>
  <si>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</si>
  <si>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</si>
  <si>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</si>
  <si>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</si>
  <si>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</si>
  <si>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</si>
  <si>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</si>
  <si>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</si>
  <si>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</si>
  <si>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</si>
  <si>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</si>
  <si>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</si>
  <si>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</si>
  <si>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</si>
  <si>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</si>
  <si>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</si>
  <si>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</si>
  <si>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</si>
  <si>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</si>
  <si>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</si>
  <si>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</si>
  <si>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</si>
  <si>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</si>
  <si>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</si>
  <si>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</si>
  <si>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</si>
  <si>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</si>
  <si>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</si>
  <si>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</si>
  <si>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</si>
  <si>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</si>
  <si>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</si>
  <si>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</si>
  <si>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</si>
  <si>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</si>
  <si>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</si>
  <si>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</si>
  <si>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</si>
  <si>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</si>
  <si>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</si>
  <si>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</si>
  <si>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</si>
  <si>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</si>
  <si>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</si>
  <si>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</si>
  <si>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</si>
  <si>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</si>
  <si>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</si>
  <si>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</si>
  <si>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</si>
  <si>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</si>
  <si>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</si>
  <si>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</si>
  <si>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</si>
  <si>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</si>
  <si>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</si>
  <si>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</si>
  <si>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</si>
  <si>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</si>
  <si>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</si>
  <si>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</si>
  <si>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</si>
  <si>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</si>
  <si>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</si>
  <si>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</si>
  <si>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</si>
  <si>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</si>
  <si>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</si>
  <si>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</si>
  <si>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</si>
  <si>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</si>
  <si>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</si>
  <si>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</si>
  <si>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</si>
  <si>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</si>
  <si>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</si>
  <si>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</si>
  <si>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</si>
  <si>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</si>
  <si>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</si>
  <si>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</si>
  <si>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</si>
  <si>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</si>
  <si>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</si>
  <si>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</si>
  <si>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</si>
  <si>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</si>
  <si>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</si>
  <si>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</si>
  <si>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</si>
  <si>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</si>
  <si>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</si>
  <si>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</si>
  <si>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</si>
  <si>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</si>
  <si>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</si>
  <si>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</si>
  <si>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</si>
  <si>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</si>
  <si>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</si>
  <si>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</si>
  <si>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</si>
  <si>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</si>
  <si>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</si>
  <si>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</si>
  <si>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</si>
  <si>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</si>
  <si>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</si>
  <si>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</si>
  <si>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</si>
  <si>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</si>
  <si>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</si>
  <si>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</si>
  <si>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</si>
  <si>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</si>
  <si>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</si>
  <si>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</si>
  <si>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</si>
  <si>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</si>
  <si>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</si>
  <si>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</si>
  <si>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</si>
  <si>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</si>
  <si>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</si>
  <si>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</si>
  <si>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</si>
  <si>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</si>
  <si>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</si>
  <si>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</si>
  <si>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</si>
  <si>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</si>
  <si>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</si>
  <si>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</si>
  <si>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</si>
  <si>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</si>
  <si>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</si>
  <si>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</si>
  <si>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</si>
  <si>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</si>
  <si>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</si>
  <si>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</si>
  <si>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</si>
  <si>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</si>
  <si>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</si>
  <si>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</si>
  <si>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</si>
  <si>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</si>
  <si>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</si>
  <si>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</si>
  <si>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</si>
  <si>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</si>
  <si>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</si>
  <si>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</si>
  <si>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</si>
  <si>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</si>
  <si>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</si>
  <si>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</si>
  <si>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</si>
  <si>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</si>
  <si>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</si>
  <si>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</si>
  <si>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</si>
  <si>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</si>
  <si>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</si>
  <si>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</si>
  <si>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</si>
  <si>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</si>
  <si>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</si>
  <si>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</si>
  <si>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</si>
  <si>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</si>
  <si>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</si>
  <si>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</si>
  <si>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</si>
  <si>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</si>
  <si>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</si>
  <si>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</si>
  <si>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</si>
  <si>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</si>
  <si>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</si>
  <si>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</si>
  <si>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</si>
  <si>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</si>
  <si>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</si>
  <si>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</si>
  <si>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</si>
  <si>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</si>
  <si>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</si>
  <si>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</si>
  <si>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</si>
  <si>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</si>
  <si>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</si>
  <si>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</si>
  <si>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</si>
  <si>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</si>
  <si>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</si>
  <si>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</si>
  <si>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</si>
  <si>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</si>
  <si>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</si>
  <si>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</si>
  <si>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</si>
  <si>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</si>
  <si>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</si>
  <si>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             Spitzenwert = </t>
  </si>
  <si>
    <t>s-1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</si>
  <si>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</si>
  <si>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</si>
  <si>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</si>
  <si>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</si>
  <si>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</si>
  <si>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</si>
  <si>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</si>
  <si>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</si>
  <si>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</si>
  <si>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</si>
  <si>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</si>
  <si>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</si>
  <si>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</si>
  <si>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</si>
  <si>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</si>
  <si>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</si>
  <si>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</si>
  <si>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</si>
  <si>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</si>
  <si>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</si>
  <si>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</si>
  <si>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</si>
  <si>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</si>
  <si>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</si>
  <si>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</si>
  <si>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</si>
  <si>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</si>
  <si>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</si>
  <si>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</si>
  <si>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</si>
  <si>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</si>
  <si>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</si>
  <si>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</si>
  <si>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</si>
  <si>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</si>
  <si>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</si>
  <si>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t>Serieschaltung:</t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</si>
  <si>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</si>
  <si>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</si>
  <si>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</si>
  <si>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</si>
  <si>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</si>
  <si>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</si>
  <si>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</si>
  <si>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</si>
  <si>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</si>
  <si>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</si>
  <si>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</si>
  <si>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</si>
  <si>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</si>
  <si>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</si>
  <si>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</si>
  <si>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</si>
  <si>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</si>
  <si>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</si>
  <si>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</si>
  <si>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</si>
  <si>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</si>
  <si>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</si>
  <si>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</si>
  <si>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</si>
  <si>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</si>
  <si>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</si>
  <si>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</si>
  <si>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</si>
  <si>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</si>
  <si>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</si>
  <si>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</si>
  <si>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</si>
  <si>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</si>
  <si>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</si>
  <si>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</si>
  <si>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</si>
  <si>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</si>
  <si>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</si>
  <si>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</si>
  <si>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</si>
  <si>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</si>
  <si>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</si>
  <si>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</si>
  <si>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</si>
  <si>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</si>
  <si>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</si>
  <si>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</si>
  <si>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</si>
  <si>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</si>
  <si>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</si>
  <si>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</si>
  <si>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</si>
  <si>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</si>
  <si>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</si>
  <si>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</si>
  <si>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</si>
  <si>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</si>
  <si>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</si>
  <si>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</si>
  <si>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</si>
  <si>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</si>
  <si>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</si>
  <si>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</si>
  <si>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</si>
  <si>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</si>
  <si>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</si>
  <si>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</si>
  <si>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</si>
  <si>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</si>
  <si>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</si>
  <si>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</si>
  <si>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</si>
  <si>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</si>
  <si>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</si>
  <si>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</si>
  <si>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</si>
  <si>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</si>
  <si>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</si>
  <si>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</si>
  <si>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</si>
  <si>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</si>
  <si>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</si>
  <si>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</si>
  <si>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</si>
  <si>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</si>
  <si>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</si>
  <si>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</si>
  <si>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</si>
  <si>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</si>
  <si>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r>
      <t>Kompensation: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</si>
  <si>
    <t>1/2*π*f*C = 2*π*f*L</t>
  </si>
  <si>
    <t xml:space="preserve">cos(φ) = </t>
  </si>
  <si>
    <r>
      <t>Û = 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* wurzel(2)</t>
    </r>
  </si>
  <si>
    <t>Gemessene Spannung</t>
  </si>
  <si>
    <t>T = 1/f</t>
  </si>
  <si>
    <t>ω = 2 *  π * f</t>
  </si>
  <si>
    <t>Spitzenwert / Effektivwert / Wellenlänge / Periodendauer</t>
  </si>
  <si>
    <t xml:space="preserve">Ausbreitunbgsgeschwindigkeit v = </t>
  </si>
  <si>
    <t xml:space="preserve">                 Frequenz f =</t>
  </si>
  <si>
    <r>
      <t xml:space="preserve">              Effektiv-Wert U</t>
    </r>
    <r>
      <rPr>
        <vertAlign val="subscript"/>
        <sz val="11"/>
        <color theme="1"/>
        <rFont val="Calibri"/>
        <family val="2"/>
        <scheme val="minor"/>
      </rPr>
      <t xml:space="preserve">eff </t>
    </r>
    <r>
      <rPr>
        <sz val="11"/>
        <color theme="1"/>
        <rFont val="Calibri"/>
        <family val="2"/>
        <scheme val="minor"/>
      </rPr>
      <t>=</t>
    </r>
  </si>
  <si>
    <t xml:space="preserve">Zeit t = </t>
  </si>
  <si>
    <t>u(t) = Û * sin(2 *  π * f * t)</t>
  </si>
  <si>
    <t>λ = v * T</t>
  </si>
  <si>
    <t>Linear</t>
  </si>
  <si>
    <t>Logarithmisch</t>
  </si>
  <si>
    <r>
      <t>Kreisfrequenz ω  [s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 xml:space="preserve">]  = </t>
    </r>
  </si>
  <si>
    <t xml:space="preserve">Frequenz f [HZ] = </t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</si>
  <si>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[Ω]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</si>
  <si>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 xml:space="preserve">C </t>
    </r>
    <r>
      <rPr>
        <sz val="11"/>
        <color theme="1"/>
        <rFont val="Calibri"/>
        <family val="2"/>
        <scheme val="minor"/>
      </rPr>
      <t xml:space="preserve">[Ω]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</si>
  <si>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[Ω]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</si>
  <si>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[Ω] = </t>
    </r>
  </si>
  <si>
    <r>
      <t>Tiefpass mit C: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</si>
  <si>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r>
      <t>Hochpass mit L: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</si>
  <si>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t>f = 1/(2 π R C)</t>
  </si>
  <si>
    <t>f = R / (2 π L)</t>
  </si>
  <si>
    <r>
      <t>Tiefpass mit L: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</si>
  <si>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r>
      <t>Hochpass mit C: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</t>
    </r>
  </si>
  <si>
    <r>
      <t>Resonanz-Frequenz (X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):</t>
    </r>
  </si>
  <si>
    <t>Resonanzferequnz</t>
  </si>
  <si>
    <t>Dämpfung</t>
  </si>
  <si>
    <t>X = (1+Dämpfung):2</t>
  </si>
  <si>
    <t>Bandbreite</t>
  </si>
  <si>
    <t>b</t>
  </si>
  <si>
    <t>Untere Grenzfrequenz:</t>
  </si>
  <si>
    <t>Obere Grenzfrequenz:</t>
  </si>
  <si>
    <t>Güte Q:</t>
  </si>
  <si>
    <r>
      <t>Q =  (2 π f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L) / R</t>
    </r>
  </si>
  <si>
    <r>
      <t>f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1 / (2 π sqrt(LC))</t>
    </r>
  </si>
  <si>
    <r>
      <t>Grenzfrequenz (U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>/U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 0.707) :</t>
    </r>
  </si>
  <si>
    <r>
      <t>Bandsperrfilter: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 </t>
    </r>
  </si>
  <si>
    <r>
      <t>Bandpassfilter: U</t>
    </r>
    <r>
      <rPr>
        <vertAlign val="subscript"/>
        <sz val="11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/ 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(Frequenzgang)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</si>
  <si>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[Ω] = </t>
    </r>
  </si>
  <si>
    <t>Bei der Grenzfrequenz ist der -3dB (1/sqrt(2)) = 0.7071 Dämpfung. (Die Leistung wird halbiert! Vektorielle Addition!!</t>
  </si>
  <si>
    <t>X =</t>
  </si>
  <si>
    <t>Z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</si>
</sst>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  <numFmt numFmtId="177" formatCode="#,##0.0000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6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114" fillId="0" borderId="0" xfId="0" applyFont="1"/>
    <xf numFmtId="0" fontId="115" fillId="0" borderId="0" xfId="0" applyFont="1"/>
    <xf numFmtId="0" fontId="62" fillId="0" borderId="2" xfId="0" applyFont="1" applyBorder="1"/>
    <xf numFmtId="0" fontId="1" fillId="0" borderId="0" xfId="0" applyFont="1" applyAlignment="1">
      <alignment horizontal="center"/>
    </xf>
    <xf numFmtId="10" fontId="0" fillId="0" borderId="7" xfId="0" applyNumberFormat="1" applyBorder="1" applyAlignment="1">
      <alignment horizontal="center"/>
    </xf>
    <xf numFmtId="0" fontId="70" fillId="0" borderId="0" xfId="0" applyFont="1"/>
    <xf numFmtId="0" fontId="0" fillId="0" borderId="2" xfId="0" applyBorder="1" applyAlignment="1">
      <alignment horizontal="left"/>
    </xf>
    <xf numFmtId="0" fontId="0" fillId="2" borderId="19" xfId="0" applyFill="1" applyBorder="1" applyAlignment="1">
      <alignment horizontal="right"/>
    </xf>
    <xf numFmtId="0" fontId="0" fillId="2" borderId="20" xfId="0" applyFill="1" applyBorder="1" applyAlignment="1">
      <alignment horizontal="right"/>
    </xf>
    <xf numFmtId="177" fontId="0" fillId="3" borderId="2" xfId="0" applyNumberFormat="1" applyFill="1" applyBorder="1"/>
    <xf numFmtId="0" fontId="0" fillId="2" borderId="0" xfId="0" applyFill="1" applyAlignment="1">
      <alignment horizontal="right"/>
    </xf>
    <xf numFmtId="0" fontId="17" fillId="0" borderId="0" xfId="0" applyFont="1"/>
    <xf numFmtId="0" fontId="0" fillId="0" borderId="39" xfId="0" applyBorder="1" applyAlignment="1">
      <alignment horizontal="right"/>
    </xf>
    <xf numFmtId="0" fontId="0" fillId="0" borderId="39" xfId="0" applyBorder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0</c:v>
                </c:pt>
                <c:pt idx="1">
                  <c:v>5.1428571428571432</c:v>
                </c:pt>
                <c:pt idx="2">
                  <c:v>6.545454545454545</c:v>
                </c:pt>
                <c:pt idx="3">
                  <c:v>7.2</c:v>
                </c:pt>
                <c:pt idx="4">
                  <c:v>7.5789473684210531</c:v>
                </c:pt>
                <c:pt idx="5">
                  <c:v>7.8260869565217392</c:v>
                </c:pt>
                <c:pt idx="6">
                  <c:v>8</c:v>
                </c:pt>
                <c:pt idx="7">
                  <c:v>8.129032258064516</c:v>
                </c:pt>
                <c:pt idx="8">
                  <c:v>8.2285714285714278</c:v>
                </c:pt>
                <c:pt idx="9">
                  <c:v>8.3076923076923084</c:v>
                </c:pt>
                <c:pt idx="10">
                  <c:v>8.3720930232558146</c:v>
                </c:pt>
                <c:pt idx="11">
                  <c:v>8.4255319148936181</c:v>
                </c:pt>
                <c:pt idx="12">
                  <c:v>8.4705882352941178</c:v>
                </c:pt>
                <c:pt idx="13">
                  <c:v>8.5090909090909097</c:v>
                </c:pt>
                <c:pt idx="14">
                  <c:v>8.5423728813559325</c:v>
                </c:pt>
                <c:pt idx="15">
                  <c:v>8.5714285714285712</c:v>
                </c:pt>
                <c:pt idx="16">
                  <c:v>8.5970149253731343</c:v>
                </c:pt>
                <c:pt idx="17">
                  <c:v>8.6197183098591541</c:v>
                </c:pt>
                <c:pt idx="18">
                  <c:v>8.64</c:v>
                </c:pt>
                <c:pt idx="19">
                  <c:v>8.6582278481012658</c:v>
                </c:pt>
                <c:pt idx="20">
                  <c:v>8.6746987951807224</c:v>
                </c:pt>
                <c:pt idx="21">
                  <c:v>8.6896551724137936</c:v>
                </c:pt>
                <c:pt idx="22">
                  <c:v>8.7032967032967044</c:v>
                </c:pt>
                <c:pt idx="23">
                  <c:v>8.715789473684211</c:v>
                </c:pt>
                <c:pt idx="24">
                  <c:v>8.7272727272727266</c:v>
                </c:pt>
                <c:pt idx="25">
                  <c:v>8.7378640776699044</c:v>
                </c:pt>
                <c:pt idx="26">
                  <c:v>8.7476635514018692</c:v>
                </c:pt>
                <c:pt idx="27">
                  <c:v>8.7567567567567579</c:v>
                </c:pt>
                <c:pt idx="28">
                  <c:v>8.765217391304347</c:v>
                </c:pt>
                <c:pt idx="29">
                  <c:v>8.7731092436974798</c:v>
                </c:pt>
                <c:pt idx="30">
                  <c:v>8.7804878048780495</c:v>
                </c:pt>
                <c:pt idx="31">
                  <c:v>8.78740157480315</c:v>
                </c:pt>
                <c:pt idx="32">
                  <c:v>8.7938931297709928</c:v>
                </c:pt>
                <c:pt idx="33">
                  <c:v>8.8000000000000007</c:v>
                </c:pt>
                <c:pt idx="34">
                  <c:v>8.8057553956834536</c:v>
                </c:pt>
                <c:pt idx="35">
                  <c:v>8.8111888111888117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</c:v>
                </c:pt>
                <c:pt idx="1">
                  <c:v>3.2142857142857135</c:v>
                </c:pt>
                <c:pt idx="2">
                  <c:v>4.7368421052631575</c:v>
                </c:pt>
                <c:pt idx="3">
                  <c:v>5.6250000000000009</c:v>
                </c:pt>
                <c:pt idx="4">
                  <c:v>6.2068965517241361</c:v>
                </c:pt>
                <c:pt idx="5">
                  <c:v>6.617647058823529</c:v>
                </c:pt>
                <c:pt idx="6">
                  <c:v>6.9230769230769234</c:v>
                </c:pt>
                <c:pt idx="7">
                  <c:v>7.1590909090909092</c:v>
                </c:pt>
                <c:pt idx="8">
                  <c:v>7.3469387755102034</c:v>
                </c:pt>
                <c:pt idx="9">
                  <c:v>7.5</c:v>
                </c:pt>
                <c:pt idx="10">
                  <c:v>7.6271186440677967</c:v>
                </c:pt>
                <c:pt idx="11">
                  <c:v>7.734375</c:v>
                </c:pt>
                <c:pt idx="12">
                  <c:v>7.8260869565217392</c:v>
                </c:pt>
                <c:pt idx="13">
                  <c:v>7.9054054054054053</c:v>
                </c:pt>
                <c:pt idx="14">
                  <c:v>7.9746835443037973</c:v>
                </c:pt>
                <c:pt idx="15">
                  <c:v>8.0357142857142847</c:v>
                </c:pt>
                <c:pt idx="16">
                  <c:v>8.0898876404494384</c:v>
                </c:pt>
                <c:pt idx="17">
                  <c:v>8.1382978723404253</c:v>
                </c:pt>
                <c:pt idx="18">
                  <c:v>8.1818181818181817</c:v>
                </c:pt>
                <c:pt idx="19">
                  <c:v>8.2211538461538467</c:v>
                </c:pt>
                <c:pt idx="20">
                  <c:v>8.2568807339449535</c:v>
                </c:pt>
                <c:pt idx="21">
                  <c:v>8.2894736842105274</c:v>
                </c:pt>
                <c:pt idx="22">
                  <c:v>8.3193277310924376</c:v>
                </c:pt>
                <c:pt idx="23">
                  <c:v>8.3467741935483879</c:v>
                </c:pt>
                <c:pt idx="24">
                  <c:v>8.3720930232558146</c:v>
                </c:pt>
                <c:pt idx="25">
                  <c:v>8.3955223880597014</c:v>
                </c:pt>
                <c:pt idx="26">
                  <c:v>8.4172661870503589</c:v>
                </c:pt>
                <c:pt idx="27">
                  <c:v>8.4375</c:v>
                </c:pt>
                <c:pt idx="28">
                  <c:v>8.4563758389261743</c:v>
                </c:pt>
                <c:pt idx="29">
                  <c:v>8.4740259740259738</c:v>
                </c:pt>
                <c:pt idx="30">
                  <c:v>8.4905660377358494</c:v>
                </c:pt>
                <c:pt idx="31">
                  <c:v>8.5060975609756113</c:v>
                </c:pt>
                <c:pt idx="32">
                  <c:v>8.5207100591715967</c:v>
                </c:pt>
                <c:pt idx="33">
                  <c:v>8.5344827586206904</c:v>
                </c:pt>
                <c:pt idx="34">
                  <c:v>8.5474860335195526</c:v>
                </c:pt>
                <c:pt idx="35">
                  <c:v>8.5597826086956523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673548558070034"/>
          <c:h val="0.85279539377597657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Wechselspannung'!$AH$23:$AI$23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Wechselspannung'!$AK$23:$AL$23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Wechselspannung'!$AH$22:$AI$22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Wechselspannung'!$AK$22:$AL$22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 an Wechselspannung'!$AB$20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Wechselspannung'!$AH$20:$AI$20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Wechselspannung'!$AK$20:$AL$20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 an Wechselspannung'!$AD$21</c:f>
              <c:strCache>
                <c:ptCount val="1"/>
                <c:pt idx="0">
                  <c:v>Blindwiderstand XC = 1.59kΩ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Wechselspannung'!$AH$21:$AI$21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Wechselspannung'!$AK$21:$AL$21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 an Wechselspannung'!$AD$22</c:f>
              <c:strCache>
                <c:ptCount val="1"/>
                <c:pt idx="0">
                  <c:v>Scheinwiderstand ZRC = 2.19kΩ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Wechselspannung'!$AH$24:$AI$24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Wechselspannung'!$AK$24:$AL$24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89511631370776"/>
          <c:y val="0.74430992947999908"/>
          <c:w val="0.29896978010219832"/>
          <c:h val="0.225656547221851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5887093604955965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Wechselspannung'!$AH$41:$AI$41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Wechselspannung'!$AK$41:$AL$41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Wechselspannung'!$AH$40:$AI$40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xVal>
          <c:yVal>
            <c:numRef>
              <c:f>'LCR-Glieder an Wechselspannung'!$AK$40:$AL$40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Wechselspannung'!$AH$39:$AI$39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Wechselspannung'!$AK$39:$AL$39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 an Wechselspannung'!$AD$40</c:f>
              <c:strCache>
                <c:ptCount val="1"/>
                <c:pt idx="0">
                  <c:v>Scheinwiderstand ZRL = 1.58kΩ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Wechselspannung'!$AH$42:$AI$42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Wechselspannung'!$AK$42:$AL$42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96149203166565"/>
          <c:y val="0.60593443533495051"/>
          <c:w val="0.31038507968334345"/>
          <c:h val="0.38320647459951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918551607490539E-2"/>
          <c:y val="7.5907516731678365E-2"/>
          <c:w val="0.63950179737308843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Wechselspannung'!$AH$72:$AI$72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Wechselspannung'!$AK$72:$AL$72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Wechselspannung'!$AH$71:$AI$71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Wechselspannung'!$AK$71:$AL$71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Wechselspannung'!$AH$66:$AI$66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Wechselspannung'!$AK$66:$AL$66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 an Wechselspannung'!$M$28</c:f>
              <c:strCache>
                <c:ptCount val="1"/>
                <c:pt idx="0">
                  <c:v>Blindwiderstand XC = 1.59 * 10³Ω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Wechselspannung'!$AH$65:$AI$65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Wechselspannung'!$AK$65:$AL$65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 an Wechselspannung'!$AG$67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Wechselspannung'!$AH$67:$AI$67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Wechselspannung'!$AK$67:$AL$67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 an Wechselspannung'!$AG$70</c:f>
              <c:strCache>
                <c:ptCount val="1"/>
                <c:pt idx="0">
                  <c:v>ZRLC: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38100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 an Wechselspannung'!$AH$70:$AI$70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Wechselspannung'!$AK$70:$AL$70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7655188593711379"/>
          <c:y val="0.56317373812068328"/>
          <c:w val="0.31861513441867345"/>
          <c:h val="0.425003563523699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Tiefpass</a:t>
            </a:r>
            <a:r>
              <a:rPr lang="de-CH" baseline="0"/>
              <a:t> mit C: U</a:t>
            </a:r>
            <a:r>
              <a:rPr lang="de-CH" baseline="-25000"/>
              <a:t>Out</a:t>
            </a:r>
            <a:r>
              <a:rPr lang="de-CH" baseline="0"/>
              <a:t> / U</a:t>
            </a:r>
            <a:r>
              <a:rPr lang="de-CH" baseline="-25000"/>
              <a:t>in</a:t>
            </a:r>
            <a:r>
              <a:rPr lang="de-CH" baseline="0"/>
              <a:t> (Frequenzgang)</a:t>
            </a:r>
          </a:p>
          <a:p>
            <a:pPr>
              <a:defRPr/>
            </a:pP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7028278946360363E-2"/>
          <c:y val="0.13570559484431327"/>
          <c:w val="0.92864163143128908"/>
          <c:h val="0.776619260439125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Wechselspannung'!$C$49</c:f>
              <c:strCache>
                <c:ptCount val="1"/>
                <c:pt idx="0">
                  <c:v>Tiefpass mit C: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Wechselspannung'!$D$49:$X$49</c:f>
              <c:numCache>
                <c:formatCode>General</c:formatCode>
                <c:ptCount val="21"/>
                <c:pt idx="0">
                  <c:v>0.99999955586809786</c:v>
                </c:pt>
                <c:pt idx="1">
                  <c:v>0.99999886302351215</c:v>
                </c:pt>
                <c:pt idx="2">
                  <c:v>0.99999708934793474</c:v>
                </c:pt>
                <c:pt idx="3">
                  <c:v>0.9999925487814626</c:v>
                </c:pt>
                <c:pt idx="4">
                  <c:v>0.99998092521312787</c:v>
                </c:pt>
                <c:pt idx="5">
                  <c:v>0.99995117072507755</c:v>
                </c:pt>
                <c:pt idx="6">
                  <c:v>0.99987501133705237</c:v>
                </c:pt>
                <c:pt idx="7">
                  <c:v>0.9996801225715789</c:v>
                </c:pt>
                <c:pt idx="8">
                  <c:v>0.99918172615580425</c:v>
                </c:pt>
                <c:pt idx="9">
                  <c:v>0.99790922036021423</c:v>
                </c:pt>
                <c:pt idx="10">
                  <c:v>0.99467363074427217</c:v>
                </c:pt>
                <c:pt idx="11">
                  <c:v>0.98653183122036048</c:v>
                </c:pt>
                <c:pt idx="12">
                  <c:v>0.96656687779522565</c:v>
                </c:pt>
                <c:pt idx="13">
                  <c:v>0.92051165737396001</c:v>
                </c:pt>
                <c:pt idx="14">
                  <c:v>0.82726223724025461</c:v>
                </c:pt>
                <c:pt idx="15">
                  <c:v>0.67717583264164782</c:v>
                </c:pt>
                <c:pt idx="16">
                  <c:v>0.49859301669444406</c:v>
                </c:pt>
                <c:pt idx="17">
                  <c:v>0.338296189446258</c:v>
                </c:pt>
                <c:pt idx="18">
                  <c:v>0.21921730459015645</c:v>
                </c:pt>
                <c:pt idx="19">
                  <c:v>0.13906211033280971</c:v>
                </c:pt>
                <c:pt idx="20">
                  <c:v>8.7430497433051188E-2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48-45AE-9755-E296F4CF5C9E}"/>
            </c:ext>
          </c:extLst>
        </c:ser>
        <c:ser>
          <c:idx val="1"/>
          <c:order val="1"/>
          <c:tx>
            <c:strRef>
              <c:f>'LCR-Glieder an Wechselspannung'!$C$62</c:f>
              <c:strCache>
                <c:ptCount val="1"/>
                <c:pt idx="0">
                  <c:v>Grenzfrequenz (UOut/UIn = 0.707)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Wechselspannung'!$D$62:$E$62</c:f>
              <c:numCache>
                <c:formatCode>General</c:formatCode>
                <c:ptCount val="2"/>
                <c:pt idx="0">
                  <c:v>1061.032953945969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Wechselspannung'!$D$63:$E$63</c:f>
              <c:numCache>
                <c:formatCode>General</c:formatCode>
                <c:ptCount val="2"/>
                <c:pt idx="0">
                  <c:v>0</c:v>
                </c:pt>
                <c:pt idx="1">
                  <c:v>0.70710678118654757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9-4F20-8083-C7117626B5B3}"/>
            </c:ext>
          </c:extLst>
        </c:ser>
        <c:ser>
          <c:idx val="2"/>
          <c:order val="2"/>
          <c:tx>
            <c:strRef>
              <c:f>'LCR-Glieder an Wechselspannung'!$C$62</c:f>
              <c:strCache>
                <c:ptCount val="1"/>
                <c:pt idx="0">
                  <c:v>Grenzfrequenz (UOut/UIn = 0.707)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Wechselspannung'!$D$64:$E$64</c:f>
              <c:numCache>
                <c:formatCode>General</c:formatCode>
                <c:ptCount val="2"/>
                <c:pt idx="0">
                  <c:v>0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Wechselspannung'!$D$65:$E$65</c:f>
              <c:numCache>
                <c:formatCode>General</c:formatCode>
                <c:ptCount val="2"/>
                <c:pt idx="0">
                  <c:v>0.70710678118654757</c:v>
                </c:pt>
                <c:pt idx="1">
                  <c:v>0.70710678118654757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3D9-4F20-8083-C7117626B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18848"/>
        <c:axId val="2083169776"/>
      </c:scatterChart>
      <c:valAx>
        <c:axId val="146618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3169776"/>
        <c:crosses val="autoZero"/>
        <c:crossBetween val="midCat"/>
      </c:valAx>
      <c:valAx>
        <c:axId val="20831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6618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Hochpass mit L: U</a:t>
            </a:r>
            <a:r>
              <a:rPr lang="de-CH" baseline="-25000"/>
              <a:t>Out</a:t>
            </a:r>
            <a:r>
              <a:rPr lang="de-CH"/>
              <a:t> / U</a:t>
            </a:r>
            <a:r>
              <a:rPr lang="de-CH" baseline="-25000"/>
              <a:t>in</a:t>
            </a:r>
            <a:r>
              <a:rPr lang="de-CH"/>
              <a:t>)</a:t>
            </a:r>
            <a:r>
              <a:rPr lang="de-CH" baseline="0"/>
              <a:t> (Frequenzgang)</a:t>
            </a:r>
          </a:p>
          <a:p>
            <a:pPr>
              <a:defRPr/>
            </a:pP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2668984532513152E-2"/>
          <c:y val="0.14381758812404033"/>
          <c:w val="0.9238087943224621"/>
          <c:h val="0.7649567040609439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Wechselspannung'!$C$50</c:f>
              <c:strCache>
                <c:ptCount val="1"/>
                <c:pt idx="0">
                  <c:v>Hochpass mit L: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Wechselspannung'!$D$50:$X$50</c:f>
              <c:numCache>
                <c:formatCode>General</c:formatCode>
                <c:ptCount val="21"/>
                <c:pt idx="0">
                  <c:v>3.3510319756784485E-4</c:v>
                </c:pt>
                <c:pt idx="1">
                  <c:v>5.3616506914615605E-4</c:v>
                </c:pt>
                <c:pt idx="2">
                  <c:v>8.5786391827596671E-4</c:v>
                </c:pt>
                <c:pt idx="3">
                  <c:v>1.372581481344601E-3</c:v>
                </c:pt>
                <c:pt idx="4">
                  <c:v>2.1961271429353662E-3</c:v>
                </c:pt>
                <c:pt idx="5">
                  <c:v>3.5137902101235927E-3</c:v>
                </c:pt>
                <c:pt idx="6">
                  <c:v>5.6220101940104112E-3</c:v>
                </c:pt>
                <c:pt idx="7">
                  <c:v>8.9949945554213383E-3</c:v>
                </c:pt>
                <c:pt idx="8">
                  <c:v>1.4391083099773654E-2</c:v>
                </c:pt>
                <c:pt idx="9">
                  <c:v>2.3022014271061819E-2</c:v>
                </c:pt>
                <c:pt idx="10">
                  <c:v>3.6820004211667916E-2</c:v>
                </c:pt>
                <c:pt idx="11">
                  <c:v>5.8849808529169628E-2</c:v>
                </c:pt>
                <c:pt idx="12">
                  <c:v>9.390635916688321E-2</c:v>
                </c:pt>
                <c:pt idx="13">
                  <c:v>0.14922724269235282</c:v>
                </c:pt>
                <c:pt idx="14">
                  <c:v>0.2347213687437309</c:v>
                </c:pt>
                <c:pt idx="15">
                  <c:v>0.36038634811726539</c:v>
                </c:pt>
                <c:pt idx="16">
                  <c:v>0.52580640967793224</c:v>
                </c:pt>
                <c:pt idx="17">
                  <c:v>0.70320344747340124</c:v>
                </c:pt>
                <c:pt idx="18">
                  <c:v>0.84535892322140793</c:v>
                </c:pt>
                <c:pt idx="19">
                  <c:v>0.9300876081638163</c:v>
                </c:pt>
                <c:pt idx="20">
                  <c:v>0.97085926851184245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48-45AE-9755-E296F4CF5C9E}"/>
            </c:ext>
          </c:extLst>
        </c:ser>
        <c:ser>
          <c:idx val="1"/>
          <c:order val="1"/>
          <c:tx>
            <c:strRef>
              <c:f>'LCR-Glieder an Wechselspannung'!$M$61</c:f>
              <c:strCache>
                <c:ptCount val="1"/>
                <c:pt idx="0">
                  <c:v>Grenzfrequenz (UOut/UIn = 0.707)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Wechselspannung'!$N$61:$O$61</c:f>
              <c:numCache>
                <c:formatCode>General</c:formatCode>
                <c:ptCount val="2"/>
                <c:pt idx="0">
                  <c:v>2984.1551829730374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Wechselspannung'!$N$62:$O$62</c:f>
              <c:numCache>
                <c:formatCode>General</c:formatCode>
                <c:ptCount val="2"/>
                <c:pt idx="0">
                  <c:v>0</c:v>
                </c:pt>
                <c:pt idx="1">
                  <c:v>0.70710678118654757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DD-4C9F-AF95-64C084C60D14}"/>
            </c:ext>
          </c:extLst>
        </c:ser>
        <c:ser>
          <c:idx val="2"/>
          <c:order val="2"/>
          <c:tx>
            <c:strRef>
              <c:f>'LCR-Glieder an Wechselspannung'!$M$61</c:f>
              <c:strCache>
                <c:ptCount val="1"/>
                <c:pt idx="0">
                  <c:v>Grenzfrequenz (UOut/UIn = 0.707)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Wechselspannung'!$N$63:$O$63</c:f>
              <c:numCache>
                <c:formatCode>General</c:formatCode>
                <c:ptCount val="2"/>
                <c:pt idx="0">
                  <c:v>0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Wechselspannung'!$N$64:$O$64</c:f>
              <c:numCache>
                <c:formatCode>General</c:formatCode>
                <c:ptCount val="2"/>
                <c:pt idx="0">
                  <c:v>0.70710678118654757</c:v>
                </c:pt>
                <c:pt idx="1">
                  <c:v>0.70710678118654757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DD-4C9F-AF95-64C084C60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18848"/>
        <c:axId val="2083169776"/>
      </c:scatterChart>
      <c:valAx>
        <c:axId val="146618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83169776"/>
        <c:crosses val="autoZero"/>
        <c:crossBetween val="midCat"/>
      </c:valAx>
      <c:valAx>
        <c:axId val="20831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6618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Hochpass mit C: UOut / Uin</a:t>
            </a:r>
            <a:r>
              <a:rPr lang="de-CH" baseline="0"/>
              <a:t> (Frequenzgang)</a:t>
            </a:r>
          </a:p>
          <a:p>
            <a:pPr>
              <a:defRPr/>
            </a:pP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8100814400234342E-2"/>
          <c:y val="8.742856749477762E-2"/>
          <c:w val="0.92937302649804931"/>
          <c:h val="0.837453235660146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Wechselspannung'!$C$51</c:f>
              <c:strCache>
                <c:ptCount val="1"/>
                <c:pt idx="0">
                  <c:v>Hochpass mit C: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Wechselspannung'!$D$51:$X$51</c:f>
              <c:numCache>
                <c:formatCode>General</c:formatCode>
                <c:ptCount val="21"/>
                <c:pt idx="0">
                  <c:v>9.4247737749248166E-4</c:v>
                </c:pt>
                <c:pt idx="1">
                  <c:v>1.5079627592029495E-3</c:v>
                </c:pt>
                <c:pt idx="2">
                  <c:v>2.4127361353011053E-3</c:v>
                </c:pt>
                <c:pt idx="3">
                  <c:v>3.8603602881286669E-3</c:v>
                </c:pt>
                <c:pt idx="4">
                  <c:v>6.1765046666123445E-3</c:v>
                </c:pt>
                <c:pt idx="5">
                  <c:v>9.8821134149959054E-3</c:v>
                </c:pt>
                <c:pt idx="6">
                  <c:v>1.5810177220054959E-2</c:v>
                </c:pt>
                <c:pt idx="7">
                  <c:v>2.5291352974349091E-2</c:v>
                </c:pt>
                <c:pt idx="8">
                  <c:v>4.0445990114068998E-2</c:v>
                </c:pt>
                <c:pt idx="9">
                  <c:v>6.4631168332850625E-2</c:v>
                </c:pt>
                <c:pt idx="10">
                  <c:v>0.10307457640954586</c:v>
                </c:pt>
                <c:pt idx="11">
                  <c:v>0.16356939196867562</c:v>
                </c:pt>
                <c:pt idx="12">
                  <c:v>0.25641464612847181</c:v>
                </c:pt>
                <c:pt idx="13">
                  <c:v>0.39071509906662844</c:v>
                </c:pt>
                <c:pt idx="14">
                  <c:v>0.56181597595320198</c:v>
                </c:pt>
                <c:pt idx="15">
                  <c:v>0.73582123622935158</c:v>
                </c:pt>
                <c:pt idx="16">
                  <c:v>0.86683620350302271</c:v>
                </c:pt>
                <c:pt idx="17">
                  <c:v>0.94103968471374333</c:v>
                </c:pt>
                <c:pt idx="18">
                  <c:v>0.97567605964696424</c:v>
                </c:pt>
                <c:pt idx="19">
                  <c:v>0.99028366111422117</c:v>
                </c:pt>
                <c:pt idx="20">
                  <c:v>0.99617062199133799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A1-4926-9A92-B0A5D1CC89A5}"/>
            </c:ext>
          </c:extLst>
        </c:ser>
        <c:ser>
          <c:idx val="1"/>
          <c:order val="1"/>
          <c:tx>
            <c:strRef>
              <c:f>'LCR-Glieder an Wechselspannung'!$C$62</c:f>
              <c:strCache>
                <c:ptCount val="1"/>
                <c:pt idx="0">
                  <c:v>Grenzfrequenz (UOut/UIn = 0.707)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Wechselspannung'!$D$62:$E$62</c:f>
              <c:numCache>
                <c:formatCode>General</c:formatCode>
                <c:ptCount val="2"/>
                <c:pt idx="0">
                  <c:v>1061.032953945969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Wechselspannung'!$D$63:$E$63</c:f>
              <c:numCache>
                <c:formatCode>General</c:formatCode>
                <c:ptCount val="2"/>
                <c:pt idx="0">
                  <c:v>0</c:v>
                </c:pt>
                <c:pt idx="1">
                  <c:v>0.70710678118654757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3A1-4926-9A92-B0A5D1CC89A5}"/>
            </c:ext>
          </c:extLst>
        </c:ser>
        <c:ser>
          <c:idx val="2"/>
          <c:order val="2"/>
          <c:tx>
            <c:strRef>
              <c:f>'LCR-Glieder an Wechselspannung'!$C$62</c:f>
              <c:strCache>
                <c:ptCount val="1"/>
                <c:pt idx="0">
                  <c:v>Grenzfrequenz (UOut/UIn = 0.707)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Wechselspannung'!$D$64:$E$64</c:f>
              <c:numCache>
                <c:formatCode>General</c:formatCode>
                <c:ptCount val="2"/>
                <c:pt idx="0">
                  <c:v>0</c:v>
                </c:pt>
                <c:pt idx="1">
                  <c:v>1061.032953945969</c:v>
                </c:pt>
              </c:numCache>
            </c:numRef>
          </c:xVal>
          <c:yVal>
            <c:numRef>
              <c:f>'LCR-Glieder an Wechselspannung'!$D$65:$E$65</c:f>
              <c:numCache>
                <c:formatCode>General</c:formatCode>
                <c:ptCount val="2"/>
                <c:pt idx="0">
                  <c:v>0.70710678118654757</c:v>
                </c:pt>
                <c:pt idx="1">
                  <c:v>0.70710678118654757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3A1-4926-9A92-B0A5D1CC8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833727"/>
        <c:axId val="333311791"/>
      </c:scatterChart>
      <c:valAx>
        <c:axId val="425833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3311791"/>
        <c:crosses val="autoZero"/>
        <c:crossBetween val="midCat"/>
      </c:valAx>
      <c:valAx>
        <c:axId val="333311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5833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9366692688551291E-2"/>
          <c:y val="0.12119461420316281"/>
          <c:w val="0.90478447351647751"/>
          <c:h val="0.8028187613079941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Wechselspannung'!$C$52</c:f>
              <c:strCache>
                <c:ptCount val="1"/>
                <c:pt idx="0">
                  <c:v>Tiefpass mit L: Uout / Uin (Frequenzgang)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Wechselspannung'!$D$52:$X$52</c:f>
              <c:numCache>
                <c:formatCode>General</c:formatCode>
                <c:ptCount val="21"/>
                <c:pt idx="0">
                  <c:v>0.9999999438529219</c:v>
                </c:pt>
                <c:pt idx="1">
                  <c:v>0.99999985626349908</c:v>
                </c:pt>
                <c:pt idx="2">
                  <c:v>0.99999963203468123</c:v>
                </c:pt>
                <c:pt idx="3">
                  <c:v>0.99999905800959488</c:v>
                </c:pt>
                <c:pt idx="4">
                  <c:v>0.99999758850987852</c:v>
                </c:pt>
                <c:pt idx="5">
                  <c:v>0.99999382662012426</c:v>
                </c:pt>
                <c:pt idx="6">
                  <c:v>0.99998419637581193</c:v>
                </c:pt>
                <c:pt idx="7">
                  <c:v>0.99995954421813882</c:v>
                </c:pt>
                <c:pt idx="8">
                  <c:v>0.99989644300158187</c:v>
                </c:pt>
                <c:pt idx="9">
                  <c:v>0.99973495830590164</c:v>
                </c:pt>
                <c:pt idx="10">
                  <c:v>0.99932191374444135</c:v>
                </c:pt>
                <c:pt idx="11">
                  <c:v>0.99826684811030375</c:v>
                </c:pt>
                <c:pt idx="12">
                  <c:v>0.99558103422474875</c:v>
                </c:pt>
                <c:pt idx="13">
                  <c:v>0.98880292780636414</c:v>
                </c:pt>
                <c:pt idx="14">
                  <c:v>0.97206269296536085</c:v>
                </c:pt>
                <c:pt idx="15">
                  <c:v>0.93280313040357099</c:v>
                </c:pt>
                <c:pt idx="16">
                  <c:v>0.85060426729566929</c:v>
                </c:pt>
                <c:pt idx="17">
                  <c:v>0.71098868588854724</c:v>
                </c:pt>
                <c:pt idx="18">
                  <c:v>0.53419873729721778</c:v>
                </c:pt>
                <c:pt idx="19">
                  <c:v>0.36733777526972544</c:v>
                </c:pt>
                <c:pt idx="20">
                  <c:v>0.2396503301576077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63-4840-8D8A-C2112F03C589}"/>
            </c:ext>
          </c:extLst>
        </c:ser>
        <c:ser>
          <c:idx val="1"/>
          <c:order val="1"/>
          <c:tx>
            <c:strRef>
              <c:f>'LCR-Glieder an Wechselspannung'!$M$61</c:f>
              <c:strCache>
                <c:ptCount val="1"/>
                <c:pt idx="0">
                  <c:v>Grenzfrequenz (UOut/UIn = 0.707)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Wechselspannung'!$N$61:$O$61</c:f>
              <c:numCache>
                <c:formatCode>General</c:formatCode>
                <c:ptCount val="2"/>
                <c:pt idx="0">
                  <c:v>2984.1551829730374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Wechselspannung'!$N$62:$O$62</c:f>
              <c:numCache>
                <c:formatCode>General</c:formatCode>
                <c:ptCount val="2"/>
                <c:pt idx="0">
                  <c:v>0</c:v>
                </c:pt>
                <c:pt idx="1">
                  <c:v>0.70710678118654757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63-4840-8D8A-C2112F03C589}"/>
            </c:ext>
          </c:extLst>
        </c:ser>
        <c:ser>
          <c:idx val="2"/>
          <c:order val="2"/>
          <c:tx>
            <c:strRef>
              <c:f>'LCR-Glieder an Wechselspannung'!$M$61</c:f>
              <c:strCache>
                <c:ptCount val="1"/>
                <c:pt idx="0">
                  <c:v>Grenzfrequenz (UOut/UIn = 0.707) 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Wechselspannung'!$N$63:$O$63</c:f>
              <c:numCache>
                <c:formatCode>General</c:formatCode>
                <c:ptCount val="2"/>
                <c:pt idx="0">
                  <c:v>0</c:v>
                </c:pt>
                <c:pt idx="1">
                  <c:v>2984.1551829730374</c:v>
                </c:pt>
              </c:numCache>
            </c:numRef>
          </c:xVal>
          <c:yVal>
            <c:numRef>
              <c:f>'LCR-Glieder an Wechselspannung'!$N$64:$O$64</c:f>
              <c:numCache>
                <c:formatCode>General</c:formatCode>
                <c:ptCount val="2"/>
                <c:pt idx="0">
                  <c:v>0.70710678118654757</c:v>
                </c:pt>
                <c:pt idx="1">
                  <c:v>0.70710678118654757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063-4840-8D8A-C2112F03C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800783"/>
        <c:axId val="333279631"/>
      </c:scatterChart>
      <c:valAx>
        <c:axId val="425800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33279631"/>
        <c:crosses val="autoZero"/>
        <c:crossBetween val="midCat"/>
      </c:valAx>
      <c:valAx>
        <c:axId val="3332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Uout / Uin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58007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5153015282824795"/>
          <c:y val="3.3441357049546906E-2"/>
          <c:w val="0.28207714783845178"/>
          <c:h val="5.52749575406185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Bandsperrfilter</a:t>
            </a:r>
          </a:p>
        </c:rich>
      </c:tx>
      <c:layout>
        <c:manualLayout>
          <c:xMode val="edge"/>
          <c:yMode val="edge"/>
          <c:x val="0.44418522203973365"/>
          <c:y val="2.15655087197308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3397945322681084E-2"/>
          <c:y val="8.1313077695234992E-2"/>
          <c:w val="0.92250713687494945"/>
          <c:h val="0.8678289404975526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'LCR-Glieder an Wechselspannung'!$C$53</c:f>
              <c:strCache>
                <c:ptCount val="1"/>
                <c:pt idx="0">
                  <c:v>Bandsperrfilter: UOut / UIn (Frequenzgang)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Wechselspannung'!$D$53:$X$53</c:f>
              <c:numCache>
                <c:formatCode>General</c:formatCode>
                <c:ptCount val="21"/>
                <c:pt idx="0">
                  <c:v>0.9999995558678173</c:v>
                </c:pt>
                <c:pt idx="1">
                  <c:v>0.99999886302167351</c:v>
                </c:pt>
                <c:pt idx="2">
                  <c:v>0.99999708933588582</c:v>
                </c:pt>
                <c:pt idx="3">
                  <c:v>0.99999254870249932</c:v>
                </c:pt>
                <c:pt idx="4">
                  <c:v>0.99998092469564548</c:v>
                </c:pt>
                <c:pt idx="5">
                  <c:v>0.99995116733389933</c:v>
                </c:pt>
                <c:pt idx="6">
                  <c:v>0.99987498911589834</c:v>
                </c:pt>
                <c:pt idx="7">
                  <c:v>0.99967997699790523</c:v>
                </c:pt>
                <c:pt idx="8">
                  <c:v>0.99918077304386832</c:v>
                </c:pt>
                <c:pt idx="9">
                  <c:v>0.99790298943077449</c:v>
                </c:pt>
                <c:pt idx="10">
                  <c:v>0.9946330519294474</c:v>
                </c:pt>
                <c:pt idx="11">
                  <c:v>0.9862701119651438</c:v>
                </c:pt>
                <c:pt idx="12">
                  <c:v>0.96491917767203728</c:v>
                </c:pt>
                <c:pt idx="13">
                  <c:v>0.91072323981442438</c:v>
                </c:pt>
                <c:pt idx="14">
                  <c:v>0.77617479023997593</c:v>
                </c:pt>
                <c:pt idx="15">
                  <c:v>0.47101284855594322</c:v>
                </c:pt>
                <c:pt idx="16">
                  <c:v>4.29295968968137E-2</c:v>
                </c:pt>
                <c:pt idx="17">
                  <c:v>0.53276996656686015</c:v>
                </c:pt>
                <c:pt idx="18">
                  <c:v>0.80519246999938709</c:v>
                </c:pt>
                <c:pt idx="19">
                  <c:v>0.92259350978918275</c:v>
                </c:pt>
                <c:pt idx="20">
                  <c:v>0.96961325996237235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89-4712-B381-B7ECA9EAEAAA}"/>
            </c:ext>
          </c:extLst>
        </c:ser>
        <c:ser>
          <c:idx val="1"/>
          <c:order val="1"/>
          <c:tx>
            <c:strRef>
              <c:f>'LCR-Glieder an Wechselspannung'!$G$103</c:f>
              <c:strCache>
                <c:ptCount val="1"/>
                <c:pt idx="0">
                  <c:v>Resonanzferequnz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Wechselspannung'!$G$104:$H$104</c:f>
              <c:numCache>
                <c:formatCode>General</c:formatCode>
                <c:ptCount val="2"/>
                <c:pt idx="0">
                  <c:v>1788.8543819998317</c:v>
                </c:pt>
                <c:pt idx="1">
                  <c:v>1788.8543819998317</c:v>
                </c:pt>
              </c:numCache>
            </c:numRef>
          </c:xVal>
          <c:yVal>
            <c:numRef>
              <c:f>'LCR-Glieder an Wechselspannung'!$G$105:$H$105</c:f>
              <c:numCache>
                <c:formatCode>General</c:formatCode>
                <c:ptCount val="2"/>
                <c:pt idx="0">
                  <c:v>0</c:v>
                </c:pt>
                <c:pt idx="1">
                  <c:v>6.3152782620950537E-3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389-4712-B381-B7ECA9EAEAAA}"/>
            </c:ext>
          </c:extLst>
        </c:ser>
        <c:ser>
          <c:idx val="2"/>
          <c:order val="2"/>
          <c:tx>
            <c:strRef>
              <c:f>'LCR-Glieder an Wechselspannung'!$G$108</c:f>
              <c:strCache>
                <c:ptCount val="1"/>
                <c:pt idx="0">
                  <c:v>Dämpfung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Wechselspannung'!$G$109:$H$109</c:f>
              <c:numCache>
                <c:formatCode>General</c:formatCode>
                <c:ptCount val="2"/>
                <c:pt idx="0">
                  <c:v>0</c:v>
                </c:pt>
                <c:pt idx="1">
                  <c:v>1788.8543819998317</c:v>
                </c:pt>
              </c:numCache>
            </c:numRef>
          </c:xVal>
          <c:yVal>
            <c:numRef>
              <c:f>'LCR-Glieder an Wechselspannung'!$G$110:$H$110</c:f>
              <c:numCache>
                <c:formatCode>General</c:formatCode>
                <c:ptCount val="2"/>
                <c:pt idx="0">
                  <c:v>6.3152782620950537E-3</c:v>
                </c:pt>
                <c:pt idx="1">
                  <c:v>6.3152782620950537E-3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389-4712-B381-B7ECA9EAEAAA}"/>
            </c:ext>
          </c:extLst>
        </c:ser>
        <c:ser>
          <c:idx val="3"/>
          <c:order val="3"/>
          <c:tx>
            <c:strRef>
              <c:f>'LCR-Glieder an Wechselspannung'!$G$113</c:f>
              <c:strCache>
                <c:ptCount val="1"/>
                <c:pt idx="0">
                  <c:v>Bandbreite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Wechselspannung'!$G$114:$H$114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Wechselspannung'!$G$115:$H$115</c:f>
              <c:numCache>
                <c:formatCode>General</c:formatCode>
                <c:ptCount val="2"/>
                <c:pt idx="0">
                  <c:v>0.5031576391310475</c:v>
                </c:pt>
                <c:pt idx="1">
                  <c:v>0.5031576391310475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79-491D-861E-1E59B679FDBC}"/>
            </c:ext>
          </c:extLst>
        </c:ser>
        <c:ser>
          <c:idx val="4"/>
          <c:order val="4"/>
          <c:tx>
            <c:strRef>
              <c:f>'LCR-Glieder an Wechselspannung'!$G$121</c:f>
              <c:strCache>
                <c:ptCount val="1"/>
                <c:pt idx="0">
                  <c:v>Untere Grenzfrequenz: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Wechselspannung'!$I$121:$J$121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Wechselspannung'!$I$122:$J$122</c:f>
              <c:numCache>
                <c:formatCode>General</c:formatCode>
                <c:ptCount val="2"/>
                <c:pt idx="0">
                  <c:v>1</c:v>
                </c:pt>
                <c:pt idx="1">
                  <c:v>0.5031576391310475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79-491D-861E-1E59B679FDBC}"/>
            </c:ext>
          </c:extLst>
        </c:ser>
        <c:ser>
          <c:idx val="5"/>
          <c:order val="5"/>
          <c:tx>
            <c:strRef>
              <c:f>'LCR-Glieder an Wechselspannung'!$G$124</c:f>
              <c:strCache>
                <c:ptCount val="1"/>
                <c:pt idx="0">
                  <c:v>Obere Grenzfrequenz: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Wechselspannung'!$I$124:$J$124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Wechselspannung'!$I$125:$J$125</c:f>
              <c:numCache>
                <c:formatCode>General</c:formatCode>
                <c:ptCount val="2"/>
                <c:pt idx="0">
                  <c:v>1</c:v>
                </c:pt>
                <c:pt idx="1">
                  <c:v>0.5031576391310475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79-491D-861E-1E59B679F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6293071"/>
        <c:axId val="16902383"/>
      </c:scatterChart>
      <c:valAx>
        <c:axId val="183629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902383"/>
        <c:crosses val="autoZero"/>
        <c:crossBetween val="midCat"/>
      </c:valAx>
      <c:valAx>
        <c:axId val="169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36293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Bandpassfilter</a:t>
            </a:r>
          </a:p>
        </c:rich>
      </c:tx>
      <c:layout>
        <c:manualLayout>
          <c:xMode val="edge"/>
          <c:yMode val="edge"/>
          <c:x val="0.42837297744350267"/>
          <c:y val="3.0461905705325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'LCR-Glieder an Wechselspannung'!$C$54</c:f>
              <c:strCache>
                <c:ptCount val="1"/>
                <c:pt idx="0">
                  <c:v>Bandpassfilter: UOut / UIn (Frequenzgang)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'LCR-Glieder an Wechselspannung'!$D$42:$X$42</c:f>
              <c:numCache>
                <c:formatCode>General</c:formatCode>
                <c:ptCount val="21"/>
                <c:pt idx="0">
                  <c:v>1</c:v>
                </c:pt>
                <c:pt idx="1">
                  <c:v>1.6</c:v>
                </c:pt>
                <c:pt idx="2">
                  <c:v>2.5600000000000005</c:v>
                </c:pt>
                <c:pt idx="3">
                  <c:v>4.096000000000001</c:v>
                </c:pt>
                <c:pt idx="4">
                  <c:v>6.5536000000000021</c:v>
                </c:pt>
                <c:pt idx="5">
                  <c:v>10.485760000000004</c:v>
                </c:pt>
                <c:pt idx="6">
                  <c:v>16.777216000000006</c:v>
                </c:pt>
                <c:pt idx="7">
                  <c:v>26.843545600000013</c:v>
                </c:pt>
                <c:pt idx="8">
                  <c:v>42.949672960000022</c:v>
                </c:pt>
                <c:pt idx="9">
                  <c:v>68.719476736000033</c:v>
                </c:pt>
                <c:pt idx="10">
                  <c:v>109.95116277760006</c:v>
                </c:pt>
                <c:pt idx="11">
                  <c:v>175.9218604441601</c:v>
                </c:pt>
                <c:pt idx="12">
                  <c:v>281.47497671065616</c:v>
                </c:pt>
                <c:pt idx="13">
                  <c:v>450.3599627370499</c:v>
                </c:pt>
                <c:pt idx="14">
                  <c:v>720.57594037927993</c:v>
                </c:pt>
                <c:pt idx="15">
                  <c:v>1152.921504606848</c:v>
                </c:pt>
                <c:pt idx="16">
                  <c:v>1844.6744073709569</c:v>
                </c:pt>
                <c:pt idx="17">
                  <c:v>2951.4790517935312</c:v>
                </c:pt>
                <c:pt idx="18">
                  <c:v>4722.3664828696501</c:v>
                </c:pt>
                <c:pt idx="19">
                  <c:v>7555.7863725914403</c:v>
                </c:pt>
                <c:pt idx="20">
                  <c:v>12089.258196146306</c:v>
                </c:pt>
              </c:numCache>
            </c:numRef>
          </c:xVal>
          <c:yVal>
            <c:numRef>
              <c:f>'LCR-Glieder an Wechselspannung'!$D$54:$X$54</c:f>
              <c:numCache>
                <c:formatCode>General</c:formatCode>
                <c:ptCount val="21"/>
                <c:pt idx="0">
                  <c:v>9.4159007096216135E-4</c:v>
                </c:pt>
                <c:pt idx="1">
                  <c:v>1.505692725205488E-3</c:v>
                </c:pt>
                <c:pt idx="2">
                  <c:v>2.4069308700883766E-3</c:v>
                </c:pt>
                <c:pt idx="3">
                  <c:v>3.8455234597763203E-3</c:v>
                </c:pt>
                <c:pt idx="4">
                  <c:v>6.1386232574683975E-3</c:v>
                </c:pt>
                <c:pt idx="5">
                  <c:v>9.7855495336413977E-3</c:v>
                </c:pt>
                <c:pt idx="6">
                  <c:v>1.5564659120680155E-2</c:v>
                </c:pt>
                <c:pt idx="7">
                  <c:v>2.4669701647728814E-2</c:v>
                </c:pt>
                <c:pt idx="8">
                  <c:v>3.8882529880424795E-2</c:v>
                </c:pt>
                <c:pt idx="9">
                  <c:v>6.074193952221326E-2</c:v>
                </c:pt>
                <c:pt idx="10">
                  <c:v>9.357264922711428E-2</c:v>
                </c:pt>
                <c:pt idx="11">
                  <c:v>0.14103922693144369</c:v>
                </c:pt>
                <c:pt idx="12">
                  <c:v>0.2055976231259409</c:v>
                </c:pt>
                <c:pt idx="13">
                  <c:v>0.28515347008642722</c:v>
                </c:pt>
                <c:pt idx="14">
                  <c:v>0.36846712379705771</c:v>
                </c:pt>
                <c:pt idx="15">
                  <c:v>0.43352969065622377</c:v>
                </c:pt>
                <c:pt idx="16">
                  <c:v>0.45592494999018479</c:v>
                </c:pt>
                <c:pt idx="17">
                  <c:v>0.42579607671609276</c:v>
                </c:pt>
                <c:pt idx="18">
                  <c:v>0.35623158305425623</c:v>
                </c:pt>
                <c:pt idx="19">
                  <c:v>0.27230187348499868</c:v>
                </c:pt>
                <c:pt idx="20">
                  <c:v>0.19459357199248026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EE-4FB1-9C58-BEF78F11365B}"/>
            </c:ext>
          </c:extLst>
        </c:ser>
        <c:ser>
          <c:idx val="1"/>
          <c:order val="1"/>
          <c:tx>
            <c:strRef>
              <c:f>'LCR-Glieder an Wechselspannung'!$L$103</c:f>
              <c:strCache>
                <c:ptCount val="1"/>
                <c:pt idx="0">
                  <c:v>Resonanzferequnz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Wechselspannung'!$L$104:$M$104</c:f>
              <c:numCache>
                <c:formatCode>General</c:formatCode>
                <c:ptCount val="2"/>
                <c:pt idx="0">
                  <c:v>1788.8543819998317</c:v>
                </c:pt>
                <c:pt idx="1">
                  <c:v>1788.8543819998317</c:v>
                </c:pt>
              </c:numCache>
            </c:numRef>
          </c:xVal>
          <c:yVal>
            <c:numRef>
              <c:f>'LCR-Glieder an Wechselspannung'!$L$105:$M$105</c:f>
              <c:numCache>
                <c:formatCode>General</c:formatCode>
                <c:ptCount val="2"/>
                <c:pt idx="0">
                  <c:v>0</c:v>
                </c:pt>
                <c:pt idx="1">
                  <c:v>0.45608586631552384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1EE-4FB1-9C58-BEF78F11365B}"/>
            </c:ext>
          </c:extLst>
        </c:ser>
        <c:ser>
          <c:idx val="2"/>
          <c:order val="2"/>
          <c:tx>
            <c:strRef>
              <c:f>'LCR-Glieder an Wechselspannung'!$L$108</c:f>
              <c:strCache>
                <c:ptCount val="1"/>
                <c:pt idx="0">
                  <c:v>Dämpfung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Wechselspannung'!$L$109:$M$109</c:f>
              <c:numCache>
                <c:formatCode>General</c:formatCode>
                <c:ptCount val="2"/>
                <c:pt idx="0">
                  <c:v>0</c:v>
                </c:pt>
                <c:pt idx="1">
                  <c:v>1788.8543819998317</c:v>
                </c:pt>
              </c:numCache>
            </c:numRef>
          </c:xVal>
          <c:yVal>
            <c:numRef>
              <c:f>'LCR-Glieder an Wechselspannung'!$L$110:$M$110</c:f>
              <c:numCache>
                <c:formatCode>General</c:formatCode>
                <c:ptCount val="2"/>
                <c:pt idx="0">
                  <c:v>0.45608586631552384</c:v>
                </c:pt>
                <c:pt idx="1">
                  <c:v>0.45608586631552384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1EE-4FB1-9C58-BEF78F11365B}"/>
            </c:ext>
          </c:extLst>
        </c:ser>
        <c:ser>
          <c:idx val="3"/>
          <c:order val="3"/>
          <c:tx>
            <c:strRef>
              <c:f>'LCR-Glieder an Wechselspannung'!$L$113</c:f>
              <c:strCache>
                <c:ptCount val="1"/>
                <c:pt idx="0">
                  <c:v>Bandbreite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Wechselspannung'!$L$114:$M$114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Wechselspannung'!$L$115:$M$115</c:f>
              <c:numCache>
                <c:formatCode>General</c:formatCode>
                <c:ptCount val="2"/>
                <c:pt idx="0">
                  <c:v>0.22804293315776192</c:v>
                </c:pt>
                <c:pt idx="1">
                  <c:v>0.22804293315776192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E5-48A8-B550-0AA33C5021AD}"/>
            </c:ext>
          </c:extLst>
        </c:ser>
        <c:ser>
          <c:idx val="4"/>
          <c:order val="4"/>
          <c:tx>
            <c:strRef>
              <c:f>'LCR-Glieder an Wechselspannung'!$L$121</c:f>
              <c:strCache>
                <c:ptCount val="1"/>
                <c:pt idx="0">
                  <c:v>Untere Grenzfrequenz: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Wechselspannung'!$N$121:$O$121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Wechselspannung'!$N$122:$O$122</c:f>
              <c:numCache>
                <c:formatCode>General</c:formatCode>
                <c:ptCount val="2"/>
                <c:pt idx="0">
                  <c:v>0</c:v>
                </c:pt>
                <c:pt idx="1">
                  <c:v>0.22804293315776192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DE5-48A8-B550-0AA33C5021AD}"/>
            </c:ext>
          </c:extLst>
        </c:ser>
        <c:ser>
          <c:idx val="5"/>
          <c:order val="5"/>
          <c:tx>
            <c:strRef>
              <c:f>'LCR-Glieder an Wechselspannung'!$L$124</c:f>
              <c:strCache>
                <c:ptCount val="1"/>
                <c:pt idx="0">
                  <c:v>Obere Grenzfrequenz: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'LCR-Glieder an Wechselspannung'!$N$124:$O$124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0.22804293315776192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DE5-48A8-B550-0AA33C502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8083359"/>
        <c:axId val="1567278799"/>
      </c:scatterChart>
      <c:valAx>
        <c:axId val="1658083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7278799"/>
        <c:crosses val="autoZero"/>
        <c:crossBetween val="midCat"/>
      </c:valAx>
      <c:valAx>
        <c:axId val="156727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5808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26.762058453207437</c:v>
                </c:pt>
                <c:pt idx="7">
                  <c:v>29.731579678024037</c:v>
                </c:pt>
                <c:pt idx="8">
                  <c:v>32.388824022104693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40.502157403635032</c:v>
                </c:pt>
                <c:pt idx="13">
                  <c:v>42.0267604357865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3.0578787139746315E-47</c:v>
                </c:pt>
                <c:pt idx="2">
                  <c:v>1.7001131326143899E-95</c:v>
                </c:pt>
                <c:pt idx="3">
                  <c:v>9.4522541083094524E-144</c:v>
                </c:pt>
                <c:pt idx="4">
                  <c:v>5.2552448430689352E-192</c:v>
                </c:pt>
                <c:pt idx="5">
                  <c:v>2.9218002440626845E-240</c:v>
                </c:pt>
                <c:pt idx="6">
                  <c:v>1.6244565041464168E-288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4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0.69459271066772132</c:v>
                </c:pt>
                <c:pt idx="2">
                  <c:v>1.3680805733026749</c:v>
                </c:pt>
                <c:pt idx="3">
                  <c:v>1.9999999999999998</c:v>
                </c:pt>
                <c:pt idx="4">
                  <c:v>2.571150438746157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3.7587704831436337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1.9999999999999998</c:v>
                </c:pt>
                <c:pt idx="16">
                  <c:v>1.3680805733026755</c:v>
                </c:pt>
                <c:pt idx="17">
                  <c:v>0.6945927106677211</c:v>
                </c:pt>
                <c:pt idx="18">
                  <c:v>4.90059381963448E-16</c:v>
                </c:pt>
                <c:pt idx="19">
                  <c:v>-0.69459271066772188</c:v>
                </c:pt>
                <c:pt idx="20">
                  <c:v>-1.3680805733026746</c:v>
                </c:pt>
                <c:pt idx="21">
                  <c:v>-2.0000000000000004</c:v>
                </c:pt>
                <c:pt idx="22">
                  <c:v>-2.571150438746157</c:v>
                </c:pt>
                <c:pt idx="23">
                  <c:v>-3.0641777724759116</c:v>
                </c:pt>
                <c:pt idx="24">
                  <c:v>-3.4641016151377535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-3.0641777724759125</c:v>
                </c:pt>
                <c:pt idx="32">
                  <c:v>-2.5711504387461583</c:v>
                </c:pt>
                <c:pt idx="33">
                  <c:v>-2.0000000000000018</c:v>
                </c:pt>
                <c:pt idx="34">
                  <c:v>-1.3680805733026744</c:v>
                </c:pt>
                <c:pt idx="35">
                  <c:v>-0.6945927106677251</c:v>
                </c:pt>
                <c:pt idx="36">
                  <c:v>-9.8011876392689601E-16</c:v>
                </c:pt>
                <c:pt idx="37">
                  <c:v>0.69459271066771966</c:v>
                </c:pt>
                <c:pt idx="38">
                  <c:v>1.3680805733026757</c:v>
                </c:pt>
                <c:pt idx="39">
                  <c:v>1.9999999999999971</c:v>
                </c:pt>
                <c:pt idx="40">
                  <c:v>2.5711504387461566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4 * cos(x - 90)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3.4641016151377548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1.9999999999999998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-4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-4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3.4641016151377548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302448950735642E-2"/>
          <c:y val="0.26364711491931803"/>
          <c:w val="0.58241476031355699"/>
          <c:h val="0.6846246536724615"/>
        </c:manualLayout>
      </c:layout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363.73066958946424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-209.99999999999997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363.73066958946424</c:v>
                </c:pt>
                <c:pt idx="1">
                  <c:v>265.68412645992248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-209.99999999999997</c:v>
                </c:pt>
                <c:pt idx="1">
                  <c:v>-323.52037429618917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265.68412645992248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-323.52037429618917</c:v>
                </c:pt>
                <c:pt idx="1">
                  <c:v>-323.50184357825708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65.684127318391234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-323.50184357825708</c:v>
                </c:pt>
                <c:pt idx="1">
                  <c:v>-223.50184357825708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4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8.8000000000000007</c:v>
                </c:pt>
                <c:pt idx="1">
                  <c:v>0</c:v>
                </c:pt>
                <c:pt idx="2">
                  <c:v>-8.8000000000000007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8.8000000000000007</c:v>
                </c:pt>
                <c:pt idx="2">
                  <c:v>0</c:v>
                </c:pt>
                <c:pt idx="3">
                  <c:v>-8.8000000000000007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8</c:v>
                </c:pt>
                <c:pt idx="1">
                  <c:v>7.1838693134299447</c:v>
                </c:pt>
                <c:pt idx="2">
                  <c:v>6.1494603929845937</c:v>
                </c:pt>
                <c:pt idx="3">
                  <c:v>4.9282032302755123</c:v>
                </c:pt>
                <c:pt idx="4">
                  <c:v>3.5572051062056684</c:v>
                </c:pt>
                <c:pt idx="5">
                  <c:v>2.078123105016406</c:v>
                </c:pt>
                <c:pt idx="6">
                  <c:v>0.53589838486225039</c:v>
                </c:pt>
                <c:pt idx="7">
                  <c:v>-1.0226093365382809</c:v>
                </c:pt>
                <c:pt idx="8">
                  <c:v>-2.5500455907133888</c:v>
                </c:pt>
                <c:pt idx="9">
                  <c:v>-3.9999999999999973</c:v>
                </c:pt>
                <c:pt idx="10">
                  <c:v>-5.3284164333842723</c:v>
                </c:pt>
                <c:pt idx="11">
                  <c:v>-6.4949316297489803</c:v>
                </c:pt>
                <c:pt idx="12">
                  <c:v>-7.4641016151377508</c:v>
                </c:pt>
                <c:pt idx="13">
                  <c:v>-8.2064786499682256</c:v>
                </c:pt>
                <c:pt idx="14">
                  <c:v>-8.699505983697982</c:v>
                </c:pt>
                <c:pt idx="15">
                  <c:v>-8.9282032302755088</c:v>
                </c:pt>
                <c:pt idx="16">
                  <c:v>-8.8856215395899429</c:v>
                </c:pt>
                <c:pt idx="17">
                  <c:v>-8.5730547347653872</c:v>
                </c:pt>
                <c:pt idx="18">
                  <c:v>-8.0000000000000018</c:v>
                </c:pt>
                <c:pt idx="19">
                  <c:v>-7.1838693134299465</c:v>
                </c:pt>
                <c:pt idx="20">
                  <c:v>-6.1494603929845972</c:v>
                </c:pt>
                <c:pt idx="21">
                  <c:v>-4.9282032302755105</c:v>
                </c:pt>
                <c:pt idx="22">
                  <c:v>-3.5572051062056698</c:v>
                </c:pt>
                <c:pt idx="23">
                  <c:v>-2.0781231050164068</c:v>
                </c:pt>
                <c:pt idx="24">
                  <c:v>-0.53589838486225172</c:v>
                </c:pt>
                <c:pt idx="25">
                  <c:v>1.0226093365382756</c:v>
                </c:pt>
                <c:pt idx="26">
                  <c:v>2.5500455907133879</c:v>
                </c:pt>
                <c:pt idx="27">
                  <c:v>3.9999999999999964</c:v>
                </c:pt>
                <c:pt idx="28">
                  <c:v>5.3284164333842714</c:v>
                </c:pt>
                <c:pt idx="29">
                  <c:v>6.4949316297489785</c:v>
                </c:pt>
                <c:pt idx="30">
                  <c:v>7.4641016151377544</c:v>
                </c:pt>
                <c:pt idx="31">
                  <c:v>8.2064786499682256</c:v>
                </c:pt>
                <c:pt idx="32">
                  <c:v>8.6995059836979802</c:v>
                </c:pt>
                <c:pt idx="33">
                  <c:v>8.928203230275507</c:v>
                </c:pt>
                <c:pt idx="34">
                  <c:v>8.8856215395899429</c:v>
                </c:pt>
                <c:pt idx="35">
                  <c:v>8.5730547347653854</c:v>
                </c:pt>
                <c:pt idx="36">
                  <c:v>8.0000000000000036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hyperlink" Target="#TOC!A1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8.xml"/><Relationship Id="rId21" Type="http://schemas.openxmlformats.org/officeDocument/2006/relationships/customXml" Target="../ink/ink10.xml"/><Relationship Id="rId42" Type="http://schemas.openxmlformats.org/officeDocument/2006/relationships/image" Target="../media/image23.png"/><Relationship Id="rId63" Type="http://schemas.openxmlformats.org/officeDocument/2006/relationships/customXml" Target="../ink/ink31.xml"/><Relationship Id="rId84" Type="http://schemas.openxmlformats.org/officeDocument/2006/relationships/image" Target="../media/image44.png"/><Relationship Id="rId138" Type="http://schemas.openxmlformats.org/officeDocument/2006/relationships/image" Target="../media/image71.png"/><Relationship Id="rId159" Type="http://schemas.openxmlformats.org/officeDocument/2006/relationships/image" Target="../media/image81.png"/><Relationship Id="rId107" Type="http://schemas.openxmlformats.org/officeDocument/2006/relationships/customXml" Target="../ink/ink53.xml"/><Relationship Id="rId11" Type="http://schemas.openxmlformats.org/officeDocument/2006/relationships/customXml" Target="../ink/ink5.xml"/><Relationship Id="rId32" Type="http://schemas.openxmlformats.org/officeDocument/2006/relationships/image" Target="../media/image18.png"/><Relationship Id="rId53" Type="http://schemas.openxmlformats.org/officeDocument/2006/relationships/customXml" Target="../ink/ink26.xml"/><Relationship Id="rId74" Type="http://schemas.openxmlformats.org/officeDocument/2006/relationships/image" Target="../media/image39.png"/><Relationship Id="rId128" Type="http://schemas.openxmlformats.org/officeDocument/2006/relationships/image" Target="../media/image66.png"/><Relationship Id="rId149" Type="http://schemas.openxmlformats.org/officeDocument/2006/relationships/customXml" Target="../ink/ink74.xml"/><Relationship Id="rId5" Type="http://schemas.openxmlformats.org/officeDocument/2006/relationships/image" Target="../media/image9.png"/><Relationship Id="rId95" Type="http://schemas.openxmlformats.org/officeDocument/2006/relationships/customXml" Target="../ink/ink47.xml"/><Relationship Id="rId160" Type="http://schemas.openxmlformats.org/officeDocument/2006/relationships/image" Target="../media/image82.png"/><Relationship Id="rId22" Type="http://schemas.openxmlformats.org/officeDocument/2006/relationships/image" Target="../media/image13.png"/><Relationship Id="rId43" Type="http://schemas.openxmlformats.org/officeDocument/2006/relationships/customXml" Target="../ink/ink21.xml"/><Relationship Id="rId64" Type="http://schemas.openxmlformats.org/officeDocument/2006/relationships/image" Target="../media/image34.png"/><Relationship Id="rId118" Type="http://schemas.openxmlformats.org/officeDocument/2006/relationships/image" Target="../media/image61.png"/><Relationship Id="rId139" Type="http://schemas.openxmlformats.org/officeDocument/2006/relationships/customXml" Target="../ink/ink69.xml"/><Relationship Id="rId85" Type="http://schemas.openxmlformats.org/officeDocument/2006/relationships/customXml" Target="../ink/ink42.xml"/><Relationship Id="rId150" Type="http://schemas.openxmlformats.org/officeDocument/2006/relationships/image" Target="../media/image77.png"/><Relationship Id="rId12" Type="http://schemas.openxmlformats.org/officeDocument/2006/relationships/image" Target="../media/image810.png"/><Relationship Id="rId17" Type="http://schemas.openxmlformats.org/officeDocument/2006/relationships/customXml" Target="../ink/ink8.xml"/><Relationship Id="rId33" Type="http://schemas.openxmlformats.org/officeDocument/2006/relationships/customXml" Target="../ink/ink16.xml"/><Relationship Id="rId38" Type="http://schemas.openxmlformats.org/officeDocument/2006/relationships/image" Target="../media/image21.png"/><Relationship Id="rId59" Type="http://schemas.openxmlformats.org/officeDocument/2006/relationships/customXml" Target="../ink/ink29.xml"/><Relationship Id="rId103" Type="http://schemas.openxmlformats.org/officeDocument/2006/relationships/customXml" Target="../ink/ink51.xml"/><Relationship Id="rId108" Type="http://schemas.openxmlformats.org/officeDocument/2006/relationships/image" Target="../media/image56.png"/><Relationship Id="rId124" Type="http://schemas.openxmlformats.org/officeDocument/2006/relationships/image" Target="../media/image64.png"/><Relationship Id="rId129" Type="http://schemas.openxmlformats.org/officeDocument/2006/relationships/customXml" Target="../ink/ink64.xml"/><Relationship Id="rId54" Type="http://schemas.openxmlformats.org/officeDocument/2006/relationships/image" Target="../media/image29.png"/><Relationship Id="rId70" Type="http://schemas.openxmlformats.org/officeDocument/2006/relationships/image" Target="../media/image37.png"/><Relationship Id="rId75" Type="http://schemas.openxmlformats.org/officeDocument/2006/relationships/customXml" Target="../ink/ink37.xml"/><Relationship Id="rId91" Type="http://schemas.openxmlformats.org/officeDocument/2006/relationships/customXml" Target="../ink/ink45.xml"/><Relationship Id="rId96" Type="http://schemas.openxmlformats.org/officeDocument/2006/relationships/image" Target="../media/image50.png"/><Relationship Id="rId140" Type="http://schemas.openxmlformats.org/officeDocument/2006/relationships/image" Target="../media/image72.png"/><Relationship Id="rId145" Type="http://schemas.openxmlformats.org/officeDocument/2006/relationships/customXml" Target="../ink/ink72.xml"/><Relationship Id="rId161" Type="http://schemas.openxmlformats.org/officeDocument/2006/relationships/chart" Target="../charts/chart9.xml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23" Type="http://schemas.openxmlformats.org/officeDocument/2006/relationships/customXml" Target="../ink/ink11.xml"/><Relationship Id="rId28" Type="http://schemas.openxmlformats.org/officeDocument/2006/relationships/image" Target="../media/image16.png"/><Relationship Id="rId49" Type="http://schemas.openxmlformats.org/officeDocument/2006/relationships/customXml" Target="../ink/ink24.xml"/><Relationship Id="rId114" Type="http://schemas.openxmlformats.org/officeDocument/2006/relationships/image" Target="../media/image59.png"/><Relationship Id="rId119" Type="http://schemas.openxmlformats.org/officeDocument/2006/relationships/customXml" Target="../ink/ink59.xml"/><Relationship Id="rId44" Type="http://schemas.openxmlformats.org/officeDocument/2006/relationships/image" Target="../media/image24.png"/><Relationship Id="rId60" Type="http://schemas.openxmlformats.org/officeDocument/2006/relationships/image" Target="../media/image32.png"/><Relationship Id="rId65" Type="http://schemas.openxmlformats.org/officeDocument/2006/relationships/customXml" Target="../ink/ink32.xml"/><Relationship Id="rId81" Type="http://schemas.openxmlformats.org/officeDocument/2006/relationships/customXml" Target="../ink/ink40.xml"/><Relationship Id="rId86" Type="http://schemas.openxmlformats.org/officeDocument/2006/relationships/image" Target="../media/image45.png"/><Relationship Id="rId130" Type="http://schemas.openxmlformats.org/officeDocument/2006/relationships/image" Target="../media/image67.png"/><Relationship Id="rId135" Type="http://schemas.openxmlformats.org/officeDocument/2006/relationships/customXml" Target="../ink/ink67.xml"/><Relationship Id="rId151" Type="http://schemas.openxmlformats.org/officeDocument/2006/relationships/customXml" Target="../ink/ink75.xml"/><Relationship Id="rId156" Type="http://schemas.openxmlformats.org/officeDocument/2006/relationships/chart" Target="../charts/chart8.xml"/><Relationship Id="rId13" Type="http://schemas.openxmlformats.org/officeDocument/2006/relationships/customXml" Target="../ink/ink6.xml"/><Relationship Id="rId18" Type="http://schemas.openxmlformats.org/officeDocument/2006/relationships/image" Target="../media/image11.png"/><Relationship Id="rId39" Type="http://schemas.openxmlformats.org/officeDocument/2006/relationships/customXml" Target="../ink/ink19.xml"/><Relationship Id="rId109" Type="http://schemas.openxmlformats.org/officeDocument/2006/relationships/customXml" Target="../ink/ink54.xml"/><Relationship Id="rId34" Type="http://schemas.openxmlformats.org/officeDocument/2006/relationships/image" Target="../media/image19.png"/><Relationship Id="rId50" Type="http://schemas.openxmlformats.org/officeDocument/2006/relationships/image" Target="../media/image27.png"/><Relationship Id="rId55" Type="http://schemas.openxmlformats.org/officeDocument/2006/relationships/customXml" Target="../ink/ink27.xml"/><Relationship Id="rId76" Type="http://schemas.openxmlformats.org/officeDocument/2006/relationships/image" Target="../media/image40.png"/><Relationship Id="rId97" Type="http://schemas.openxmlformats.org/officeDocument/2006/relationships/customXml" Target="../ink/ink48.xml"/><Relationship Id="rId104" Type="http://schemas.openxmlformats.org/officeDocument/2006/relationships/image" Target="../media/image54.png"/><Relationship Id="rId120" Type="http://schemas.openxmlformats.org/officeDocument/2006/relationships/image" Target="../media/image62.png"/><Relationship Id="rId125" Type="http://schemas.openxmlformats.org/officeDocument/2006/relationships/customXml" Target="../ink/ink62.xml"/><Relationship Id="rId141" Type="http://schemas.openxmlformats.org/officeDocument/2006/relationships/customXml" Target="../ink/ink70.xml"/><Relationship Id="rId146" Type="http://schemas.openxmlformats.org/officeDocument/2006/relationships/image" Target="../media/image75.png"/><Relationship Id="rId7" Type="http://schemas.openxmlformats.org/officeDocument/2006/relationships/image" Target="../media/image10.png"/><Relationship Id="rId71" Type="http://schemas.openxmlformats.org/officeDocument/2006/relationships/customXml" Target="../ink/ink35.xml"/><Relationship Id="rId92" Type="http://schemas.openxmlformats.org/officeDocument/2006/relationships/image" Target="../media/image48.png"/><Relationship Id="rId162" Type="http://schemas.openxmlformats.org/officeDocument/2006/relationships/chart" Target="../charts/chart10.xml"/><Relationship Id="rId2" Type="http://schemas.openxmlformats.org/officeDocument/2006/relationships/image" Target="../media/image7.png"/><Relationship Id="rId29" Type="http://schemas.openxmlformats.org/officeDocument/2006/relationships/customXml" Target="../ink/ink14.xml"/><Relationship Id="rId24" Type="http://schemas.openxmlformats.org/officeDocument/2006/relationships/image" Target="../media/image14.png"/><Relationship Id="rId40" Type="http://schemas.openxmlformats.org/officeDocument/2006/relationships/image" Target="../media/image22.png"/><Relationship Id="rId45" Type="http://schemas.openxmlformats.org/officeDocument/2006/relationships/customXml" Target="../ink/ink22.xml"/><Relationship Id="rId66" Type="http://schemas.openxmlformats.org/officeDocument/2006/relationships/image" Target="../media/image35.png"/><Relationship Id="rId87" Type="http://schemas.openxmlformats.org/officeDocument/2006/relationships/customXml" Target="../ink/ink43.xml"/><Relationship Id="rId110" Type="http://schemas.openxmlformats.org/officeDocument/2006/relationships/image" Target="../media/image57.png"/><Relationship Id="rId115" Type="http://schemas.openxmlformats.org/officeDocument/2006/relationships/customXml" Target="../ink/ink57.xml"/><Relationship Id="rId131" Type="http://schemas.openxmlformats.org/officeDocument/2006/relationships/customXml" Target="../ink/ink65.xml"/><Relationship Id="rId136" Type="http://schemas.openxmlformats.org/officeDocument/2006/relationships/image" Target="../media/image70.png"/><Relationship Id="rId157" Type="http://schemas.openxmlformats.org/officeDocument/2006/relationships/image" Target="../media/image79.png"/><Relationship Id="rId61" Type="http://schemas.openxmlformats.org/officeDocument/2006/relationships/customXml" Target="../ink/ink30.xml"/><Relationship Id="rId82" Type="http://schemas.openxmlformats.org/officeDocument/2006/relationships/image" Target="../media/image43.png"/><Relationship Id="rId152" Type="http://schemas.openxmlformats.org/officeDocument/2006/relationships/image" Target="../media/image78.png"/><Relationship Id="rId19" Type="http://schemas.openxmlformats.org/officeDocument/2006/relationships/customXml" Target="../ink/ink9.xml"/><Relationship Id="rId14" Type="http://schemas.openxmlformats.org/officeDocument/2006/relationships/image" Target="../media/image99.png"/><Relationship Id="rId30" Type="http://schemas.openxmlformats.org/officeDocument/2006/relationships/image" Target="../media/image17.png"/><Relationship Id="rId35" Type="http://schemas.openxmlformats.org/officeDocument/2006/relationships/customXml" Target="../ink/ink17.xml"/><Relationship Id="rId56" Type="http://schemas.openxmlformats.org/officeDocument/2006/relationships/image" Target="../media/image30.png"/><Relationship Id="rId77" Type="http://schemas.openxmlformats.org/officeDocument/2006/relationships/customXml" Target="../ink/ink38.xml"/><Relationship Id="rId100" Type="http://schemas.openxmlformats.org/officeDocument/2006/relationships/image" Target="../media/image52.png"/><Relationship Id="rId105" Type="http://schemas.openxmlformats.org/officeDocument/2006/relationships/customXml" Target="../ink/ink52.xml"/><Relationship Id="rId126" Type="http://schemas.openxmlformats.org/officeDocument/2006/relationships/image" Target="../media/image65.png"/><Relationship Id="rId147" Type="http://schemas.openxmlformats.org/officeDocument/2006/relationships/customXml" Target="../ink/ink73.xml"/><Relationship Id="rId8" Type="http://schemas.openxmlformats.org/officeDocument/2006/relationships/chart" Target="../charts/chart4.xml"/><Relationship Id="rId51" Type="http://schemas.openxmlformats.org/officeDocument/2006/relationships/customXml" Target="../ink/ink25.xml"/><Relationship Id="rId72" Type="http://schemas.openxmlformats.org/officeDocument/2006/relationships/image" Target="../media/image38.png"/><Relationship Id="rId93" Type="http://schemas.openxmlformats.org/officeDocument/2006/relationships/customXml" Target="../ink/ink46.xml"/><Relationship Id="rId98" Type="http://schemas.openxmlformats.org/officeDocument/2006/relationships/image" Target="../media/image51.png"/><Relationship Id="rId121" Type="http://schemas.openxmlformats.org/officeDocument/2006/relationships/customXml" Target="../ink/ink60.xml"/><Relationship Id="rId142" Type="http://schemas.openxmlformats.org/officeDocument/2006/relationships/image" Target="../media/image73.png"/><Relationship Id="rId163" Type="http://schemas.openxmlformats.org/officeDocument/2006/relationships/image" Target="../media/image83.png"/><Relationship Id="rId3" Type="http://schemas.openxmlformats.org/officeDocument/2006/relationships/image" Target="../media/image8.png"/><Relationship Id="rId25" Type="http://schemas.openxmlformats.org/officeDocument/2006/relationships/customXml" Target="../ink/ink12.xml"/><Relationship Id="rId46" Type="http://schemas.openxmlformats.org/officeDocument/2006/relationships/image" Target="../media/image25.png"/><Relationship Id="rId67" Type="http://schemas.openxmlformats.org/officeDocument/2006/relationships/customXml" Target="../ink/ink33.xml"/><Relationship Id="rId116" Type="http://schemas.openxmlformats.org/officeDocument/2006/relationships/image" Target="../media/image60.png"/><Relationship Id="rId137" Type="http://schemas.openxmlformats.org/officeDocument/2006/relationships/customXml" Target="../ink/ink68.xml"/><Relationship Id="rId158" Type="http://schemas.openxmlformats.org/officeDocument/2006/relationships/image" Target="../media/image80.png"/><Relationship Id="rId20" Type="http://schemas.openxmlformats.org/officeDocument/2006/relationships/image" Target="../media/image12.png"/><Relationship Id="rId41" Type="http://schemas.openxmlformats.org/officeDocument/2006/relationships/customXml" Target="../ink/ink20.xml"/><Relationship Id="rId62" Type="http://schemas.openxmlformats.org/officeDocument/2006/relationships/image" Target="../media/image33.png"/><Relationship Id="rId83" Type="http://schemas.openxmlformats.org/officeDocument/2006/relationships/customXml" Target="../ink/ink41.xml"/><Relationship Id="rId88" Type="http://schemas.openxmlformats.org/officeDocument/2006/relationships/image" Target="../media/image46.png"/><Relationship Id="rId111" Type="http://schemas.openxmlformats.org/officeDocument/2006/relationships/customXml" Target="../ink/ink55.xml"/><Relationship Id="rId132" Type="http://schemas.openxmlformats.org/officeDocument/2006/relationships/image" Target="../media/image68.png"/><Relationship Id="rId153" Type="http://schemas.openxmlformats.org/officeDocument/2006/relationships/chart" Target="../charts/chart5.xml"/><Relationship Id="rId15" Type="http://schemas.openxmlformats.org/officeDocument/2006/relationships/customXml" Target="../ink/ink7.xml"/><Relationship Id="rId36" Type="http://schemas.openxmlformats.org/officeDocument/2006/relationships/image" Target="../media/image20.png"/><Relationship Id="rId57" Type="http://schemas.openxmlformats.org/officeDocument/2006/relationships/customXml" Target="../ink/ink28.xml"/><Relationship Id="rId106" Type="http://schemas.openxmlformats.org/officeDocument/2006/relationships/image" Target="../media/image55.png"/><Relationship Id="rId127" Type="http://schemas.openxmlformats.org/officeDocument/2006/relationships/customXml" Target="../ink/ink63.xml"/><Relationship Id="rId10" Type="http://schemas.openxmlformats.org/officeDocument/2006/relationships/image" Target="../media/image710.png"/><Relationship Id="rId31" Type="http://schemas.openxmlformats.org/officeDocument/2006/relationships/customXml" Target="../ink/ink15.xml"/><Relationship Id="rId52" Type="http://schemas.openxmlformats.org/officeDocument/2006/relationships/image" Target="../media/image28.png"/><Relationship Id="rId73" Type="http://schemas.openxmlformats.org/officeDocument/2006/relationships/customXml" Target="../ink/ink36.xml"/><Relationship Id="rId78" Type="http://schemas.openxmlformats.org/officeDocument/2006/relationships/image" Target="../media/image41.png"/><Relationship Id="rId94" Type="http://schemas.openxmlformats.org/officeDocument/2006/relationships/image" Target="../media/image49.png"/><Relationship Id="rId99" Type="http://schemas.openxmlformats.org/officeDocument/2006/relationships/customXml" Target="../ink/ink49.xml"/><Relationship Id="rId101" Type="http://schemas.openxmlformats.org/officeDocument/2006/relationships/customXml" Target="../ink/ink50.xml"/><Relationship Id="rId122" Type="http://schemas.openxmlformats.org/officeDocument/2006/relationships/image" Target="../media/image63.png"/><Relationship Id="rId143" Type="http://schemas.openxmlformats.org/officeDocument/2006/relationships/customXml" Target="../ink/ink71.xml"/><Relationship Id="rId148" Type="http://schemas.openxmlformats.org/officeDocument/2006/relationships/image" Target="../media/image76.png"/><Relationship Id="rId164" Type="http://schemas.openxmlformats.org/officeDocument/2006/relationships/image" Target="../media/image84.png"/><Relationship Id="rId4" Type="http://schemas.openxmlformats.org/officeDocument/2006/relationships/chart" Target="../charts/chart2.xml"/><Relationship Id="rId9" Type="http://schemas.openxmlformats.org/officeDocument/2006/relationships/customXml" Target="../ink/ink4.xml"/><Relationship Id="rId26" Type="http://schemas.openxmlformats.org/officeDocument/2006/relationships/image" Target="../media/image15.png"/><Relationship Id="rId47" Type="http://schemas.openxmlformats.org/officeDocument/2006/relationships/customXml" Target="../ink/ink23.xml"/><Relationship Id="rId68" Type="http://schemas.openxmlformats.org/officeDocument/2006/relationships/image" Target="../media/image36.png"/><Relationship Id="rId89" Type="http://schemas.openxmlformats.org/officeDocument/2006/relationships/customXml" Target="../ink/ink44.xml"/><Relationship Id="rId112" Type="http://schemas.openxmlformats.org/officeDocument/2006/relationships/image" Target="../media/image58.png"/><Relationship Id="rId133" Type="http://schemas.openxmlformats.org/officeDocument/2006/relationships/customXml" Target="../ink/ink66.xml"/><Relationship Id="rId154" Type="http://schemas.openxmlformats.org/officeDocument/2006/relationships/chart" Target="../charts/chart6.xml"/><Relationship Id="rId16" Type="http://schemas.openxmlformats.org/officeDocument/2006/relationships/image" Target="../media/image100.png"/><Relationship Id="rId37" Type="http://schemas.openxmlformats.org/officeDocument/2006/relationships/customXml" Target="../ink/ink18.xml"/><Relationship Id="rId58" Type="http://schemas.openxmlformats.org/officeDocument/2006/relationships/image" Target="../media/image31.png"/><Relationship Id="rId79" Type="http://schemas.openxmlformats.org/officeDocument/2006/relationships/customXml" Target="../ink/ink39.xml"/><Relationship Id="rId102" Type="http://schemas.openxmlformats.org/officeDocument/2006/relationships/image" Target="../media/image53.png"/><Relationship Id="rId123" Type="http://schemas.openxmlformats.org/officeDocument/2006/relationships/customXml" Target="../ink/ink61.xml"/><Relationship Id="rId144" Type="http://schemas.openxmlformats.org/officeDocument/2006/relationships/image" Target="../media/image74.png"/><Relationship Id="rId90" Type="http://schemas.openxmlformats.org/officeDocument/2006/relationships/image" Target="../media/image47.png"/><Relationship Id="rId27" Type="http://schemas.openxmlformats.org/officeDocument/2006/relationships/customXml" Target="../ink/ink13.xml"/><Relationship Id="rId48" Type="http://schemas.openxmlformats.org/officeDocument/2006/relationships/image" Target="../media/image26.png"/><Relationship Id="rId69" Type="http://schemas.openxmlformats.org/officeDocument/2006/relationships/customXml" Target="../ink/ink34.xml"/><Relationship Id="rId113" Type="http://schemas.openxmlformats.org/officeDocument/2006/relationships/customXml" Target="../ink/ink56.xml"/><Relationship Id="rId134" Type="http://schemas.openxmlformats.org/officeDocument/2006/relationships/image" Target="../media/image69.png"/><Relationship Id="rId80" Type="http://schemas.openxmlformats.org/officeDocument/2006/relationships/image" Target="../media/image42.png"/><Relationship Id="rId155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hyperlink" Target="#TOC!A1"/><Relationship Id="rId4" Type="http://schemas.openxmlformats.org/officeDocument/2006/relationships/chart" Target="../charts/chart13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Relationship Id="rId4" Type="http://schemas.openxmlformats.org/officeDocument/2006/relationships/chart" Target="../charts/chart20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85.png"/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4" Type="http://schemas.openxmlformats.org/officeDocument/2006/relationships/chart" Target="../charts/chart30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4" Type="http://schemas.openxmlformats.org/officeDocument/2006/relationships/chart" Target="../charts/chart35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6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6.png"/><Relationship Id="rId2" Type="http://schemas.openxmlformats.org/officeDocument/2006/relationships/chart" Target="../charts/chart37.xml"/><Relationship Id="rId1" Type="http://schemas.openxmlformats.org/officeDocument/2006/relationships/hyperlink" Target="#TOC!A1"/><Relationship Id="rId5" Type="http://schemas.openxmlformats.org/officeDocument/2006/relationships/image" Target="../media/image88.png"/><Relationship Id="rId4" Type="http://schemas.openxmlformats.org/officeDocument/2006/relationships/image" Target="../media/image87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hyperlink" Target="#TOC!A1"/><Relationship Id="rId5" Type="http://schemas.openxmlformats.org/officeDocument/2006/relationships/chart" Target="../charts/chart40.xml"/><Relationship Id="rId4" Type="http://schemas.openxmlformats.org/officeDocument/2006/relationships/image" Target="../media/image89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image" Target="../media/image96.png"/><Relationship Id="rId3" Type="http://schemas.openxmlformats.org/officeDocument/2006/relationships/image" Target="../media/image91.png"/><Relationship Id="rId7" Type="http://schemas.openxmlformats.org/officeDocument/2006/relationships/image" Target="../media/image95.png"/><Relationship Id="rId2" Type="http://schemas.openxmlformats.org/officeDocument/2006/relationships/image" Target="../media/image90.png"/><Relationship Id="rId1" Type="http://schemas.openxmlformats.org/officeDocument/2006/relationships/hyperlink" Target="#TOC!A1"/><Relationship Id="rId6" Type="http://schemas.openxmlformats.org/officeDocument/2006/relationships/image" Target="../media/image94.png"/><Relationship Id="rId5" Type="http://schemas.openxmlformats.org/officeDocument/2006/relationships/image" Target="../media/image93.png"/><Relationship Id="rId4" Type="http://schemas.openxmlformats.org/officeDocument/2006/relationships/image" Target="../media/image92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8.png"/><Relationship Id="rId2" Type="http://schemas.openxmlformats.org/officeDocument/2006/relationships/image" Target="../media/image97.png"/><Relationship Id="rId1" Type="http://schemas.openxmlformats.org/officeDocument/2006/relationships/hyperlink" Target="#TOC!A1"/><Relationship Id="rId4" Type="http://schemas.openxmlformats.org/officeDocument/2006/relationships/chart" Target="../charts/chart4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239877</xdr:colOff>
      <xdr:row>39</xdr:row>
      <xdr:rowOff>209550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EBF133FE-860D-4D28-B08E-6CED0F28F119}"/>
            </a:ext>
          </a:extLst>
        </xdr:cNvPr>
        <xdr:cNvGrpSpPr/>
      </xdr:nvGrpSpPr>
      <xdr:grpSpPr>
        <a:xfrm>
          <a:off x="9693286" y="9951793"/>
          <a:ext cx="452591" cy="516438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DF3BEF80-F1B3-DFD6-A723-505B8F967B7D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7C71A7B-A51A-E75C-EF31-E32C24299608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E9590CEF-4970-F734-D0BC-2685B40E2FC6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0974423-1BE8-8189-E587-1AFA6C006CB0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A79048F7-337A-4674-A6C1-F9C09DF2FA02}"/>
            </a:ext>
          </a:extLst>
        </xdr:cNvPr>
        <xdr:cNvGrpSpPr/>
      </xdr:nvGrpSpPr>
      <xdr:grpSpPr>
        <a:xfrm>
          <a:off x="10264771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ED231C22-1BCF-D7DA-D9F4-AC20BDEABDA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B99E180E-5CBD-BCB3-A726-B6155E4C2993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9C52A77B-9473-ADEE-7034-70AE487339C1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B168DC5-E72A-039F-8EED-B4BB736DC50F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B4FC2871-D2E3-48D0-BD58-25E259A697C7}"/>
            </a:ext>
          </a:extLst>
        </xdr:cNvPr>
        <xdr:cNvGrpSpPr/>
      </xdr:nvGrpSpPr>
      <xdr:grpSpPr>
        <a:xfrm>
          <a:off x="9315450" y="4530643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FF4EF893-0937-9B4B-E98F-7C2674F86B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A8063904-EE42-D2A4-629C-303FEA385E5E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A9470E4A-F282-3E7B-1D99-F56746FB9004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DDA33CF5-86BE-DFC4-1FC8-9145AF0E2ECB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D4B0B1A-CD6E-44B0-9E83-A07CBCFF65F9}"/>
            </a:ext>
          </a:extLst>
        </xdr:cNvPr>
        <xdr:cNvGrpSpPr/>
      </xdr:nvGrpSpPr>
      <xdr:grpSpPr>
        <a:xfrm>
          <a:off x="7391400" y="4511821"/>
          <a:ext cx="455766" cy="10577977"/>
          <a:chOff x="8934450" y="1116547"/>
          <a:chExt cx="455766" cy="4229676"/>
        </a:xfrm>
      </xdr:grpSpPr>
      <xdr:cxnSp macro="">
        <xdr:nvCxnSpPr>
          <xdr:cNvPr id="18" name="Gerader Verbinder 17">
            <a:extLst>
              <a:ext uri="{FF2B5EF4-FFF2-40B4-BE49-F238E27FC236}">
                <a16:creationId xmlns:a16="http://schemas.microsoft.com/office/drawing/2014/main" id="{B484F7FD-7F94-1366-C86D-054741EC4E02}"/>
              </a:ext>
            </a:extLst>
          </xdr:cNvPr>
          <xdr:cNvCxnSpPr>
            <a:endCxn id="21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37267849-3548-8918-009F-7E90E6A230BF}"/>
              </a:ext>
            </a:extLst>
          </xdr:cNvPr>
          <xdr:cNvCxnSpPr>
            <a:stCxn id="21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5A9BCF20-6C9F-D51B-CBF1-DD6CB0753F42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21" name="Rechteck 20">
            <a:extLst>
              <a:ext uri="{FF2B5EF4-FFF2-40B4-BE49-F238E27FC236}">
                <a16:creationId xmlns:a16="http://schemas.microsoft.com/office/drawing/2014/main" id="{65E38AFC-01A5-3151-D3D7-0788E58FB105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D3BC1670-F130-410A-8705-9C058D10F9B4}"/>
            </a:ext>
          </a:extLst>
        </xdr:cNvPr>
        <xdr:cNvGrpSpPr/>
      </xdr:nvGrpSpPr>
      <xdr:grpSpPr>
        <a:xfrm>
          <a:off x="8162925" y="4506913"/>
          <a:ext cx="455766" cy="10571161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A0CE0D65-2514-3D1D-91EB-C6EA91430D1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E4C68AC6-8FFB-D804-84E6-AAC2E1E868A6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4DAA4EB0-59AA-D227-7D41-18DBB07CB7B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24474B3E-637F-DA41-2CB5-00AC44CBB0DC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166D7CA3-1827-4129-8023-9F0D9DE69DAD}"/>
            </a:ext>
          </a:extLst>
        </xdr:cNvPr>
        <xdr:cNvGrpSpPr/>
      </xdr:nvGrpSpPr>
      <xdr:grpSpPr>
        <a:xfrm>
          <a:off x="8181987" y="926646"/>
          <a:ext cx="455766" cy="3583440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FEFA0A52-0163-B4D4-7DDE-706A06B91F85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2A749B65-6E64-ADCD-6048-2B458B60A604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5CC50D19-CFDA-3699-57E9-9944A56CDB61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C73B8AC4-C30B-3167-FA84-C245386050EC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40</xdr:row>
      <xdr:rowOff>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3DCA4A87-62B0-4F4B-A468-3A415B839E77}"/>
            </a:ext>
          </a:extLst>
        </xdr:cNvPr>
        <xdr:cNvGrpSpPr/>
      </xdr:nvGrpSpPr>
      <xdr:grpSpPr>
        <a:xfrm>
          <a:off x="3600450" y="933450"/>
          <a:ext cx="455766" cy="14425613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66289C1B-E0E0-A47D-E076-DE28B808F6B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6DBA2073-3401-4818-9945-F324ADADC0C9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F70FDA25-5B83-A052-288C-9D0C9D27B2A3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2E0F688E-6F5E-1EDF-8BA4-68887E9AC13D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AE837668-41E6-48B2-89D0-06F266CFEED5}"/>
            </a:ext>
          </a:extLst>
        </xdr:cNvPr>
        <xdr:cNvGrpSpPr/>
      </xdr:nvGrpSpPr>
      <xdr:grpSpPr>
        <a:xfrm>
          <a:off x="4371975" y="930275"/>
          <a:ext cx="455766" cy="6870699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0CEED63E-0A09-8AA7-90C2-8D2DA5AB7305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6386887-4FE0-A3B0-530E-0818008F60D2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2BF92C2F-58E9-47AD-FCA4-7E30E0C48ABC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CF729946-5EDF-6B02-6A05-8C2A9D56898A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184149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81D29EC9-C96F-49F4-B51B-964204B0B5BB}"/>
            </a:ext>
          </a:extLst>
        </xdr:cNvPr>
        <xdr:cNvGrpSpPr/>
      </xdr:nvGrpSpPr>
      <xdr:grpSpPr>
        <a:xfrm>
          <a:off x="4371986" y="7775574"/>
          <a:ext cx="455766" cy="731520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BF364DEB-357F-3F31-2701-47FE1472EF2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CE686863-2AAB-D8FA-74F1-2B0AEDE57D29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77313413-B976-8E6E-FD7F-768479CFD41A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C6C04A6F-7FD7-4E04-50F2-687ADCF8F0B2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D14E938F-01BF-4011-88C7-9802EB6553D0}"/>
            </a:ext>
          </a:extLst>
        </xdr:cNvPr>
        <xdr:cNvGrpSpPr/>
      </xdr:nvGrpSpPr>
      <xdr:grpSpPr>
        <a:xfrm>
          <a:off x="1298074" y="914400"/>
          <a:ext cx="497316" cy="5417685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2834E289-08F4-73D2-9DA8-3D6E49FFDBA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0B9F251D-D668-4E05-E4BD-99ABBE6CA803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F74F39D1-D1FA-F47F-C1D3-7F3B68D42DBC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4DFDD3A4-FB6D-ACD8-19AF-8A85A5D486F9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D3335933-F6BA-4BCE-A6C8-1FEDFBED3D12}"/>
            </a:ext>
          </a:extLst>
        </xdr:cNvPr>
        <xdr:cNvCxnSpPr/>
      </xdr:nvCxnSpPr>
      <xdr:spPr>
        <a:xfrm flipH="1" flipV="1">
          <a:off x="1530350" y="927100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3F0CBA58-5A00-4443-8E16-979A04C56BEF}"/>
            </a:ext>
          </a:extLst>
        </xdr:cNvPr>
        <xdr:cNvCxnSpPr/>
      </xdr:nvCxnSpPr>
      <xdr:spPr>
        <a:xfrm flipH="1">
          <a:off x="1168400" y="6823982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BA90E39-E9BE-4373-BFDB-C17D8C1B91CA}"/>
            </a:ext>
          </a:extLst>
        </xdr:cNvPr>
        <xdr:cNvCxnSpPr/>
      </xdr:nvCxnSpPr>
      <xdr:spPr>
        <a:xfrm flipH="1">
          <a:off x="1359354" y="633231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60D09806-ECE8-4106-9FB9-74311AD8C9F7}"/>
            </a:ext>
          </a:extLst>
        </xdr:cNvPr>
        <xdr:cNvCxnSpPr/>
      </xdr:nvCxnSpPr>
      <xdr:spPr>
        <a:xfrm flipH="1">
          <a:off x="1371600" y="68675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CFAAE7A7-BBCD-4978-AE75-8E8217B57E01}"/>
            </a:ext>
          </a:extLst>
        </xdr:cNvPr>
        <xdr:cNvCxnSpPr/>
      </xdr:nvCxnSpPr>
      <xdr:spPr>
        <a:xfrm>
          <a:off x="1514475" y="6886575"/>
          <a:ext cx="2198" cy="8143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2E79E505-BA6D-4B68-A56A-C511F4CB0E1F}"/>
            </a:ext>
          </a:extLst>
        </xdr:cNvPr>
        <xdr:cNvCxnSpPr/>
      </xdr:nvCxnSpPr>
      <xdr:spPr>
        <a:xfrm flipH="1" flipV="1">
          <a:off x="1504950" y="15011400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A766100E-4872-42BF-8CF4-60FC998E164D}"/>
            </a:ext>
          </a:extLst>
        </xdr:cNvPr>
        <xdr:cNvCxnSpPr/>
      </xdr:nvCxnSpPr>
      <xdr:spPr>
        <a:xfrm flipH="1" flipV="1">
          <a:off x="7588250" y="4495800"/>
          <a:ext cx="2898775" cy="31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B4FA6F0B-8F45-4F32-94AC-EE6D7AFD8EC5}"/>
            </a:ext>
          </a:extLst>
        </xdr:cNvPr>
        <xdr:cNvCxnSpPr/>
      </xdr:nvCxnSpPr>
      <xdr:spPr>
        <a:xfrm flipH="1">
          <a:off x="9525000" y="9880600"/>
          <a:ext cx="952500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A428FD05-3135-4BC2-B892-B9B09BBAABD7}"/>
            </a:ext>
          </a:extLst>
        </xdr:cNvPr>
        <xdr:cNvSpPr/>
      </xdr:nvSpPr>
      <xdr:spPr>
        <a:xfrm>
          <a:off x="8346167" y="4469653"/>
          <a:ext cx="103067" cy="882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8A387AE-ABA1-41C4-86A1-31E1E0BEC774}"/>
            </a:ext>
          </a:extLst>
        </xdr:cNvPr>
        <xdr:cNvCxnSpPr/>
      </xdr:nvCxnSpPr>
      <xdr:spPr>
        <a:xfrm flipH="1">
          <a:off x="1201057" y="6286046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62" name="Gerader Verbinder 61">
          <a:extLst>
            <a:ext uri="{FF2B5EF4-FFF2-40B4-BE49-F238E27FC236}">
              <a16:creationId xmlns:a16="http://schemas.microsoft.com/office/drawing/2014/main" id="{4174B779-D95A-4FC6-8349-CC1650544B88}"/>
            </a:ext>
          </a:extLst>
        </xdr:cNvPr>
        <xdr:cNvCxnSpPr/>
      </xdr:nvCxnSpPr>
      <xdr:spPr>
        <a:xfrm flipH="1">
          <a:off x="1516289" y="6339114"/>
          <a:ext cx="7711" cy="4921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671BB7B3-6EF3-420C-9368-54C728C2A74B}"/>
            </a:ext>
          </a:extLst>
        </xdr:cNvPr>
        <xdr:cNvGrpSpPr/>
      </xdr:nvGrpSpPr>
      <xdr:grpSpPr>
        <a:xfrm>
          <a:off x="9658649" y="23154874"/>
          <a:ext cx="455766" cy="1923895"/>
          <a:chOff x="8934450" y="3785005"/>
          <a:chExt cx="459441" cy="1387868"/>
        </a:xfrm>
      </xdr:grpSpPr>
      <xdr:sp macro="" textlink="">
        <xdr:nvSpPr>
          <xdr:cNvPr id="64" name="Rechteck 63">
            <a:extLst>
              <a:ext uri="{FF2B5EF4-FFF2-40B4-BE49-F238E27FC236}">
                <a16:creationId xmlns:a16="http://schemas.microsoft.com/office/drawing/2014/main" id="{29B814FE-03C5-C3EE-48EA-D577CB90B6C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A2BF0AA4-3761-1C7F-E27E-7955D7D138A2}"/>
              </a:ext>
            </a:extLst>
          </xdr:cNvPr>
          <xdr:cNvCxnSpPr>
            <a:stCxn id="64" idx="2"/>
            <a:endCxn id="11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6" name="Textfeld 65">
            <a:extLst>
              <a:ext uri="{FF2B5EF4-FFF2-40B4-BE49-F238E27FC236}">
                <a16:creationId xmlns:a16="http://schemas.microsoft.com/office/drawing/2014/main" id="{2485CA86-BDA1-12A5-AE71-3B611B08FC91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67" name="Gruppieren 66">
          <a:extLst>
            <a:ext uri="{FF2B5EF4-FFF2-40B4-BE49-F238E27FC236}">
              <a16:creationId xmlns:a16="http://schemas.microsoft.com/office/drawing/2014/main" id="{D6D1EB59-0962-4957-A756-6B6B6F3B75FE}"/>
            </a:ext>
          </a:extLst>
        </xdr:cNvPr>
        <xdr:cNvGrpSpPr/>
      </xdr:nvGrpSpPr>
      <xdr:grpSpPr>
        <a:xfrm>
          <a:off x="9710414" y="19005694"/>
          <a:ext cx="488142" cy="4149180"/>
          <a:chOff x="8959850" y="3254331"/>
          <a:chExt cx="481583" cy="2549202"/>
        </a:xfrm>
      </xdr:grpSpPr>
      <xdr:sp macro="" textlink="">
        <xdr:nvSpPr>
          <xdr:cNvPr id="68" name="Rechteck 67">
            <a:extLst>
              <a:ext uri="{FF2B5EF4-FFF2-40B4-BE49-F238E27FC236}">
                <a16:creationId xmlns:a16="http://schemas.microsoft.com/office/drawing/2014/main" id="{A00CBAEE-8781-A772-3FF1-55D92DCA3F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D6D79F49-CBC6-BBD0-82DB-15FBB2026441}"/>
              </a:ext>
            </a:extLst>
          </xdr:cNvPr>
          <xdr:cNvCxnSpPr>
            <a:endCxn id="6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Gerader Verbinder 69">
            <a:extLst>
              <a:ext uri="{FF2B5EF4-FFF2-40B4-BE49-F238E27FC236}">
                <a16:creationId xmlns:a16="http://schemas.microsoft.com/office/drawing/2014/main" id="{B46F524E-1AF0-A507-D9D1-B85283F21267}"/>
              </a:ext>
            </a:extLst>
          </xdr:cNvPr>
          <xdr:cNvCxnSpPr>
            <a:stCxn id="68" idx="2"/>
            <a:endCxn id="64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1" name="Textfeld 70">
            <a:extLst>
              <a:ext uri="{FF2B5EF4-FFF2-40B4-BE49-F238E27FC236}">
                <a16:creationId xmlns:a16="http://schemas.microsoft.com/office/drawing/2014/main" id="{A3701681-0887-D7A2-318E-07C879BE4C7A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8D9EBC6F-860C-4E8D-919C-D1F669C19972}"/>
            </a:ext>
          </a:extLst>
        </xdr:cNvPr>
        <xdr:cNvGrpSpPr/>
      </xdr:nvGrpSpPr>
      <xdr:grpSpPr>
        <a:xfrm>
          <a:off x="8197270" y="18983470"/>
          <a:ext cx="468013" cy="6194301"/>
          <a:chOff x="8957189" y="1108047"/>
          <a:chExt cx="467002" cy="4074160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0AD57817-EA31-3393-0DE9-39D921B1407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4" name="Gerader Verbinder 73">
            <a:extLst>
              <a:ext uri="{FF2B5EF4-FFF2-40B4-BE49-F238E27FC236}">
                <a16:creationId xmlns:a16="http://schemas.microsoft.com/office/drawing/2014/main" id="{2DEDAD78-7491-79F0-3710-9FC80DFE1F91}"/>
              </a:ext>
            </a:extLst>
          </xdr:cNvPr>
          <xdr:cNvCxnSpPr>
            <a:endCxn id="7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8E02D30-BAEE-5BB3-E781-9174658E7DDA}"/>
              </a:ext>
            </a:extLst>
          </xdr:cNvPr>
          <xdr:cNvCxnSpPr>
            <a:stCxn id="73" idx="2"/>
            <a:endCxn id="11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57EC0B70-5FB7-B673-F5FC-B13BE98B9067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25FA25EA-D22F-4AB5-9469-41E215694392}"/>
            </a:ext>
          </a:extLst>
        </xdr:cNvPr>
        <xdr:cNvGrpSpPr/>
      </xdr:nvGrpSpPr>
      <xdr:grpSpPr>
        <a:xfrm>
          <a:off x="8185131" y="16619084"/>
          <a:ext cx="455766" cy="2916689"/>
          <a:chOff x="8934450" y="3281431"/>
          <a:chExt cx="448997" cy="2170211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6D88B886-129E-7A72-B8B3-12C919ECD18B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17185857-48D3-B6A1-CB80-9BB4B95D348A}"/>
              </a:ext>
            </a:extLst>
          </xdr:cNvPr>
          <xdr:cNvCxnSpPr>
            <a:endCxn id="7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17701573-83E3-2776-75D5-0CD06589D5EA}"/>
              </a:ext>
            </a:extLst>
          </xdr:cNvPr>
          <xdr:cNvCxnSpPr>
            <a:stCxn id="7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87824388-7788-FCFE-9AF0-77FA86D4F034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277A9878-5901-4F26-8422-1530571AF8DC}"/>
            </a:ext>
          </a:extLst>
        </xdr:cNvPr>
        <xdr:cNvGrpSpPr/>
      </xdr:nvGrpSpPr>
      <xdr:grpSpPr>
        <a:xfrm>
          <a:off x="3600450" y="16625888"/>
          <a:ext cx="455766" cy="8557327"/>
          <a:chOff x="8934450" y="1094414"/>
          <a:chExt cx="455766" cy="5820587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D79B353C-355D-4E9D-A56F-6B0FC72E765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B4F46515-C058-E2EF-E01B-5159D9A26AC3}"/>
              </a:ext>
            </a:extLst>
          </xdr:cNvPr>
          <xdr:cNvCxnSpPr>
            <a:endCxn id="8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61FCA98C-00D7-3736-1E36-BC55263090D5}"/>
              </a:ext>
            </a:extLst>
          </xdr:cNvPr>
          <xdr:cNvCxnSpPr>
            <a:stCxn id="83" idx="2"/>
            <a:endCxn id="10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6465533-49E5-0B0E-BF57-3CC82B568485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ACF3B7A0-BB39-4490-816A-A9539AC1935E}"/>
            </a:ext>
          </a:extLst>
        </xdr:cNvPr>
        <xdr:cNvGrpSpPr/>
      </xdr:nvGrpSpPr>
      <xdr:grpSpPr>
        <a:xfrm>
          <a:off x="4374688" y="16654463"/>
          <a:ext cx="499981" cy="8534196"/>
          <a:chOff x="8948330" y="1114406"/>
          <a:chExt cx="498901" cy="584288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5C58F711-8A3E-431E-1F80-A643D6F060D6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532D0B0D-B8B0-5071-E411-5014FEE4CE55}"/>
              </a:ext>
            </a:extLst>
          </xdr:cNvPr>
          <xdr:cNvCxnSpPr>
            <a:stCxn id="105" idx="4"/>
            <a:endCxn id="8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958F3C6F-C475-27A4-BAC7-A8E313AF38A2}"/>
              </a:ext>
            </a:extLst>
          </xdr:cNvPr>
          <xdr:cNvCxnSpPr>
            <a:stCxn id="88" idx="2"/>
            <a:endCxn id="10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6CAD5607-7752-BD81-BBBD-1CAD15E4F8C8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0D416A8-829F-4392-BC62-DFA16CC4FCB3}"/>
            </a:ext>
          </a:extLst>
        </xdr:cNvPr>
        <xdr:cNvGrpSpPr/>
      </xdr:nvGrpSpPr>
      <xdr:grpSpPr>
        <a:xfrm>
          <a:off x="1270148" y="16603663"/>
          <a:ext cx="559400" cy="4349297"/>
          <a:chOff x="8879803" y="3254331"/>
          <a:chExt cx="563543" cy="3010540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0AA85C8-A962-78AC-87A1-1E7A52F5C2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AD22B0C-22B8-61D9-0428-E9A1F9EDF18F}"/>
              </a:ext>
            </a:extLst>
          </xdr:cNvPr>
          <xdr:cNvCxnSpPr>
            <a:endCxn id="9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18811CF-CACE-F5C1-E4CB-2C5D5F9D70B4}"/>
              </a:ext>
            </a:extLst>
          </xdr:cNvPr>
          <xdr:cNvCxnSpPr>
            <a:stCxn id="9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B4936F89-63C0-1E5E-C36B-DD6B35B15B0D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8759065F-4CA7-4828-B873-4C2EF9EF2CEC}"/>
            </a:ext>
          </a:extLst>
        </xdr:cNvPr>
        <xdr:cNvCxnSpPr/>
      </xdr:nvCxnSpPr>
      <xdr:spPr>
        <a:xfrm flipH="1" flipV="1">
          <a:off x="1533525" y="1655127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177F8A6A-2AF9-44E5-8A55-6C5724696ADE}"/>
            </a:ext>
          </a:extLst>
        </xdr:cNvPr>
        <xdr:cNvCxnSpPr/>
      </xdr:nvCxnSpPr>
      <xdr:spPr>
        <a:xfrm flipH="1">
          <a:off x="1171575" y="2127340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43BCD3DC-5B42-40CD-948C-263E3C87B5EC}"/>
            </a:ext>
          </a:extLst>
        </xdr:cNvPr>
        <xdr:cNvCxnSpPr/>
      </xdr:nvCxnSpPr>
      <xdr:spPr>
        <a:xfrm flipH="1">
          <a:off x="1362529" y="2103256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00" name="Gerader Verbinder 99">
          <a:extLst>
            <a:ext uri="{FF2B5EF4-FFF2-40B4-BE49-F238E27FC236}">
              <a16:creationId xmlns:a16="http://schemas.microsoft.com/office/drawing/2014/main" id="{FAAD8759-E37C-4542-9A7F-5AA91FD829AE}"/>
            </a:ext>
          </a:extLst>
        </xdr:cNvPr>
        <xdr:cNvCxnSpPr/>
      </xdr:nvCxnSpPr>
      <xdr:spPr>
        <a:xfrm flipH="1">
          <a:off x="1371600" y="21310600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E1A16A31-B294-4FE6-B8AE-7092A07EE9C2}"/>
            </a:ext>
          </a:extLst>
        </xdr:cNvPr>
        <xdr:cNvCxnSpPr/>
      </xdr:nvCxnSpPr>
      <xdr:spPr>
        <a:xfrm>
          <a:off x="1514475" y="21332825"/>
          <a:ext cx="9525" cy="384673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8BB16F5E-230F-42D1-8D17-7E17D8411B84}"/>
            </a:ext>
          </a:extLst>
        </xdr:cNvPr>
        <xdr:cNvCxnSpPr/>
      </xdr:nvCxnSpPr>
      <xdr:spPr>
        <a:xfrm flipH="1" flipV="1">
          <a:off x="1516495" y="25179482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03" name="Gerader Verbinder 102">
          <a:extLst>
            <a:ext uri="{FF2B5EF4-FFF2-40B4-BE49-F238E27FC236}">
              <a16:creationId xmlns:a16="http://schemas.microsoft.com/office/drawing/2014/main" id="{936A7350-97AE-41D4-B1D5-B1A9C8DEB34D}"/>
            </a:ext>
          </a:extLst>
        </xdr:cNvPr>
        <xdr:cNvCxnSpPr/>
      </xdr:nvCxnSpPr>
      <xdr:spPr>
        <a:xfrm flipH="1">
          <a:off x="8392349" y="18964234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04" name="Ellipse 103">
          <a:extLst>
            <a:ext uri="{FF2B5EF4-FFF2-40B4-BE49-F238E27FC236}">
              <a16:creationId xmlns:a16="http://schemas.microsoft.com/office/drawing/2014/main" id="{84769D35-EABA-4C07-9F2A-0EEC406CCBE3}"/>
            </a:ext>
          </a:extLst>
        </xdr:cNvPr>
        <xdr:cNvSpPr/>
      </xdr:nvSpPr>
      <xdr:spPr>
        <a:xfrm>
          <a:off x="3762375" y="16484600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05" name="Ellipse 104">
          <a:extLst>
            <a:ext uri="{FF2B5EF4-FFF2-40B4-BE49-F238E27FC236}">
              <a16:creationId xmlns:a16="http://schemas.microsoft.com/office/drawing/2014/main" id="{A5E38897-20B8-4DE4-BD13-CB0EB22069DC}"/>
            </a:ext>
          </a:extLst>
        </xdr:cNvPr>
        <xdr:cNvSpPr/>
      </xdr:nvSpPr>
      <xdr:spPr>
        <a:xfrm>
          <a:off x="4533900" y="16475075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06" name="Ellipse 105">
          <a:extLst>
            <a:ext uri="{FF2B5EF4-FFF2-40B4-BE49-F238E27FC236}">
              <a16:creationId xmlns:a16="http://schemas.microsoft.com/office/drawing/2014/main" id="{4EB78FB9-D5B6-4357-9224-A1C46FA2E33B}"/>
            </a:ext>
          </a:extLst>
        </xdr:cNvPr>
        <xdr:cNvSpPr/>
      </xdr:nvSpPr>
      <xdr:spPr>
        <a:xfrm>
          <a:off x="8347610" y="18942742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07" name="Ellipse 106">
          <a:extLst>
            <a:ext uri="{FF2B5EF4-FFF2-40B4-BE49-F238E27FC236}">
              <a16:creationId xmlns:a16="http://schemas.microsoft.com/office/drawing/2014/main" id="{0B5AD2E7-E6DF-4578-BD87-9FD6494F49E2}"/>
            </a:ext>
          </a:extLst>
        </xdr:cNvPr>
        <xdr:cNvSpPr/>
      </xdr:nvSpPr>
      <xdr:spPr>
        <a:xfrm>
          <a:off x="9848271" y="18929350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08" name="Ellipse 107">
          <a:extLst>
            <a:ext uri="{FF2B5EF4-FFF2-40B4-BE49-F238E27FC236}">
              <a16:creationId xmlns:a16="http://schemas.microsoft.com/office/drawing/2014/main" id="{207A1DDD-ACEF-4BF3-A268-4CF18E001F30}"/>
            </a:ext>
          </a:extLst>
        </xdr:cNvPr>
        <xdr:cNvSpPr/>
      </xdr:nvSpPr>
      <xdr:spPr>
        <a:xfrm>
          <a:off x="4542270" y="25133672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09" name="Ellipse 108">
          <a:extLst>
            <a:ext uri="{FF2B5EF4-FFF2-40B4-BE49-F238E27FC236}">
              <a16:creationId xmlns:a16="http://schemas.microsoft.com/office/drawing/2014/main" id="{6374D1EC-7EBF-4D91-AC4D-F00F88C9A49E}"/>
            </a:ext>
          </a:extLst>
        </xdr:cNvPr>
        <xdr:cNvSpPr/>
      </xdr:nvSpPr>
      <xdr:spPr>
        <a:xfrm>
          <a:off x="3763941" y="25131404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10" name="Ellipse 109">
          <a:extLst>
            <a:ext uri="{FF2B5EF4-FFF2-40B4-BE49-F238E27FC236}">
              <a16:creationId xmlns:a16="http://schemas.microsoft.com/office/drawing/2014/main" id="{45965942-1642-408F-B2B2-9BA86D429EB3}"/>
            </a:ext>
          </a:extLst>
        </xdr:cNvPr>
        <xdr:cNvSpPr/>
      </xdr:nvSpPr>
      <xdr:spPr>
        <a:xfrm>
          <a:off x="8339116" y="25132311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11" name="Ellipse 110">
          <a:extLst>
            <a:ext uri="{FF2B5EF4-FFF2-40B4-BE49-F238E27FC236}">
              <a16:creationId xmlns:a16="http://schemas.microsoft.com/office/drawing/2014/main" id="{044FC9B7-A5FB-4E64-9179-377654B7902D}"/>
            </a:ext>
          </a:extLst>
        </xdr:cNvPr>
        <xdr:cNvSpPr/>
      </xdr:nvSpPr>
      <xdr:spPr>
        <a:xfrm>
          <a:off x="9836191" y="25140681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6774A2CA-79EB-46FA-A117-DC04113828D9}"/>
            </a:ext>
          </a:extLst>
        </xdr:cNvPr>
        <xdr:cNvCxnSpPr/>
      </xdr:nvCxnSpPr>
      <xdr:spPr>
        <a:xfrm flipH="1">
          <a:off x="1201057" y="2098312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1E11F5CA-8B91-413D-8D4D-DEA15D576E90}"/>
            </a:ext>
          </a:extLst>
        </xdr:cNvPr>
        <xdr:cNvCxnSpPr/>
      </xdr:nvCxnSpPr>
      <xdr:spPr>
        <a:xfrm flipH="1">
          <a:off x="1513114" y="21042539"/>
          <a:ext cx="10886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9065E148-525A-4568-9AC0-1082F60AD576}"/>
            </a:ext>
          </a:extLst>
        </xdr:cNvPr>
        <xdr:cNvSpPr/>
      </xdr:nvSpPr>
      <xdr:spPr>
        <a:xfrm>
          <a:off x="8327572" y="16488229"/>
          <a:ext cx="95250" cy="1270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101</xdr:row>
      <xdr:rowOff>452</xdr:rowOff>
    </xdr:from>
    <xdr:to>
      <xdr:col>13</xdr:col>
      <xdr:colOff>200034</xdr:colOff>
      <xdr:row>112</xdr:row>
      <xdr:rowOff>48298</xdr:rowOff>
    </xdr:to>
    <xdr:grpSp>
      <xdr:nvGrpSpPr>
        <xdr:cNvPr id="115" name="Gruppieren 114">
          <a:extLst>
            <a:ext uri="{FF2B5EF4-FFF2-40B4-BE49-F238E27FC236}">
              <a16:creationId xmlns:a16="http://schemas.microsoft.com/office/drawing/2014/main" id="{3D257713-98D5-4F3D-9881-58F319983281}"/>
            </a:ext>
          </a:extLst>
        </xdr:cNvPr>
        <xdr:cNvGrpSpPr/>
      </xdr:nvGrpSpPr>
      <xdr:grpSpPr>
        <a:xfrm>
          <a:off x="9631671" y="29789890"/>
          <a:ext cx="474363" cy="2381471"/>
          <a:chOff x="8920180" y="3499704"/>
          <a:chExt cx="480926" cy="1951938"/>
        </a:xfrm>
      </xdr:grpSpPr>
      <xdr:sp macro="" textlink="">
        <xdr:nvSpPr>
          <xdr:cNvPr id="116" name="Rechteck 115">
            <a:extLst>
              <a:ext uri="{FF2B5EF4-FFF2-40B4-BE49-F238E27FC236}">
                <a16:creationId xmlns:a16="http://schemas.microsoft.com/office/drawing/2014/main" id="{5B093C68-DC87-3F7D-3BD3-9677B2D8F861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17" name="Gerader Verbinder 116">
            <a:extLst>
              <a:ext uri="{FF2B5EF4-FFF2-40B4-BE49-F238E27FC236}">
                <a16:creationId xmlns:a16="http://schemas.microsoft.com/office/drawing/2014/main" id="{447954C5-C1AB-8E09-2D7F-F22297973194}"/>
              </a:ext>
            </a:extLst>
          </xdr:cNvPr>
          <xdr:cNvCxnSpPr>
            <a:stCxn id="143" idx="0"/>
            <a:endCxn id="11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Gerader Verbinder 117">
            <a:extLst>
              <a:ext uri="{FF2B5EF4-FFF2-40B4-BE49-F238E27FC236}">
                <a16:creationId xmlns:a16="http://schemas.microsoft.com/office/drawing/2014/main" id="{CB780621-D4D3-4A11-A30B-1596A3960E44}"/>
              </a:ext>
            </a:extLst>
          </xdr:cNvPr>
          <xdr:cNvCxnSpPr>
            <a:stCxn id="11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9" name="Textfeld 118">
            <a:extLst>
              <a:ext uri="{FF2B5EF4-FFF2-40B4-BE49-F238E27FC236}">
                <a16:creationId xmlns:a16="http://schemas.microsoft.com/office/drawing/2014/main" id="{DB487276-2716-B2ED-5F2F-2ED32281B14F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101</xdr:row>
      <xdr:rowOff>908</xdr:rowOff>
    </xdr:from>
    <xdr:to>
      <xdr:col>11</xdr:col>
      <xdr:colOff>221356</xdr:colOff>
      <xdr:row>111</xdr:row>
      <xdr:rowOff>152619</xdr:rowOff>
    </xdr:to>
    <xdr:grpSp>
      <xdr:nvGrpSpPr>
        <xdr:cNvPr id="120" name="Gruppieren 119">
          <a:extLst>
            <a:ext uri="{FF2B5EF4-FFF2-40B4-BE49-F238E27FC236}">
              <a16:creationId xmlns:a16="http://schemas.microsoft.com/office/drawing/2014/main" id="{E6CD34E3-AB23-4855-A75B-6FD24B5D5FB4}"/>
            </a:ext>
          </a:extLst>
        </xdr:cNvPr>
        <xdr:cNvGrpSpPr/>
      </xdr:nvGrpSpPr>
      <xdr:grpSpPr>
        <a:xfrm>
          <a:off x="8141693" y="29790346"/>
          <a:ext cx="461663" cy="2294836"/>
          <a:chOff x="9527870" y="3599470"/>
          <a:chExt cx="467002" cy="1797691"/>
        </a:xfrm>
      </xdr:grpSpPr>
      <xdr:sp macro="" textlink="">
        <xdr:nvSpPr>
          <xdr:cNvPr id="121" name="Rechteck 120">
            <a:extLst>
              <a:ext uri="{FF2B5EF4-FFF2-40B4-BE49-F238E27FC236}">
                <a16:creationId xmlns:a16="http://schemas.microsoft.com/office/drawing/2014/main" id="{606CC454-D6DF-87FF-EC2F-1C97310D401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2" name="Gerader Verbinder 121">
            <a:extLst>
              <a:ext uri="{FF2B5EF4-FFF2-40B4-BE49-F238E27FC236}">
                <a16:creationId xmlns:a16="http://schemas.microsoft.com/office/drawing/2014/main" id="{B46DFA31-9D62-7C14-4FB5-57B965A93B34}"/>
              </a:ext>
            </a:extLst>
          </xdr:cNvPr>
          <xdr:cNvCxnSpPr>
            <a:stCxn id="142" idx="0"/>
            <a:endCxn id="12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3" name="Gerader Verbinder 122">
            <a:extLst>
              <a:ext uri="{FF2B5EF4-FFF2-40B4-BE49-F238E27FC236}">
                <a16:creationId xmlns:a16="http://schemas.microsoft.com/office/drawing/2014/main" id="{4E80C3A6-22D4-4E41-E821-84B8B37DEE1F}"/>
              </a:ext>
            </a:extLst>
          </xdr:cNvPr>
          <xdr:cNvCxnSpPr>
            <a:stCxn id="12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4" name="Textfeld 123">
            <a:extLst>
              <a:ext uri="{FF2B5EF4-FFF2-40B4-BE49-F238E27FC236}">
                <a16:creationId xmlns:a16="http://schemas.microsoft.com/office/drawing/2014/main" id="{F1A51F4E-AA23-CF6A-3F06-D0C4A31B7587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48857F8A-1FF6-4EB2-A9EA-071E21D56E5F}"/>
            </a:ext>
          </a:extLst>
        </xdr:cNvPr>
        <xdr:cNvGrpSpPr/>
      </xdr:nvGrpSpPr>
      <xdr:grpSpPr>
        <a:xfrm>
          <a:off x="4529508" y="26727584"/>
          <a:ext cx="468013" cy="5333143"/>
          <a:chOff x="8941283" y="3264625"/>
          <a:chExt cx="469428" cy="4311071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2D762F53-7A0A-25FC-0CED-4CE2860EFF01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92E10EDB-AA51-FDE3-5718-594FF667CE18}"/>
              </a:ext>
            </a:extLst>
          </xdr:cNvPr>
          <xdr:cNvCxnSpPr>
            <a:stCxn id="141" idx="4"/>
            <a:endCxn id="12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93E4DC11-962E-ABF7-700D-C0C759ED888E}"/>
              </a:ext>
            </a:extLst>
          </xdr:cNvPr>
          <xdr:cNvCxnSpPr>
            <a:stCxn id="126" idx="2"/>
            <a:endCxn id="280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EE7F75BE-6357-1FD0-6727-532662E366BA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342E7F8E-8D49-46C5-AF95-907553D9F816}"/>
            </a:ext>
          </a:extLst>
        </xdr:cNvPr>
        <xdr:cNvGrpSpPr/>
      </xdr:nvGrpSpPr>
      <xdr:grpSpPr>
        <a:xfrm>
          <a:off x="1287997" y="26720795"/>
          <a:ext cx="468014" cy="4047672"/>
          <a:chOff x="8945774" y="3254331"/>
          <a:chExt cx="471479" cy="3010540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E0FCF7-9D78-7836-299F-A44084153FC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FFD157EC-42ED-CB55-9F5A-331A9D97CACA}"/>
              </a:ext>
            </a:extLst>
          </xdr:cNvPr>
          <xdr:cNvCxnSpPr>
            <a:endCxn id="13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F907AA1A-E01F-F870-C7F8-930ACC30B156}"/>
              </a:ext>
            </a:extLst>
          </xdr:cNvPr>
          <xdr:cNvCxnSpPr>
            <a:stCxn id="13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827EC335-21B9-0F52-33AB-340AD76906BD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35" name="Gerader Verbinder 134">
          <a:extLst>
            <a:ext uri="{FF2B5EF4-FFF2-40B4-BE49-F238E27FC236}">
              <a16:creationId xmlns:a16="http://schemas.microsoft.com/office/drawing/2014/main" id="{3FD3ABB0-F18D-475C-83DE-E3AA5AAFF8FA}"/>
            </a:ext>
          </a:extLst>
        </xdr:cNvPr>
        <xdr:cNvCxnSpPr/>
      </xdr:nvCxnSpPr>
      <xdr:spPr>
        <a:xfrm flipH="1" flipV="1">
          <a:off x="1482725" y="26795407"/>
          <a:ext cx="686117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36" name="Gerader Verbinder 135">
          <a:extLst>
            <a:ext uri="{FF2B5EF4-FFF2-40B4-BE49-F238E27FC236}">
              <a16:creationId xmlns:a16="http://schemas.microsoft.com/office/drawing/2014/main" id="{98BE6AE7-9A3C-4666-BFD4-489DDEDA873F}"/>
            </a:ext>
          </a:extLst>
        </xdr:cNvPr>
        <xdr:cNvCxnSpPr/>
      </xdr:nvCxnSpPr>
      <xdr:spPr>
        <a:xfrm flipH="1">
          <a:off x="1120775" y="31155589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37" name="Gerader Verbinder 136">
          <a:extLst>
            <a:ext uri="{FF2B5EF4-FFF2-40B4-BE49-F238E27FC236}">
              <a16:creationId xmlns:a16="http://schemas.microsoft.com/office/drawing/2014/main" id="{7EA85A26-802E-4F92-9BAA-9131944316A1}"/>
            </a:ext>
          </a:extLst>
        </xdr:cNvPr>
        <xdr:cNvCxnSpPr/>
      </xdr:nvCxnSpPr>
      <xdr:spPr>
        <a:xfrm flipH="1">
          <a:off x="1311729" y="30940144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38" name="Gerader Verbinder 137">
          <a:extLst>
            <a:ext uri="{FF2B5EF4-FFF2-40B4-BE49-F238E27FC236}">
              <a16:creationId xmlns:a16="http://schemas.microsoft.com/office/drawing/2014/main" id="{BC4203C9-C5A5-417F-B6C3-9CE07EAAC622}"/>
            </a:ext>
          </a:extLst>
        </xdr:cNvPr>
        <xdr:cNvCxnSpPr/>
      </xdr:nvCxnSpPr>
      <xdr:spPr>
        <a:xfrm flipH="1">
          <a:off x="1320800" y="3120548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E56F80E9-52BF-4E26-B5DA-A3D4B1FE984C}"/>
            </a:ext>
          </a:extLst>
        </xdr:cNvPr>
        <xdr:cNvCxnSpPr/>
      </xdr:nvCxnSpPr>
      <xdr:spPr>
        <a:xfrm>
          <a:off x="1463675" y="31234057"/>
          <a:ext cx="12700" cy="102711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40" name="Gerader Verbinder 139">
          <a:extLst>
            <a:ext uri="{FF2B5EF4-FFF2-40B4-BE49-F238E27FC236}">
              <a16:creationId xmlns:a16="http://schemas.microsoft.com/office/drawing/2014/main" id="{FE8A5F65-D8FC-4CF8-AFF6-E72B80E744D6}"/>
            </a:ext>
          </a:extLst>
        </xdr:cNvPr>
        <xdr:cNvCxnSpPr>
          <a:stCxn id="143" idx="2"/>
          <a:endCxn id="142" idx="0"/>
        </xdr:cNvCxnSpPr>
      </xdr:nvCxnSpPr>
      <xdr:spPr>
        <a:xfrm flipH="1" flipV="1">
          <a:off x="8346849" y="29798282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41" name="Ellipse 140">
          <a:extLst>
            <a:ext uri="{FF2B5EF4-FFF2-40B4-BE49-F238E27FC236}">
              <a16:creationId xmlns:a16="http://schemas.microsoft.com/office/drawing/2014/main" id="{A0D53DA2-ACD2-4260-9E68-4B384053E04B}"/>
            </a:ext>
          </a:extLst>
        </xdr:cNvPr>
        <xdr:cNvSpPr/>
      </xdr:nvSpPr>
      <xdr:spPr>
        <a:xfrm>
          <a:off x="4667250" y="26752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42" name="Ellipse 141">
          <a:extLst>
            <a:ext uri="{FF2B5EF4-FFF2-40B4-BE49-F238E27FC236}">
              <a16:creationId xmlns:a16="http://schemas.microsoft.com/office/drawing/2014/main" id="{776E56FA-CE23-414D-9E25-B6C176500F8A}"/>
            </a:ext>
          </a:extLst>
        </xdr:cNvPr>
        <xdr:cNvSpPr/>
      </xdr:nvSpPr>
      <xdr:spPr>
        <a:xfrm>
          <a:off x="8298543" y="29801457"/>
          <a:ext cx="99786" cy="186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43" name="Ellipse 142">
          <a:extLst>
            <a:ext uri="{FF2B5EF4-FFF2-40B4-BE49-F238E27FC236}">
              <a16:creationId xmlns:a16="http://schemas.microsoft.com/office/drawing/2014/main" id="{09C030D1-EA02-4C6A-BED6-8C7B57B84587}"/>
            </a:ext>
          </a:extLst>
        </xdr:cNvPr>
        <xdr:cNvSpPr/>
      </xdr:nvSpPr>
      <xdr:spPr>
        <a:xfrm>
          <a:off x="9814831" y="29750202"/>
          <a:ext cx="72572" cy="17530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44" name="Gerader Verbinder 143">
          <a:extLst>
            <a:ext uri="{FF2B5EF4-FFF2-40B4-BE49-F238E27FC236}">
              <a16:creationId xmlns:a16="http://schemas.microsoft.com/office/drawing/2014/main" id="{AF77FD29-C4D7-485C-9C4A-9D1D196989D1}"/>
            </a:ext>
          </a:extLst>
        </xdr:cNvPr>
        <xdr:cNvCxnSpPr/>
      </xdr:nvCxnSpPr>
      <xdr:spPr>
        <a:xfrm flipH="1">
          <a:off x="1150257" y="30878003"/>
          <a:ext cx="62230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A52B9D9F-9B12-4B73-AE89-68180A49E236}"/>
            </a:ext>
          </a:extLst>
        </xdr:cNvPr>
        <xdr:cNvCxnSpPr/>
      </xdr:nvCxnSpPr>
      <xdr:spPr>
        <a:xfrm flipH="1">
          <a:off x="1468664" y="30931071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F2440143-B2DF-475B-BEEB-27430F7B6A4C}"/>
            </a:ext>
          </a:extLst>
        </xdr:cNvPr>
        <xdr:cNvSpPr/>
      </xdr:nvSpPr>
      <xdr:spPr>
        <a:xfrm>
          <a:off x="8276772" y="26722836"/>
          <a:ext cx="95250" cy="1524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47" name="Gruppieren 146">
          <a:extLst>
            <a:ext uri="{FF2B5EF4-FFF2-40B4-BE49-F238E27FC236}">
              <a16:creationId xmlns:a16="http://schemas.microsoft.com/office/drawing/2014/main" id="{FAD9E4D2-CDCD-4846-9C75-AB6DBB606442}"/>
            </a:ext>
          </a:extLst>
        </xdr:cNvPr>
        <xdr:cNvGrpSpPr/>
      </xdr:nvGrpSpPr>
      <xdr:grpSpPr>
        <a:xfrm>
          <a:off x="8140907" y="26769329"/>
          <a:ext cx="455766" cy="3062633"/>
          <a:chOff x="8934450" y="3237320"/>
          <a:chExt cx="448997" cy="2214322"/>
        </a:xfrm>
      </xdr:grpSpPr>
      <xdr:sp macro="" textlink="">
        <xdr:nvSpPr>
          <xdr:cNvPr id="148" name="Rechteck 147">
            <a:extLst>
              <a:ext uri="{FF2B5EF4-FFF2-40B4-BE49-F238E27FC236}">
                <a16:creationId xmlns:a16="http://schemas.microsoft.com/office/drawing/2014/main" id="{F6203CFB-6D26-52C6-8E20-99275003004F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9" name="Gerader Verbinder 148">
            <a:extLst>
              <a:ext uri="{FF2B5EF4-FFF2-40B4-BE49-F238E27FC236}">
                <a16:creationId xmlns:a16="http://schemas.microsoft.com/office/drawing/2014/main" id="{FD75BFA8-A757-2C0D-4A7F-914BEBF8F97D}"/>
              </a:ext>
            </a:extLst>
          </xdr:cNvPr>
          <xdr:cNvCxnSpPr>
            <a:stCxn id="146" idx="4"/>
            <a:endCxn id="148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0" name="Gerader Verbinder 149">
            <a:extLst>
              <a:ext uri="{FF2B5EF4-FFF2-40B4-BE49-F238E27FC236}">
                <a16:creationId xmlns:a16="http://schemas.microsoft.com/office/drawing/2014/main" id="{AA8A9AA1-E043-9527-2130-720B8FFDDB23}"/>
              </a:ext>
            </a:extLst>
          </xdr:cNvPr>
          <xdr:cNvCxnSpPr>
            <a:stCxn id="14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1" name="Textfeld 150">
            <a:extLst>
              <a:ext uri="{FF2B5EF4-FFF2-40B4-BE49-F238E27FC236}">
                <a16:creationId xmlns:a16="http://schemas.microsoft.com/office/drawing/2014/main" id="{B9D34097-38E0-01B5-B20D-767E849C9FBE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52" name="Gruppieren 151">
          <a:extLst>
            <a:ext uri="{FF2B5EF4-FFF2-40B4-BE49-F238E27FC236}">
              <a16:creationId xmlns:a16="http://schemas.microsoft.com/office/drawing/2014/main" id="{3AFC1D98-623D-4F6B-98BE-2C99B00FAF31}"/>
            </a:ext>
          </a:extLst>
        </xdr:cNvPr>
        <xdr:cNvGrpSpPr/>
      </xdr:nvGrpSpPr>
      <xdr:grpSpPr>
        <a:xfrm>
          <a:off x="8530640" y="36584965"/>
          <a:ext cx="405432" cy="3457680"/>
          <a:chOff x="8934017" y="3167408"/>
          <a:chExt cx="408386" cy="2284234"/>
        </a:xfrm>
      </xdr:grpSpPr>
      <xdr:sp macro="" textlink="">
        <xdr:nvSpPr>
          <xdr:cNvPr id="153" name="Rechteck 152">
            <a:extLst>
              <a:ext uri="{FF2B5EF4-FFF2-40B4-BE49-F238E27FC236}">
                <a16:creationId xmlns:a16="http://schemas.microsoft.com/office/drawing/2014/main" id="{57001FB1-14CF-9373-6D5E-6E99FE6052B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4" name="Gerader Verbinder 153">
            <a:extLst>
              <a:ext uri="{FF2B5EF4-FFF2-40B4-BE49-F238E27FC236}">
                <a16:creationId xmlns:a16="http://schemas.microsoft.com/office/drawing/2014/main" id="{EB35914C-D27B-1D28-F4D7-600472ACF417}"/>
              </a:ext>
            </a:extLst>
          </xdr:cNvPr>
          <xdr:cNvCxnSpPr>
            <a:stCxn id="180" idx="2"/>
            <a:endCxn id="153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5" name="Gerader Verbinder 154">
            <a:extLst>
              <a:ext uri="{FF2B5EF4-FFF2-40B4-BE49-F238E27FC236}">
                <a16:creationId xmlns:a16="http://schemas.microsoft.com/office/drawing/2014/main" id="{189E7658-12A2-5C77-BF46-E16A73AF1791}"/>
              </a:ext>
            </a:extLst>
          </xdr:cNvPr>
          <xdr:cNvCxnSpPr>
            <a:stCxn id="15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6" name="Textfeld 155">
            <a:extLst>
              <a:ext uri="{FF2B5EF4-FFF2-40B4-BE49-F238E27FC236}">
                <a16:creationId xmlns:a16="http://schemas.microsoft.com/office/drawing/2014/main" id="{39F8A9CD-2F91-0CAB-0F5A-BE4E97B21F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57" name="Gruppieren 156">
          <a:extLst>
            <a:ext uri="{FF2B5EF4-FFF2-40B4-BE49-F238E27FC236}">
              <a16:creationId xmlns:a16="http://schemas.microsoft.com/office/drawing/2014/main" id="{437134A4-0CEE-4714-B9D7-3BF3611380A4}"/>
            </a:ext>
          </a:extLst>
        </xdr:cNvPr>
        <xdr:cNvGrpSpPr/>
      </xdr:nvGrpSpPr>
      <xdr:grpSpPr>
        <a:xfrm>
          <a:off x="4735983" y="33987829"/>
          <a:ext cx="399082" cy="6134327"/>
          <a:chOff x="8947344" y="3293238"/>
          <a:chExt cx="410723" cy="3638269"/>
        </a:xfrm>
      </xdr:grpSpPr>
      <xdr:sp macro="" textlink="">
        <xdr:nvSpPr>
          <xdr:cNvPr id="158" name="Rechteck 157">
            <a:extLst>
              <a:ext uri="{FF2B5EF4-FFF2-40B4-BE49-F238E27FC236}">
                <a16:creationId xmlns:a16="http://schemas.microsoft.com/office/drawing/2014/main" id="{D01DAB39-3693-5D3D-7D49-FDEEA64CD16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9" name="Gerader Verbinder 158">
            <a:extLst>
              <a:ext uri="{FF2B5EF4-FFF2-40B4-BE49-F238E27FC236}">
                <a16:creationId xmlns:a16="http://schemas.microsoft.com/office/drawing/2014/main" id="{14147CF4-F094-2D14-A539-BA41F8C1B9F0}"/>
              </a:ext>
            </a:extLst>
          </xdr:cNvPr>
          <xdr:cNvCxnSpPr>
            <a:stCxn id="173" idx="4"/>
            <a:endCxn id="158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0" name="Gerader Verbinder 159">
            <a:extLst>
              <a:ext uri="{FF2B5EF4-FFF2-40B4-BE49-F238E27FC236}">
                <a16:creationId xmlns:a16="http://schemas.microsoft.com/office/drawing/2014/main" id="{660999F3-5C2D-D751-5480-708481C6D20C}"/>
              </a:ext>
            </a:extLst>
          </xdr:cNvPr>
          <xdr:cNvCxnSpPr>
            <a:stCxn id="158" idx="2"/>
            <a:endCxn id="174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1" name="Textfeld 160">
            <a:extLst>
              <a:ext uri="{FF2B5EF4-FFF2-40B4-BE49-F238E27FC236}">
                <a16:creationId xmlns:a16="http://schemas.microsoft.com/office/drawing/2014/main" id="{AF1DF503-4789-5450-528E-688479731BF8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91465A1C-B7D8-4CA7-A582-CC5E9575D63C}"/>
            </a:ext>
          </a:extLst>
        </xdr:cNvPr>
        <xdr:cNvGrpSpPr/>
      </xdr:nvGrpSpPr>
      <xdr:grpSpPr>
        <a:xfrm>
          <a:off x="1707832" y="33954584"/>
          <a:ext cx="411176" cy="4976359"/>
          <a:chOff x="8959850" y="3254331"/>
          <a:chExt cx="416653" cy="3010540"/>
        </a:xfrm>
      </xdr:grpSpPr>
      <xdr:sp macro="" textlink="">
        <xdr:nvSpPr>
          <xdr:cNvPr id="163" name="Rechteck 162">
            <a:extLst>
              <a:ext uri="{FF2B5EF4-FFF2-40B4-BE49-F238E27FC236}">
                <a16:creationId xmlns:a16="http://schemas.microsoft.com/office/drawing/2014/main" id="{2A17A572-7079-F6A4-1B5A-FCB9812D411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271B0E60-81B6-C9CA-5641-D72CADB06B82}"/>
              </a:ext>
            </a:extLst>
          </xdr:cNvPr>
          <xdr:cNvCxnSpPr>
            <a:endCxn id="16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5" name="Gerader Verbinder 164">
            <a:extLst>
              <a:ext uri="{FF2B5EF4-FFF2-40B4-BE49-F238E27FC236}">
                <a16:creationId xmlns:a16="http://schemas.microsoft.com/office/drawing/2014/main" id="{946A9F84-8271-0518-0039-5936937C415A}"/>
              </a:ext>
            </a:extLst>
          </xdr:cNvPr>
          <xdr:cNvCxnSpPr>
            <a:stCxn id="16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6" name="Textfeld 165">
            <a:extLst>
              <a:ext uri="{FF2B5EF4-FFF2-40B4-BE49-F238E27FC236}">
                <a16:creationId xmlns:a16="http://schemas.microsoft.com/office/drawing/2014/main" id="{D6E32B9B-467B-6E49-7821-1198236E021A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67" name="Gerader Verbinder 166">
          <a:extLst>
            <a:ext uri="{FF2B5EF4-FFF2-40B4-BE49-F238E27FC236}">
              <a16:creationId xmlns:a16="http://schemas.microsoft.com/office/drawing/2014/main" id="{FA78A989-8061-4CF6-808B-8CE2867DC637}"/>
            </a:ext>
          </a:extLst>
        </xdr:cNvPr>
        <xdr:cNvCxnSpPr/>
      </xdr:nvCxnSpPr>
      <xdr:spPr>
        <a:xfrm flipH="1" flipV="1">
          <a:off x="1885950" y="34095871"/>
          <a:ext cx="6861175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68" name="Gerader Verbinder 167">
          <a:extLst>
            <a:ext uri="{FF2B5EF4-FFF2-40B4-BE49-F238E27FC236}">
              <a16:creationId xmlns:a16="http://schemas.microsoft.com/office/drawing/2014/main" id="{A3462B73-A66F-422D-9C9A-B6E4923C905C}"/>
            </a:ext>
          </a:extLst>
        </xdr:cNvPr>
        <xdr:cNvCxnSpPr/>
      </xdr:nvCxnSpPr>
      <xdr:spPr>
        <a:xfrm flipH="1">
          <a:off x="1524000" y="39416397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D00415E7-9DDF-4DB8-8370-468B78714A4A}"/>
            </a:ext>
          </a:extLst>
        </xdr:cNvPr>
        <xdr:cNvCxnSpPr/>
      </xdr:nvCxnSpPr>
      <xdr:spPr>
        <a:xfrm flipH="1">
          <a:off x="1714954" y="3920095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70" name="Gerader Verbinder 169">
          <a:extLst>
            <a:ext uri="{FF2B5EF4-FFF2-40B4-BE49-F238E27FC236}">
              <a16:creationId xmlns:a16="http://schemas.microsoft.com/office/drawing/2014/main" id="{BDAE797E-CC3F-4A99-9B7A-F8238833C6DB}"/>
            </a:ext>
          </a:extLst>
        </xdr:cNvPr>
        <xdr:cNvCxnSpPr/>
      </xdr:nvCxnSpPr>
      <xdr:spPr>
        <a:xfrm flipH="1">
          <a:off x="1724025" y="39490196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71" name="Gerader Verbinder 170">
          <a:extLst>
            <a:ext uri="{FF2B5EF4-FFF2-40B4-BE49-F238E27FC236}">
              <a16:creationId xmlns:a16="http://schemas.microsoft.com/office/drawing/2014/main" id="{73D8817E-F4EA-42AA-B0CE-60CCBD0B13EE}"/>
            </a:ext>
          </a:extLst>
        </xdr:cNvPr>
        <xdr:cNvCxnSpPr/>
      </xdr:nvCxnSpPr>
      <xdr:spPr>
        <a:xfrm flipH="1">
          <a:off x="1857375" y="39515596"/>
          <a:ext cx="9525" cy="8323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72" name="Gerader Verbinder 171">
          <a:extLst>
            <a:ext uri="{FF2B5EF4-FFF2-40B4-BE49-F238E27FC236}">
              <a16:creationId xmlns:a16="http://schemas.microsoft.com/office/drawing/2014/main" id="{06202494-9E89-4C4A-B670-0F37F72E9652}"/>
            </a:ext>
          </a:extLst>
        </xdr:cNvPr>
        <xdr:cNvCxnSpPr>
          <a:stCxn id="175" idx="6"/>
        </xdr:cNvCxnSpPr>
      </xdr:nvCxnSpPr>
      <xdr:spPr>
        <a:xfrm flipH="1" flipV="1">
          <a:off x="1866900" y="40322046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73" name="Ellipse 172">
          <a:extLst>
            <a:ext uri="{FF2B5EF4-FFF2-40B4-BE49-F238E27FC236}">
              <a16:creationId xmlns:a16="http://schemas.microsoft.com/office/drawing/2014/main" id="{2D8C6FB1-E7A6-46C6-8718-28B32FC3484F}"/>
            </a:ext>
          </a:extLst>
        </xdr:cNvPr>
        <xdr:cNvSpPr/>
      </xdr:nvSpPr>
      <xdr:spPr>
        <a:xfrm>
          <a:off x="4886325" y="34029196"/>
          <a:ext cx="95250" cy="1030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74" name="Ellipse 173">
          <a:extLst>
            <a:ext uri="{FF2B5EF4-FFF2-40B4-BE49-F238E27FC236}">
              <a16:creationId xmlns:a16="http://schemas.microsoft.com/office/drawing/2014/main" id="{6B2B26F0-0514-4D68-BC20-4AEC5128B805}"/>
            </a:ext>
          </a:extLst>
        </xdr:cNvPr>
        <xdr:cNvSpPr/>
      </xdr:nvSpPr>
      <xdr:spPr>
        <a:xfrm>
          <a:off x="4895850" y="40298461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75" name="Ellipse 174">
          <a:extLst>
            <a:ext uri="{FF2B5EF4-FFF2-40B4-BE49-F238E27FC236}">
              <a16:creationId xmlns:a16="http://schemas.microsoft.com/office/drawing/2014/main" id="{A76AE270-011E-4B5E-8B0B-E0E3C92A40E8}"/>
            </a:ext>
          </a:extLst>
        </xdr:cNvPr>
        <xdr:cNvSpPr/>
      </xdr:nvSpPr>
      <xdr:spPr>
        <a:xfrm>
          <a:off x="8686346" y="40290750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76" name="Gerader Verbinder 175">
          <a:extLst>
            <a:ext uri="{FF2B5EF4-FFF2-40B4-BE49-F238E27FC236}">
              <a16:creationId xmlns:a16="http://schemas.microsoft.com/office/drawing/2014/main" id="{278AC868-F5A0-4687-9230-24273C5BEEAC}"/>
            </a:ext>
          </a:extLst>
        </xdr:cNvPr>
        <xdr:cNvCxnSpPr/>
      </xdr:nvCxnSpPr>
      <xdr:spPr>
        <a:xfrm flipH="1">
          <a:off x="1553308" y="39159542"/>
          <a:ext cx="625658" cy="432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77" name="Gerader Verbinder 176">
          <a:extLst>
            <a:ext uri="{FF2B5EF4-FFF2-40B4-BE49-F238E27FC236}">
              <a16:creationId xmlns:a16="http://schemas.microsoft.com/office/drawing/2014/main" id="{DD0EB5AF-659E-450A-86E3-A8D599D0ED0E}"/>
            </a:ext>
          </a:extLst>
        </xdr:cNvPr>
        <xdr:cNvCxnSpPr/>
      </xdr:nvCxnSpPr>
      <xdr:spPr>
        <a:xfrm flipH="1">
          <a:off x="1871889" y="39198229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78" name="Ellipse 177">
          <a:extLst>
            <a:ext uri="{FF2B5EF4-FFF2-40B4-BE49-F238E27FC236}">
              <a16:creationId xmlns:a16="http://schemas.microsoft.com/office/drawing/2014/main" id="{B1A2D2D1-7B1B-47B0-AF85-178A9A6ED76B}"/>
            </a:ext>
          </a:extLst>
        </xdr:cNvPr>
        <xdr:cNvSpPr/>
      </xdr:nvSpPr>
      <xdr:spPr>
        <a:xfrm>
          <a:off x="8679997" y="34023300"/>
          <a:ext cx="95250" cy="1284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79" name="Gruppieren 178">
          <a:extLst>
            <a:ext uri="{FF2B5EF4-FFF2-40B4-BE49-F238E27FC236}">
              <a16:creationId xmlns:a16="http://schemas.microsoft.com/office/drawing/2014/main" id="{C8FCC86A-6B4B-463F-988B-B3B5E5E439A8}"/>
            </a:ext>
          </a:extLst>
        </xdr:cNvPr>
        <xdr:cNvGrpSpPr/>
      </xdr:nvGrpSpPr>
      <xdr:grpSpPr>
        <a:xfrm>
          <a:off x="8509874" y="34016857"/>
          <a:ext cx="406692" cy="2565789"/>
          <a:chOff x="8924231" y="3237320"/>
          <a:chExt cx="403919" cy="1617255"/>
        </a:xfrm>
      </xdr:grpSpPr>
      <xdr:sp macro="" textlink="">
        <xdr:nvSpPr>
          <xdr:cNvPr id="180" name="Rechteck 179">
            <a:extLst>
              <a:ext uri="{FF2B5EF4-FFF2-40B4-BE49-F238E27FC236}">
                <a16:creationId xmlns:a16="http://schemas.microsoft.com/office/drawing/2014/main" id="{CD85D656-45FB-CF00-B656-9CE370075D9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1" name="Gerader Verbinder 180">
            <a:extLst>
              <a:ext uri="{FF2B5EF4-FFF2-40B4-BE49-F238E27FC236}">
                <a16:creationId xmlns:a16="http://schemas.microsoft.com/office/drawing/2014/main" id="{46C7DF74-AD1D-42FC-6E78-B2CB458F6196}"/>
              </a:ext>
            </a:extLst>
          </xdr:cNvPr>
          <xdr:cNvCxnSpPr>
            <a:stCxn id="178" idx="4"/>
            <a:endCxn id="180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Textfeld 181">
            <a:extLst>
              <a:ext uri="{FF2B5EF4-FFF2-40B4-BE49-F238E27FC236}">
                <a16:creationId xmlns:a16="http://schemas.microsoft.com/office/drawing/2014/main" id="{8347CB08-FCD4-A68B-0453-BD0D6CDBF977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83" name="Gruppieren 182">
          <a:extLst>
            <a:ext uri="{FF2B5EF4-FFF2-40B4-BE49-F238E27FC236}">
              <a16:creationId xmlns:a16="http://schemas.microsoft.com/office/drawing/2014/main" id="{4A037C9E-D85A-4780-9ACA-60D6FFCC768C}"/>
            </a:ext>
          </a:extLst>
        </xdr:cNvPr>
        <xdr:cNvGrpSpPr/>
      </xdr:nvGrpSpPr>
      <xdr:grpSpPr>
        <a:xfrm>
          <a:off x="5948080" y="41824976"/>
          <a:ext cx="476894" cy="5301550"/>
          <a:chOff x="8959850" y="3318320"/>
          <a:chExt cx="465916" cy="4346414"/>
        </a:xfrm>
      </xdr:grpSpPr>
      <xdr:sp macro="" textlink="">
        <xdr:nvSpPr>
          <xdr:cNvPr id="184" name="Rechteck 183">
            <a:extLst>
              <a:ext uri="{FF2B5EF4-FFF2-40B4-BE49-F238E27FC236}">
                <a16:creationId xmlns:a16="http://schemas.microsoft.com/office/drawing/2014/main" id="{F2C651FB-0B24-7EBE-35BD-722F65E77A9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5" name="Gerader Verbinder 184">
            <a:extLst>
              <a:ext uri="{FF2B5EF4-FFF2-40B4-BE49-F238E27FC236}">
                <a16:creationId xmlns:a16="http://schemas.microsoft.com/office/drawing/2014/main" id="{84BC848B-742F-B2C3-C66B-665E60EF010A}"/>
              </a:ext>
            </a:extLst>
          </xdr:cNvPr>
          <xdr:cNvCxnSpPr>
            <a:stCxn id="208" idx="4"/>
            <a:endCxn id="184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86" name="Gerader Verbinder 185">
            <a:extLst>
              <a:ext uri="{FF2B5EF4-FFF2-40B4-BE49-F238E27FC236}">
                <a16:creationId xmlns:a16="http://schemas.microsoft.com/office/drawing/2014/main" id="{AEDDFE22-C4BA-9033-7B61-A71F2C00C6C1}"/>
              </a:ext>
            </a:extLst>
          </xdr:cNvPr>
          <xdr:cNvCxnSpPr>
            <a:stCxn id="184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7" name="Textfeld 186">
            <a:extLst>
              <a:ext uri="{FF2B5EF4-FFF2-40B4-BE49-F238E27FC236}">
                <a16:creationId xmlns:a16="http://schemas.microsoft.com/office/drawing/2014/main" id="{ACBAA779-506E-90AF-FA09-79BAFBA2037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188" name="Gruppieren 187">
          <a:extLst>
            <a:ext uri="{FF2B5EF4-FFF2-40B4-BE49-F238E27FC236}">
              <a16:creationId xmlns:a16="http://schemas.microsoft.com/office/drawing/2014/main" id="{28F78CC0-FCA5-4AA7-BC20-EDE20120B4DF}"/>
            </a:ext>
          </a:extLst>
        </xdr:cNvPr>
        <xdr:cNvGrpSpPr/>
      </xdr:nvGrpSpPr>
      <xdr:grpSpPr>
        <a:xfrm>
          <a:off x="4744893" y="41822139"/>
          <a:ext cx="420052" cy="5269462"/>
          <a:chOff x="8962537" y="3292557"/>
          <a:chExt cx="411552" cy="3962878"/>
        </a:xfrm>
      </xdr:grpSpPr>
      <xdr:sp macro="" textlink="">
        <xdr:nvSpPr>
          <xdr:cNvPr id="189" name="Rechteck 188">
            <a:extLst>
              <a:ext uri="{FF2B5EF4-FFF2-40B4-BE49-F238E27FC236}">
                <a16:creationId xmlns:a16="http://schemas.microsoft.com/office/drawing/2014/main" id="{01D7E6F1-2061-3D21-FDDA-5A1C84FE1DE2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0" name="Gerader Verbinder 189">
            <a:extLst>
              <a:ext uri="{FF2B5EF4-FFF2-40B4-BE49-F238E27FC236}">
                <a16:creationId xmlns:a16="http://schemas.microsoft.com/office/drawing/2014/main" id="{75964405-6FF5-A673-72A1-A2FDA6A8EF68}"/>
              </a:ext>
            </a:extLst>
          </xdr:cNvPr>
          <xdr:cNvCxnSpPr>
            <a:stCxn id="204" idx="4"/>
            <a:endCxn id="189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1" name="Gerader Verbinder 190">
            <a:extLst>
              <a:ext uri="{FF2B5EF4-FFF2-40B4-BE49-F238E27FC236}">
                <a16:creationId xmlns:a16="http://schemas.microsoft.com/office/drawing/2014/main" id="{55C2A37C-9982-594E-21DC-292E04AC1ED2}"/>
              </a:ext>
            </a:extLst>
          </xdr:cNvPr>
          <xdr:cNvCxnSpPr>
            <a:stCxn id="189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2" name="Textfeld 191">
            <a:extLst>
              <a:ext uri="{FF2B5EF4-FFF2-40B4-BE49-F238E27FC236}">
                <a16:creationId xmlns:a16="http://schemas.microsoft.com/office/drawing/2014/main" id="{24FBE744-AB48-ECDF-1947-9BE4CCF4AD6A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193" name="Gruppieren 192">
          <a:extLst>
            <a:ext uri="{FF2B5EF4-FFF2-40B4-BE49-F238E27FC236}">
              <a16:creationId xmlns:a16="http://schemas.microsoft.com/office/drawing/2014/main" id="{48BF3F16-44BF-43F3-AAC8-AF4BA1988782}"/>
            </a:ext>
          </a:extLst>
        </xdr:cNvPr>
        <xdr:cNvGrpSpPr/>
      </xdr:nvGrpSpPr>
      <xdr:grpSpPr>
        <a:xfrm>
          <a:off x="1707822" y="41788896"/>
          <a:ext cx="426708" cy="4381047"/>
          <a:chOff x="8959850" y="3254331"/>
          <a:chExt cx="439393" cy="3010540"/>
        </a:xfrm>
      </xdr:grpSpPr>
      <xdr:sp macro="" textlink="">
        <xdr:nvSpPr>
          <xdr:cNvPr id="194" name="Rechteck 193">
            <a:extLst>
              <a:ext uri="{FF2B5EF4-FFF2-40B4-BE49-F238E27FC236}">
                <a16:creationId xmlns:a16="http://schemas.microsoft.com/office/drawing/2014/main" id="{84F0754A-EDC9-A2D5-F92C-3C48445012C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5" name="Gerader Verbinder 194">
            <a:extLst>
              <a:ext uri="{FF2B5EF4-FFF2-40B4-BE49-F238E27FC236}">
                <a16:creationId xmlns:a16="http://schemas.microsoft.com/office/drawing/2014/main" id="{2BB4F6FC-65E3-E89A-A2EB-D73D7C312EFE}"/>
              </a:ext>
            </a:extLst>
          </xdr:cNvPr>
          <xdr:cNvCxnSpPr>
            <a:endCxn id="194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04E57CFE-4B36-0658-14D2-9FDBF6F962BB}"/>
              </a:ext>
            </a:extLst>
          </xdr:cNvPr>
          <xdr:cNvCxnSpPr>
            <a:stCxn id="194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7" name="Textfeld 196">
            <a:extLst>
              <a:ext uri="{FF2B5EF4-FFF2-40B4-BE49-F238E27FC236}">
                <a16:creationId xmlns:a16="http://schemas.microsoft.com/office/drawing/2014/main" id="{8D6CC58F-6B6C-F4A8-AA15-D560D8F1A14A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198" name="Gerader Verbinder 197">
          <a:extLst>
            <a:ext uri="{FF2B5EF4-FFF2-40B4-BE49-F238E27FC236}">
              <a16:creationId xmlns:a16="http://schemas.microsoft.com/office/drawing/2014/main" id="{1944C9E0-F4B1-4142-92C3-B9399866D310}"/>
            </a:ext>
          </a:extLst>
        </xdr:cNvPr>
        <xdr:cNvCxnSpPr>
          <a:stCxn id="208" idx="6"/>
        </xdr:cNvCxnSpPr>
      </xdr:nvCxnSpPr>
      <xdr:spPr>
        <a:xfrm flipH="1">
          <a:off x="1885950" y="42276177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2979FB1E-3C62-4E5D-BF84-A0F4F8ABBB09}"/>
            </a:ext>
          </a:extLst>
        </xdr:cNvPr>
        <xdr:cNvCxnSpPr/>
      </xdr:nvCxnSpPr>
      <xdr:spPr>
        <a:xfrm flipH="1">
          <a:off x="1524000" y="4705544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FFE98438-EF7B-4DF2-8A0D-A28FDC83CF51}"/>
            </a:ext>
          </a:extLst>
        </xdr:cNvPr>
        <xdr:cNvCxnSpPr/>
      </xdr:nvCxnSpPr>
      <xdr:spPr>
        <a:xfrm flipH="1">
          <a:off x="1714954" y="4670665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01" name="Gerader Verbinder 200">
          <a:extLst>
            <a:ext uri="{FF2B5EF4-FFF2-40B4-BE49-F238E27FC236}">
              <a16:creationId xmlns:a16="http://schemas.microsoft.com/office/drawing/2014/main" id="{410FF696-D40C-453C-A3AB-C9B8A9BD4EC2}"/>
            </a:ext>
          </a:extLst>
        </xdr:cNvPr>
        <xdr:cNvCxnSpPr/>
      </xdr:nvCxnSpPr>
      <xdr:spPr>
        <a:xfrm flipH="1">
          <a:off x="1695450" y="4710384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02" name="Gerader Verbinder 201">
          <a:extLst>
            <a:ext uri="{FF2B5EF4-FFF2-40B4-BE49-F238E27FC236}">
              <a16:creationId xmlns:a16="http://schemas.microsoft.com/office/drawing/2014/main" id="{8E705A46-3AD0-4AC0-AA59-A248426F724D}"/>
            </a:ext>
          </a:extLst>
        </xdr:cNvPr>
        <xdr:cNvCxnSpPr>
          <a:endCxn id="210" idx="4"/>
        </xdr:cNvCxnSpPr>
      </xdr:nvCxnSpPr>
      <xdr:spPr>
        <a:xfrm>
          <a:off x="1876425" y="47123350"/>
          <a:ext cx="2325" cy="49520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03" name="Gerader Verbinder 202">
          <a:extLst>
            <a:ext uri="{FF2B5EF4-FFF2-40B4-BE49-F238E27FC236}">
              <a16:creationId xmlns:a16="http://schemas.microsoft.com/office/drawing/2014/main" id="{68199558-FFDD-4568-962B-C543D2861D39}"/>
            </a:ext>
          </a:extLst>
        </xdr:cNvPr>
        <xdr:cNvCxnSpPr>
          <a:cxnSpLocks/>
          <a:stCxn id="209" idx="5"/>
        </xdr:cNvCxnSpPr>
      </xdr:nvCxnSpPr>
      <xdr:spPr>
        <a:xfrm flipH="1" flipV="1">
          <a:off x="1857375" y="47592795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04" name="Ellipse 203">
          <a:extLst>
            <a:ext uri="{FF2B5EF4-FFF2-40B4-BE49-F238E27FC236}">
              <a16:creationId xmlns:a16="http://schemas.microsoft.com/office/drawing/2014/main" id="{D61CE888-0E0E-4A85-B624-FC5D5227736F}"/>
            </a:ext>
          </a:extLst>
        </xdr:cNvPr>
        <xdr:cNvSpPr/>
      </xdr:nvSpPr>
      <xdr:spPr>
        <a:xfrm>
          <a:off x="4886325" y="4222704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05" name="Ellipse 204">
          <a:extLst>
            <a:ext uri="{FF2B5EF4-FFF2-40B4-BE49-F238E27FC236}">
              <a16:creationId xmlns:a16="http://schemas.microsoft.com/office/drawing/2014/main" id="{3BD646D1-1590-4164-B365-3BD6DD5FA255}"/>
            </a:ext>
          </a:extLst>
        </xdr:cNvPr>
        <xdr:cNvSpPr/>
      </xdr:nvSpPr>
      <xdr:spPr>
        <a:xfrm>
          <a:off x="4886325" y="47569210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3C90A4AF-756D-498E-87E8-7A4DDB7C3C91}"/>
            </a:ext>
          </a:extLst>
        </xdr:cNvPr>
        <xdr:cNvCxnSpPr/>
      </xdr:nvCxnSpPr>
      <xdr:spPr>
        <a:xfrm flipH="1" flipV="1">
          <a:off x="1597269" y="46668593"/>
          <a:ext cx="581697" cy="299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07" name="Gerader Verbinder 206">
          <a:extLst>
            <a:ext uri="{FF2B5EF4-FFF2-40B4-BE49-F238E27FC236}">
              <a16:creationId xmlns:a16="http://schemas.microsoft.com/office/drawing/2014/main" id="{F680BE61-C0AA-4C29-86D7-09EC3CD12A9A}"/>
            </a:ext>
          </a:extLst>
        </xdr:cNvPr>
        <xdr:cNvCxnSpPr/>
      </xdr:nvCxnSpPr>
      <xdr:spPr>
        <a:xfrm>
          <a:off x="1875064" y="46707104"/>
          <a:ext cx="1361" cy="3495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08" name="Ellipse 207">
          <a:extLst>
            <a:ext uri="{FF2B5EF4-FFF2-40B4-BE49-F238E27FC236}">
              <a16:creationId xmlns:a16="http://schemas.microsoft.com/office/drawing/2014/main" id="{484B70D1-A5DF-4664-9E3C-5470D4561ADA}"/>
            </a:ext>
          </a:extLst>
        </xdr:cNvPr>
        <xdr:cNvSpPr/>
      </xdr:nvSpPr>
      <xdr:spPr>
        <a:xfrm>
          <a:off x="6022125" y="42232079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09" name="Ellipse 208">
          <a:extLst>
            <a:ext uri="{FF2B5EF4-FFF2-40B4-BE49-F238E27FC236}">
              <a16:creationId xmlns:a16="http://schemas.microsoft.com/office/drawing/2014/main" id="{C3B655DE-54A9-49B6-88A6-F802FDB9E86C}"/>
            </a:ext>
          </a:extLst>
        </xdr:cNvPr>
        <xdr:cNvSpPr/>
      </xdr:nvSpPr>
      <xdr:spPr>
        <a:xfrm>
          <a:off x="5971325" y="4754147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10" name="Ellipse 209">
          <a:extLst>
            <a:ext uri="{FF2B5EF4-FFF2-40B4-BE49-F238E27FC236}">
              <a16:creationId xmlns:a16="http://schemas.microsoft.com/office/drawing/2014/main" id="{5428695A-CAEB-42A7-9FB0-307FF76D299D}"/>
            </a:ext>
          </a:extLst>
        </xdr:cNvPr>
        <xdr:cNvSpPr/>
      </xdr:nvSpPr>
      <xdr:spPr>
        <a:xfrm>
          <a:off x="1831125" y="47524009"/>
          <a:ext cx="95250" cy="945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237</xdr:row>
      <xdr:rowOff>0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4304C7A7-A79B-4E82-989A-A58B8B227335}"/>
            </a:ext>
          </a:extLst>
        </xdr:cNvPr>
        <xdr:cNvGrpSpPr/>
      </xdr:nvGrpSpPr>
      <xdr:grpSpPr>
        <a:xfrm>
          <a:off x="5875573" y="50280454"/>
          <a:ext cx="486977" cy="5583671"/>
          <a:chOff x="8959850" y="2289804"/>
          <a:chExt cx="495429" cy="5374930"/>
        </a:xfrm>
      </xdr:grpSpPr>
      <xdr:sp macro="" textlink="">
        <xdr:nvSpPr>
          <xdr:cNvPr id="212" name="Rechteck 211">
            <a:extLst>
              <a:ext uri="{FF2B5EF4-FFF2-40B4-BE49-F238E27FC236}">
                <a16:creationId xmlns:a16="http://schemas.microsoft.com/office/drawing/2014/main" id="{C264CAC7-1286-6759-F101-B5E417221927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3" name="Gerader Verbinder 212">
            <a:extLst>
              <a:ext uri="{FF2B5EF4-FFF2-40B4-BE49-F238E27FC236}">
                <a16:creationId xmlns:a16="http://schemas.microsoft.com/office/drawing/2014/main" id="{765B2529-8273-91E8-415B-C18054C3B75A}"/>
              </a:ext>
            </a:extLst>
          </xdr:cNvPr>
          <xdr:cNvCxnSpPr>
            <a:stCxn id="229" idx="4"/>
            <a:endCxn id="212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4" name="Gerader Verbinder 213">
            <a:extLst>
              <a:ext uri="{FF2B5EF4-FFF2-40B4-BE49-F238E27FC236}">
                <a16:creationId xmlns:a16="http://schemas.microsoft.com/office/drawing/2014/main" id="{3A83F0AC-BCE2-D18C-46BE-E8792C93A4EB}"/>
              </a:ext>
            </a:extLst>
          </xdr:cNvPr>
          <xdr:cNvCxnSpPr>
            <a:stCxn id="212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5" name="Textfeld 214">
            <a:extLst>
              <a:ext uri="{FF2B5EF4-FFF2-40B4-BE49-F238E27FC236}">
                <a16:creationId xmlns:a16="http://schemas.microsoft.com/office/drawing/2014/main" id="{F85BFFE0-065E-62D4-3483-D7BF2C646DEB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16" name="Gruppieren 215">
          <a:extLst>
            <a:ext uri="{FF2B5EF4-FFF2-40B4-BE49-F238E27FC236}">
              <a16:creationId xmlns:a16="http://schemas.microsoft.com/office/drawing/2014/main" id="{580B9708-8A7D-4F82-8EB5-760F73C174A6}"/>
            </a:ext>
          </a:extLst>
        </xdr:cNvPr>
        <xdr:cNvGrpSpPr/>
      </xdr:nvGrpSpPr>
      <xdr:grpSpPr>
        <a:xfrm>
          <a:off x="1688181" y="50250725"/>
          <a:ext cx="473739" cy="4092122"/>
          <a:chOff x="8939955" y="3254331"/>
          <a:chExt cx="487058" cy="3010540"/>
        </a:xfrm>
      </xdr:grpSpPr>
      <xdr:sp macro="" textlink="">
        <xdr:nvSpPr>
          <xdr:cNvPr id="217" name="Rechteck 216">
            <a:extLst>
              <a:ext uri="{FF2B5EF4-FFF2-40B4-BE49-F238E27FC236}">
                <a16:creationId xmlns:a16="http://schemas.microsoft.com/office/drawing/2014/main" id="{CB3BBDE5-2A4B-A535-382D-42EBE7F7112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7861FAA3-271D-BF1A-7D87-F513DC0E4474}"/>
              </a:ext>
            </a:extLst>
          </xdr:cNvPr>
          <xdr:cNvCxnSpPr>
            <a:endCxn id="21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9" name="Gerader Verbinder 218">
            <a:extLst>
              <a:ext uri="{FF2B5EF4-FFF2-40B4-BE49-F238E27FC236}">
                <a16:creationId xmlns:a16="http://schemas.microsoft.com/office/drawing/2014/main" id="{C1762107-65DC-53ED-6928-A93859BCF292}"/>
              </a:ext>
            </a:extLst>
          </xdr:cNvPr>
          <xdr:cNvCxnSpPr>
            <a:stCxn id="21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20" name="Textfeld 219">
            <a:extLst>
              <a:ext uri="{FF2B5EF4-FFF2-40B4-BE49-F238E27FC236}">
                <a16:creationId xmlns:a16="http://schemas.microsoft.com/office/drawing/2014/main" id="{58BD2623-66C6-5413-609F-323BD804EC79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21" name="Gerader Verbinder 220">
          <a:extLst>
            <a:ext uri="{FF2B5EF4-FFF2-40B4-BE49-F238E27FC236}">
              <a16:creationId xmlns:a16="http://schemas.microsoft.com/office/drawing/2014/main" id="{64D9F6EF-CB5E-410A-AC75-2E3794A38DF9}"/>
            </a:ext>
          </a:extLst>
        </xdr:cNvPr>
        <xdr:cNvCxnSpPr>
          <a:stCxn id="229" idx="6"/>
        </xdr:cNvCxnSpPr>
      </xdr:nvCxnSpPr>
      <xdr:spPr>
        <a:xfrm flipH="1">
          <a:off x="1885950" y="5090628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F201A006-DB1D-41CF-B4C8-2770392DC57E}"/>
            </a:ext>
          </a:extLst>
        </xdr:cNvPr>
        <xdr:cNvCxnSpPr/>
      </xdr:nvCxnSpPr>
      <xdr:spPr>
        <a:xfrm flipH="1">
          <a:off x="1524000" y="55317251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4B4C9223-C6B9-40A7-9B58-179FFE4F3AA2}"/>
            </a:ext>
          </a:extLst>
        </xdr:cNvPr>
        <xdr:cNvCxnSpPr/>
      </xdr:nvCxnSpPr>
      <xdr:spPr>
        <a:xfrm flipH="1">
          <a:off x="1714954" y="55095456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90440322-514B-4FFF-A6E5-8C04CA21FC26}"/>
            </a:ext>
          </a:extLst>
        </xdr:cNvPr>
        <xdr:cNvCxnSpPr/>
      </xdr:nvCxnSpPr>
      <xdr:spPr>
        <a:xfrm flipH="1">
          <a:off x="1724025" y="5559425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25" name="Gerader Verbinder 224">
          <a:extLst>
            <a:ext uri="{FF2B5EF4-FFF2-40B4-BE49-F238E27FC236}">
              <a16:creationId xmlns:a16="http://schemas.microsoft.com/office/drawing/2014/main" id="{F4A59D43-E3DD-43D7-85DF-1516CE04AAE1}"/>
            </a:ext>
          </a:extLst>
        </xdr:cNvPr>
        <xdr:cNvCxnSpPr/>
      </xdr:nvCxnSpPr>
      <xdr:spPr>
        <a:xfrm flipH="1">
          <a:off x="1857375" y="55610125"/>
          <a:ext cx="9525" cy="9525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60A513B6-832A-4F64-9764-BBA35913D50D}"/>
            </a:ext>
          </a:extLst>
        </xdr:cNvPr>
        <xdr:cNvCxnSpPr>
          <a:cxnSpLocks/>
        </xdr:cNvCxnSpPr>
      </xdr:nvCxnSpPr>
      <xdr:spPr>
        <a:xfrm flipH="1" flipV="1">
          <a:off x="1857375" y="565372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27" name="Gerader Verbinder 226">
          <a:extLst>
            <a:ext uri="{FF2B5EF4-FFF2-40B4-BE49-F238E27FC236}">
              <a16:creationId xmlns:a16="http://schemas.microsoft.com/office/drawing/2014/main" id="{2B5EEAFE-A5A2-4CD4-A08A-8F71185490B2}"/>
            </a:ext>
          </a:extLst>
        </xdr:cNvPr>
        <xdr:cNvCxnSpPr/>
      </xdr:nvCxnSpPr>
      <xdr:spPr>
        <a:xfrm flipH="1">
          <a:off x="1575288" y="55054046"/>
          <a:ext cx="60367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28" name="Gerader Verbinder 227">
          <a:extLst>
            <a:ext uri="{FF2B5EF4-FFF2-40B4-BE49-F238E27FC236}">
              <a16:creationId xmlns:a16="http://schemas.microsoft.com/office/drawing/2014/main" id="{879532BD-3E38-471E-BCD7-2003B99AB794}"/>
            </a:ext>
          </a:extLst>
        </xdr:cNvPr>
        <xdr:cNvCxnSpPr/>
      </xdr:nvCxnSpPr>
      <xdr:spPr>
        <a:xfrm flipH="1">
          <a:off x="1878239" y="55099083"/>
          <a:ext cx="0" cy="2508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29" name="Ellipse 228">
          <a:extLst>
            <a:ext uri="{FF2B5EF4-FFF2-40B4-BE49-F238E27FC236}">
              <a16:creationId xmlns:a16="http://schemas.microsoft.com/office/drawing/2014/main" id="{4A2E53BB-5D74-4AB2-A8D9-461FBB0AD644}"/>
            </a:ext>
          </a:extLst>
        </xdr:cNvPr>
        <xdr:cNvSpPr/>
      </xdr:nvSpPr>
      <xdr:spPr>
        <a:xfrm>
          <a:off x="6022125" y="50855833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30" name="Ellipse 229">
          <a:extLst>
            <a:ext uri="{FF2B5EF4-FFF2-40B4-BE49-F238E27FC236}">
              <a16:creationId xmlns:a16="http://schemas.microsoft.com/office/drawing/2014/main" id="{747A741B-8F64-4878-9EB3-DE8CF9F2E0A8}"/>
            </a:ext>
          </a:extLst>
        </xdr:cNvPr>
        <xdr:cNvSpPr/>
      </xdr:nvSpPr>
      <xdr:spPr>
        <a:xfrm>
          <a:off x="5990375" y="56495427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31" name="Ellipse 230">
          <a:extLst>
            <a:ext uri="{FF2B5EF4-FFF2-40B4-BE49-F238E27FC236}">
              <a16:creationId xmlns:a16="http://schemas.microsoft.com/office/drawing/2014/main" id="{B0FA00AA-226E-474B-BD01-C6D72182CCDC}"/>
            </a:ext>
          </a:extLst>
        </xdr:cNvPr>
        <xdr:cNvSpPr/>
      </xdr:nvSpPr>
      <xdr:spPr>
        <a:xfrm>
          <a:off x="1821600" y="5646843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0D7EC2A5-24DD-4413-8DAD-829B39D17A04}"/>
            </a:ext>
          </a:extLst>
        </xdr:cNvPr>
        <xdr:cNvGrpSpPr/>
      </xdr:nvGrpSpPr>
      <xdr:grpSpPr>
        <a:xfrm>
          <a:off x="5876357" y="58097739"/>
          <a:ext cx="474363" cy="3159125"/>
          <a:chOff x="8959665" y="2585803"/>
          <a:chExt cx="463443" cy="3651126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FA6C45C3-34CA-2AA2-249B-EFA2E81B4730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2A326DF-2BF9-3B0A-8C7E-8C3DF7738FE3}"/>
              </a:ext>
            </a:extLst>
          </xdr:cNvPr>
          <xdr:cNvCxnSpPr>
            <a:endCxn id="233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EC454394-B150-3C49-EAA1-AD7B1E7B50F3}"/>
              </a:ext>
            </a:extLst>
          </xdr:cNvPr>
          <xdr:cNvCxnSpPr>
            <a:stCxn id="233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8E4D59BC-1ABC-631E-2F0F-3F5ED3A43792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8DF735A5-A02E-40CC-AACF-E410DE5635ED}"/>
            </a:ext>
          </a:extLst>
        </xdr:cNvPr>
        <xdr:cNvCxnSpPr>
          <a:cxnSpLocks/>
        </xdr:cNvCxnSpPr>
      </xdr:nvCxnSpPr>
      <xdr:spPr>
        <a:xfrm flipH="1">
          <a:off x="1877493" y="58912125"/>
          <a:ext cx="46557" cy="21090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63135489-57D4-4DFE-8D25-565CBDB533DC}"/>
            </a:ext>
          </a:extLst>
        </xdr:cNvPr>
        <xdr:cNvCxnSpPr/>
      </xdr:nvCxnSpPr>
      <xdr:spPr>
        <a:xfrm flipH="1">
          <a:off x="1847850" y="5889589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D2026D81-0329-48C2-A7FF-5160F2B1A555}"/>
            </a:ext>
          </a:extLst>
        </xdr:cNvPr>
        <xdr:cNvCxnSpPr/>
      </xdr:nvCxnSpPr>
      <xdr:spPr>
        <a:xfrm flipH="1">
          <a:off x="1524000" y="61274868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63BEBE56-4B99-4D39-B055-FFA14C6699C5}"/>
            </a:ext>
          </a:extLst>
        </xdr:cNvPr>
        <xdr:cNvCxnSpPr/>
      </xdr:nvCxnSpPr>
      <xdr:spPr>
        <a:xfrm flipH="1">
          <a:off x="1714954" y="61059423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56ED149C-A701-463A-A38A-7E6CCC49CD89}"/>
            </a:ext>
          </a:extLst>
        </xdr:cNvPr>
        <xdr:cNvCxnSpPr/>
      </xdr:nvCxnSpPr>
      <xdr:spPr>
        <a:xfrm flipH="1">
          <a:off x="1724025" y="61361367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0A84971E-F452-438D-891F-D93F8E6107EA}"/>
            </a:ext>
          </a:extLst>
        </xdr:cNvPr>
        <xdr:cNvCxnSpPr/>
      </xdr:nvCxnSpPr>
      <xdr:spPr>
        <a:xfrm flipH="1">
          <a:off x="1857375" y="61386767"/>
          <a:ext cx="9525" cy="71623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3FEF0455-C0CC-4FE3-A4E9-3FF614F1D058}"/>
            </a:ext>
          </a:extLst>
        </xdr:cNvPr>
        <xdr:cNvCxnSpPr>
          <a:cxnSpLocks/>
        </xdr:cNvCxnSpPr>
      </xdr:nvCxnSpPr>
      <xdr:spPr>
        <a:xfrm flipH="1" flipV="1">
          <a:off x="1870982" y="62076648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515E6B6-CD7F-4698-9B5B-3241ADC41E2C}"/>
            </a:ext>
          </a:extLst>
        </xdr:cNvPr>
        <xdr:cNvCxnSpPr/>
      </xdr:nvCxnSpPr>
      <xdr:spPr>
        <a:xfrm flipH="1">
          <a:off x="1568938" y="61024363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4D5A26D5-7A12-45F5-889C-2C0347EB4276}"/>
            </a:ext>
          </a:extLst>
        </xdr:cNvPr>
        <xdr:cNvCxnSpPr/>
      </xdr:nvCxnSpPr>
      <xdr:spPr>
        <a:xfrm flipH="1">
          <a:off x="1878239" y="61069400"/>
          <a:ext cx="0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75AB15B9-5A28-44EF-8585-9E40633BF288}"/>
            </a:ext>
          </a:extLst>
        </xdr:cNvPr>
        <xdr:cNvSpPr/>
      </xdr:nvSpPr>
      <xdr:spPr>
        <a:xfrm>
          <a:off x="6031650" y="5886450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D98DDC0-4B93-414F-AA1A-5AE98EE8949E}"/>
            </a:ext>
          </a:extLst>
        </xdr:cNvPr>
        <xdr:cNvSpPr/>
      </xdr:nvSpPr>
      <xdr:spPr>
        <a:xfrm>
          <a:off x="5999900" y="62075219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48" name="Ellipse 247">
          <a:extLst>
            <a:ext uri="{FF2B5EF4-FFF2-40B4-BE49-F238E27FC236}">
              <a16:creationId xmlns:a16="http://schemas.microsoft.com/office/drawing/2014/main" id="{4FC45F61-642B-4324-9F17-3A77B3D48C5B}"/>
            </a:ext>
          </a:extLst>
        </xdr:cNvPr>
        <xdr:cNvSpPr/>
      </xdr:nvSpPr>
      <xdr:spPr>
        <a:xfrm>
          <a:off x="1816954" y="6201771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49" name="Ellipse 248">
          <a:extLst>
            <a:ext uri="{FF2B5EF4-FFF2-40B4-BE49-F238E27FC236}">
              <a16:creationId xmlns:a16="http://schemas.microsoft.com/office/drawing/2014/main" id="{59C1B7ED-0F2B-44DB-9CBC-6FAF7F3A59A1}"/>
            </a:ext>
          </a:extLst>
        </xdr:cNvPr>
        <xdr:cNvSpPr/>
      </xdr:nvSpPr>
      <xdr:spPr>
        <a:xfrm>
          <a:off x="1869457" y="5886256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50" name="Pfeil: nach rechts 2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88A6BA-6AA3-4857-970D-20627D097E06}"/>
            </a:ext>
          </a:extLst>
        </xdr:cNvPr>
        <xdr:cNvSpPr/>
      </xdr:nvSpPr>
      <xdr:spPr>
        <a:xfrm rot="10800000">
          <a:off x="470647" y="264086"/>
          <a:ext cx="731557" cy="60549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51" name="Gerade Verbindung mit Pfeil 250">
          <a:extLst>
            <a:ext uri="{FF2B5EF4-FFF2-40B4-BE49-F238E27FC236}">
              <a16:creationId xmlns:a16="http://schemas.microsoft.com/office/drawing/2014/main" id="{F55185AA-96AC-48F3-A923-5C2398F50D9E}"/>
            </a:ext>
          </a:extLst>
        </xdr:cNvPr>
        <xdr:cNvCxnSpPr/>
      </xdr:nvCxnSpPr>
      <xdr:spPr>
        <a:xfrm>
          <a:off x="923636" y="5476009"/>
          <a:ext cx="0" cy="2612737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52" name="Textfeld 251">
          <a:extLst>
            <a:ext uri="{FF2B5EF4-FFF2-40B4-BE49-F238E27FC236}">
              <a16:creationId xmlns:a16="http://schemas.microsoft.com/office/drawing/2014/main" id="{0A74737B-38FA-4D78-8963-C33DFE94BA0C}"/>
            </a:ext>
          </a:extLst>
        </xdr:cNvPr>
        <xdr:cNvSpPr txBox="1"/>
      </xdr:nvSpPr>
      <xdr:spPr>
        <a:xfrm>
          <a:off x="181444" y="5589455"/>
          <a:ext cx="715588" cy="1296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53" name="Pfeil: nach oben 252">
          <a:extLst>
            <a:ext uri="{FF2B5EF4-FFF2-40B4-BE49-F238E27FC236}">
              <a16:creationId xmlns:a16="http://schemas.microsoft.com/office/drawing/2014/main" id="{B9C1E0EE-1E62-499F-B011-60B979F90C93}"/>
            </a:ext>
          </a:extLst>
        </xdr:cNvPr>
        <xdr:cNvSpPr/>
      </xdr:nvSpPr>
      <xdr:spPr>
        <a:xfrm>
          <a:off x="1446696" y="4481443"/>
          <a:ext cx="154608" cy="456372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54" name="Textfeld 253">
          <a:extLst>
            <a:ext uri="{FF2B5EF4-FFF2-40B4-BE49-F238E27FC236}">
              <a16:creationId xmlns:a16="http://schemas.microsoft.com/office/drawing/2014/main" id="{76EB4725-7C10-4162-A6E6-2CB9162985ED}"/>
            </a:ext>
          </a:extLst>
        </xdr:cNvPr>
        <xdr:cNvSpPr txBox="1"/>
      </xdr:nvSpPr>
      <xdr:spPr>
        <a:xfrm>
          <a:off x="981365" y="4400551"/>
          <a:ext cx="492940" cy="6256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55" name="Gerade Verbindung mit Pfeil 254">
          <a:extLst>
            <a:ext uri="{FF2B5EF4-FFF2-40B4-BE49-F238E27FC236}">
              <a16:creationId xmlns:a16="http://schemas.microsoft.com/office/drawing/2014/main" id="{6EDC038C-9CEF-40F8-A0DE-E1F28AF633E7}"/>
            </a:ext>
          </a:extLst>
        </xdr:cNvPr>
        <xdr:cNvCxnSpPr/>
      </xdr:nvCxnSpPr>
      <xdr:spPr>
        <a:xfrm>
          <a:off x="933946" y="20191720"/>
          <a:ext cx="0" cy="19018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56" name="Textfeld 255">
          <a:extLst>
            <a:ext uri="{FF2B5EF4-FFF2-40B4-BE49-F238E27FC236}">
              <a16:creationId xmlns:a16="http://schemas.microsoft.com/office/drawing/2014/main" id="{166A3F14-60CF-4071-9BB3-5F638437A769}"/>
            </a:ext>
          </a:extLst>
        </xdr:cNvPr>
        <xdr:cNvSpPr txBox="1"/>
      </xdr:nvSpPr>
      <xdr:spPr>
        <a:xfrm>
          <a:off x="480391" y="20985093"/>
          <a:ext cx="715588" cy="6756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57" name="Pfeil: nach oben 256">
          <a:extLst>
            <a:ext uri="{FF2B5EF4-FFF2-40B4-BE49-F238E27FC236}">
              <a16:creationId xmlns:a16="http://schemas.microsoft.com/office/drawing/2014/main" id="{1F93C272-4D71-47F6-9649-F4D100B72970}"/>
            </a:ext>
          </a:extLst>
        </xdr:cNvPr>
        <xdr:cNvSpPr/>
      </xdr:nvSpPr>
      <xdr:spPr>
        <a:xfrm>
          <a:off x="1457006" y="19203504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58" name="Textfeld 257">
          <a:extLst>
            <a:ext uri="{FF2B5EF4-FFF2-40B4-BE49-F238E27FC236}">
              <a16:creationId xmlns:a16="http://schemas.microsoft.com/office/drawing/2014/main" id="{0CDEF944-5471-4576-A815-050AA0218754}"/>
            </a:ext>
          </a:extLst>
        </xdr:cNvPr>
        <xdr:cNvSpPr txBox="1"/>
      </xdr:nvSpPr>
      <xdr:spPr>
        <a:xfrm>
          <a:off x="934357" y="19197983"/>
          <a:ext cx="550257" cy="62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59" name="Gerade Verbindung mit Pfeil 258">
          <a:extLst>
            <a:ext uri="{FF2B5EF4-FFF2-40B4-BE49-F238E27FC236}">
              <a16:creationId xmlns:a16="http://schemas.microsoft.com/office/drawing/2014/main" id="{FF03A1C2-649C-4AB9-892D-06431B6E1000}"/>
            </a:ext>
          </a:extLst>
        </xdr:cNvPr>
        <xdr:cNvCxnSpPr/>
      </xdr:nvCxnSpPr>
      <xdr:spPr>
        <a:xfrm>
          <a:off x="884250" y="30336811"/>
          <a:ext cx="0" cy="12922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60" name="Textfeld 259">
          <a:extLst>
            <a:ext uri="{FF2B5EF4-FFF2-40B4-BE49-F238E27FC236}">
              <a16:creationId xmlns:a16="http://schemas.microsoft.com/office/drawing/2014/main" id="{999C0374-51D6-4AF9-93A7-A4035BEF2E06}"/>
            </a:ext>
          </a:extLst>
        </xdr:cNvPr>
        <xdr:cNvSpPr txBox="1"/>
      </xdr:nvSpPr>
      <xdr:spPr>
        <a:xfrm>
          <a:off x="381000" y="30436704"/>
          <a:ext cx="765283" cy="81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61" name="Pfeil: nach oben 260">
          <a:extLst>
            <a:ext uri="{FF2B5EF4-FFF2-40B4-BE49-F238E27FC236}">
              <a16:creationId xmlns:a16="http://schemas.microsoft.com/office/drawing/2014/main" id="{7ED3E512-E09E-44CA-AA51-5C77CC32D120}"/>
            </a:ext>
          </a:extLst>
        </xdr:cNvPr>
        <xdr:cNvSpPr/>
      </xdr:nvSpPr>
      <xdr:spPr>
        <a:xfrm>
          <a:off x="1407310" y="29589895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62" name="Textfeld 261">
          <a:extLst>
            <a:ext uri="{FF2B5EF4-FFF2-40B4-BE49-F238E27FC236}">
              <a16:creationId xmlns:a16="http://schemas.microsoft.com/office/drawing/2014/main" id="{9FBB3374-D0BE-491F-AA61-2B514FB6E5F3}"/>
            </a:ext>
          </a:extLst>
        </xdr:cNvPr>
        <xdr:cNvSpPr txBox="1"/>
      </xdr:nvSpPr>
      <xdr:spPr>
        <a:xfrm>
          <a:off x="958273" y="29159777"/>
          <a:ext cx="476645" cy="9325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63" name="Gerade Verbindung mit Pfeil 262">
          <a:extLst>
            <a:ext uri="{FF2B5EF4-FFF2-40B4-BE49-F238E27FC236}">
              <a16:creationId xmlns:a16="http://schemas.microsoft.com/office/drawing/2014/main" id="{6A125E10-7FE6-4909-BF26-9D5891AC2998}"/>
            </a:ext>
          </a:extLst>
        </xdr:cNvPr>
        <xdr:cNvCxnSpPr/>
      </xdr:nvCxnSpPr>
      <xdr:spPr>
        <a:xfrm>
          <a:off x="1287338" y="38528862"/>
          <a:ext cx="0" cy="132396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64" name="Textfeld 263">
          <a:extLst>
            <a:ext uri="{FF2B5EF4-FFF2-40B4-BE49-F238E27FC236}">
              <a16:creationId xmlns:a16="http://schemas.microsoft.com/office/drawing/2014/main" id="{328D1882-43D5-4896-9298-ED367262472A}"/>
            </a:ext>
          </a:extLst>
        </xdr:cNvPr>
        <xdr:cNvSpPr txBox="1"/>
      </xdr:nvSpPr>
      <xdr:spPr>
        <a:xfrm>
          <a:off x="776179" y="39065513"/>
          <a:ext cx="721938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65" name="Pfeil: nach oben 264">
          <a:extLst>
            <a:ext uri="{FF2B5EF4-FFF2-40B4-BE49-F238E27FC236}">
              <a16:creationId xmlns:a16="http://schemas.microsoft.com/office/drawing/2014/main" id="{D5836D4E-FBD3-46FD-BD2F-C196F3D16503}"/>
            </a:ext>
          </a:extLst>
        </xdr:cNvPr>
        <xdr:cNvSpPr/>
      </xdr:nvSpPr>
      <xdr:spPr>
        <a:xfrm>
          <a:off x="1810398" y="37369196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66" name="Textfeld 265">
          <a:extLst>
            <a:ext uri="{FF2B5EF4-FFF2-40B4-BE49-F238E27FC236}">
              <a16:creationId xmlns:a16="http://schemas.microsoft.com/office/drawing/2014/main" id="{944E8CE0-073C-441A-B1A0-D6436A36D1EE}"/>
            </a:ext>
          </a:extLst>
        </xdr:cNvPr>
        <xdr:cNvSpPr txBox="1"/>
      </xdr:nvSpPr>
      <xdr:spPr>
        <a:xfrm>
          <a:off x="1265464" y="37233678"/>
          <a:ext cx="575717" cy="9034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67" name="Gerade Verbindung mit Pfeil 266">
          <a:extLst>
            <a:ext uri="{FF2B5EF4-FFF2-40B4-BE49-F238E27FC236}">
              <a16:creationId xmlns:a16="http://schemas.microsoft.com/office/drawing/2014/main" id="{9CA28309-5B57-43F2-8510-785471486193}"/>
            </a:ext>
          </a:extLst>
        </xdr:cNvPr>
        <xdr:cNvCxnSpPr/>
      </xdr:nvCxnSpPr>
      <xdr:spPr>
        <a:xfrm>
          <a:off x="1287338" y="45922747"/>
          <a:ext cx="0" cy="15589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68" name="Textfeld 267">
          <a:extLst>
            <a:ext uri="{FF2B5EF4-FFF2-40B4-BE49-F238E27FC236}">
              <a16:creationId xmlns:a16="http://schemas.microsoft.com/office/drawing/2014/main" id="{10806E74-4D3B-4594-82F2-38D261F72589}"/>
            </a:ext>
          </a:extLst>
        </xdr:cNvPr>
        <xdr:cNvSpPr txBox="1"/>
      </xdr:nvSpPr>
      <xdr:spPr>
        <a:xfrm>
          <a:off x="789787" y="46417216"/>
          <a:ext cx="721938" cy="5979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69" name="Pfeil: nach oben 268">
          <a:extLst>
            <a:ext uri="{FF2B5EF4-FFF2-40B4-BE49-F238E27FC236}">
              <a16:creationId xmlns:a16="http://schemas.microsoft.com/office/drawing/2014/main" id="{E80FF9F2-9921-4066-83C7-32376549DDF5}"/>
            </a:ext>
          </a:extLst>
        </xdr:cNvPr>
        <xdr:cNvSpPr/>
      </xdr:nvSpPr>
      <xdr:spPr>
        <a:xfrm>
          <a:off x="1810398" y="45175831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70" name="Textfeld 269">
          <a:extLst>
            <a:ext uri="{FF2B5EF4-FFF2-40B4-BE49-F238E27FC236}">
              <a16:creationId xmlns:a16="http://schemas.microsoft.com/office/drawing/2014/main" id="{5FF12ADD-5425-4C8C-84A3-7BF37227E43C}"/>
            </a:ext>
          </a:extLst>
        </xdr:cNvPr>
        <xdr:cNvSpPr txBox="1"/>
      </xdr:nvSpPr>
      <xdr:spPr>
        <a:xfrm>
          <a:off x="1265464" y="44913550"/>
          <a:ext cx="575717" cy="7762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71" name="Gerade Verbindung mit Pfeil 270">
          <a:extLst>
            <a:ext uri="{FF2B5EF4-FFF2-40B4-BE49-F238E27FC236}">
              <a16:creationId xmlns:a16="http://schemas.microsoft.com/office/drawing/2014/main" id="{C4BC860A-0925-4CDB-8244-88E02868F4E9}"/>
            </a:ext>
          </a:extLst>
        </xdr:cNvPr>
        <xdr:cNvCxnSpPr/>
      </xdr:nvCxnSpPr>
      <xdr:spPr>
        <a:xfrm>
          <a:off x="1292860" y="54363278"/>
          <a:ext cx="0" cy="1630696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72" name="Textfeld 271">
          <a:extLst>
            <a:ext uri="{FF2B5EF4-FFF2-40B4-BE49-F238E27FC236}">
              <a16:creationId xmlns:a16="http://schemas.microsoft.com/office/drawing/2014/main" id="{93417CD5-C7B1-470E-92C0-C918A43500FC}"/>
            </a:ext>
          </a:extLst>
        </xdr:cNvPr>
        <xdr:cNvSpPr txBox="1"/>
      </xdr:nvSpPr>
      <xdr:spPr>
        <a:xfrm>
          <a:off x="798484" y="54861830"/>
          <a:ext cx="712413" cy="5128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73" name="Pfeil: nach oben 272">
          <a:extLst>
            <a:ext uri="{FF2B5EF4-FFF2-40B4-BE49-F238E27FC236}">
              <a16:creationId xmlns:a16="http://schemas.microsoft.com/office/drawing/2014/main" id="{4550657A-A2D1-4B66-89A0-AE79C211DFEC}"/>
            </a:ext>
          </a:extLst>
        </xdr:cNvPr>
        <xdr:cNvSpPr/>
      </xdr:nvSpPr>
      <xdr:spPr>
        <a:xfrm>
          <a:off x="1815920" y="53305213"/>
          <a:ext cx="154608" cy="414130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74" name="Textfeld 273">
          <a:extLst>
            <a:ext uri="{FF2B5EF4-FFF2-40B4-BE49-F238E27FC236}">
              <a16:creationId xmlns:a16="http://schemas.microsoft.com/office/drawing/2014/main" id="{5AF0AEC1-051D-4B08-93EA-BBD27C9F7AD8}"/>
            </a:ext>
          </a:extLst>
        </xdr:cNvPr>
        <xdr:cNvSpPr txBox="1"/>
      </xdr:nvSpPr>
      <xdr:spPr>
        <a:xfrm>
          <a:off x="1306286" y="53213907"/>
          <a:ext cx="534067" cy="7449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75" name="Gerade Verbindung mit Pfeil 274">
          <a:extLst>
            <a:ext uri="{FF2B5EF4-FFF2-40B4-BE49-F238E27FC236}">
              <a16:creationId xmlns:a16="http://schemas.microsoft.com/office/drawing/2014/main" id="{B0C31531-82B7-4C90-A9EB-ABF47B60334F}"/>
            </a:ext>
          </a:extLst>
        </xdr:cNvPr>
        <xdr:cNvCxnSpPr/>
      </xdr:nvCxnSpPr>
      <xdr:spPr>
        <a:xfrm>
          <a:off x="1270773" y="60174633"/>
          <a:ext cx="0" cy="1484645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76" name="Textfeld 275">
          <a:extLst>
            <a:ext uri="{FF2B5EF4-FFF2-40B4-BE49-F238E27FC236}">
              <a16:creationId xmlns:a16="http://schemas.microsoft.com/office/drawing/2014/main" id="{64358763-B98D-4A17-A57F-32511A2E20C5}"/>
            </a:ext>
          </a:extLst>
        </xdr:cNvPr>
        <xdr:cNvSpPr txBox="1"/>
      </xdr:nvSpPr>
      <xdr:spPr>
        <a:xfrm>
          <a:off x="762789" y="60890899"/>
          <a:ext cx="718763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77" name="Pfeil: nach oben 276">
          <a:extLst>
            <a:ext uri="{FF2B5EF4-FFF2-40B4-BE49-F238E27FC236}">
              <a16:creationId xmlns:a16="http://schemas.microsoft.com/office/drawing/2014/main" id="{CD842404-8731-4E79-B0FB-F450EAB6DFA8}"/>
            </a:ext>
          </a:extLst>
        </xdr:cNvPr>
        <xdr:cNvSpPr/>
      </xdr:nvSpPr>
      <xdr:spPr>
        <a:xfrm>
          <a:off x="1793833" y="59618217"/>
          <a:ext cx="154608" cy="244613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78" name="Textfeld 277">
          <a:extLst>
            <a:ext uri="{FF2B5EF4-FFF2-40B4-BE49-F238E27FC236}">
              <a16:creationId xmlns:a16="http://schemas.microsoft.com/office/drawing/2014/main" id="{9E536692-6E64-4604-81A8-62B39E5FB468}"/>
            </a:ext>
          </a:extLst>
        </xdr:cNvPr>
        <xdr:cNvSpPr txBox="1"/>
      </xdr:nvSpPr>
      <xdr:spPr>
        <a:xfrm>
          <a:off x="1224643" y="59517643"/>
          <a:ext cx="593623" cy="4367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279" name="Gerader Verbinder 278">
          <a:extLst>
            <a:ext uri="{FF2B5EF4-FFF2-40B4-BE49-F238E27FC236}">
              <a16:creationId xmlns:a16="http://schemas.microsoft.com/office/drawing/2014/main" id="{BEF703F0-CAF9-4030-9F3F-C3E8BD04FDEB}"/>
            </a:ext>
          </a:extLst>
        </xdr:cNvPr>
        <xdr:cNvCxnSpPr/>
      </xdr:nvCxnSpPr>
      <xdr:spPr>
        <a:xfrm flipH="1" flipV="1">
          <a:off x="1454150" y="32240532"/>
          <a:ext cx="8401050" cy="444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280" name="Ellipse 279">
          <a:extLst>
            <a:ext uri="{FF2B5EF4-FFF2-40B4-BE49-F238E27FC236}">
              <a16:creationId xmlns:a16="http://schemas.microsoft.com/office/drawing/2014/main" id="{2674E4B5-B66A-4698-9E3E-2A6C839F2756}"/>
            </a:ext>
          </a:extLst>
        </xdr:cNvPr>
        <xdr:cNvSpPr/>
      </xdr:nvSpPr>
      <xdr:spPr>
        <a:xfrm>
          <a:off x="4648200" y="322008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281" name="Ellipse 280">
          <a:extLst>
            <a:ext uri="{FF2B5EF4-FFF2-40B4-BE49-F238E27FC236}">
              <a16:creationId xmlns:a16="http://schemas.microsoft.com/office/drawing/2014/main" id="{C5589CC8-3DD6-46C7-B987-0CEAA1239826}"/>
            </a:ext>
          </a:extLst>
        </xdr:cNvPr>
        <xdr:cNvSpPr/>
      </xdr:nvSpPr>
      <xdr:spPr>
        <a:xfrm>
          <a:off x="8280400" y="32206293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282" name="Ellipse 281">
          <a:extLst>
            <a:ext uri="{FF2B5EF4-FFF2-40B4-BE49-F238E27FC236}">
              <a16:creationId xmlns:a16="http://schemas.microsoft.com/office/drawing/2014/main" id="{8F455379-9D43-4C97-A3AB-77E2F5E89CAD}"/>
            </a:ext>
          </a:extLst>
        </xdr:cNvPr>
        <xdr:cNvSpPr/>
      </xdr:nvSpPr>
      <xdr:spPr>
        <a:xfrm>
          <a:off x="9800771" y="322389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283" name="Ellipse 282">
          <a:extLst>
            <a:ext uri="{FF2B5EF4-FFF2-40B4-BE49-F238E27FC236}">
              <a16:creationId xmlns:a16="http://schemas.microsoft.com/office/drawing/2014/main" id="{F9A7326E-FC0F-4317-A81C-41351BD68BFC}"/>
            </a:ext>
          </a:extLst>
        </xdr:cNvPr>
        <xdr:cNvSpPr/>
      </xdr:nvSpPr>
      <xdr:spPr>
        <a:xfrm>
          <a:off x="9474128" y="4469151"/>
          <a:ext cx="99892" cy="755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284" name="Ellipse 283">
          <a:extLst>
            <a:ext uri="{FF2B5EF4-FFF2-40B4-BE49-F238E27FC236}">
              <a16:creationId xmlns:a16="http://schemas.microsoft.com/office/drawing/2014/main" id="{F5D86754-A8ED-46AF-936C-412F638EA662}"/>
            </a:ext>
          </a:extLst>
        </xdr:cNvPr>
        <xdr:cNvSpPr/>
      </xdr:nvSpPr>
      <xdr:spPr>
        <a:xfrm>
          <a:off x="10424790" y="4467815"/>
          <a:ext cx="93542" cy="8193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85" name="Ellipse 284">
          <a:extLst>
            <a:ext uri="{FF2B5EF4-FFF2-40B4-BE49-F238E27FC236}">
              <a16:creationId xmlns:a16="http://schemas.microsoft.com/office/drawing/2014/main" id="{117AD0EA-EC79-4D29-9E14-3A3AD0508ED8}"/>
            </a:ext>
          </a:extLst>
        </xdr:cNvPr>
        <xdr:cNvSpPr/>
      </xdr:nvSpPr>
      <xdr:spPr>
        <a:xfrm>
          <a:off x="4537441" y="896729"/>
          <a:ext cx="93542" cy="9178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286" name="Ellipse 285">
          <a:extLst>
            <a:ext uri="{FF2B5EF4-FFF2-40B4-BE49-F238E27FC236}">
              <a16:creationId xmlns:a16="http://schemas.microsoft.com/office/drawing/2014/main" id="{1F247C41-9EB3-44F0-BDAC-7E6050774ED8}"/>
            </a:ext>
          </a:extLst>
        </xdr:cNvPr>
        <xdr:cNvSpPr/>
      </xdr:nvSpPr>
      <xdr:spPr>
        <a:xfrm>
          <a:off x="3778616" y="883591"/>
          <a:ext cx="90367" cy="8861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287" name="Ellipse 286">
          <a:extLst>
            <a:ext uri="{FF2B5EF4-FFF2-40B4-BE49-F238E27FC236}">
              <a16:creationId xmlns:a16="http://schemas.microsoft.com/office/drawing/2014/main" id="{B8C14369-8139-412D-97D2-F71C0BE1BD90}"/>
            </a:ext>
          </a:extLst>
        </xdr:cNvPr>
        <xdr:cNvSpPr/>
      </xdr:nvSpPr>
      <xdr:spPr>
        <a:xfrm>
          <a:off x="7600854" y="4464049"/>
          <a:ext cx="111221" cy="6922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288" name="Ellipse 287">
          <a:extLst>
            <a:ext uri="{FF2B5EF4-FFF2-40B4-BE49-F238E27FC236}">
              <a16:creationId xmlns:a16="http://schemas.microsoft.com/office/drawing/2014/main" id="{73A5D1C5-E045-4983-B83D-301E9A3E0988}"/>
            </a:ext>
          </a:extLst>
        </xdr:cNvPr>
        <xdr:cNvSpPr/>
      </xdr:nvSpPr>
      <xdr:spPr>
        <a:xfrm>
          <a:off x="8329394" y="914400"/>
          <a:ext cx="108046" cy="7240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289" name="Ellipse 288">
          <a:extLst>
            <a:ext uri="{FF2B5EF4-FFF2-40B4-BE49-F238E27FC236}">
              <a16:creationId xmlns:a16="http://schemas.microsoft.com/office/drawing/2014/main" id="{2AA33470-B725-483D-BD8B-8B9551EB2C56}"/>
            </a:ext>
          </a:extLst>
        </xdr:cNvPr>
        <xdr:cNvSpPr/>
      </xdr:nvSpPr>
      <xdr:spPr>
        <a:xfrm>
          <a:off x="9862039" y="9847385"/>
          <a:ext cx="106242" cy="868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290" name="Ellipse 289">
          <a:extLst>
            <a:ext uri="{FF2B5EF4-FFF2-40B4-BE49-F238E27FC236}">
              <a16:creationId xmlns:a16="http://schemas.microsoft.com/office/drawing/2014/main" id="{5BFC12C0-FE7D-4551-8678-EEFD5B3E7DCA}"/>
            </a:ext>
          </a:extLst>
        </xdr:cNvPr>
        <xdr:cNvSpPr/>
      </xdr:nvSpPr>
      <xdr:spPr>
        <a:xfrm>
          <a:off x="3751385" y="1497183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291" name="Ellipse 290">
          <a:extLst>
            <a:ext uri="{FF2B5EF4-FFF2-40B4-BE49-F238E27FC236}">
              <a16:creationId xmlns:a16="http://schemas.microsoft.com/office/drawing/2014/main" id="{D02E9D41-CEAF-44B0-9230-79F6AD843916}"/>
            </a:ext>
          </a:extLst>
        </xdr:cNvPr>
        <xdr:cNvSpPr/>
      </xdr:nvSpPr>
      <xdr:spPr>
        <a:xfrm>
          <a:off x="9836884" y="14979162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292" name="Ellipse 291">
          <a:extLst>
            <a:ext uri="{FF2B5EF4-FFF2-40B4-BE49-F238E27FC236}">
              <a16:creationId xmlns:a16="http://schemas.microsoft.com/office/drawing/2014/main" id="{0FB4EFD0-6FD7-4EFA-ABFA-CD271A811407}"/>
            </a:ext>
          </a:extLst>
        </xdr:cNvPr>
        <xdr:cNvSpPr/>
      </xdr:nvSpPr>
      <xdr:spPr>
        <a:xfrm>
          <a:off x="8316058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78A6349B-95D0-4B62-B815-AD9BD18C1DA7}"/>
            </a:ext>
          </a:extLst>
        </xdr:cNvPr>
        <xdr:cNvSpPr/>
      </xdr:nvSpPr>
      <xdr:spPr>
        <a:xfrm>
          <a:off x="7590693" y="14949854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294" name="Ellipse 293">
          <a:extLst>
            <a:ext uri="{FF2B5EF4-FFF2-40B4-BE49-F238E27FC236}">
              <a16:creationId xmlns:a16="http://schemas.microsoft.com/office/drawing/2014/main" id="{D9F312F0-E1F5-447C-8588-7346C0432CB4}"/>
            </a:ext>
          </a:extLst>
        </xdr:cNvPr>
        <xdr:cNvSpPr/>
      </xdr:nvSpPr>
      <xdr:spPr>
        <a:xfrm>
          <a:off x="4528039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58237"/>
          <a:ext cx="2933880" cy="3465140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189833</xdr:colOff>
      <xdr:row>13</xdr:row>
      <xdr:rowOff>9509</xdr:rowOff>
    </xdr:from>
    <xdr:to>
      <xdr:col>5</xdr:col>
      <xdr:colOff>305288</xdr:colOff>
      <xdr:row>21</xdr:row>
      <xdr:rowOff>26489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355064" y="2845028"/>
          <a:ext cx="877455" cy="1687519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587774</xdr:colOff>
      <xdr:row>12</xdr:row>
      <xdr:rowOff>154609</xdr:rowOff>
    </xdr:from>
    <xdr:to>
      <xdr:col>6</xdr:col>
      <xdr:colOff>703229</xdr:colOff>
      <xdr:row>21</xdr:row>
      <xdr:rowOff>27352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15005" y="2762994"/>
          <a:ext cx="877455" cy="1770416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651219</xdr:colOff>
      <xdr:row>20</xdr:row>
      <xdr:rowOff>126438</xdr:rowOff>
    </xdr:from>
    <xdr:to>
      <xdr:col>5</xdr:col>
      <xdr:colOff>19168</xdr:colOff>
      <xdr:row>21</xdr:row>
      <xdr:rowOff>83163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853084" y="4222188"/>
          <a:ext cx="129949" cy="139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595574</xdr:colOff>
      <xdr:row>35</xdr:row>
      <xdr:rowOff>137398</xdr:rowOff>
    </xdr:from>
    <xdr:to>
      <xdr:col>20</xdr:col>
      <xdr:colOff>0</xdr:colOff>
      <xdr:row>56</xdr:row>
      <xdr:rowOff>163286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618637</xdr:colOff>
      <xdr:row>59</xdr:row>
      <xdr:rowOff>26133</xdr:rowOff>
    </xdr:from>
    <xdr:ext cx="4637942" cy="5775812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82D3890B-2A6F-94BE-114C-162C56712072}"/>
            </a:ext>
          </a:extLst>
        </xdr:cNvPr>
        <xdr:cNvSpPr txBox="1"/>
      </xdr:nvSpPr>
      <xdr:spPr>
        <a:xfrm>
          <a:off x="618637" y="11529402"/>
          <a:ext cx="4637942" cy="5775812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Gegeben: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Eingangsspannung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unbelastete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Lastwiderstand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Gesucht: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Leerlaufmessung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a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folgt: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((1 - a) / a)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Lastmessung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b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/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 Ergebnis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Endformeln: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endParaRPr lang="de-CH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031396" y="2667000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334609" y="3046412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661508" y="3059112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031396" y="2105025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333836" y="2111375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78745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381461" y="2667000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684673" y="3046413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008398" y="3055937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502926" y="3019424"/>
          <a:ext cx="40957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7923844" y="3279469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369287" y="5491370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9672500" y="5870782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8999399" y="5883482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9911670" y="6100664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272466" y="7288005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003242" y="7275305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316305" y="105382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309653" y="11775110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6093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291957" y="11764066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19606591" y="100219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19909803" y="104013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19233528" y="104108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4695004" y="100219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4998217" y="104013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325116" y="104140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105430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68556"/>
          <a:ext cx="1696152" cy="1226783"/>
          <a:chOff x="1092200" y="1225261"/>
          <a:chExt cx="1696152" cy="1174687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99976"/>
          <a:ext cx="1581439" cy="1571073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217415"/>
          <a:ext cx="2645276" cy="74277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11</xdr:row>
      <xdr:rowOff>182440</xdr:rowOff>
    </xdr:from>
    <xdr:to>
      <xdr:col>10</xdr:col>
      <xdr:colOff>331682</xdr:colOff>
      <xdr:row>26</xdr:row>
      <xdr:rowOff>45801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2381849"/>
          <a:ext cx="7663217" cy="2720861"/>
          <a:chOff x="288465" y="2305545"/>
          <a:chExt cx="7666392" cy="259915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51" name="Gerader Verbinder 50">
            <a:extLst>
              <a:ext uri="{FF2B5EF4-FFF2-40B4-BE49-F238E27FC236}">
                <a16:creationId xmlns:a16="http://schemas.microsoft.com/office/drawing/2014/main" id="{87C2BFC2-378B-4A43-13A8-132A07A67F19}"/>
              </a:ext>
            </a:extLst>
          </xdr:cNvPr>
          <xdr:cNvCxnSpPr>
            <a:cxnSpLocks/>
          </xdr:cNvCxnSpPr>
        </xdr:nvCxnSpPr>
        <xdr:spPr>
          <a:xfrm flipV="1">
            <a:off x="6868394" y="4490569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40907EFC-95BE-133B-F2FF-AF6B18B2D27B}"/>
              </a:ext>
            </a:extLst>
          </xdr:cNvPr>
          <xdr:cNvCxnSpPr>
            <a:cxnSpLocks/>
          </xdr:cNvCxnSpPr>
        </xdr:nvCxnSpPr>
        <xdr:spPr>
          <a:xfrm flipV="1">
            <a:off x="6856180" y="2316022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602D22EA-167B-B7EB-9F47-5216261673EE}"/>
              </a:ext>
            </a:extLst>
          </xdr:cNvPr>
          <xdr:cNvCxnSpPr>
            <a:cxnSpLocks/>
            <a:endCxn id="49" idx="4"/>
          </xdr:cNvCxnSpPr>
        </xdr:nvCxnSpPr>
        <xdr:spPr>
          <a:xfrm flipH="1" flipV="1">
            <a:off x="6863329" y="3819538"/>
            <a:ext cx="4440" cy="6726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AA243DAF-C311-016A-255A-9029B1A9FF29}"/>
              </a:ext>
            </a:extLst>
          </xdr:cNvPr>
          <xdr:cNvCxnSpPr>
            <a:cxnSpLocks/>
            <a:stCxn id="49" idx="0"/>
          </xdr:cNvCxnSpPr>
        </xdr:nvCxnSpPr>
        <xdr:spPr>
          <a:xfrm flipH="1" flipV="1">
            <a:off x="6848231" y="2305545"/>
            <a:ext cx="15098" cy="65956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649447"/>
          <a:ext cx="4151095" cy="2557638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4559" y="6426903"/>
            <a:ext cx="4094302" cy="2356090"/>
            <a:chOff x="734559" y="6426903"/>
            <a:chExt cx="4094302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890611"/>
          <a:ext cx="5125354" cy="160276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2132902"/>
          <a:ext cx="3891695" cy="2680038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9541958"/>
          <a:ext cx="968608" cy="2538847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5261141"/>
          <a:ext cx="5564837" cy="520067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311283</xdr:colOff>
      <xdr:row>15</xdr:row>
      <xdr:rowOff>115011</xdr:rowOff>
    </xdr:from>
    <xdr:to>
      <xdr:col>9</xdr:col>
      <xdr:colOff>461374</xdr:colOff>
      <xdr:row>20</xdr:row>
      <xdr:rowOff>57284</xdr:rowOff>
    </xdr:to>
    <xdr:sp macro="" textlink="">
      <xdr:nvSpPr>
        <xdr:cNvPr id="49" name="Ellipse 48">
          <a:extLst>
            <a:ext uri="{FF2B5EF4-FFF2-40B4-BE49-F238E27FC236}">
              <a16:creationId xmlns:a16="http://schemas.microsoft.com/office/drawing/2014/main" id="{09280A74-4B4E-5781-5FA2-46335BD268F5}"/>
            </a:ext>
          </a:extLst>
        </xdr:cNvPr>
        <xdr:cNvSpPr/>
      </xdr:nvSpPr>
      <xdr:spPr>
        <a:xfrm>
          <a:off x="6407283" y="3011588"/>
          <a:ext cx="912091" cy="870350"/>
        </a:xfrm>
        <a:prstGeom prst="ellipse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G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G</a:t>
          </a:r>
          <a:b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</a:br>
          <a:r>
            <a:rPr lang="de-CH" sz="1400" baseline="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~</a:t>
          </a:r>
        </a:p>
      </xdr:txBody>
    </xdr:sp>
    <xdr:clientData/>
  </xdr:twoCellAnchor>
  <xdr:twoCellAnchor>
    <xdr:from>
      <xdr:col>9</xdr:col>
      <xdr:colOff>19174</xdr:colOff>
      <xdr:row>29</xdr:row>
      <xdr:rowOff>38331</xdr:rowOff>
    </xdr:from>
    <xdr:to>
      <xdr:col>14</xdr:col>
      <xdr:colOff>594229</xdr:colOff>
      <xdr:row>38</xdr:row>
      <xdr:rowOff>96559</xdr:rowOff>
    </xdr:to>
    <xdr:grpSp>
      <xdr:nvGrpSpPr>
        <xdr:cNvPr id="324" name="Gruppieren 323">
          <a:extLst>
            <a:ext uri="{FF2B5EF4-FFF2-40B4-BE49-F238E27FC236}">
              <a16:creationId xmlns:a16="http://schemas.microsoft.com/office/drawing/2014/main" id="{09D397F9-604D-DB37-EB5D-DF6F2AF2E729}"/>
            </a:ext>
          </a:extLst>
        </xdr:cNvPr>
        <xdr:cNvGrpSpPr/>
      </xdr:nvGrpSpPr>
      <xdr:grpSpPr>
        <a:xfrm>
          <a:off x="6877174" y="5666740"/>
          <a:ext cx="3449873" cy="1772728"/>
          <a:chOff x="6877174" y="5669987"/>
          <a:chExt cx="3456368" cy="1772728"/>
        </a:xfrm>
      </xdr:grpSpPr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7BE249C2-7891-474F-9A79-C43994FA7BE5}"/>
              </a:ext>
            </a:extLst>
          </xdr:cNvPr>
          <xdr:cNvCxnSpPr>
            <a:cxnSpLocks/>
          </xdr:cNvCxnSpPr>
        </xdr:nvCxnSpPr>
        <xdr:spPr>
          <a:xfrm flipV="1">
            <a:off x="9137075" y="5817697"/>
            <a:ext cx="0" cy="72607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1BEDE7B8-0A3D-B18F-794F-3610D901B4C7}"/>
              </a:ext>
            </a:extLst>
          </xdr:cNvPr>
          <xdr:cNvCxnSpPr>
            <a:cxnSpLocks/>
          </xdr:cNvCxnSpPr>
        </xdr:nvCxnSpPr>
        <xdr:spPr>
          <a:xfrm flipV="1">
            <a:off x="9137075" y="6668268"/>
            <a:ext cx="0" cy="72312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Gerader Verbinder 70">
            <a:extLst>
              <a:ext uri="{FF2B5EF4-FFF2-40B4-BE49-F238E27FC236}">
                <a16:creationId xmlns:a16="http://schemas.microsoft.com/office/drawing/2014/main" id="{478BEEDF-8779-75D1-B146-65C23DD135BC}"/>
              </a:ext>
            </a:extLst>
          </xdr:cNvPr>
          <xdr:cNvCxnSpPr>
            <a:cxnSpLocks/>
          </xdr:cNvCxnSpPr>
        </xdr:nvCxnSpPr>
        <xdr:spPr>
          <a:xfrm>
            <a:off x="8854925" y="6556068"/>
            <a:ext cx="587817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9D314197-3948-07BE-FC3D-4A1739F43189}"/>
              </a:ext>
            </a:extLst>
          </xdr:cNvPr>
          <xdr:cNvCxnSpPr>
            <a:cxnSpLocks/>
          </xdr:cNvCxnSpPr>
        </xdr:nvCxnSpPr>
        <xdr:spPr>
          <a:xfrm>
            <a:off x="8851879" y="6662947"/>
            <a:ext cx="593908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E72693D6-1D9A-303F-9527-E3F9FF8F5B11}"/>
              </a:ext>
            </a:extLst>
          </xdr:cNvPr>
          <xdr:cNvCxnSpPr>
            <a:cxnSpLocks/>
            <a:stCxn id="175" idx="1"/>
          </xdr:cNvCxnSpPr>
        </xdr:nvCxnSpPr>
        <xdr:spPr>
          <a:xfrm>
            <a:off x="8854147" y="5813033"/>
            <a:ext cx="1302799" cy="1796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4D731092-C295-D852-F752-EB495A3F4497}"/>
              </a:ext>
            </a:extLst>
          </xdr:cNvPr>
          <xdr:cNvSpPr txBox="1"/>
        </xdr:nvSpPr>
        <xdr:spPr>
          <a:xfrm rot="10800000" flipV="1">
            <a:off x="8131872" y="5669987"/>
            <a:ext cx="722274" cy="28609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1100"/>
              <a:t>R</a:t>
            </a:r>
            <a:endParaRPr lang="de-CH" sz="1100" baseline="-25000"/>
          </a:p>
        </xdr:txBody>
      </xdr:sp>
      <xdr:cxnSp macro="">
        <xdr:nvCxnSpPr>
          <xdr:cNvPr id="176" name="Gerader Verbinder 175">
            <a:extLst>
              <a:ext uri="{FF2B5EF4-FFF2-40B4-BE49-F238E27FC236}">
                <a16:creationId xmlns:a16="http://schemas.microsoft.com/office/drawing/2014/main" id="{3ED23057-FE06-C47B-4B4D-38B33300C90C}"/>
              </a:ext>
            </a:extLst>
          </xdr:cNvPr>
          <xdr:cNvCxnSpPr>
            <a:cxnSpLocks/>
            <a:endCxn id="175" idx="3"/>
          </xdr:cNvCxnSpPr>
        </xdr:nvCxnSpPr>
        <xdr:spPr>
          <a:xfrm>
            <a:off x="6877174" y="5817965"/>
            <a:ext cx="1254697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3" name="Gerader Verbinder 182">
            <a:extLst>
              <a:ext uri="{FF2B5EF4-FFF2-40B4-BE49-F238E27FC236}">
                <a16:creationId xmlns:a16="http://schemas.microsoft.com/office/drawing/2014/main" id="{441B6C49-FFBC-E994-AFB0-48D544742EA7}"/>
              </a:ext>
            </a:extLst>
          </xdr:cNvPr>
          <xdr:cNvCxnSpPr>
            <a:cxnSpLocks/>
          </xdr:cNvCxnSpPr>
        </xdr:nvCxnSpPr>
        <xdr:spPr>
          <a:xfrm>
            <a:off x="6891828" y="7349292"/>
            <a:ext cx="3279772" cy="1151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1" name="Textfeld 180">
            <a:extLst>
              <a:ext uri="{FF2B5EF4-FFF2-40B4-BE49-F238E27FC236}">
                <a16:creationId xmlns:a16="http://schemas.microsoft.com/office/drawing/2014/main" id="{55EB0920-25DE-DD18-F6EB-8256E1795080}"/>
              </a:ext>
            </a:extLst>
          </xdr:cNvPr>
          <xdr:cNvSpPr txBox="1"/>
        </xdr:nvSpPr>
        <xdr:spPr>
          <a:xfrm>
            <a:off x="9224596" y="6283752"/>
            <a:ext cx="259879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1100"/>
              <a:t>C</a:t>
            </a:r>
          </a:p>
        </xdr:txBody>
      </xdr:sp>
      <xdr:sp macro="" textlink="">
        <xdr:nvSpPr>
          <xdr:cNvPr id="185" name="Ellipse 184">
            <a:extLst>
              <a:ext uri="{FF2B5EF4-FFF2-40B4-BE49-F238E27FC236}">
                <a16:creationId xmlns:a16="http://schemas.microsoft.com/office/drawing/2014/main" id="{C7FEA1EA-1FAA-B4F8-5333-DB66A68A2D30}"/>
              </a:ext>
            </a:extLst>
          </xdr:cNvPr>
          <xdr:cNvSpPr/>
        </xdr:nvSpPr>
        <xdr:spPr>
          <a:xfrm>
            <a:off x="9081528" y="5746829"/>
            <a:ext cx="129949" cy="149905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86" name="Ellipse 185">
            <a:extLst>
              <a:ext uri="{FF2B5EF4-FFF2-40B4-BE49-F238E27FC236}">
                <a16:creationId xmlns:a16="http://schemas.microsoft.com/office/drawing/2014/main" id="{9CC89697-B0DD-B471-B5D8-0148F9520E65}"/>
              </a:ext>
            </a:extLst>
          </xdr:cNvPr>
          <xdr:cNvSpPr/>
        </xdr:nvSpPr>
        <xdr:spPr>
          <a:xfrm>
            <a:off x="9074201" y="7292810"/>
            <a:ext cx="129949" cy="149905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2" name="Gerade Verbindung mit Pfeil 191">
            <a:extLst>
              <a:ext uri="{FF2B5EF4-FFF2-40B4-BE49-F238E27FC236}">
                <a16:creationId xmlns:a16="http://schemas.microsoft.com/office/drawing/2014/main" id="{37A8D616-71B4-967D-C79D-612801AB6C3D}"/>
              </a:ext>
            </a:extLst>
          </xdr:cNvPr>
          <xdr:cNvCxnSpPr/>
        </xdr:nvCxnSpPr>
        <xdr:spPr>
          <a:xfrm>
            <a:off x="7436827" y="6063945"/>
            <a:ext cx="0" cy="1025769"/>
          </a:xfrm>
          <a:prstGeom prst="straightConnector1">
            <a:avLst/>
          </a:prstGeom>
          <a:ln w="22225">
            <a:solidFill>
              <a:srgbClr val="00B0F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3" name="Textfeld 192">
            <a:extLst>
              <a:ext uri="{FF2B5EF4-FFF2-40B4-BE49-F238E27FC236}">
                <a16:creationId xmlns:a16="http://schemas.microsoft.com/office/drawing/2014/main" id="{74B2227F-BE7B-48FA-B1FC-95D301808F0C}"/>
              </a:ext>
            </a:extLst>
          </xdr:cNvPr>
          <xdr:cNvSpPr txBox="1"/>
        </xdr:nvSpPr>
        <xdr:spPr>
          <a:xfrm>
            <a:off x="7077808" y="6393656"/>
            <a:ext cx="359650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</a:p>
        </xdr:txBody>
      </xdr:sp>
      <xdr:cxnSp macro="">
        <xdr:nvCxnSpPr>
          <xdr:cNvPr id="194" name="Gerade Verbindung mit Pfeil 193">
            <a:extLst>
              <a:ext uri="{FF2B5EF4-FFF2-40B4-BE49-F238E27FC236}">
                <a16:creationId xmlns:a16="http://schemas.microsoft.com/office/drawing/2014/main" id="{631A0C8D-5D27-9E70-F3DC-75B9075B0899}"/>
              </a:ext>
            </a:extLst>
          </xdr:cNvPr>
          <xdr:cNvCxnSpPr/>
        </xdr:nvCxnSpPr>
        <xdr:spPr>
          <a:xfrm>
            <a:off x="9944466" y="6056618"/>
            <a:ext cx="0" cy="1025769"/>
          </a:xfrm>
          <a:prstGeom prst="straightConnector1">
            <a:avLst/>
          </a:prstGeom>
          <a:ln w="22225">
            <a:solidFill>
              <a:srgbClr val="00B0F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5" name="Textfeld 194">
            <a:extLst>
              <a:ext uri="{FF2B5EF4-FFF2-40B4-BE49-F238E27FC236}">
                <a16:creationId xmlns:a16="http://schemas.microsoft.com/office/drawing/2014/main" id="{94A3BFE0-CFB7-7F79-06FC-60A911E07189}"/>
              </a:ext>
            </a:extLst>
          </xdr:cNvPr>
          <xdr:cNvSpPr txBox="1"/>
        </xdr:nvSpPr>
        <xdr:spPr>
          <a:xfrm>
            <a:off x="9915158" y="6364348"/>
            <a:ext cx="418384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Out</a:t>
            </a:r>
          </a:p>
        </xdr:txBody>
      </xdr:sp>
    </xdr:grpSp>
    <xdr:clientData/>
  </xdr:twoCellAnchor>
  <xdr:twoCellAnchor>
    <xdr:from>
      <xdr:col>8</xdr:col>
      <xdr:colOff>744539</xdr:colOff>
      <xdr:row>40</xdr:row>
      <xdr:rowOff>60312</xdr:rowOff>
    </xdr:from>
    <xdr:to>
      <xdr:col>14</xdr:col>
      <xdr:colOff>395652</xdr:colOff>
      <xdr:row>49</xdr:row>
      <xdr:rowOff>36635</xdr:rowOff>
    </xdr:to>
    <xdr:grpSp>
      <xdr:nvGrpSpPr>
        <xdr:cNvPr id="196" name="Gruppieren 195">
          <a:extLst>
            <a:ext uri="{FF2B5EF4-FFF2-40B4-BE49-F238E27FC236}">
              <a16:creationId xmlns:a16="http://schemas.microsoft.com/office/drawing/2014/main" id="{387EB337-7CF0-E947-A912-6F98416BEBAB}"/>
            </a:ext>
          </a:extLst>
        </xdr:cNvPr>
        <xdr:cNvGrpSpPr/>
      </xdr:nvGrpSpPr>
      <xdr:grpSpPr>
        <a:xfrm>
          <a:off x="6840539" y="7784221"/>
          <a:ext cx="3287931" cy="1690823"/>
          <a:chOff x="5334000" y="1755032"/>
          <a:chExt cx="3291251" cy="1634062"/>
        </a:xfrm>
      </xdr:grpSpPr>
      <xdr:cxnSp macro="">
        <xdr:nvCxnSpPr>
          <xdr:cNvPr id="197" name="Gerader Verbinder 196">
            <a:extLst>
              <a:ext uri="{FF2B5EF4-FFF2-40B4-BE49-F238E27FC236}">
                <a16:creationId xmlns:a16="http://schemas.microsoft.com/office/drawing/2014/main" id="{7CD05DC3-1EFF-E103-FAEB-90D6D770FD41}"/>
              </a:ext>
            </a:extLst>
          </xdr:cNvPr>
          <xdr:cNvCxnSpPr>
            <a:cxnSpLocks/>
            <a:stCxn id="202" idx="1"/>
          </xdr:cNvCxnSpPr>
        </xdr:nvCxnSpPr>
        <xdr:spPr>
          <a:xfrm>
            <a:off x="7314574" y="1893276"/>
            <a:ext cx="1295996" cy="1736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2" name="Textfeld 201">
            <a:extLst>
              <a:ext uri="{FF2B5EF4-FFF2-40B4-BE49-F238E27FC236}">
                <a16:creationId xmlns:a16="http://schemas.microsoft.com/office/drawing/2014/main" id="{50FE944B-1F96-E3C1-171A-06A814B9A339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1100"/>
              <a:t>R</a:t>
            </a:r>
            <a:endParaRPr lang="de-CH" sz="1100" baseline="-25000"/>
          </a:p>
        </xdr:txBody>
      </xdr:sp>
      <xdr:cxnSp macro="">
        <xdr:nvCxnSpPr>
          <xdr:cNvPr id="203" name="Gerader Verbinder 202">
            <a:extLst>
              <a:ext uri="{FF2B5EF4-FFF2-40B4-BE49-F238E27FC236}">
                <a16:creationId xmlns:a16="http://schemas.microsoft.com/office/drawing/2014/main" id="{20FF33ED-2A62-3A2E-2085-710C80CAF002}"/>
              </a:ext>
            </a:extLst>
          </xdr:cNvPr>
          <xdr:cNvCxnSpPr>
            <a:cxnSpLocks/>
            <a:endCxn id="202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4" name="Gerader Verbinder 203">
            <a:extLst>
              <a:ext uri="{FF2B5EF4-FFF2-40B4-BE49-F238E27FC236}">
                <a16:creationId xmlns:a16="http://schemas.microsoft.com/office/drawing/2014/main" id="{A27109C2-3DC7-05D3-0635-29C8D302AD11}"/>
              </a:ext>
            </a:extLst>
          </xdr:cNvPr>
          <xdr:cNvCxnSpPr>
            <a:cxnSpLocks/>
          </xdr:cNvCxnSpPr>
        </xdr:nvCxnSpPr>
        <xdr:spPr>
          <a:xfrm>
            <a:off x="5348681" y="3377963"/>
            <a:ext cx="3276570" cy="11131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11</xdr:col>
      <xdr:colOff>699528</xdr:colOff>
      <xdr:row>40</xdr:row>
      <xdr:rowOff>129827</xdr:rowOff>
    </xdr:from>
    <xdr:to>
      <xdr:col>12</xdr:col>
      <xdr:colOff>67477</xdr:colOff>
      <xdr:row>41</xdr:row>
      <xdr:rowOff>89232</xdr:rowOff>
    </xdr:to>
    <xdr:sp macro="" textlink="">
      <xdr:nvSpPr>
        <xdr:cNvPr id="179" name="Ellipse 178">
          <a:extLst>
            <a:ext uri="{FF2B5EF4-FFF2-40B4-BE49-F238E27FC236}">
              <a16:creationId xmlns:a16="http://schemas.microsoft.com/office/drawing/2014/main" id="{100F6359-70C1-2268-8391-1DFD9767C729}"/>
            </a:ext>
          </a:extLst>
        </xdr:cNvPr>
        <xdr:cNvSpPr/>
      </xdr:nvSpPr>
      <xdr:spPr>
        <a:xfrm>
          <a:off x="9081528" y="7852404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699528</xdr:colOff>
      <xdr:row>48</xdr:row>
      <xdr:rowOff>151807</xdr:rowOff>
    </xdr:from>
    <xdr:to>
      <xdr:col>12</xdr:col>
      <xdr:colOff>67477</xdr:colOff>
      <xdr:row>49</xdr:row>
      <xdr:rowOff>111212</xdr:rowOff>
    </xdr:to>
    <xdr:sp macro="" textlink="">
      <xdr:nvSpPr>
        <xdr:cNvPr id="180" name="Ellipse 179">
          <a:extLst>
            <a:ext uri="{FF2B5EF4-FFF2-40B4-BE49-F238E27FC236}">
              <a16:creationId xmlns:a16="http://schemas.microsoft.com/office/drawing/2014/main" id="{91B5AF61-0743-CFF5-3511-122F092889D0}"/>
            </a:ext>
          </a:extLst>
        </xdr:cNvPr>
        <xdr:cNvSpPr/>
      </xdr:nvSpPr>
      <xdr:spPr>
        <a:xfrm>
          <a:off x="9081528" y="9398384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751863</xdr:colOff>
      <xdr:row>40</xdr:row>
      <xdr:rowOff>60312</xdr:rowOff>
    </xdr:from>
    <xdr:to>
      <xdr:col>14</xdr:col>
      <xdr:colOff>542937</xdr:colOff>
      <xdr:row>49</xdr:row>
      <xdr:rowOff>52564</xdr:rowOff>
    </xdr:to>
    <xdr:grpSp>
      <xdr:nvGrpSpPr>
        <xdr:cNvPr id="190" name="Gruppieren 189">
          <a:extLst>
            <a:ext uri="{FF2B5EF4-FFF2-40B4-BE49-F238E27FC236}">
              <a16:creationId xmlns:a16="http://schemas.microsoft.com/office/drawing/2014/main" id="{27E340D0-DAAC-19F5-E628-CD7B489FE647}"/>
            </a:ext>
          </a:extLst>
        </xdr:cNvPr>
        <xdr:cNvGrpSpPr/>
      </xdr:nvGrpSpPr>
      <xdr:grpSpPr>
        <a:xfrm>
          <a:off x="6847863" y="7784221"/>
          <a:ext cx="3427892" cy="1706752"/>
          <a:chOff x="6847865" y="7782889"/>
          <a:chExt cx="3425229" cy="1706752"/>
        </a:xfrm>
      </xdr:grpSpPr>
      <xdr:pic>
        <xdr:nvPicPr>
          <xdr:cNvPr id="171" name="Grafik 170">
            <a:extLst>
              <a:ext uri="{FF2B5EF4-FFF2-40B4-BE49-F238E27FC236}">
                <a16:creationId xmlns:a16="http://schemas.microsoft.com/office/drawing/2014/main" id="{4DEC3567-96EB-0B1D-036F-7C83FBCFB7C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 rot="5400000">
            <a:off x="8633345" y="8442686"/>
            <a:ext cx="1161105" cy="61650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207" name="Gerade Verbindung mit Pfeil 206">
            <a:extLst>
              <a:ext uri="{FF2B5EF4-FFF2-40B4-BE49-F238E27FC236}">
                <a16:creationId xmlns:a16="http://schemas.microsoft.com/office/drawing/2014/main" id="{E59EF28E-8282-30A5-E8A7-77B4EA802F33}"/>
              </a:ext>
            </a:extLst>
          </xdr:cNvPr>
          <xdr:cNvCxnSpPr/>
        </xdr:nvCxnSpPr>
        <xdr:spPr>
          <a:xfrm>
            <a:off x="7385538" y="8198828"/>
            <a:ext cx="0" cy="1025769"/>
          </a:xfrm>
          <a:prstGeom prst="straightConnector1">
            <a:avLst/>
          </a:prstGeom>
          <a:ln w="22225">
            <a:solidFill>
              <a:srgbClr val="00B0F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99ACF55A-F110-AEDB-827F-1148FD76E2D9}"/>
              </a:ext>
            </a:extLst>
          </xdr:cNvPr>
          <xdr:cNvSpPr txBox="1"/>
        </xdr:nvSpPr>
        <xdr:spPr>
          <a:xfrm>
            <a:off x="7026519" y="8528539"/>
            <a:ext cx="359650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</a:p>
        </xdr:txBody>
      </xdr:sp>
      <xdr:cxnSp macro="">
        <xdr:nvCxnSpPr>
          <xdr:cNvPr id="213" name="Gerade Verbindung mit Pfeil 212">
            <a:extLst>
              <a:ext uri="{FF2B5EF4-FFF2-40B4-BE49-F238E27FC236}">
                <a16:creationId xmlns:a16="http://schemas.microsoft.com/office/drawing/2014/main" id="{27F04086-5F4A-C11B-ECB4-CDAA077949DC}"/>
              </a:ext>
            </a:extLst>
          </xdr:cNvPr>
          <xdr:cNvCxnSpPr/>
        </xdr:nvCxnSpPr>
        <xdr:spPr>
          <a:xfrm>
            <a:off x="9884018" y="8191501"/>
            <a:ext cx="0" cy="1025769"/>
          </a:xfrm>
          <a:prstGeom prst="straightConnector1">
            <a:avLst/>
          </a:prstGeom>
          <a:ln w="22225">
            <a:solidFill>
              <a:srgbClr val="00B0F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4" name="Textfeld 213">
            <a:extLst>
              <a:ext uri="{FF2B5EF4-FFF2-40B4-BE49-F238E27FC236}">
                <a16:creationId xmlns:a16="http://schemas.microsoft.com/office/drawing/2014/main" id="{036E9897-AC1A-C139-1173-2AE8FE92CF7A}"/>
              </a:ext>
            </a:extLst>
          </xdr:cNvPr>
          <xdr:cNvSpPr txBox="1"/>
        </xdr:nvSpPr>
        <xdr:spPr>
          <a:xfrm>
            <a:off x="9854710" y="8499231"/>
            <a:ext cx="418384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Out</a:t>
            </a:r>
          </a:p>
        </xdr:txBody>
      </xdr:sp>
      <xdr:cxnSp macro="">
        <xdr:nvCxnSpPr>
          <xdr:cNvPr id="172" name="Gerader Verbinder 171">
            <a:extLst>
              <a:ext uri="{FF2B5EF4-FFF2-40B4-BE49-F238E27FC236}">
                <a16:creationId xmlns:a16="http://schemas.microsoft.com/office/drawing/2014/main" id="{3E656172-A29D-D387-54E4-171AEA309E96}"/>
              </a:ext>
            </a:extLst>
          </xdr:cNvPr>
          <xdr:cNvCxnSpPr>
            <a:cxnSpLocks/>
          </xdr:cNvCxnSpPr>
        </xdr:nvCxnSpPr>
        <xdr:spPr>
          <a:xfrm flipV="1">
            <a:off x="9144402" y="7920404"/>
            <a:ext cx="6925" cy="27969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2633F814-5D9C-36B9-1188-0A56DBFA110F}"/>
              </a:ext>
            </a:extLst>
          </xdr:cNvPr>
          <xdr:cNvCxnSpPr>
            <a:cxnSpLocks/>
          </xdr:cNvCxnSpPr>
        </xdr:nvCxnSpPr>
        <xdr:spPr>
          <a:xfrm flipV="1">
            <a:off x="9137075" y="9209943"/>
            <a:ext cx="6925" cy="27969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82" name="Gruppieren 181">
            <a:extLst>
              <a:ext uri="{FF2B5EF4-FFF2-40B4-BE49-F238E27FC236}">
                <a16:creationId xmlns:a16="http://schemas.microsoft.com/office/drawing/2014/main" id="{974CFA47-BC98-B668-F4F8-5F4572A61457}"/>
              </a:ext>
            </a:extLst>
          </xdr:cNvPr>
          <xdr:cNvGrpSpPr/>
        </xdr:nvGrpSpPr>
        <xdr:grpSpPr>
          <a:xfrm>
            <a:off x="6847865" y="7782889"/>
            <a:ext cx="3285267" cy="1690823"/>
            <a:chOff x="5334000" y="1755032"/>
            <a:chExt cx="3291251" cy="1634062"/>
          </a:xfrm>
        </xdr:grpSpPr>
        <xdr:cxnSp macro="">
          <xdr:nvCxnSpPr>
            <xdr:cNvPr id="184" name="Gerader Verbinder 183">
              <a:extLst>
                <a:ext uri="{FF2B5EF4-FFF2-40B4-BE49-F238E27FC236}">
                  <a16:creationId xmlns:a16="http://schemas.microsoft.com/office/drawing/2014/main" id="{63C0E017-8486-8F37-E4C8-758C74907E18}"/>
                </a:ext>
              </a:extLst>
            </xdr:cNvPr>
            <xdr:cNvCxnSpPr>
              <a:cxnSpLocks/>
              <a:stCxn id="187" idx="1"/>
            </xdr:cNvCxnSpPr>
          </xdr:nvCxnSpPr>
          <xdr:spPr>
            <a:xfrm>
              <a:off x="7314574" y="1893276"/>
              <a:ext cx="1295996" cy="173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87" name="Textfeld 186">
              <a:extLst>
                <a:ext uri="{FF2B5EF4-FFF2-40B4-BE49-F238E27FC236}">
                  <a16:creationId xmlns:a16="http://schemas.microsoft.com/office/drawing/2014/main" id="{1408D94F-4734-F7F9-6FA8-BF335BDB82DE}"/>
                </a:ext>
              </a:extLst>
            </xdr:cNvPr>
            <xdr:cNvSpPr txBox="1"/>
          </xdr:nvSpPr>
          <xdr:spPr>
            <a:xfrm rot="10800000" flipV="1">
              <a:off x="6590983" y="1755032"/>
              <a:ext cx="723590" cy="276488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1100"/>
                <a:t>R</a:t>
              </a:r>
              <a:endParaRPr lang="de-CH" sz="1100" baseline="-25000"/>
            </a:p>
          </xdr:txBody>
        </xdr:sp>
        <xdr:cxnSp macro="">
          <xdr:nvCxnSpPr>
            <xdr:cNvPr id="188" name="Gerader Verbinder 187">
              <a:extLst>
                <a:ext uri="{FF2B5EF4-FFF2-40B4-BE49-F238E27FC236}">
                  <a16:creationId xmlns:a16="http://schemas.microsoft.com/office/drawing/2014/main" id="{7BC3F156-BDB5-F73A-1EBB-E8D338CBEC3D}"/>
                </a:ext>
              </a:extLst>
            </xdr:cNvPr>
            <xdr:cNvCxnSpPr>
              <a:cxnSpLocks/>
              <a:endCxn id="187" idx="3"/>
            </xdr:cNvCxnSpPr>
          </xdr:nvCxnSpPr>
          <xdr:spPr>
            <a:xfrm>
              <a:off x="5334000" y="1898042"/>
              <a:ext cx="1256982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9" name="Gerader Verbinder 188">
              <a:extLst>
                <a:ext uri="{FF2B5EF4-FFF2-40B4-BE49-F238E27FC236}">
                  <a16:creationId xmlns:a16="http://schemas.microsoft.com/office/drawing/2014/main" id="{EFDC3AD9-0BF5-5202-507A-8730DAF6E451}"/>
                </a:ext>
              </a:extLst>
            </xdr:cNvPr>
            <xdr:cNvCxnSpPr>
              <a:cxnSpLocks/>
            </xdr:cNvCxnSpPr>
          </xdr:nvCxnSpPr>
          <xdr:spPr>
            <a:xfrm>
              <a:off x="5348681" y="3377963"/>
              <a:ext cx="3276570" cy="1113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104808</xdr:colOff>
      <xdr:row>49</xdr:row>
      <xdr:rowOff>141283</xdr:rowOff>
    </xdr:from>
    <xdr:to>
      <xdr:col>11</xdr:col>
      <xdr:colOff>503913</xdr:colOff>
      <xdr:row>52</xdr:row>
      <xdr:rowOff>186287</xdr:rowOff>
    </xdr:to>
    <xdr:pic>
      <xdr:nvPicPr>
        <xdr:cNvPr id="216" name="Grafik 215">
          <a:extLst>
            <a:ext uri="{FF2B5EF4-FFF2-40B4-BE49-F238E27FC236}">
              <a16:creationId xmlns:a16="http://schemas.microsoft.com/office/drawing/2014/main" id="{DA75940F-474F-2A3A-E521-07E5D9778F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24808" y="9578360"/>
          <a:ext cx="1161105" cy="616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534865</xdr:colOff>
      <xdr:row>53</xdr:row>
      <xdr:rowOff>36636</xdr:rowOff>
    </xdr:from>
    <xdr:to>
      <xdr:col>9</xdr:col>
      <xdr:colOff>534865</xdr:colOff>
      <xdr:row>58</xdr:row>
      <xdr:rowOff>109905</xdr:rowOff>
    </xdr:to>
    <xdr:cxnSp macro="">
      <xdr:nvCxnSpPr>
        <xdr:cNvPr id="229" name="Gerade Verbindung mit Pfeil 228">
          <a:extLst>
            <a:ext uri="{FF2B5EF4-FFF2-40B4-BE49-F238E27FC236}">
              <a16:creationId xmlns:a16="http://schemas.microsoft.com/office/drawing/2014/main" id="{7F2E907D-665E-55E8-49DC-35CE6ED24B6C}"/>
            </a:ext>
          </a:extLst>
        </xdr:cNvPr>
        <xdr:cNvCxnSpPr/>
      </xdr:nvCxnSpPr>
      <xdr:spPr>
        <a:xfrm>
          <a:off x="7392865" y="10235713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175846</xdr:colOff>
      <xdr:row>54</xdr:row>
      <xdr:rowOff>175847</xdr:rowOff>
    </xdr:from>
    <xdr:to>
      <xdr:col>9</xdr:col>
      <xdr:colOff>535496</xdr:colOff>
      <xdr:row>56</xdr:row>
      <xdr:rowOff>59407</xdr:rowOff>
    </xdr:to>
    <xdr:sp macro="" textlink="">
      <xdr:nvSpPr>
        <xdr:cNvPr id="266" name="Textfeld 265">
          <a:extLst>
            <a:ext uri="{FF2B5EF4-FFF2-40B4-BE49-F238E27FC236}">
              <a16:creationId xmlns:a16="http://schemas.microsoft.com/office/drawing/2014/main" id="{4BA4EB99-5AF6-AF75-1048-97277807EF0E}"/>
            </a:ext>
          </a:extLst>
        </xdr:cNvPr>
        <xdr:cNvSpPr txBox="1"/>
      </xdr:nvSpPr>
      <xdr:spPr>
        <a:xfrm>
          <a:off x="7033846" y="10565424"/>
          <a:ext cx="3596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IN</a:t>
          </a:r>
        </a:p>
      </xdr:txBody>
    </xdr:sp>
    <xdr:clientData/>
  </xdr:twoCellAnchor>
  <xdr:twoCellAnchor>
    <xdr:from>
      <xdr:col>14</xdr:col>
      <xdr:colOff>161191</xdr:colOff>
      <xdr:row>53</xdr:row>
      <xdr:rowOff>29309</xdr:rowOff>
    </xdr:from>
    <xdr:to>
      <xdr:col>14</xdr:col>
      <xdr:colOff>161191</xdr:colOff>
      <xdr:row>58</xdr:row>
      <xdr:rowOff>102578</xdr:rowOff>
    </xdr:to>
    <xdr:cxnSp macro="">
      <xdr:nvCxnSpPr>
        <xdr:cNvPr id="267" name="Gerade Verbindung mit Pfeil 266">
          <a:extLst>
            <a:ext uri="{FF2B5EF4-FFF2-40B4-BE49-F238E27FC236}">
              <a16:creationId xmlns:a16="http://schemas.microsoft.com/office/drawing/2014/main" id="{A320B1B0-E4F6-8C65-45A7-C3D6D1BCFF22}"/>
            </a:ext>
          </a:extLst>
        </xdr:cNvPr>
        <xdr:cNvCxnSpPr/>
      </xdr:nvCxnSpPr>
      <xdr:spPr>
        <a:xfrm>
          <a:off x="9891345" y="10228386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131883</xdr:colOff>
      <xdr:row>54</xdr:row>
      <xdr:rowOff>146539</xdr:rowOff>
    </xdr:from>
    <xdr:to>
      <xdr:col>14</xdr:col>
      <xdr:colOff>550267</xdr:colOff>
      <xdr:row>56</xdr:row>
      <xdr:rowOff>30099</xdr:rowOff>
    </xdr:to>
    <xdr:sp macro="" textlink="">
      <xdr:nvSpPr>
        <xdr:cNvPr id="268" name="Textfeld 267">
          <a:extLst>
            <a:ext uri="{FF2B5EF4-FFF2-40B4-BE49-F238E27FC236}">
              <a16:creationId xmlns:a16="http://schemas.microsoft.com/office/drawing/2014/main" id="{C1A9E027-FF04-1D36-1560-A7BCD093B3DE}"/>
            </a:ext>
          </a:extLst>
        </xdr:cNvPr>
        <xdr:cNvSpPr txBox="1"/>
      </xdr:nvSpPr>
      <xdr:spPr>
        <a:xfrm>
          <a:off x="9862037" y="10536116"/>
          <a:ext cx="41838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Out</a:t>
          </a:r>
        </a:p>
      </xdr:txBody>
    </xdr:sp>
    <xdr:clientData/>
  </xdr:twoCellAnchor>
  <xdr:twoCellAnchor>
    <xdr:from>
      <xdr:col>12</xdr:col>
      <xdr:colOff>2118</xdr:colOff>
      <xdr:row>51</xdr:row>
      <xdr:rowOff>146538</xdr:rowOff>
    </xdr:from>
    <xdr:to>
      <xdr:col>12</xdr:col>
      <xdr:colOff>7327</xdr:colOff>
      <xdr:row>53</xdr:row>
      <xdr:rowOff>126274</xdr:rowOff>
    </xdr:to>
    <xdr:cxnSp macro="">
      <xdr:nvCxnSpPr>
        <xdr:cNvPr id="273" name="Gerader Verbinder 272">
          <a:extLst>
            <a:ext uri="{FF2B5EF4-FFF2-40B4-BE49-F238E27FC236}">
              <a16:creationId xmlns:a16="http://schemas.microsoft.com/office/drawing/2014/main" id="{83DF353F-293A-93BD-157A-8A890A6ACEF2}"/>
            </a:ext>
          </a:extLst>
        </xdr:cNvPr>
        <xdr:cNvCxnSpPr>
          <a:cxnSpLocks/>
          <a:stCxn id="288" idx="3"/>
        </xdr:cNvCxnSpPr>
      </xdr:nvCxnSpPr>
      <xdr:spPr>
        <a:xfrm flipV="1">
          <a:off x="9146118" y="9964615"/>
          <a:ext cx="5209" cy="360736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754673</xdr:colOff>
      <xdr:row>57</xdr:row>
      <xdr:rowOff>86548</xdr:rowOff>
    </xdr:from>
    <xdr:to>
      <xdr:col>12</xdr:col>
      <xdr:colOff>2118</xdr:colOff>
      <xdr:row>59</xdr:row>
      <xdr:rowOff>161192</xdr:rowOff>
    </xdr:to>
    <xdr:cxnSp macro="">
      <xdr:nvCxnSpPr>
        <xdr:cNvPr id="274" name="Gerader Verbinder 273">
          <a:extLst>
            <a:ext uri="{FF2B5EF4-FFF2-40B4-BE49-F238E27FC236}">
              <a16:creationId xmlns:a16="http://schemas.microsoft.com/office/drawing/2014/main" id="{2C1E0E87-F849-1ED9-C270-E301A6A810BE}"/>
            </a:ext>
          </a:extLst>
        </xdr:cNvPr>
        <xdr:cNvCxnSpPr>
          <a:cxnSpLocks/>
          <a:endCxn id="288" idx="1"/>
        </xdr:cNvCxnSpPr>
      </xdr:nvCxnSpPr>
      <xdr:spPr>
        <a:xfrm flipV="1">
          <a:off x="9136673" y="11047625"/>
          <a:ext cx="9445" cy="45564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413530</xdr:colOff>
      <xdr:row>51</xdr:row>
      <xdr:rowOff>130089</xdr:rowOff>
    </xdr:from>
    <xdr:to>
      <xdr:col>14</xdr:col>
      <xdr:colOff>359016</xdr:colOff>
      <xdr:row>51</xdr:row>
      <xdr:rowOff>131885</xdr:rowOff>
    </xdr:to>
    <xdr:cxnSp macro="">
      <xdr:nvCxnSpPr>
        <xdr:cNvPr id="278" name="Gerader Verbinder 277">
          <a:extLst>
            <a:ext uri="{FF2B5EF4-FFF2-40B4-BE49-F238E27FC236}">
              <a16:creationId xmlns:a16="http://schemas.microsoft.com/office/drawing/2014/main" id="{0F331059-AA59-59C0-B8C9-5BA87D5EC932}"/>
            </a:ext>
          </a:extLst>
        </xdr:cNvPr>
        <xdr:cNvCxnSpPr>
          <a:cxnSpLocks/>
        </xdr:cNvCxnSpPr>
      </xdr:nvCxnSpPr>
      <xdr:spPr>
        <a:xfrm>
          <a:off x="8795530" y="9948166"/>
          <a:ext cx="1293640" cy="1796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5953</xdr:colOff>
      <xdr:row>51</xdr:row>
      <xdr:rowOff>130969</xdr:rowOff>
    </xdr:from>
    <xdr:to>
      <xdr:col>10</xdr:col>
      <xdr:colOff>205154</xdr:colOff>
      <xdr:row>51</xdr:row>
      <xdr:rowOff>133422</xdr:rowOff>
    </xdr:to>
    <xdr:cxnSp macro="">
      <xdr:nvCxnSpPr>
        <xdr:cNvPr id="286" name="Gerader Verbinder 285">
          <a:extLst>
            <a:ext uri="{FF2B5EF4-FFF2-40B4-BE49-F238E27FC236}">
              <a16:creationId xmlns:a16="http://schemas.microsoft.com/office/drawing/2014/main" id="{D913578A-0A9E-8C7A-4522-1A91BC3F62B9}"/>
            </a:ext>
          </a:extLst>
        </xdr:cNvPr>
        <xdr:cNvCxnSpPr>
          <a:cxnSpLocks/>
        </xdr:cNvCxnSpPr>
      </xdr:nvCxnSpPr>
      <xdr:spPr>
        <a:xfrm>
          <a:off x="6863953" y="9953625"/>
          <a:ext cx="961201" cy="2453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11846</xdr:colOff>
      <xdr:row>59</xdr:row>
      <xdr:rowOff>157002</xdr:rowOff>
    </xdr:from>
    <xdr:to>
      <xdr:col>14</xdr:col>
      <xdr:colOff>410305</xdr:colOff>
      <xdr:row>59</xdr:row>
      <xdr:rowOff>168520</xdr:rowOff>
    </xdr:to>
    <xdr:cxnSp macro="">
      <xdr:nvCxnSpPr>
        <xdr:cNvPr id="287" name="Gerader Verbinder 286">
          <a:extLst>
            <a:ext uri="{FF2B5EF4-FFF2-40B4-BE49-F238E27FC236}">
              <a16:creationId xmlns:a16="http://schemas.microsoft.com/office/drawing/2014/main" id="{37DE7F33-D04C-EC34-7CA3-E151D992859C}"/>
            </a:ext>
          </a:extLst>
        </xdr:cNvPr>
        <xdr:cNvCxnSpPr>
          <a:cxnSpLocks/>
        </xdr:cNvCxnSpPr>
      </xdr:nvCxnSpPr>
      <xdr:spPr>
        <a:xfrm>
          <a:off x="6869846" y="11499079"/>
          <a:ext cx="3270613" cy="1151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621072</xdr:colOff>
      <xdr:row>53</xdr:row>
      <xdr:rowOff>126274</xdr:rowOff>
    </xdr:from>
    <xdr:to>
      <xdr:col>12</xdr:col>
      <xdr:colOff>145164</xdr:colOff>
      <xdr:row>57</xdr:row>
      <xdr:rowOff>86548</xdr:rowOff>
    </xdr:to>
    <xdr:sp macro="" textlink="">
      <xdr:nvSpPr>
        <xdr:cNvPr id="288" name="Textfeld 287">
          <a:extLst>
            <a:ext uri="{FF2B5EF4-FFF2-40B4-BE49-F238E27FC236}">
              <a16:creationId xmlns:a16="http://schemas.microsoft.com/office/drawing/2014/main" id="{D89EC88D-B2D0-478C-B56F-547AA2EF935B}"/>
            </a:ext>
          </a:extLst>
        </xdr:cNvPr>
        <xdr:cNvSpPr txBox="1"/>
      </xdr:nvSpPr>
      <xdr:spPr>
        <a:xfrm rot="16200000" flipV="1">
          <a:off x="8784981" y="10543442"/>
          <a:ext cx="722274" cy="286092"/>
        </a:xfrm>
        <a:prstGeom prst="rect">
          <a:avLst/>
        </a:prstGeom>
        <a:solidFill>
          <a:schemeClr val="lt1"/>
        </a:solidFill>
        <a:ln w="12700" cmpd="sng">
          <a:solidFill>
            <a:schemeClr val="tx1">
              <a:lumMod val="95000"/>
              <a:lumOff val="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CH" sz="1100"/>
            <a:t>R</a:t>
          </a:r>
          <a:endParaRPr lang="de-CH" sz="1100" baseline="-25000"/>
        </a:p>
      </xdr:txBody>
    </xdr:sp>
    <xdr:clientData/>
  </xdr:twoCellAnchor>
  <xdr:twoCellAnchor>
    <xdr:from>
      <xdr:col>11</xdr:col>
      <xdr:colOff>710712</xdr:colOff>
      <xdr:row>51</xdr:row>
      <xdr:rowOff>73269</xdr:rowOff>
    </xdr:from>
    <xdr:to>
      <xdr:col>12</xdr:col>
      <xdr:colOff>78661</xdr:colOff>
      <xdr:row>52</xdr:row>
      <xdr:rowOff>32674</xdr:rowOff>
    </xdr:to>
    <xdr:sp macro="" textlink="">
      <xdr:nvSpPr>
        <xdr:cNvPr id="298" name="Ellipse 297">
          <a:extLst>
            <a:ext uri="{FF2B5EF4-FFF2-40B4-BE49-F238E27FC236}">
              <a16:creationId xmlns:a16="http://schemas.microsoft.com/office/drawing/2014/main" id="{EF85976D-0C2C-460E-A00C-150E1ABDFE25}"/>
            </a:ext>
          </a:extLst>
        </xdr:cNvPr>
        <xdr:cNvSpPr/>
      </xdr:nvSpPr>
      <xdr:spPr>
        <a:xfrm>
          <a:off x="9092712" y="9891346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688731</xdr:colOff>
      <xdr:row>59</xdr:row>
      <xdr:rowOff>73269</xdr:rowOff>
    </xdr:from>
    <xdr:to>
      <xdr:col>12</xdr:col>
      <xdr:colOff>56680</xdr:colOff>
      <xdr:row>60</xdr:row>
      <xdr:rowOff>32674</xdr:rowOff>
    </xdr:to>
    <xdr:sp macro="" textlink="">
      <xdr:nvSpPr>
        <xdr:cNvPr id="299" name="Ellipse 298">
          <a:extLst>
            <a:ext uri="{FF2B5EF4-FFF2-40B4-BE49-F238E27FC236}">
              <a16:creationId xmlns:a16="http://schemas.microsoft.com/office/drawing/2014/main" id="{968BA650-C8F9-2FEE-4233-3ED904F0E0B4}"/>
            </a:ext>
          </a:extLst>
        </xdr:cNvPr>
        <xdr:cNvSpPr/>
      </xdr:nvSpPr>
      <xdr:spPr>
        <a:xfrm>
          <a:off x="9070731" y="11415346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540818</xdr:colOff>
      <xdr:row>65</xdr:row>
      <xdr:rowOff>131886</xdr:rowOff>
    </xdr:from>
    <xdr:to>
      <xdr:col>9</xdr:col>
      <xdr:colOff>540818</xdr:colOff>
      <xdr:row>71</xdr:row>
      <xdr:rowOff>14655</xdr:rowOff>
    </xdr:to>
    <xdr:cxnSp macro="">
      <xdr:nvCxnSpPr>
        <xdr:cNvPr id="301" name="Gerade Verbindung mit Pfeil 300">
          <a:extLst>
            <a:ext uri="{FF2B5EF4-FFF2-40B4-BE49-F238E27FC236}">
              <a16:creationId xmlns:a16="http://schemas.microsoft.com/office/drawing/2014/main" id="{9428F1FB-008E-571A-AD62-3B7309EA3E44}"/>
            </a:ext>
          </a:extLst>
        </xdr:cNvPr>
        <xdr:cNvCxnSpPr/>
      </xdr:nvCxnSpPr>
      <xdr:spPr>
        <a:xfrm>
          <a:off x="7398818" y="12621542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181799</xdr:colOff>
      <xdr:row>67</xdr:row>
      <xdr:rowOff>80597</xdr:rowOff>
    </xdr:from>
    <xdr:to>
      <xdr:col>9</xdr:col>
      <xdr:colOff>541449</xdr:colOff>
      <xdr:row>68</xdr:row>
      <xdr:rowOff>154657</xdr:rowOff>
    </xdr:to>
    <xdr:sp macro="" textlink="">
      <xdr:nvSpPr>
        <xdr:cNvPr id="302" name="Textfeld 301">
          <a:extLst>
            <a:ext uri="{FF2B5EF4-FFF2-40B4-BE49-F238E27FC236}">
              <a16:creationId xmlns:a16="http://schemas.microsoft.com/office/drawing/2014/main" id="{D4F481FF-5FD6-872B-D6B9-1A7CC6C27AE8}"/>
            </a:ext>
          </a:extLst>
        </xdr:cNvPr>
        <xdr:cNvSpPr txBox="1"/>
      </xdr:nvSpPr>
      <xdr:spPr>
        <a:xfrm>
          <a:off x="7039799" y="12951253"/>
          <a:ext cx="3596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IN</a:t>
          </a:r>
        </a:p>
      </xdr:txBody>
    </xdr:sp>
    <xdr:clientData/>
  </xdr:twoCellAnchor>
  <xdr:twoCellAnchor>
    <xdr:from>
      <xdr:col>14</xdr:col>
      <xdr:colOff>167144</xdr:colOff>
      <xdr:row>65</xdr:row>
      <xdr:rowOff>124559</xdr:rowOff>
    </xdr:from>
    <xdr:to>
      <xdr:col>14</xdr:col>
      <xdr:colOff>167144</xdr:colOff>
      <xdr:row>71</xdr:row>
      <xdr:rowOff>7328</xdr:rowOff>
    </xdr:to>
    <xdr:cxnSp macro="">
      <xdr:nvCxnSpPr>
        <xdr:cNvPr id="303" name="Gerade Verbindung mit Pfeil 302">
          <a:extLst>
            <a:ext uri="{FF2B5EF4-FFF2-40B4-BE49-F238E27FC236}">
              <a16:creationId xmlns:a16="http://schemas.microsoft.com/office/drawing/2014/main" id="{F90CE532-8B34-F009-4EB1-88C3CE9CF4DC}"/>
            </a:ext>
          </a:extLst>
        </xdr:cNvPr>
        <xdr:cNvCxnSpPr/>
      </xdr:nvCxnSpPr>
      <xdr:spPr>
        <a:xfrm>
          <a:off x="9906457" y="12614215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137836</xdr:colOff>
      <xdr:row>67</xdr:row>
      <xdr:rowOff>51289</xdr:rowOff>
    </xdr:from>
    <xdr:to>
      <xdr:col>14</xdr:col>
      <xdr:colOff>556220</xdr:colOff>
      <xdr:row>68</xdr:row>
      <xdr:rowOff>125349</xdr:rowOff>
    </xdr:to>
    <xdr:sp macro="" textlink="">
      <xdr:nvSpPr>
        <xdr:cNvPr id="304" name="Textfeld 303">
          <a:extLst>
            <a:ext uri="{FF2B5EF4-FFF2-40B4-BE49-F238E27FC236}">
              <a16:creationId xmlns:a16="http://schemas.microsoft.com/office/drawing/2014/main" id="{BD954BB1-1EF0-74FF-C917-C9FDD2BF8833}"/>
            </a:ext>
          </a:extLst>
        </xdr:cNvPr>
        <xdr:cNvSpPr txBox="1"/>
      </xdr:nvSpPr>
      <xdr:spPr>
        <a:xfrm>
          <a:off x="9877149" y="12921945"/>
          <a:ext cx="41838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Out</a:t>
          </a:r>
        </a:p>
      </xdr:txBody>
    </xdr:sp>
    <xdr:clientData/>
  </xdr:twoCellAnchor>
  <xdr:twoCellAnchor>
    <xdr:from>
      <xdr:col>11</xdr:col>
      <xdr:colOff>760626</xdr:colOff>
      <xdr:row>69</xdr:row>
      <xdr:rowOff>181798</xdr:rowOff>
    </xdr:from>
    <xdr:to>
      <xdr:col>12</xdr:col>
      <xdr:colOff>8071</xdr:colOff>
      <xdr:row>72</xdr:row>
      <xdr:rowOff>65942</xdr:rowOff>
    </xdr:to>
    <xdr:cxnSp macro="">
      <xdr:nvCxnSpPr>
        <xdr:cNvPr id="305" name="Gerader Verbinder 304">
          <a:extLst>
            <a:ext uri="{FF2B5EF4-FFF2-40B4-BE49-F238E27FC236}">
              <a16:creationId xmlns:a16="http://schemas.microsoft.com/office/drawing/2014/main" id="{F4CEE040-BF9E-D3F3-B350-2E8D10E7EB86}"/>
            </a:ext>
          </a:extLst>
        </xdr:cNvPr>
        <xdr:cNvCxnSpPr>
          <a:cxnSpLocks/>
          <a:endCxn id="309" idx="1"/>
        </xdr:cNvCxnSpPr>
      </xdr:nvCxnSpPr>
      <xdr:spPr>
        <a:xfrm flipV="1">
          <a:off x="9142626" y="13433454"/>
          <a:ext cx="9445" cy="45564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65484</xdr:colOff>
      <xdr:row>64</xdr:row>
      <xdr:rowOff>5953</xdr:rowOff>
    </xdr:from>
    <xdr:to>
      <xdr:col>14</xdr:col>
      <xdr:colOff>364969</xdr:colOff>
      <xdr:row>64</xdr:row>
      <xdr:rowOff>6869</xdr:rowOff>
    </xdr:to>
    <xdr:cxnSp macro="">
      <xdr:nvCxnSpPr>
        <xdr:cNvPr id="306" name="Gerader Verbinder 305">
          <a:extLst>
            <a:ext uri="{FF2B5EF4-FFF2-40B4-BE49-F238E27FC236}">
              <a16:creationId xmlns:a16="http://schemas.microsoft.com/office/drawing/2014/main" id="{0E4D92A9-94D1-76CD-A1C4-E253135C2BA6}"/>
            </a:ext>
          </a:extLst>
        </xdr:cNvPr>
        <xdr:cNvCxnSpPr>
          <a:cxnSpLocks/>
        </xdr:cNvCxnSpPr>
      </xdr:nvCxnSpPr>
      <xdr:spPr>
        <a:xfrm>
          <a:off x="8447484" y="12305109"/>
          <a:ext cx="1656798" cy="916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17859</xdr:colOff>
      <xdr:row>64</xdr:row>
      <xdr:rowOff>0</xdr:rowOff>
    </xdr:from>
    <xdr:to>
      <xdr:col>11</xdr:col>
      <xdr:colOff>0</xdr:colOff>
      <xdr:row>64</xdr:row>
      <xdr:rowOff>5953</xdr:rowOff>
    </xdr:to>
    <xdr:cxnSp macro="">
      <xdr:nvCxnSpPr>
        <xdr:cNvPr id="307" name="Gerader Verbinder 306">
          <a:extLst>
            <a:ext uri="{FF2B5EF4-FFF2-40B4-BE49-F238E27FC236}">
              <a16:creationId xmlns:a16="http://schemas.microsoft.com/office/drawing/2014/main" id="{DB3176C1-A6B4-E297-2714-6894C20C084A}"/>
            </a:ext>
          </a:extLst>
        </xdr:cNvPr>
        <xdr:cNvCxnSpPr>
          <a:cxnSpLocks/>
        </xdr:cNvCxnSpPr>
      </xdr:nvCxnSpPr>
      <xdr:spPr>
        <a:xfrm>
          <a:off x="6875859" y="12299156"/>
          <a:ext cx="1506141" cy="5953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17799</xdr:colOff>
      <xdr:row>72</xdr:row>
      <xdr:rowOff>61752</xdr:rowOff>
    </xdr:from>
    <xdr:to>
      <xdr:col>14</xdr:col>
      <xdr:colOff>416258</xdr:colOff>
      <xdr:row>72</xdr:row>
      <xdr:rowOff>73270</xdr:rowOff>
    </xdr:to>
    <xdr:cxnSp macro="">
      <xdr:nvCxnSpPr>
        <xdr:cNvPr id="308" name="Gerader Verbinder 307">
          <a:extLst>
            <a:ext uri="{FF2B5EF4-FFF2-40B4-BE49-F238E27FC236}">
              <a16:creationId xmlns:a16="http://schemas.microsoft.com/office/drawing/2014/main" id="{50780150-AE74-6EA6-B82E-3F6299B3FA90}"/>
            </a:ext>
          </a:extLst>
        </xdr:cNvPr>
        <xdr:cNvCxnSpPr>
          <a:cxnSpLocks/>
        </xdr:cNvCxnSpPr>
      </xdr:nvCxnSpPr>
      <xdr:spPr>
        <a:xfrm>
          <a:off x="6875799" y="13884908"/>
          <a:ext cx="3279772" cy="1151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627025</xdr:colOff>
      <xdr:row>66</xdr:row>
      <xdr:rowOff>31024</xdr:rowOff>
    </xdr:from>
    <xdr:to>
      <xdr:col>12</xdr:col>
      <xdr:colOff>151117</xdr:colOff>
      <xdr:row>69</xdr:row>
      <xdr:rowOff>181798</xdr:rowOff>
    </xdr:to>
    <xdr:sp macro="" textlink="">
      <xdr:nvSpPr>
        <xdr:cNvPr id="309" name="Textfeld 308">
          <a:extLst>
            <a:ext uri="{FF2B5EF4-FFF2-40B4-BE49-F238E27FC236}">
              <a16:creationId xmlns:a16="http://schemas.microsoft.com/office/drawing/2014/main" id="{210E44AA-614B-BE9C-A06F-9D235375EB9C}"/>
            </a:ext>
          </a:extLst>
        </xdr:cNvPr>
        <xdr:cNvSpPr txBox="1"/>
      </xdr:nvSpPr>
      <xdr:spPr>
        <a:xfrm rot="16200000" flipV="1">
          <a:off x="8790934" y="12929271"/>
          <a:ext cx="722274" cy="286092"/>
        </a:xfrm>
        <a:prstGeom prst="rect">
          <a:avLst/>
        </a:prstGeom>
        <a:solidFill>
          <a:schemeClr val="lt1"/>
        </a:solidFill>
        <a:ln w="12700" cmpd="sng">
          <a:solidFill>
            <a:schemeClr val="tx1">
              <a:lumMod val="95000"/>
              <a:lumOff val="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CH" sz="1100"/>
            <a:t>R</a:t>
          </a:r>
          <a:endParaRPr lang="de-CH" sz="1100" baseline="-25000"/>
        </a:p>
      </xdr:txBody>
    </xdr:sp>
    <xdr:clientData/>
  </xdr:twoCellAnchor>
  <xdr:twoCellAnchor>
    <xdr:from>
      <xdr:col>11</xdr:col>
      <xdr:colOff>710712</xdr:colOff>
      <xdr:row>63</xdr:row>
      <xdr:rowOff>126847</xdr:rowOff>
    </xdr:from>
    <xdr:to>
      <xdr:col>12</xdr:col>
      <xdr:colOff>78661</xdr:colOff>
      <xdr:row>64</xdr:row>
      <xdr:rowOff>86252</xdr:rowOff>
    </xdr:to>
    <xdr:sp macro="" textlink="">
      <xdr:nvSpPr>
        <xdr:cNvPr id="310" name="Ellipse 309">
          <a:extLst>
            <a:ext uri="{FF2B5EF4-FFF2-40B4-BE49-F238E27FC236}">
              <a16:creationId xmlns:a16="http://schemas.microsoft.com/office/drawing/2014/main" id="{A54C68C2-3532-252C-DC34-934B0D965A81}"/>
            </a:ext>
          </a:extLst>
        </xdr:cNvPr>
        <xdr:cNvSpPr/>
      </xdr:nvSpPr>
      <xdr:spPr>
        <a:xfrm>
          <a:off x="9092712" y="12235503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694684</xdr:colOff>
      <xdr:row>71</xdr:row>
      <xdr:rowOff>168519</xdr:rowOff>
    </xdr:from>
    <xdr:to>
      <xdr:col>12</xdr:col>
      <xdr:colOff>62633</xdr:colOff>
      <xdr:row>72</xdr:row>
      <xdr:rowOff>127924</xdr:rowOff>
    </xdr:to>
    <xdr:sp macro="" textlink="">
      <xdr:nvSpPr>
        <xdr:cNvPr id="311" name="Ellipse 310">
          <a:extLst>
            <a:ext uri="{FF2B5EF4-FFF2-40B4-BE49-F238E27FC236}">
              <a16:creationId xmlns:a16="http://schemas.microsoft.com/office/drawing/2014/main" id="{A808EBF6-6EB8-0C87-C5E4-2E59CD8B84F4}"/>
            </a:ext>
          </a:extLst>
        </xdr:cNvPr>
        <xdr:cNvSpPr/>
      </xdr:nvSpPr>
      <xdr:spPr>
        <a:xfrm>
          <a:off x="9076684" y="13801175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756047</xdr:colOff>
      <xdr:row>63</xdr:row>
      <xdr:rowOff>5953</xdr:rowOff>
    </xdr:from>
    <xdr:to>
      <xdr:col>11</xdr:col>
      <xdr:colOff>0</xdr:colOff>
      <xdr:row>64</xdr:row>
      <xdr:rowOff>178594</xdr:rowOff>
    </xdr:to>
    <xdr:cxnSp macro="">
      <xdr:nvCxnSpPr>
        <xdr:cNvPr id="312" name="Gerader Verbinder 311">
          <a:extLst>
            <a:ext uri="{FF2B5EF4-FFF2-40B4-BE49-F238E27FC236}">
              <a16:creationId xmlns:a16="http://schemas.microsoft.com/office/drawing/2014/main" id="{0AB33559-6C5C-4F23-81C7-04FA92EB7D11}"/>
            </a:ext>
          </a:extLst>
        </xdr:cNvPr>
        <xdr:cNvCxnSpPr>
          <a:cxnSpLocks/>
        </xdr:cNvCxnSpPr>
      </xdr:nvCxnSpPr>
      <xdr:spPr>
        <a:xfrm flipV="1">
          <a:off x="8376047" y="12114609"/>
          <a:ext cx="5953" cy="363141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47626</xdr:colOff>
      <xdr:row>63</xdr:row>
      <xdr:rowOff>5953</xdr:rowOff>
    </xdr:from>
    <xdr:to>
      <xdr:col>11</xdr:col>
      <xdr:colOff>53579</xdr:colOff>
      <xdr:row>64</xdr:row>
      <xdr:rowOff>178594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5F751C9F-F890-4580-BC5D-6EE3755D063A}"/>
            </a:ext>
          </a:extLst>
        </xdr:cNvPr>
        <xdr:cNvCxnSpPr>
          <a:cxnSpLocks/>
        </xdr:cNvCxnSpPr>
      </xdr:nvCxnSpPr>
      <xdr:spPr>
        <a:xfrm flipV="1">
          <a:off x="8429626" y="12114609"/>
          <a:ext cx="5953" cy="363141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51249</xdr:colOff>
      <xdr:row>62</xdr:row>
      <xdr:rowOff>130969</xdr:rowOff>
    </xdr:from>
    <xdr:ext cx="259879" cy="264560"/>
    <xdr:sp macro="" textlink="">
      <xdr:nvSpPr>
        <xdr:cNvPr id="314" name="Textfeld 313">
          <a:extLst>
            <a:ext uri="{FF2B5EF4-FFF2-40B4-BE49-F238E27FC236}">
              <a16:creationId xmlns:a16="http://schemas.microsoft.com/office/drawing/2014/main" id="{4C8343EC-A52F-4120-8091-53216BB96112}"/>
            </a:ext>
          </a:extLst>
        </xdr:cNvPr>
        <xdr:cNvSpPr txBox="1"/>
      </xdr:nvSpPr>
      <xdr:spPr>
        <a:xfrm>
          <a:off x="8433249" y="12049125"/>
          <a:ext cx="25987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C</a:t>
          </a:r>
        </a:p>
      </xdr:txBody>
    </xdr:sp>
    <xdr:clientData/>
  </xdr:oneCellAnchor>
  <xdr:twoCellAnchor>
    <xdr:from>
      <xdr:col>12</xdr:col>
      <xdr:colOff>8071</xdr:colOff>
      <xdr:row>64</xdr:row>
      <xdr:rowOff>86252</xdr:rowOff>
    </xdr:from>
    <xdr:to>
      <xdr:col>12</xdr:col>
      <xdr:colOff>13687</xdr:colOff>
      <xdr:row>66</xdr:row>
      <xdr:rowOff>31024</xdr:rowOff>
    </xdr:to>
    <xdr:cxnSp macro="">
      <xdr:nvCxnSpPr>
        <xdr:cNvPr id="321" name="Gerader Verbinder 320">
          <a:extLst>
            <a:ext uri="{FF2B5EF4-FFF2-40B4-BE49-F238E27FC236}">
              <a16:creationId xmlns:a16="http://schemas.microsoft.com/office/drawing/2014/main" id="{29529733-5587-27B6-2574-16D3F487AE32}"/>
            </a:ext>
          </a:extLst>
        </xdr:cNvPr>
        <xdr:cNvCxnSpPr>
          <a:cxnSpLocks/>
          <a:stCxn id="309" idx="3"/>
          <a:endCxn id="310" idx="4"/>
        </xdr:cNvCxnSpPr>
      </xdr:nvCxnSpPr>
      <xdr:spPr>
        <a:xfrm flipV="1">
          <a:off x="9152071" y="12385408"/>
          <a:ext cx="5616" cy="325772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160735</xdr:colOff>
      <xdr:row>32</xdr:row>
      <xdr:rowOff>89296</xdr:rowOff>
    </xdr:from>
    <xdr:ext cx="651012" cy="264560"/>
    <xdr:sp macro="" textlink="">
      <xdr:nvSpPr>
        <xdr:cNvPr id="325" name="Textfeld 324">
          <a:extLst>
            <a:ext uri="{FF2B5EF4-FFF2-40B4-BE49-F238E27FC236}">
              <a16:creationId xmlns:a16="http://schemas.microsoft.com/office/drawing/2014/main" id="{03EB6833-FF62-C298-5BD7-90924519C13A}"/>
            </a:ext>
          </a:extLst>
        </xdr:cNvPr>
        <xdr:cNvSpPr txBox="1"/>
      </xdr:nvSpPr>
      <xdr:spPr>
        <a:xfrm>
          <a:off x="7780735" y="6292452"/>
          <a:ext cx="65101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Tiefpass</a:t>
          </a:r>
        </a:p>
      </xdr:txBody>
    </xdr:sp>
    <xdr:clientData/>
  </xdr:oneCellAnchor>
  <xdr:oneCellAnchor>
    <xdr:from>
      <xdr:col>10</xdr:col>
      <xdr:colOff>17859</xdr:colOff>
      <xdr:row>53</xdr:row>
      <xdr:rowOff>136922</xdr:rowOff>
    </xdr:from>
    <xdr:ext cx="651012" cy="264560"/>
    <xdr:sp macro="" textlink="">
      <xdr:nvSpPr>
        <xdr:cNvPr id="326" name="Textfeld 325">
          <a:extLst>
            <a:ext uri="{FF2B5EF4-FFF2-40B4-BE49-F238E27FC236}">
              <a16:creationId xmlns:a16="http://schemas.microsoft.com/office/drawing/2014/main" id="{8F6F8F93-8F3C-45AB-9A9C-1338531AE026}"/>
            </a:ext>
          </a:extLst>
        </xdr:cNvPr>
        <xdr:cNvSpPr txBox="1"/>
      </xdr:nvSpPr>
      <xdr:spPr>
        <a:xfrm>
          <a:off x="7637859" y="10340578"/>
          <a:ext cx="65101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Tiefpass</a:t>
          </a:r>
        </a:p>
      </xdr:txBody>
    </xdr:sp>
    <xdr:clientData/>
  </xdr:oneCellAnchor>
  <xdr:oneCellAnchor>
    <xdr:from>
      <xdr:col>10</xdr:col>
      <xdr:colOff>172641</xdr:colOff>
      <xdr:row>43</xdr:row>
      <xdr:rowOff>47624</xdr:rowOff>
    </xdr:from>
    <xdr:ext cx="732701" cy="264560"/>
    <xdr:sp macro="" textlink="">
      <xdr:nvSpPr>
        <xdr:cNvPr id="327" name="Textfeld 326">
          <a:extLst>
            <a:ext uri="{FF2B5EF4-FFF2-40B4-BE49-F238E27FC236}">
              <a16:creationId xmlns:a16="http://schemas.microsoft.com/office/drawing/2014/main" id="{2544B245-7E7F-6DD4-4581-6784A4B1525F}"/>
            </a:ext>
          </a:extLst>
        </xdr:cNvPr>
        <xdr:cNvSpPr txBox="1"/>
      </xdr:nvSpPr>
      <xdr:spPr>
        <a:xfrm>
          <a:off x="7792641" y="8346280"/>
          <a:ext cx="73270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Hochpass</a:t>
          </a:r>
        </a:p>
      </xdr:txBody>
    </xdr:sp>
    <xdr:clientData/>
  </xdr:oneCellAnchor>
  <xdr:oneCellAnchor>
    <xdr:from>
      <xdr:col>10</xdr:col>
      <xdr:colOff>0</xdr:colOff>
      <xdr:row>66</xdr:row>
      <xdr:rowOff>17859</xdr:rowOff>
    </xdr:from>
    <xdr:ext cx="732701" cy="264560"/>
    <xdr:sp macro="" textlink="">
      <xdr:nvSpPr>
        <xdr:cNvPr id="328" name="Textfeld 327">
          <a:extLst>
            <a:ext uri="{FF2B5EF4-FFF2-40B4-BE49-F238E27FC236}">
              <a16:creationId xmlns:a16="http://schemas.microsoft.com/office/drawing/2014/main" id="{DC9BA035-F623-45EC-8E40-CFB3667732D0}"/>
            </a:ext>
          </a:extLst>
        </xdr:cNvPr>
        <xdr:cNvSpPr txBox="1"/>
      </xdr:nvSpPr>
      <xdr:spPr>
        <a:xfrm>
          <a:off x="7620000" y="12698015"/>
          <a:ext cx="73270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Hochpass</a:t>
          </a:r>
        </a:p>
      </xdr:txBody>
    </xdr:sp>
    <xdr:clientData/>
  </xdr:oneCellAnchor>
  <xdr:twoCellAnchor>
    <xdr:from>
      <xdr:col>9</xdr:col>
      <xdr:colOff>523019</xdr:colOff>
      <xdr:row>82</xdr:row>
      <xdr:rowOff>917</xdr:rowOff>
    </xdr:from>
    <xdr:to>
      <xdr:col>9</xdr:col>
      <xdr:colOff>523019</xdr:colOff>
      <xdr:row>87</xdr:row>
      <xdr:rowOff>74186</xdr:rowOff>
    </xdr:to>
    <xdr:cxnSp macro="">
      <xdr:nvCxnSpPr>
        <xdr:cNvPr id="19" name="Gerade Verbindung mit Pfeil 18">
          <a:extLst>
            <a:ext uri="{FF2B5EF4-FFF2-40B4-BE49-F238E27FC236}">
              <a16:creationId xmlns:a16="http://schemas.microsoft.com/office/drawing/2014/main" id="{6EC4D09D-1E9E-417F-8D21-0FEF9027DB93}"/>
            </a:ext>
          </a:extLst>
        </xdr:cNvPr>
        <xdr:cNvCxnSpPr/>
      </xdr:nvCxnSpPr>
      <xdr:spPr>
        <a:xfrm>
          <a:off x="7381019" y="15729073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164000</xdr:colOff>
      <xdr:row>83</xdr:row>
      <xdr:rowOff>140128</xdr:rowOff>
    </xdr:from>
    <xdr:to>
      <xdr:col>9</xdr:col>
      <xdr:colOff>523650</xdr:colOff>
      <xdr:row>85</xdr:row>
      <xdr:rowOff>23688</xdr:rowOff>
    </xdr:to>
    <xdr:sp macro="" textlink="">
      <xdr:nvSpPr>
        <xdr:cNvPr id="170" name="Textfeld 169">
          <a:extLst>
            <a:ext uri="{FF2B5EF4-FFF2-40B4-BE49-F238E27FC236}">
              <a16:creationId xmlns:a16="http://schemas.microsoft.com/office/drawing/2014/main" id="{BCE5E9F6-F929-4FC3-88BC-8A19A29D859C}"/>
            </a:ext>
          </a:extLst>
        </xdr:cNvPr>
        <xdr:cNvSpPr txBox="1"/>
      </xdr:nvSpPr>
      <xdr:spPr>
        <a:xfrm>
          <a:off x="7022000" y="16058784"/>
          <a:ext cx="3596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IN</a:t>
          </a:r>
        </a:p>
      </xdr:txBody>
    </xdr:sp>
    <xdr:clientData/>
  </xdr:twoCellAnchor>
  <xdr:twoCellAnchor>
    <xdr:from>
      <xdr:col>14</xdr:col>
      <xdr:colOff>149345</xdr:colOff>
      <xdr:row>81</xdr:row>
      <xdr:rowOff>184090</xdr:rowOff>
    </xdr:from>
    <xdr:to>
      <xdr:col>14</xdr:col>
      <xdr:colOff>149345</xdr:colOff>
      <xdr:row>87</xdr:row>
      <xdr:rowOff>66859</xdr:rowOff>
    </xdr:to>
    <xdr:cxnSp macro="">
      <xdr:nvCxnSpPr>
        <xdr:cNvPr id="177" name="Gerade Verbindung mit Pfeil 176">
          <a:extLst>
            <a:ext uri="{FF2B5EF4-FFF2-40B4-BE49-F238E27FC236}">
              <a16:creationId xmlns:a16="http://schemas.microsoft.com/office/drawing/2014/main" id="{BC24B0A2-AEDC-4627-BAE2-E9B10BC0B174}"/>
            </a:ext>
          </a:extLst>
        </xdr:cNvPr>
        <xdr:cNvCxnSpPr/>
      </xdr:nvCxnSpPr>
      <xdr:spPr>
        <a:xfrm>
          <a:off x="9888658" y="15721746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120037</xdr:colOff>
      <xdr:row>83</xdr:row>
      <xdr:rowOff>110820</xdr:rowOff>
    </xdr:from>
    <xdr:to>
      <xdr:col>14</xdr:col>
      <xdr:colOff>538421</xdr:colOff>
      <xdr:row>84</xdr:row>
      <xdr:rowOff>184880</xdr:rowOff>
    </xdr:to>
    <xdr:sp macro="" textlink="">
      <xdr:nvSpPr>
        <xdr:cNvPr id="191" name="Textfeld 190">
          <a:extLst>
            <a:ext uri="{FF2B5EF4-FFF2-40B4-BE49-F238E27FC236}">
              <a16:creationId xmlns:a16="http://schemas.microsoft.com/office/drawing/2014/main" id="{B5ED2CEE-34D1-45BA-87B0-640560DF7C39}"/>
            </a:ext>
          </a:extLst>
        </xdr:cNvPr>
        <xdr:cNvSpPr txBox="1"/>
      </xdr:nvSpPr>
      <xdr:spPr>
        <a:xfrm>
          <a:off x="9859350" y="16029476"/>
          <a:ext cx="41838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Out</a:t>
          </a:r>
        </a:p>
      </xdr:txBody>
    </xdr:sp>
    <xdr:clientData/>
  </xdr:twoCellAnchor>
  <xdr:twoCellAnchor>
    <xdr:from>
      <xdr:col>11</xdr:col>
      <xdr:colOff>742827</xdr:colOff>
      <xdr:row>86</xdr:row>
      <xdr:rowOff>50829</xdr:rowOff>
    </xdr:from>
    <xdr:to>
      <xdr:col>11</xdr:col>
      <xdr:colOff>752272</xdr:colOff>
      <xdr:row>88</xdr:row>
      <xdr:rowOff>125473</xdr:rowOff>
    </xdr:to>
    <xdr:cxnSp macro="">
      <xdr:nvCxnSpPr>
        <xdr:cNvPr id="277" name="Gerader Verbinder 276">
          <a:extLst>
            <a:ext uri="{FF2B5EF4-FFF2-40B4-BE49-F238E27FC236}">
              <a16:creationId xmlns:a16="http://schemas.microsoft.com/office/drawing/2014/main" id="{C8385224-B969-4F91-81D6-357EA658279B}"/>
            </a:ext>
          </a:extLst>
        </xdr:cNvPr>
        <xdr:cNvCxnSpPr>
          <a:cxnSpLocks/>
          <a:endCxn id="292" idx="1"/>
        </xdr:cNvCxnSpPr>
      </xdr:nvCxnSpPr>
      <xdr:spPr>
        <a:xfrm flipV="1">
          <a:off x="9124827" y="16540985"/>
          <a:ext cx="9445" cy="45564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339328</xdr:colOff>
      <xdr:row>80</xdr:row>
      <xdr:rowOff>65485</xdr:rowOff>
    </xdr:from>
    <xdr:to>
      <xdr:col>14</xdr:col>
      <xdr:colOff>347170</xdr:colOff>
      <xdr:row>80</xdr:row>
      <xdr:rowOff>66400</xdr:rowOff>
    </xdr:to>
    <xdr:cxnSp macro="">
      <xdr:nvCxnSpPr>
        <xdr:cNvPr id="279" name="Gerader Verbinder 278">
          <a:extLst>
            <a:ext uri="{FF2B5EF4-FFF2-40B4-BE49-F238E27FC236}">
              <a16:creationId xmlns:a16="http://schemas.microsoft.com/office/drawing/2014/main" id="{EC9AA862-A381-4CB8-ABAF-8EF3AE70A227}"/>
            </a:ext>
          </a:extLst>
        </xdr:cNvPr>
        <xdr:cNvCxnSpPr>
          <a:cxnSpLocks/>
        </xdr:cNvCxnSpPr>
      </xdr:nvCxnSpPr>
      <xdr:spPr>
        <a:xfrm>
          <a:off x="8721328" y="15412641"/>
          <a:ext cx="1365155" cy="915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</xdr:colOff>
      <xdr:row>80</xdr:row>
      <xdr:rowOff>59531</xdr:rowOff>
    </xdr:from>
    <xdr:to>
      <xdr:col>9</xdr:col>
      <xdr:colOff>577453</xdr:colOff>
      <xdr:row>80</xdr:row>
      <xdr:rowOff>59531</xdr:rowOff>
    </xdr:to>
    <xdr:cxnSp macro="">
      <xdr:nvCxnSpPr>
        <xdr:cNvPr id="289" name="Gerader Verbinder 288">
          <a:extLst>
            <a:ext uri="{FF2B5EF4-FFF2-40B4-BE49-F238E27FC236}">
              <a16:creationId xmlns:a16="http://schemas.microsoft.com/office/drawing/2014/main" id="{08F2EB1F-B193-411D-BB06-DC26E73A8738}"/>
            </a:ext>
          </a:extLst>
        </xdr:cNvPr>
        <xdr:cNvCxnSpPr>
          <a:cxnSpLocks/>
        </xdr:cNvCxnSpPr>
      </xdr:nvCxnSpPr>
      <xdr:spPr>
        <a:xfrm>
          <a:off x="6858060" y="15406687"/>
          <a:ext cx="577393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88</xdr:row>
      <xdr:rowOff>121283</xdr:rowOff>
    </xdr:from>
    <xdr:to>
      <xdr:col>14</xdr:col>
      <xdr:colOff>398459</xdr:colOff>
      <xdr:row>88</xdr:row>
      <xdr:rowOff>132801</xdr:rowOff>
    </xdr:to>
    <xdr:cxnSp macro="">
      <xdr:nvCxnSpPr>
        <xdr:cNvPr id="290" name="Gerader Verbinder 289">
          <a:extLst>
            <a:ext uri="{FF2B5EF4-FFF2-40B4-BE49-F238E27FC236}">
              <a16:creationId xmlns:a16="http://schemas.microsoft.com/office/drawing/2014/main" id="{AB491197-1A43-43E3-B58B-1A2B9821EEBC}"/>
            </a:ext>
          </a:extLst>
        </xdr:cNvPr>
        <xdr:cNvCxnSpPr>
          <a:cxnSpLocks/>
        </xdr:cNvCxnSpPr>
      </xdr:nvCxnSpPr>
      <xdr:spPr>
        <a:xfrm>
          <a:off x="6858000" y="16992439"/>
          <a:ext cx="3279772" cy="1151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609226</xdr:colOff>
      <xdr:row>82</xdr:row>
      <xdr:rowOff>90555</xdr:rowOff>
    </xdr:from>
    <xdr:to>
      <xdr:col>12</xdr:col>
      <xdr:colOff>133318</xdr:colOff>
      <xdr:row>86</xdr:row>
      <xdr:rowOff>50829</xdr:rowOff>
    </xdr:to>
    <xdr:sp macro="" textlink="">
      <xdr:nvSpPr>
        <xdr:cNvPr id="292" name="Textfeld 291">
          <a:extLst>
            <a:ext uri="{FF2B5EF4-FFF2-40B4-BE49-F238E27FC236}">
              <a16:creationId xmlns:a16="http://schemas.microsoft.com/office/drawing/2014/main" id="{87F63560-A8E9-40D2-BCAF-74C1BEA8EC35}"/>
            </a:ext>
          </a:extLst>
        </xdr:cNvPr>
        <xdr:cNvSpPr txBox="1"/>
      </xdr:nvSpPr>
      <xdr:spPr>
        <a:xfrm rot="16200000" flipV="1">
          <a:off x="8773135" y="16036802"/>
          <a:ext cx="722274" cy="286092"/>
        </a:xfrm>
        <a:prstGeom prst="rect">
          <a:avLst/>
        </a:prstGeom>
        <a:solidFill>
          <a:schemeClr val="lt1"/>
        </a:solidFill>
        <a:ln w="12700" cmpd="sng">
          <a:solidFill>
            <a:schemeClr val="tx1">
              <a:lumMod val="95000"/>
              <a:lumOff val="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CH" sz="1100"/>
            <a:t>R</a:t>
          </a:r>
          <a:endParaRPr lang="de-CH" sz="1100" baseline="-25000"/>
        </a:p>
      </xdr:txBody>
    </xdr:sp>
    <xdr:clientData/>
  </xdr:twoCellAnchor>
  <xdr:twoCellAnchor>
    <xdr:from>
      <xdr:col>11</xdr:col>
      <xdr:colOff>692913</xdr:colOff>
      <xdr:row>79</xdr:row>
      <xdr:rowOff>186378</xdr:rowOff>
    </xdr:from>
    <xdr:to>
      <xdr:col>12</xdr:col>
      <xdr:colOff>60862</xdr:colOff>
      <xdr:row>80</xdr:row>
      <xdr:rowOff>145783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EEF94FD2-BEF9-4B3F-B63F-F8A684D18CE5}"/>
            </a:ext>
          </a:extLst>
        </xdr:cNvPr>
        <xdr:cNvSpPr/>
      </xdr:nvSpPr>
      <xdr:spPr>
        <a:xfrm>
          <a:off x="9074913" y="15343034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676885</xdr:colOff>
      <xdr:row>88</xdr:row>
      <xdr:rowOff>37550</xdr:rowOff>
    </xdr:from>
    <xdr:to>
      <xdr:col>12</xdr:col>
      <xdr:colOff>44834</xdr:colOff>
      <xdr:row>88</xdr:row>
      <xdr:rowOff>187455</xdr:rowOff>
    </xdr:to>
    <xdr:sp macro="" textlink="">
      <xdr:nvSpPr>
        <xdr:cNvPr id="294" name="Ellipse 293">
          <a:extLst>
            <a:ext uri="{FF2B5EF4-FFF2-40B4-BE49-F238E27FC236}">
              <a16:creationId xmlns:a16="http://schemas.microsoft.com/office/drawing/2014/main" id="{AC385C45-E0CA-4A83-892F-DDCF59F2A35D}"/>
            </a:ext>
          </a:extLst>
        </xdr:cNvPr>
        <xdr:cNvSpPr/>
      </xdr:nvSpPr>
      <xdr:spPr>
        <a:xfrm>
          <a:off x="9058885" y="16908706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297721</xdr:colOff>
      <xdr:row>79</xdr:row>
      <xdr:rowOff>65484</xdr:rowOff>
    </xdr:from>
    <xdr:to>
      <xdr:col>11</xdr:col>
      <xdr:colOff>303674</xdr:colOff>
      <xdr:row>81</xdr:row>
      <xdr:rowOff>47625</xdr:rowOff>
    </xdr:to>
    <xdr:cxnSp macro="">
      <xdr:nvCxnSpPr>
        <xdr:cNvPr id="296" name="Gerader Verbinder 295">
          <a:extLst>
            <a:ext uri="{FF2B5EF4-FFF2-40B4-BE49-F238E27FC236}">
              <a16:creationId xmlns:a16="http://schemas.microsoft.com/office/drawing/2014/main" id="{95BCF549-5402-48D2-97E5-11988F745976}"/>
            </a:ext>
          </a:extLst>
        </xdr:cNvPr>
        <xdr:cNvCxnSpPr>
          <a:cxnSpLocks/>
        </xdr:cNvCxnSpPr>
      </xdr:nvCxnSpPr>
      <xdr:spPr>
        <a:xfrm flipV="1">
          <a:off x="8679721" y="15222140"/>
          <a:ext cx="5953" cy="363141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339394</xdr:colOff>
      <xdr:row>79</xdr:row>
      <xdr:rowOff>65484</xdr:rowOff>
    </xdr:from>
    <xdr:to>
      <xdr:col>11</xdr:col>
      <xdr:colOff>345347</xdr:colOff>
      <xdr:row>81</xdr:row>
      <xdr:rowOff>47625</xdr:rowOff>
    </xdr:to>
    <xdr:cxnSp macro="">
      <xdr:nvCxnSpPr>
        <xdr:cNvPr id="297" name="Gerader Verbinder 296">
          <a:extLst>
            <a:ext uri="{FF2B5EF4-FFF2-40B4-BE49-F238E27FC236}">
              <a16:creationId xmlns:a16="http://schemas.microsoft.com/office/drawing/2014/main" id="{550884B9-237B-4610-A55D-58C63FF9D212}"/>
            </a:ext>
          </a:extLst>
        </xdr:cNvPr>
        <xdr:cNvCxnSpPr>
          <a:cxnSpLocks/>
        </xdr:cNvCxnSpPr>
      </xdr:nvCxnSpPr>
      <xdr:spPr>
        <a:xfrm flipV="1">
          <a:off x="8721394" y="15222140"/>
          <a:ext cx="5953" cy="363141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354923</xdr:colOff>
      <xdr:row>79</xdr:row>
      <xdr:rowOff>0</xdr:rowOff>
    </xdr:from>
    <xdr:ext cx="259879" cy="264560"/>
    <xdr:sp macro="" textlink="">
      <xdr:nvSpPr>
        <xdr:cNvPr id="300" name="Textfeld 299">
          <a:extLst>
            <a:ext uri="{FF2B5EF4-FFF2-40B4-BE49-F238E27FC236}">
              <a16:creationId xmlns:a16="http://schemas.microsoft.com/office/drawing/2014/main" id="{D91C060C-153C-4684-A5B0-C5F2C31072E3}"/>
            </a:ext>
          </a:extLst>
        </xdr:cNvPr>
        <xdr:cNvSpPr txBox="1"/>
      </xdr:nvSpPr>
      <xdr:spPr>
        <a:xfrm>
          <a:off x="8736923" y="15156656"/>
          <a:ext cx="25987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C</a:t>
          </a:r>
        </a:p>
      </xdr:txBody>
    </xdr:sp>
    <xdr:clientData/>
  </xdr:oneCellAnchor>
  <xdr:oneCellAnchor>
    <xdr:from>
      <xdr:col>9</xdr:col>
      <xdr:colOff>744201</xdr:colOff>
      <xdr:row>82</xdr:row>
      <xdr:rowOff>77390</xdr:rowOff>
    </xdr:from>
    <xdr:ext cx="1003673" cy="264560"/>
    <xdr:sp macro="" textlink="">
      <xdr:nvSpPr>
        <xdr:cNvPr id="315" name="Textfeld 314">
          <a:extLst>
            <a:ext uri="{FF2B5EF4-FFF2-40B4-BE49-F238E27FC236}">
              <a16:creationId xmlns:a16="http://schemas.microsoft.com/office/drawing/2014/main" id="{1E173ABF-25A8-4861-AFAB-BFCD41CDD1B5}"/>
            </a:ext>
          </a:extLst>
        </xdr:cNvPr>
        <xdr:cNvSpPr txBox="1"/>
      </xdr:nvSpPr>
      <xdr:spPr>
        <a:xfrm>
          <a:off x="7602201" y="15805546"/>
          <a:ext cx="100367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Bandpassfilter</a:t>
          </a:r>
        </a:p>
      </xdr:txBody>
    </xdr:sp>
    <xdr:clientData/>
  </xdr:oneCellAnchor>
  <xdr:twoCellAnchor>
    <xdr:from>
      <xdr:col>9</xdr:col>
      <xdr:colOff>523019</xdr:colOff>
      <xdr:row>97</xdr:row>
      <xdr:rowOff>917</xdr:rowOff>
    </xdr:from>
    <xdr:to>
      <xdr:col>9</xdr:col>
      <xdr:colOff>523019</xdr:colOff>
      <xdr:row>102</xdr:row>
      <xdr:rowOff>74186</xdr:rowOff>
    </xdr:to>
    <xdr:cxnSp macro="">
      <xdr:nvCxnSpPr>
        <xdr:cNvPr id="316" name="Gerade Verbindung mit Pfeil 315">
          <a:extLst>
            <a:ext uri="{FF2B5EF4-FFF2-40B4-BE49-F238E27FC236}">
              <a16:creationId xmlns:a16="http://schemas.microsoft.com/office/drawing/2014/main" id="{DD73DC2A-BBB3-4E5E-A94E-12B48F554D9B}"/>
            </a:ext>
          </a:extLst>
        </xdr:cNvPr>
        <xdr:cNvCxnSpPr/>
      </xdr:nvCxnSpPr>
      <xdr:spPr>
        <a:xfrm>
          <a:off x="7381019" y="18586573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164000</xdr:colOff>
      <xdr:row>98</xdr:row>
      <xdr:rowOff>140128</xdr:rowOff>
    </xdr:from>
    <xdr:to>
      <xdr:col>9</xdr:col>
      <xdr:colOff>523650</xdr:colOff>
      <xdr:row>100</xdr:row>
      <xdr:rowOff>23688</xdr:rowOff>
    </xdr:to>
    <xdr:sp macro="" textlink="">
      <xdr:nvSpPr>
        <xdr:cNvPr id="317" name="Textfeld 316">
          <a:extLst>
            <a:ext uri="{FF2B5EF4-FFF2-40B4-BE49-F238E27FC236}">
              <a16:creationId xmlns:a16="http://schemas.microsoft.com/office/drawing/2014/main" id="{2893011E-3733-45F1-99D3-2EA8B6380F2B}"/>
            </a:ext>
          </a:extLst>
        </xdr:cNvPr>
        <xdr:cNvSpPr txBox="1"/>
      </xdr:nvSpPr>
      <xdr:spPr>
        <a:xfrm>
          <a:off x="7022000" y="18916284"/>
          <a:ext cx="3596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IN</a:t>
          </a:r>
        </a:p>
      </xdr:txBody>
    </xdr:sp>
    <xdr:clientData/>
  </xdr:twoCellAnchor>
  <xdr:twoCellAnchor>
    <xdr:from>
      <xdr:col>14</xdr:col>
      <xdr:colOff>149345</xdr:colOff>
      <xdr:row>96</xdr:row>
      <xdr:rowOff>184090</xdr:rowOff>
    </xdr:from>
    <xdr:to>
      <xdr:col>14</xdr:col>
      <xdr:colOff>149345</xdr:colOff>
      <xdr:row>102</xdr:row>
      <xdr:rowOff>66859</xdr:rowOff>
    </xdr:to>
    <xdr:cxnSp macro="">
      <xdr:nvCxnSpPr>
        <xdr:cNvPr id="318" name="Gerade Verbindung mit Pfeil 317">
          <a:extLst>
            <a:ext uri="{FF2B5EF4-FFF2-40B4-BE49-F238E27FC236}">
              <a16:creationId xmlns:a16="http://schemas.microsoft.com/office/drawing/2014/main" id="{1A30406C-3DD7-42F9-971D-5A3576B3FC91}"/>
            </a:ext>
          </a:extLst>
        </xdr:cNvPr>
        <xdr:cNvCxnSpPr/>
      </xdr:nvCxnSpPr>
      <xdr:spPr>
        <a:xfrm>
          <a:off x="9888658" y="18579246"/>
          <a:ext cx="0" cy="1025769"/>
        </a:xfrm>
        <a:prstGeom prst="straightConnector1">
          <a:avLst/>
        </a:prstGeom>
        <a:ln w="2222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120037</xdr:colOff>
      <xdr:row>98</xdr:row>
      <xdr:rowOff>110820</xdr:rowOff>
    </xdr:from>
    <xdr:to>
      <xdr:col>14</xdr:col>
      <xdr:colOff>538421</xdr:colOff>
      <xdr:row>99</xdr:row>
      <xdr:rowOff>184880</xdr:rowOff>
    </xdr:to>
    <xdr:sp macro="" textlink="">
      <xdr:nvSpPr>
        <xdr:cNvPr id="319" name="Textfeld 318">
          <a:extLst>
            <a:ext uri="{FF2B5EF4-FFF2-40B4-BE49-F238E27FC236}">
              <a16:creationId xmlns:a16="http://schemas.microsoft.com/office/drawing/2014/main" id="{240A0AC5-6988-4073-A4BC-C56084BD100E}"/>
            </a:ext>
          </a:extLst>
        </xdr:cNvPr>
        <xdr:cNvSpPr txBox="1"/>
      </xdr:nvSpPr>
      <xdr:spPr>
        <a:xfrm>
          <a:off x="9859350" y="18886976"/>
          <a:ext cx="41838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Out</a:t>
          </a:r>
        </a:p>
      </xdr:txBody>
    </xdr:sp>
    <xdr:clientData/>
  </xdr:twoCellAnchor>
  <xdr:twoCellAnchor>
    <xdr:from>
      <xdr:col>11</xdr:col>
      <xdr:colOff>750094</xdr:colOff>
      <xdr:row>95</xdr:row>
      <xdr:rowOff>145783</xdr:rowOff>
    </xdr:from>
    <xdr:to>
      <xdr:col>11</xdr:col>
      <xdr:colOff>757888</xdr:colOff>
      <xdr:row>97</xdr:row>
      <xdr:rowOff>59531</xdr:rowOff>
    </xdr:to>
    <xdr:cxnSp macro="">
      <xdr:nvCxnSpPr>
        <xdr:cNvPr id="320" name="Gerader Verbinder 319">
          <a:extLst>
            <a:ext uri="{FF2B5EF4-FFF2-40B4-BE49-F238E27FC236}">
              <a16:creationId xmlns:a16="http://schemas.microsoft.com/office/drawing/2014/main" id="{9B0A1C4C-F4FF-4A13-9905-601B47D16CB9}"/>
            </a:ext>
          </a:extLst>
        </xdr:cNvPr>
        <xdr:cNvCxnSpPr>
          <a:cxnSpLocks/>
          <a:endCxn id="331" idx="4"/>
        </xdr:cNvCxnSpPr>
      </xdr:nvCxnSpPr>
      <xdr:spPr>
        <a:xfrm flipV="1">
          <a:off x="9132094" y="18350439"/>
          <a:ext cx="7794" cy="29474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47685</xdr:colOff>
      <xdr:row>95</xdr:row>
      <xdr:rowOff>65484</xdr:rowOff>
    </xdr:from>
    <xdr:to>
      <xdr:col>14</xdr:col>
      <xdr:colOff>347170</xdr:colOff>
      <xdr:row>95</xdr:row>
      <xdr:rowOff>66400</xdr:rowOff>
    </xdr:to>
    <xdr:cxnSp macro="">
      <xdr:nvCxnSpPr>
        <xdr:cNvPr id="322" name="Gerader Verbinder 321">
          <a:extLst>
            <a:ext uri="{FF2B5EF4-FFF2-40B4-BE49-F238E27FC236}">
              <a16:creationId xmlns:a16="http://schemas.microsoft.com/office/drawing/2014/main" id="{244E7EBD-C50B-4D71-B8DE-A76F320ECC60}"/>
            </a:ext>
          </a:extLst>
        </xdr:cNvPr>
        <xdr:cNvCxnSpPr>
          <a:cxnSpLocks/>
        </xdr:cNvCxnSpPr>
      </xdr:nvCxnSpPr>
      <xdr:spPr>
        <a:xfrm>
          <a:off x="8429685" y="18270140"/>
          <a:ext cx="1656798" cy="916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</xdr:colOff>
      <xdr:row>95</xdr:row>
      <xdr:rowOff>59531</xdr:rowOff>
    </xdr:from>
    <xdr:to>
      <xdr:col>10</xdr:col>
      <xdr:colOff>744201</xdr:colOff>
      <xdr:row>95</xdr:row>
      <xdr:rowOff>65484</xdr:rowOff>
    </xdr:to>
    <xdr:cxnSp macro="">
      <xdr:nvCxnSpPr>
        <xdr:cNvPr id="323" name="Gerader Verbinder 322">
          <a:extLst>
            <a:ext uri="{FF2B5EF4-FFF2-40B4-BE49-F238E27FC236}">
              <a16:creationId xmlns:a16="http://schemas.microsoft.com/office/drawing/2014/main" id="{1F2F132C-3353-4E59-96C3-5C01B16C5DB9}"/>
            </a:ext>
          </a:extLst>
        </xdr:cNvPr>
        <xdr:cNvCxnSpPr>
          <a:cxnSpLocks/>
        </xdr:cNvCxnSpPr>
      </xdr:nvCxnSpPr>
      <xdr:spPr>
        <a:xfrm>
          <a:off x="6858060" y="18264187"/>
          <a:ext cx="1506141" cy="5953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103</xdr:row>
      <xdr:rowOff>121283</xdr:rowOff>
    </xdr:from>
    <xdr:to>
      <xdr:col>14</xdr:col>
      <xdr:colOff>398459</xdr:colOff>
      <xdr:row>103</xdr:row>
      <xdr:rowOff>132801</xdr:rowOff>
    </xdr:to>
    <xdr:cxnSp macro="">
      <xdr:nvCxnSpPr>
        <xdr:cNvPr id="329" name="Gerader Verbinder 328">
          <a:extLst>
            <a:ext uri="{FF2B5EF4-FFF2-40B4-BE49-F238E27FC236}">
              <a16:creationId xmlns:a16="http://schemas.microsoft.com/office/drawing/2014/main" id="{5C16AC57-04A1-417F-8A2F-2165DD48B9EB}"/>
            </a:ext>
          </a:extLst>
        </xdr:cNvPr>
        <xdr:cNvCxnSpPr>
          <a:cxnSpLocks/>
        </xdr:cNvCxnSpPr>
      </xdr:nvCxnSpPr>
      <xdr:spPr>
        <a:xfrm>
          <a:off x="6858000" y="19849939"/>
          <a:ext cx="3279772" cy="1151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438761</xdr:colOff>
      <xdr:row>94</xdr:row>
      <xdr:rowOff>124099</xdr:rowOff>
    </xdr:from>
    <xdr:to>
      <xdr:col>11</xdr:col>
      <xdr:colOff>399035</xdr:colOff>
      <xdr:row>96</xdr:row>
      <xdr:rowOff>29191</xdr:rowOff>
    </xdr:to>
    <xdr:sp macro="" textlink="">
      <xdr:nvSpPr>
        <xdr:cNvPr id="330" name="Textfeld 329">
          <a:extLst>
            <a:ext uri="{FF2B5EF4-FFF2-40B4-BE49-F238E27FC236}">
              <a16:creationId xmlns:a16="http://schemas.microsoft.com/office/drawing/2014/main" id="{B4C13168-0B8C-4A39-8E83-E50F7CE852F3}"/>
            </a:ext>
          </a:extLst>
        </xdr:cNvPr>
        <xdr:cNvSpPr txBox="1"/>
      </xdr:nvSpPr>
      <xdr:spPr>
        <a:xfrm rot="10800000" flipV="1">
          <a:off x="8058761" y="18138255"/>
          <a:ext cx="722274" cy="286092"/>
        </a:xfrm>
        <a:prstGeom prst="rect">
          <a:avLst/>
        </a:prstGeom>
        <a:solidFill>
          <a:schemeClr val="lt1"/>
        </a:solidFill>
        <a:ln w="12700" cmpd="sng">
          <a:solidFill>
            <a:schemeClr val="tx1">
              <a:lumMod val="95000"/>
              <a:lumOff val="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CH" sz="1100"/>
            <a:t>R</a:t>
          </a:r>
          <a:endParaRPr lang="de-CH" sz="1100" baseline="-25000"/>
        </a:p>
      </xdr:txBody>
    </xdr:sp>
    <xdr:clientData/>
  </xdr:twoCellAnchor>
  <xdr:twoCellAnchor>
    <xdr:from>
      <xdr:col>11</xdr:col>
      <xdr:colOff>692913</xdr:colOff>
      <xdr:row>94</xdr:row>
      <xdr:rowOff>186378</xdr:rowOff>
    </xdr:from>
    <xdr:to>
      <xdr:col>12</xdr:col>
      <xdr:colOff>60862</xdr:colOff>
      <xdr:row>95</xdr:row>
      <xdr:rowOff>145783</xdr:rowOff>
    </xdr:to>
    <xdr:sp macro="" textlink="">
      <xdr:nvSpPr>
        <xdr:cNvPr id="331" name="Ellipse 330">
          <a:extLst>
            <a:ext uri="{FF2B5EF4-FFF2-40B4-BE49-F238E27FC236}">
              <a16:creationId xmlns:a16="http://schemas.microsoft.com/office/drawing/2014/main" id="{0912A401-2B5D-4775-95E0-59BDD9F305E5}"/>
            </a:ext>
          </a:extLst>
        </xdr:cNvPr>
        <xdr:cNvSpPr/>
      </xdr:nvSpPr>
      <xdr:spPr>
        <a:xfrm>
          <a:off x="9074913" y="18200534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676885</xdr:colOff>
      <xdr:row>103</xdr:row>
      <xdr:rowOff>37550</xdr:rowOff>
    </xdr:from>
    <xdr:to>
      <xdr:col>12</xdr:col>
      <xdr:colOff>44834</xdr:colOff>
      <xdr:row>103</xdr:row>
      <xdr:rowOff>187455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E61BA738-43FD-4264-8295-4D10165BC163}"/>
            </a:ext>
          </a:extLst>
        </xdr:cNvPr>
        <xdr:cNvSpPr/>
      </xdr:nvSpPr>
      <xdr:spPr>
        <a:xfrm>
          <a:off x="9058885" y="19766206"/>
          <a:ext cx="129949" cy="14990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9</xdr:col>
      <xdr:colOff>744201</xdr:colOff>
      <xdr:row>97</xdr:row>
      <xdr:rowOff>77390</xdr:rowOff>
    </xdr:from>
    <xdr:ext cx="1049518" cy="264560"/>
    <xdr:sp macro="" textlink="">
      <xdr:nvSpPr>
        <xdr:cNvPr id="336" name="Textfeld 335">
          <a:extLst>
            <a:ext uri="{FF2B5EF4-FFF2-40B4-BE49-F238E27FC236}">
              <a16:creationId xmlns:a16="http://schemas.microsoft.com/office/drawing/2014/main" id="{8E12B4ED-4745-4215-8FE7-206A5625B26F}"/>
            </a:ext>
          </a:extLst>
        </xdr:cNvPr>
        <xdr:cNvSpPr txBox="1"/>
      </xdr:nvSpPr>
      <xdr:spPr>
        <a:xfrm>
          <a:off x="7602201" y="18663046"/>
          <a:ext cx="10495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Bandsperrfilter</a:t>
          </a:r>
        </a:p>
      </xdr:txBody>
    </xdr:sp>
    <xdr:clientData/>
  </xdr:oneCellAnchor>
  <xdr:twoCellAnchor>
    <xdr:from>
      <xdr:col>9</xdr:col>
      <xdr:colOff>556008</xdr:colOff>
      <xdr:row>78</xdr:row>
      <xdr:rowOff>69072</xdr:rowOff>
    </xdr:from>
    <xdr:to>
      <xdr:col>11</xdr:col>
      <xdr:colOff>193113</xdr:colOff>
      <xdr:row>81</xdr:row>
      <xdr:rowOff>115724</xdr:rowOff>
    </xdr:to>
    <xdr:pic>
      <xdr:nvPicPr>
        <xdr:cNvPr id="340" name="Grafik 339">
          <a:extLst>
            <a:ext uri="{FF2B5EF4-FFF2-40B4-BE49-F238E27FC236}">
              <a16:creationId xmlns:a16="http://schemas.microsoft.com/office/drawing/2014/main" id="{08DB3374-78EE-4E74-8FFD-4608472A1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4008" y="15035228"/>
          <a:ext cx="1161105" cy="6181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136981</xdr:colOff>
      <xdr:row>80</xdr:row>
      <xdr:rowOff>59531</xdr:rowOff>
    </xdr:from>
    <xdr:to>
      <xdr:col>11</xdr:col>
      <xdr:colOff>309562</xdr:colOff>
      <xdr:row>80</xdr:row>
      <xdr:rowOff>59531</xdr:rowOff>
    </xdr:to>
    <xdr:cxnSp macro="">
      <xdr:nvCxnSpPr>
        <xdr:cNvPr id="341" name="Gerader Verbinder 340">
          <a:extLst>
            <a:ext uri="{FF2B5EF4-FFF2-40B4-BE49-F238E27FC236}">
              <a16:creationId xmlns:a16="http://schemas.microsoft.com/office/drawing/2014/main" id="{0DB4F174-0A3E-5058-979B-014275A69E52}"/>
            </a:ext>
          </a:extLst>
        </xdr:cNvPr>
        <xdr:cNvCxnSpPr>
          <a:cxnSpLocks/>
        </xdr:cNvCxnSpPr>
      </xdr:nvCxnSpPr>
      <xdr:spPr>
        <a:xfrm>
          <a:off x="8518981" y="15406687"/>
          <a:ext cx="172581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752272</xdr:colOff>
      <xdr:row>80</xdr:row>
      <xdr:rowOff>145783</xdr:rowOff>
    </xdr:from>
    <xdr:to>
      <xdr:col>11</xdr:col>
      <xdr:colOff>757888</xdr:colOff>
      <xdr:row>82</xdr:row>
      <xdr:rowOff>90555</xdr:rowOff>
    </xdr:to>
    <xdr:cxnSp macro="">
      <xdr:nvCxnSpPr>
        <xdr:cNvPr id="343" name="Gerader Verbinder 342">
          <a:extLst>
            <a:ext uri="{FF2B5EF4-FFF2-40B4-BE49-F238E27FC236}">
              <a16:creationId xmlns:a16="http://schemas.microsoft.com/office/drawing/2014/main" id="{1D0294A2-414D-FD53-DE51-A79911E1DE94}"/>
            </a:ext>
          </a:extLst>
        </xdr:cNvPr>
        <xdr:cNvCxnSpPr>
          <a:cxnSpLocks/>
          <a:stCxn id="293" idx="4"/>
          <a:endCxn id="292" idx="3"/>
        </xdr:cNvCxnSpPr>
      </xdr:nvCxnSpPr>
      <xdr:spPr>
        <a:xfrm flipH="1">
          <a:off x="9134272" y="15492939"/>
          <a:ext cx="5616" cy="325772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449530</xdr:colOff>
      <xdr:row>97</xdr:row>
      <xdr:rowOff>52050</xdr:rowOff>
    </xdr:from>
    <xdr:to>
      <xdr:col>12</xdr:col>
      <xdr:colOff>275347</xdr:colOff>
      <xdr:row>97</xdr:row>
      <xdr:rowOff>52050</xdr:rowOff>
    </xdr:to>
    <xdr:cxnSp macro="">
      <xdr:nvCxnSpPr>
        <xdr:cNvPr id="346" name="Gerader Verbinder 345">
          <a:extLst>
            <a:ext uri="{FF2B5EF4-FFF2-40B4-BE49-F238E27FC236}">
              <a16:creationId xmlns:a16="http://schemas.microsoft.com/office/drawing/2014/main" id="{9032BDF3-5E89-439D-ADF5-41C9DE49F7C8}"/>
            </a:ext>
          </a:extLst>
        </xdr:cNvPr>
        <xdr:cNvCxnSpPr>
          <a:cxnSpLocks/>
        </xdr:cNvCxnSpPr>
      </xdr:nvCxnSpPr>
      <xdr:spPr>
        <a:xfrm>
          <a:off x="8831530" y="18637706"/>
          <a:ext cx="587817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446484</xdr:colOff>
      <xdr:row>97</xdr:row>
      <xdr:rowOff>158929</xdr:rowOff>
    </xdr:from>
    <xdr:to>
      <xdr:col>12</xdr:col>
      <xdr:colOff>278392</xdr:colOff>
      <xdr:row>97</xdr:row>
      <xdr:rowOff>158929</xdr:rowOff>
    </xdr:to>
    <xdr:cxnSp macro="">
      <xdr:nvCxnSpPr>
        <xdr:cNvPr id="347" name="Gerader Verbinder 346">
          <a:extLst>
            <a:ext uri="{FF2B5EF4-FFF2-40B4-BE49-F238E27FC236}">
              <a16:creationId xmlns:a16="http://schemas.microsoft.com/office/drawing/2014/main" id="{4738CA85-B9FD-4004-AB15-FC4CB7AE5B09}"/>
            </a:ext>
          </a:extLst>
        </xdr:cNvPr>
        <xdr:cNvCxnSpPr>
          <a:cxnSpLocks/>
        </xdr:cNvCxnSpPr>
      </xdr:nvCxnSpPr>
      <xdr:spPr>
        <a:xfrm>
          <a:off x="8828484" y="18744585"/>
          <a:ext cx="59390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57201</xdr:colOff>
      <xdr:row>95</xdr:row>
      <xdr:rowOff>160734</xdr:rowOff>
    </xdr:from>
    <xdr:to>
      <xdr:col>13</xdr:col>
      <xdr:colOff>19424</xdr:colOff>
      <xdr:row>97</xdr:row>
      <xdr:rowOff>44294</xdr:rowOff>
    </xdr:to>
    <xdr:sp macro="" textlink="">
      <xdr:nvSpPr>
        <xdr:cNvPr id="348" name="Textfeld 347">
          <a:extLst>
            <a:ext uri="{FF2B5EF4-FFF2-40B4-BE49-F238E27FC236}">
              <a16:creationId xmlns:a16="http://schemas.microsoft.com/office/drawing/2014/main" id="{4B49BC5A-23D3-46E3-B614-194C21B36777}"/>
            </a:ext>
          </a:extLst>
        </xdr:cNvPr>
        <xdr:cNvSpPr txBox="1"/>
      </xdr:nvSpPr>
      <xdr:spPr>
        <a:xfrm>
          <a:off x="9201201" y="18365390"/>
          <a:ext cx="25987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/>
            <a:t>C</a:t>
          </a:r>
        </a:p>
      </xdr:txBody>
    </xdr:sp>
    <xdr:clientData/>
  </xdr:twoCellAnchor>
  <xdr:twoCellAnchor>
    <xdr:from>
      <xdr:col>11</xdr:col>
      <xdr:colOff>541734</xdr:colOff>
      <xdr:row>97</xdr:row>
      <xdr:rowOff>161402</xdr:rowOff>
    </xdr:from>
    <xdr:to>
      <xdr:col>13</xdr:col>
      <xdr:colOff>23812</xdr:colOff>
      <xdr:row>103</xdr:row>
      <xdr:rowOff>35967</xdr:rowOff>
    </xdr:to>
    <xdr:pic>
      <xdr:nvPicPr>
        <xdr:cNvPr id="350" name="Grafik 349">
          <a:extLst>
            <a:ext uri="{FF2B5EF4-FFF2-40B4-BE49-F238E27FC236}">
              <a16:creationId xmlns:a16="http://schemas.microsoft.com/office/drawing/2014/main" id="{26443E5B-DFB8-4921-8FDF-81F5F823E7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8685818" y="18984974"/>
          <a:ext cx="1017565" cy="5417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41672</xdr:colOff>
      <xdr:row>112</xdr:row>
      <xdr:rowOff>47625</xdr:rowOff>
    </xdr:from>
    <xdr:to>
      <xdr:col>10</xdr:col>
      <xdr:colOff>405354</xdr:colOff>
      <xdr:row>149</xdr:row>
      <xdr:rowOff>29556</xdr:rowOff>
    </xdr:to>
    <xdr:pic>
      <xdr:nvPicPr>
        <xdr:cNvPr id="333" name="Grafik 332">
          <a:extLst>
            <a:ext uri="{FF2B5EF4-FFF2-40B4-BE49-F238E27FC236}">
              <a16:creationId xmlns:a16="http://schemas.microsoft.com/office/drawing/2014/main" id="{60F64F18-0E86-49BA-85D6-072BC1031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672" y="21490781"/>
          <a:ext cx="7221682" cy="703043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161</xdr:row>
      <xdr:rowOff>9525</xdr:rowOff>
    </xdr:from>
    <xdr:to>
      <xdr:col>3</xdr:col>
      <xdr:colOff>695325</xdr:colOff>
      <xdr:row>169</xdr:row>
      <xdr:rowOff>38100</xdr:rowOff>
    </xdr:to>
    <xdr:pic>
      <xdr:nvPicPr>
        <xdr:cNvPr id="334" name="Grafik 333">
          <a:extLst>
            <a:ext uri="{FF2B5EF4-FFF2-40B4-BE49-F238E27FC236}">
              <a16:creationId xmlns:a16="http://schemas.microsoft.com/office/drawing/2014/main" id="{CF5BF47E-41FB-4F27-AADE-5F5006228C9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1" b="32365"/>
        <a:stretch>
          <a:fillRect/>
        </a:stretch>
      </xdr:blipFill>
      <xdr:spPr>
        <a:xfrm>
          <a:off x="762000" y="30787181"/>
          <a:ext cx="2219325" cy="1552575"/>
        </a:xfrm>
        <a:prstGeom prst="rect">
          <a:avLst/>
        </a:prstGeom>
      </xdr:spPr>
    </xdr:pic>
    <xdr:clientData/>
  </xdr:twoCellAnchor>
  <xdr:twoCellAnchor editAs="oneCell">
    <xdr:from>
      <xdr:col>4</xdr:col>
      <xdr:colOff>400050</xdr:colOff>
      <xdr:row>159</xdr:row>
      <xdr:rowOff>0</xdr:rowOff>
    </xdr:from>
    <xdr:to>
      <xdr:col>7</xdr:col>
      <xdr:colOff>534749</xdr:colOff>
      <xdr:row>170</xdr:row>
      <xdr:rowOff>143251</xdr:rowOff>
    </xdr:to>
    <xdr:pic>
      <xdr:nvPicPr>
        <xdr:cNvPr id="335" name="Grafik 334">
          <a:extLst>
            <a:ext uri="{FF2B5EF4-FFF2-40B4-BE49-F238E27FC236}">
              <a16:creationId xmlns:a16="http://schemas.microsoft.com/office/drawing/2014/main" id="{2E3680DE-27C3-472F-A8EF-B75FADE7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48050" y="30396656"/>
          <a:ext cx="2420699" cy="2238751"/>
        </a:xfrm>
        <a:prstGeom prst="rect">
          <a:avLst/>
        </a:prstGeom>
      </xdr:spPr>
    </xdr:pic>
    <xdr:clientData/>
  </xdr:twoCellAnchor>
  <xdr:twoCellAnchor editAs="oneCell">
    <xdr:from>
      <xdr:col>11</xdr:col>
      <xdr:colOff>190500</xdr:colOff>
      <xdr:row>112</xdr:row>
      <xdr:rowOff>69272</xdr:rowOff>
    </xdr:from>
    <xdr:to>
      <xdr:col>26</xdr:col>
      <xdr:colOff>357916</xdr:colOff>
      <xdr:row>149</xdr:row>
      <xdr:rowOff>138545</xdr:rowOff>
    </xdr:to>
    <xdr:pic>
      <xdr:nvPicPr>
        <xdr:cNvPr id="337" name="Grafik 336">
          <a:extLst>
            <a:ext uri="{FF2B5EF4-FFF2-40B4-BE49-F238E27FC236}">
              <a16:creationId xmlns:a16="http://schemas.microsoft.com/office/drawing/2014/main" id="{10F875B8-9463-FCBC-4683-B7EECA101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572500" y="21509181"/>
          <a:ext cx="7441052" cy="711777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3</xdr:col>
      <xdr:colOff>550769</xdr:colOff>
      <xdr:row>159</xdr:row>
      <xdr:rowOff>114859</xdr:rowOff>
    </xdr:from>
    <xdr:to>
      <xdr:col>12</xdr:col>
      <xdr:colOff>2010254</xdr:colOff>
      <xdr:row>202</xdr:row>
      <xdr:rowOff>106879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20210" y="32096447"/>
          <a:ext cx="10627846" cy="8183520"/>
        </a:xfrm>
        <a:prstGeom prst="rect">
          <a:avLst/>
        </a:prstGeom>
      </xdr:spPr>
    </xdr:pic>
    <xdr:clientData/>
  </xdr:twoCellAnchor>
  <xdr:twoCellAnchor editAs="oneCell">
    <xdr:from>
      <xdr:col>25</xdr:col>
      <xdr:colOff>682626</xdr:colOff>
      <xdr:row>17</xdr:row>
      <xdr:rowOff>37777</xdr:rowOff>
    </xdr:from>
    <xdr:to>
      <xdr:col>26</xdr:col>
      <xdr:colOff>1139826</xdr:colOff>
      <xdr:row>23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31</xdr:col>
      <xdr:colOff>121790</xdr:colOff>
      <xdr:row>0</xdr:row>
      <xdr:rowOff>161585</xdr:rowOff>
    </xdr:from>
    <xdr:to>
      <xdr:col>40</xdr:col>
      <xdr:colOff>425823</xdr:colOff>
      <xdr:row>30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25</xdr:col>
      <xdr:colOff>660401</xdr:colOff>
      <xdr:row>35</xdr:row>
      <xdr:rowOff>88901</xdr:rowOff>
    </xdr:from>
    <xdr:to>
      <xdr:col>26</xdr:col>
      <xdr:colOff>939800</xdr:colOff>
      <xdr:row>41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31</xdr:col>
      <xdr:colOff>182424</xdr:colOff>
      <xdr:row>31</xdr:row>
      <xdr:rowOff>156056</xdr:rowOff>
    </xdr:from>
    <xdr:to>
      <xdr:col>40</xdr:col>
      <xdr:colOff>497087</xdr:colOff>
      <xdr:row>54</xdr:row>
      <xdr:rowOff>156107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25</xdr:col>
      <xdr:colOff>368300</xdr:colOff>
      <xdr:row>62</xdr:row>
      <xdr:rowOff>133349</xdr:rowOff>
    </xdr:from>
    <xdr:to>
      <xdr:col>26</xdr:col>
      <xdr:colOff>665694</xdr:colOff>
      <xdr:row>70</xdr:row>
      <xdr:rowOff>202573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31</xdr:col>
      <xdr:colOff>172035</xdr:colOff>
      <xdr:row>59</xdr:row>
      <xdr:rowOff>153679</xdr:rowOff>
    </xdr:from>
    <xdr:to>
      <xdr:col>40</xdr:col>
      <xdr:colOff>449007</xdr:colOff>
      <xdr:row>81</xdr:row>
      <xdr:rowOff>61578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58</xdr:col>
      <xdr:colOff>452600</xdr:colOff>
      <xdr:row>36</xdr:row>
      <xdr:rowOff>289849</xdr:rowOff>
    </xdr:from>
    <xdr:to>
      <xdr:col>58</xdr:col>
      <xdr:colOff>486440</xdr:colOff>
      <xdr:row>37</xdr:row>
      <xdr:rowOff>11229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14:cNvPr>
            <xdr14:cNvContentPartPr/>
          </xdr14:nvContentPartPr>
          <xdr14:nvPr macro=""/>
          <xdr14:xfrm>
            <a:off x="47569600" y="8036849"/>
            <a:ext cx="33840" cy="38880"/>
          </xdr14:xfrm>
        </xdr:contentPart>
      </mc:Choice>
      <mc:Fallback xmlns="">
        <xdr:pic>
          <xdr:nvPicPr>
            <xdr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5364209" y="1056600"/>
              <a:ext cx="4248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374480</xdr:colOff>
      <xdr:row>36</xdr:row>
      <xdr:rowOff>52106</xdr:rowOff>
    </xdr:from>
    <xdr:to>
      <xdr:col>59</xdr:col>
      <xdr:colOff>620710</xdr:colOff>
      <xdr:row>39</xdr:row>
      <xdr:rowOff>45013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14:cNvPr>
            <xdr14:cNvContentPartPr/>
          </xdr14:nvContentPartPr>
          <xdr14:nvPr macro=""/>
          <xdr14:xfrm>
            <a:off x="47491480" y="7799106"/>
            <a:ext cx="1001880" cy="824757"/>
          </xdr14:xfrm>
        </xdr:contentPart>
      </mc:Choice>
      <mc:Fallback xmlns="">
        <xdr:pic>
          <xdr:nvPicPr>
            <xdr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272415" y="823320"/>
              <a:ext cx="103750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402568</xdr:colOff>
      <xdr:row>42</xdr:row>
      <xdr:rowOff>64869</xdr:rowOff>
    </xdr:from>
    <xdr:to>
      <xdr:col>59</xdr:col>
      <xdr:colOff>619278</xdr:colOff>
      <xdr:row>44</xdr:row>
      <xdr:rowOff>152685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14:cNvPr>
            <xdr14:cNvContentPartPr/>
          </xdr14:nvContentPartPr>
          <xdr14:nvPr macro=""/>
          <xdr14:xfrm>
            <a:off x="47519568" y="9335869"/>
            <a:ext cx="972360" cy="529702"/>
          </xdr14:xfrm>
        </xdr:contentPart>
      </mc:Choice>
      <mc:Fallback xmlns="">
        <xdr:pic>
          <xdr:nvPicPr>
            <xdr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5300857" y="2278440"/>
              <a:ext cx="1008000" cy="54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240808</xdr:colOff>
      <xdr:row>41</xdr:row>
      <xdr:rowOff>178977</xdr:rowOff>
    </xdr:from>
    <xdr:to>
      <xdr:col>61</xdr:col>
      <xdr:colOff>733768</xdr:colOff>
      <xdr:row>44</xdr:row>
      <xdr:rowOff>54467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14:cNvPr>
            <xdr14:cNvContentPartPr/>
          </xdr14:nvContentPartPr>
          <xdr14:nvPr macro=""/>
          <xdr14:xfrm>
            <a:off x="48881808" y="9259477"/>
            <a:ext cx="1254960" cy="568654"/>
          </xdr14:xfrm>
        </xdr:contentPart>
      </mc:Choice>
      <mc:Fallback xmlns="">
        <xdr:pic>
          <xdr:nvPicPr>
            <xdr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6662737" y="2211480"/>
              <a:ext cx="129060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529400</xdr:colOff>
      <xdr:row>35</xdr:row>
      <xdr:rowOff>170814</xdr:rowOff>
    </xdr:from>
    <xdr:to>
      <xdr:col>69</xdr:col>
      <xdr:colOff>411200</xdr:colOff>
      <xdr:row>38</xdr:row>
      <xdr:rowOff>140051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14:cNvPr>
            <xdr14:cNvContentPartPr/>
          </xdr14:nvContentPartPr>
          <xdr14:nvPr macro=""/>
          <xdr14:xfrm>
            <a:off x="54504400" y="7600314"/>
            <a:ext cx="1405800" cy="858237"/>
          </xdr14:xfrm>
        </xdr:contentPart>
      </mc:Choice>
      <mc:Fallback xmlns="">
        <xdr:pic>
          <xdr:nvPicPr>
            <xdr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2285329" y="633960"/>
              <a:ext cx="1441440" cy="84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64</xdr:col>
      <xdr:colOff>143120</xdr:colOff>
      <xdr:row>36</xdr:row>
      <xdr:rowOff>94297</xdr:rowOff>
    </xdr:from>
    <xdr:to>
      <xdr:col>67</xdr:col>
      <xdr:colOff>220750</xdr:colOff>
      <xdr:row>38</xdr:row>
      <xdr:rowOff>218531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14:cNvPr>
            <xdr14:cNvContentPartPr/>
          </xdr14:nvContentPartPr>
          <xdr14:nvPr macro=""/>
          <xdr14:xfrm>
            <a:off x="51832120" y="7841297"/>
            <a:ext cx="2357280" cy="695734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9613409" y="856800"/>
              <a:ext cx="2392920" cy="70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232400</xdr:colOff>
      <xdr:row>36</xdr:row>
      <xdr:rowOff>6386</xdr:rowOff>
    </xdr:from>
    <xdr:to>
      <xdr:col>66</xdr:col>
      <xdr:colOff>190160</xdr:colOff>
      <xdr:row>46</xdr:row>
      <xdr:rowOff>48592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14:cNvPr>
            <xdr14:cNvContentPartPr/>
          </xdr14:nvContentPartPr>
          <xdr14:nvPr macro=""/>
          <xdr14:xfrm>
            <a:off x="47349400" y="7753386"/>
            <a:ext cx="6053760" cy="2533888"/>
          </xdr14:xfrm>
        </xdr:contentPart>
      </mc:Choice>
      <mc:Fallback xmlns="">
        <xdr:pic>
          <xdr:nvPicPr>
            <xdr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5130329" y="777960"/>
              <a:ext cx="6089400" cy="24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17120</xdr:colOff>
      <xdr:row>55</xdr:row>
      <xdr:rowOff>8657</xdr:rowOff>
    </xdr:from>
    <xdr:to>
      <xdr:col>62</xdr:col>
      <xdr:colOff>10040</xdr:colOff>
      <xdr:row>57</xdr:row>
      <xdr:rowOff>161604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14:cNvPr>
            <xdr14:cNvContentPartPr/>
          </xdr14:nvContentPartPr>
          <xdr14:nvPr macro=""/>
          <xdr14:xfrm>
            <a:off x="49420120" y="10803657"/>
            <a:ext cx="754920" cy="608977"/>
          </xdr14:xfrm>
        </xdr:contentPart>
      </mc:Choice>
      <mc:Fallback xmlns="">
        <xdr:pic>
          <xdr:nvPicPr>
            <xdr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7201049" y="3691800"/>
              <a:ext cx="790560" cy="66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398120</xdr:colOff>
      <xdr:row>48</xdr:row>
      <xdr:rowOff>96894</xdr:rowOff>
    </xdr:from>
    <xdr:to>
      <xdr:col>63</xdr:col>
      <xdr:colOff>201680</xdr:colOff>
      <xdr:row>50</xdr:row>
      <xdr:rowOff>192762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14:cNvPr>
            <xdr14:cNvContentPartPr/>
          </xdr14:nvContentPartPr>
          <xdr14:nvPr macro=""/>
          <xdr14:xfrm>
            <a:off x="50563120" y="10320394"/>
            <a:ext cx="565560" cy="544103"/>
          </xdr14:xfrm>
        </xdr:contentPart>
      </mc:Choice>
      <mc:Fallback xmlns="">
        <xdr:pic>
          <xdr:nvPicPr>
            <xdr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344049" y="3226680"/>
              <a:ext cx="601200" cy="56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218608</xdr:colOff>
      <xdr:row>33</xdr:row>
      <xdr:rowOff>11600</xdr:rowOff>
    </xdr:from>
    <xdr:to>
      <xdr:col>70</xdr:col>
      <xdr:colOff>174328</xdr:colOff>
      <xdr:row>40</xdr:row>
      <xdr:rowOff>74339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14:cNvPr>
            <xdr14:cNvContentPartPr/>
          </xdr14:nvContentPartPr>
          <xdr14:nvPr macro=""/>
          <xdr14:xfrm>
            <a:off x="54193608" y="7060100"/>
            <a:ext cx="2241720" cy="1843914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1974537" y="120600"/>
              <a:ext cx="2277360" cy="178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353368</xdr:colOff>
      <xdr:row>54</xdr:row>
      <xdr:rowOff>726</xdr:rowOff>
    </xdr:from>
    <xdr:to>
      <xdr:col>66</xdr:col>
      <xdr:colOff>344488</xdr:colOff>
      <xdr:row>57</xdr:row>
      <xdr:rowOff>120066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14:cNvPr>
            <xdr14:cNvContentPartPr/>
          </xdr14:nvContentPartPr>
          <xdr14:nvPr macro=""/>
          <xdr14:xfrm>
            <a:off x="52804368" y="10605226"/>
            <a:ext cx="753120" cy="799488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0585288" y="3502792"/>
              <a:ext cx="788777" cy="8442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732568</xdr:colOff>
      <xdr:row>48</xdr:row>
      <xdr:rowOff>190494</xdr:rowOff>
    </xdr:from>
    <xdr:to>
      <xdr:col>68</xdr:col>
      <xdr:colOff>685288</xdr:colOff>
      <xdr:row>52</xdr:row>
      <xdr:rowOff>77743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14:cNvPr>
            <xdr14:cNvContentPartPr/>
          </xdr14:nvContentPartPr>
          <xdr14:nvPr macro=""/>
          <xdr14:xfrm>
            <a:off x="53945568" y="10413994"/>
            <a:ext cx="1476720" cy="783720"/>
          </xdr14:xfrm>
        </xdr:contentPart>
      </mc:Choice>
      <mc:Fallback xmlns="">
        <xdr:pic>
          <xdr:nvPicPr>
            <xdr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1726857" y="3320632"/>
              <a:ext cx="1512360" cy="819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592745</xdr:colOff>
      <xdr:row>62</xdr:row>
      <xdr:rowOff>112563</xdr:rowOff>
    </xdr:from>
    <xdr:to>
      <xdr:col>58</xdr:col>
      <xdr:colOff>447065</xdr:colOff>
      <xdr:row>65</xdr:row>
      <xdr:rowOff>29309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14:cNvPr>
            <xdr14:cNvContentPartPr/>
          </xdr14:nvContentPartPr>
          <xdr14:nvPr macro=""/>
          <xdr14:xfrm>
            <a:off x="46947745" y="12050563"/>
            <a:ext cx="616320" cy="481897"/>
          </xdr14:xfrm>
        </xdr:contentPart>
      </mc:Choice>
      <mc:Fallback xmlns="">
        <xdr:pic>
          <xdr:nvPicPr>
            <xdr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4729034" y="4984063"/>
              <a:ext cx="651960" cy="53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636785</xdr:colOff>
      <xdr:row>62</xdr:row>
      <xdr:rowOff>27603</xdr:rowOff>
    </xdr:from>
    <xdr:to>
      <xdr:col>60</xdr:col>
      <xdr:colOff>256505</xdr:colOff>
      <xdr:row>64</xdr:row>
      <xdr:rowOff>140379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14:cNvPr>
            <xdr14:cNvContentPartPr/>
          </xdr14:nvContentPartPr>
          <xdr14:nvPr macro=""/>
          <xdr14:xfrm>
            <a:off x="47753785" y="11965603"/>
            <a:ext cx="1143720" cy="493777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5534714" y="4899116"/>
              <a:ext cx="1179360" cy="5475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434105</xdr:colOff>
      <xdr:row>57</xdr:row>
      <xdr:rowOff>63606</xdr:rowOff>
    </xdr:from>
    <xdr:to>
      <xdr:col>66</xdr:col>
      <xdr:colOff>140715</xdr:colOff>
      <xdr:row>66</xdr:row>
      <xdr:rowOff>97241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14:cNvPr>
            <xdr14:cNvContentPartPr/>
          </xdr14:nvContentPartPr>
          <xdr14:nvPr macro=""/>
          <xdr14:xfrm>
            <a:off x="49837105" y="11049106"/>
            <a:ext cx="3522960" cy="1891523"/>
          </xdr14:xfrm>
        </xdr:contentPart>
      </mc:Choice>
      <mc:Fallback xmlns="">
        <xdr:pic>
          <xdr:nvPicPr>
            <xdr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7618034" y="3946325"/>
              <a:ext cx="3558600" cy="1990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351905</xdr:colOff>
      <xdr:row>60</xdr:row>
      <xdr:rowOff>4654</xdr:rowOff>
    </xdr:from>
    <xdr:to>
      <xdr:col>60</xdr:col>
      <xdr:colOff>620105</xdr:colOff>
      <xdr:row>66</xdr:row>
      <xdr:rowOff>64571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14:cNvPr>
            <xdr14:cNvContentPartPr/>
          </xdr14:nvContentPartPr>
          <xdr14:nvPr macro=""/>
          <xdr14:xfrm>
            <a:off x="46706905" y="11561654"/>
            <a:ext cx="2554200" cy="1263243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4488196" y="4477011"/>
              <a:ext cx="2589835" cy="134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404105</xdr:colOff>
      <xdr:row>67</xdr:row>
      <xdr:rowOff>138885</xdr:rowOff>
    </xdr:from>
    <xdr:to>
      <xdr:col>61</xdr:col>
      <xdr:colOff>296945</xdr:colOff>
      <xdr:row>71</xdr:row>
      <xdr:rowOff>16270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14:cNvPr>
            <xdr14:cNvContentPartPr/>
          </xdr14:nvContentPartPr>
          <xdr14:nvPr macro=""/>
          <xdr14:xfrm>
            <a:off x="46759105" y="13156385"/>
            <a:ext cx="2940840" cy="894746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4540034" y="6126171"/>
              <a:ext cx="2976480" cy="9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491345</xdr:colOff>
      <xdr:row>68</xdr:row>
      <xdr:rowOff>192685</xdr:rowOff>
    </xdr:from>
    <xdr:to>
      <xdr:col>62</xdr:col>
      <xdr:colOff>113465</xdr:colOff>
      <xdr:row>69</xdr:row>
      <xdr:rowOff>130277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14:cNvPr>
            <xdr14:cNvContentPartPr/>
          </xdr14:nvContentPartPr>
          <xdr14:nvPr macro=""/>
          <xdr14:xfrm>
            <a:off x="49894345" y="13464185"/>
            <a:ext cx="384120" cy="191592"/>
          </xdr14:xfrm>
        </xdr:contentPart>
      </mc:Choice>
      <mc:Fallback xmlns="">
        <xdr:pic>
          <xdr:nvPicPr>
            <xdr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7675634" y="6434331"/>
              <a:ext cx="41976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336928</xdr:colOff>
      <xdr:row>67</xdr:row>
      <xdr:rowOff>186405</xdr:rowOff>
    </xdr:from>
    <xdr:to>
      <xdr:col>63</xdr:col>
      <xdr:colOff>202638</xdr:colOff>
      <xdr:row>69</xdr:row>
      <xdr:rowOff>235166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14:cNvPr>
            <xdr14:cNvContentPartPr/>
          </xdr14:nvContentPartPr>
          <xdr14:nvPr macro=""/>
          <xdr14:xfrm>
            <a:off x="50501928" y="13203905"/>
            <a:ext cx="621360" cy="563112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8282857" y="6173691"/>
              <a:ext cx="657000" cy="58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317968</xdr:colOff>
      <xdr:row>67</xdr:row>
      <xdr:rowOff>63645</xdr:rowOff>
    </xdr:from>
    <xdr:to>
      <xdr:col>65</xdr:col>
      <xdr:colOff>11358</xdr:colOff>
      <xdr:row>70</xdr:row>
      <xdr:rowOff>149733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14:cNvPr>
            <xdr14:cNvContentPartPr/>
          </xdr14:nvContentPartPr>
          <xdr14:nvPr macro=""/>
          <xdr14:xfrm>
            <a:off x="51244968" y="13081145"/>
            <a:ext cx="1211040" cy="848089"/>
          </xdr14:xfrm>
        </xdr:contentPart>
      </mc:Choice>
      <mc:Fallback xmlns="">
        <xdr:pic>
          <xdr:nvPicPr>
            <xdr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9026257" y="6051291"/>
              <a:ext cx="1246680" cy="89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317848</xdr:colOff>
      <xdr:row>64</xdr:row>
      <xdr:rowOff>49200</xdr:rowOff>
    </xdr:from>
    <xdr:to>
      <xdr:col>72</xdr:col>
      <xdr:colOff>486558</xdr:colOff>
      <xdr:row>71</xdr:row>
      <xdr:rowOff>49750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14:cNvPr>
            <xdr14:cNvContentPartPr/>
          </xdr14:nvContentPartPr>
          <xdr14:nvPr macro=""/>
          <xdr14:xfrm>
            <a:off x="52768848" y="12368200"/>
            <a:ext cx="5496360" cy="1716411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0549777" y="5310767"/>
              <a:ext cx="5531999" cy="18064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689266</xdr:colOff>
      <xdr:row>92</xdr:row>
      <xdr:rowOff>25802</xdr:rowOff>
    </xdr:from>
    <xdr:to>
      <xdr:col>62</xdr:col>
      <xdr:colOff>88776</xdr:colOff>
      <xdr:row>93</xdr:row>
      <xdr:rowOff>9181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14:cNvPr>
            <xdr14:cNvContentPartPr/>
          </xdr14:nvContentPartPr>
          <xdr14:nvPr macro=""/>
          <xdr14:xfrm>
            <a:off x="50092266" y="17996302"/>
            <a:ext cx="155160" cy="160272"/>
          </xdr14:xfrm>
        </xdr:contentPart>
      </mc:Choice>
      <mc:Fallback xmlns="">
        <xdr:pic>
          <xdr:nvPicPr>
            <xdr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873514" y="10820945"/>
              <a:ext cx="190883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630466</xdr:colOff>
      <xdr:row>91</xdr:row>
      <xdr:rowOff>2751</xdr:rowOff>
    </xdr:from>
    <xdr:to>
      <xdr:col>61</xdr:col>
      <xdr:colOff>388076</xdr:colOff>
      <xdr:row>94</xdr:row>
      <xdr:rowOff>73705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14:cNvPr>
            <xdr14:cNvContentPartPr/>
          </xdr14:nvContentPartPr>
          <xdr14:nvPr macro=""/>
          <xdr14:xfrm>
            <a:off x="46985466" y="17782751"/>
            <a:ext cx="2811960" cy="642454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4766755" y="10616465"/>
              <a:ext cx="2847600" cy="65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512266</xdr:colOff>
      <xdr:row>89</xdr:row>
      <xdr:rowOff>136359</xdr:rowOff>
    </xdr:from>
    <xdr:to>
      <xdr:col>65</xdr:col>
      <xdr:colOff>75586</xdr:colOff>
      <xdr:row>93</xdr:row>
      <xdr:rowOff>121415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14:cNvPr>
            <xdr14:cNvContentPartPr/>
          </xdr14:nvContentPartPr>
          <xdr14:nvPr macro=""/>
          <xdr14:xfrm>
            <a:off x="50677266" y="17535359"/>
            <a:ext cx="1849320" cy="753406"/>
          </xdr14:xfrm>
        </xdr:contentPart>
      </mc:Choice>
      <mc:Fallback xmlns="">
        <xdr:pic>
          <xdr:nvPicPr>
            <xdr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8458555" y="10378514"/>
              <a:ext cx="1884960" cy="7527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486346</xdr:colOff>
      <xdr:row>92</xdr:row>
      <xdr:rowOff>170594</xdr:rowOff>
    </xdr:from>
    <xdr:to>
      <xdr:col>65</xdr:col>
      <xdr:colOff>714226</xdr:colOff>
      <xdr:row>93</xdr:row>
      <xdr:rowOff>141805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14:cNvPr>
            <xdr14:cNvContentPartPr/>
          </xdr14:nvContentPartPr>
          <xdr14:nvPr macro=""/>
          <xdr14:xfrm>
            <a:off x="52937346" y="18141094"/>
            <a:ext cx="227880" cy="161711"/>
          </xdr14:xfrm>
        </xdr:contentPart>
      </mc:Choice>
      <mc:Fallback xmlns="">
        <xdr:pic>
          <xdr:nvPicPr>
            <xdr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0718275" y="10956707"/>
              <a:ext cx="263520" cy="1881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355811</xdr:colOff>
      <xdr:row>48</xdr:row>
      <xdr:rowOff>153803</xdr:rowOff>
    </xdr:from>
    <xdr:to>
      <xdr:col>52</xdr:col>
      <xdr:colOff>325091</xdr:colOff>
      <xdr:row>58</xdr:row>
      <xdr:rowOff>180350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14:cNvPr>
            <xdr14:cNvContentPartPr/>
          </xdr14:nvContentPartPr>
          <xdr14:nvPr macro=""/>
          <xdr14:xfrm>
            <a:off x="41376811" y="10377303"/>
            <a:ext cx="1493280" cy="2286003"/>
          </xdr14:xfrm>
        </xdr:contentPart>
      </mc:Choice>
      <mc:Fallback xmlns="">
        <xdr:pic>
          <xdr:nvPicPr>
            <xdr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29158100" y="3283589"/>
              <a:ext cx="1528920" cy="236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390731</xdr:colOff>
      <xdr:row>46</xdr:row>
      <xdr:rowOff>141552</xdr:rowOff>
    </xdr:from>
    <xdr:to>
      <xdr:col>52</xdr:col>
      <xdr:colOff>601931</xdr:colOff>
      <xdr:row>48</xdr:row>
      <xdr:rowOff>105799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14:cNvPr>
            <xdr14:cNvContentPartPr/>
          </xdr14:nvContentPartPr>
          <xdr14:nvPr macro=""/>
          <xdr14:xfrm>
            <a:off x="41411731" y="10174552"/>
            <a:ext cx="1735200" cy="429263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29193020" y="3090269"/>
              <a:ext cx="1770840" cy="44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72611</xdr:colOff>
      <xdr:row>41</xdr:row>
      <xdr:rowOff>132566</xdr:rowOff>
    </xdr:from>
    <xdr:to>
      <xdr:col>55</xdr:col>
      <xdr:colOff>647291</xdr:colOff>
      <xdr:row>45</xdr:row>
      <xdr:rowOff>140180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14:cNvPr>
            <xdr14:cNvContentPartPr/>
          </xdr14:nvContentPartPr>
          <xdr14:nvPr macro=""/>
          <xdr14:xfrm>
            <a:off x="44141611" y="9213066"/>
            <a:ext cx="1336680" cy="931246"/>
          </xdr14:xfrm>
        </xdr:contentPart>
      </mc:Choice>
      <mc:Fallback xmlns="">
        <xdr:pic>
          <xdr:nvPicPr>
            <xdr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1922540" y="2165069"/>
              <a:ext cx="1372320" cy="9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133931</xdr:colOff>
      <xdr:row>43</xdr:row>
      <xdr:rowOff>132949</xdr:rowOff>
    </xdr:from>
    <xdr:to>
      <xdr:col>52</xdr:col>
      <xdr:colOff>373201</xdr:colOff>
      <xdr:row>45</xdr:row>
      <xdr:rowOff>47017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14:cNvPr>
            <xdr14:cNvContentPartPr/>
          </xdr14:nvContentPartPr>
          <xdr14:nvPr macro=""/>
          <xdr14:xfrm>
            <a:off x="42678931" y="9594449"/>
            <a:ext cx="232920" cy="362303"/>
          </xdr14:xfrm>
        </xdr:contentPart>
      </mc:Choice>
      <mc:Fallback xmlns="">
        <xdr:pic>
          <xdr:nvPicPr>
            <xdr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0460220" y="2528309"/>
              <a:ext cx="2685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51</xdr:col>
      <xdr:colOff>123011</xdr:colOff>
      <xdr:row>65</xdr:row>
      <xdr:rowOff>47246</xdr:rowOff>
    </xdr:from>
    <xdr:to>
      <xdr:col>51</xdr:col>
      <xdr:colOff>393601</xdr:colOff>
      <xdr:row>66</xdr:row>
      <xdr:rowOff>132653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14:cNvPr>
            <xdr14:cNvContentPartPr/>
          </xdr14:nvContentPartPr>
          <xdr14:nvPr macro=""/>
          <xdr14:xfrm>
            <a:off x="41906011" y="12556746"/>
            <a:ext cx="264240" cy="339409"/>
          </xdr14:xfrm>
        </xdr:contentPart>
      </mc:Choice>
      <mc:Fallback xmlns="">
        <xdr:pic>
          <xdr:nvPicPr>
            <xdr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29686940" y="5508749"/>
              <a:ext cx="29988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49091</xdr:colOff>
      <xdr:row>45</xdr:row>
      <xdr:rowOff>72492</xdr:rowOff>
    </xdr:from>
    <xdr:to>
      <xdr:col>56</xdr:col>
      <xdr:colOff>352801</xdr:colOff>
      <xdr:row>46</xdr:row>
      <xdr:rowOff>197628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14:cNvPr>
            <xdr14:cNvContentPartPr/>
          </xdr14:nvContentPartPr>
          <xdr14:nvPr macro=""/>
          <xdr14:xfrm>
            <a:off x="45642091" y="9914992"/>
            <a:ext cx="297360" cy="348480"/>
          </xdr14:xfrm>
        </xdr:contentPart>
      </mc:Choice>
      <mc:Fallback xmlns="">
        <xdr:pic>
          <xdr:nvPicPr>
            <xdr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3423380" y="2830349"/>
              <a:ext cx="33300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12371</xdr:colOff>
      <xdr:row>43</xdr:row>
      <xdr:rowOff>136909</xdr:rowOff>
    </xdr:from>
    <xdr:to>
      <xdr:col>57</xdr:col>
      <xdr:colOff>11281</xdr:colOff>
      <xdr:row>43</xdr:row>
      <xdr:rowOff>174349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14:cNvPr>
            <xdr14:cNvContentPartPr/>
          </xdr14:nvContentPartPr>
          <xdr14:nvPr macro=""/>
          <xdr14:xfrm>
            <a:off x="45605371" y="9598409"/>
            <a:ext cx="754560" cy="3744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33386300" y="2531909"/>
              <a:ext cx="790200" cy="7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195251</xdr:colOff>
      <xdr:row>40</xdr:row>
      <xdr:rowOff>211895</xdr:rowOff>
    </xdr:from>
    <xdr:to>
      <xdr:col>56</xdr:col>
      <xdr:colOff>431411</xdr:colOff>
      <xdr:row>42</xdr:row>
      <xdr:rowOff>17375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14:cNvPr>
            <xdr14:cNvContentPartPr/>
          </xdr14:nvContentPartPr>
          <xdr14:nvPr macro=""/>
          <xdr14:xfrm>
            <a:off x="45788251" y="9038395"/>
            <a:ext cx="236160" cy="307583"/>
          </xdr14:xfrm>
        </xdr:contentPart>
      </mc:Choice>
      <mc:Fallback xmlns="">
        <xdr:pic>
          <xdr:nvPicPr>
            <xdr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33569540" y="1999469"/>
              <a:ext cx="271800" cy="32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405491</xdr:colOff>
      <xdr:row>55</xdr:row>
      <xdr:rowOff>140015</xdr:rowOff>
    </xdr:from>
    <xdr:to>
      <xdr:col>54</xdr:col>
      <xdr:colOff>332531</xdr:colOff>
      <xdr:row>57</xdr:row>
      <xdr:rowOff>57953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14:cNvPr>
            <xdr14:cNvContentPartPr/>
          </xdr14:nvContentPartPr>
          <xdr14:nvPr macro=""/>
          <xdr14:xfrm>
            <a:off x="43712491" y="10935015"/>
            <a:ext cx="689040" cy="373968"/>
          </xdr14:xfrm>
        </xdr:contentPart>
      </mc:Choice>
      <mc:Fallback xmlns="">
        <xdr:pic>
          <xdr:nvPicPr>
            <xdr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1493780" y="3832589"/>
              <a:ext cx="72468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435131</xdr:colOff>
      <xdr:row>54</xdr:row>
      <xdr:rowOff>122506</xdr:rowOff>
    </xdr:from>
    <xdr:to>
      <xdr:col>57</xdr:col>
      <xdr:colOff>274571</xdr:colOff>
      <xdr:row>58</xdr:row>
      <xdr:rowOff>91151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14:cNvPr>
            <xdr14:cNvContentPartPr/>
          </xdr14:nvContentPartPr>
          <xdr14:nvPr macro=""/>
          <xdr14:xfrm>
            <a:off x="44504131" y="10727006"/>
            <a:ext cx="2125440" cy="880706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2285417" y="3615149"/>
              <a:ext cx="2161086" cy="94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321328</xdr:colOff>
      <xdr:row>90</xdr:row>
      <xdr:rowOff>169112</xdr:rowOff>
    </xdr:from>
    <xdr:to>
      <xdr:col>66</xdr:col>
      <xdr:colOff>761608</xdr:colOff>
      <xdr:row>93</xdr:row>
      <xdr:rowOff>2878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14:cNvPr>
            <xdr14:cNvContentPartPr/>
          </xdr14:nvContentPartPr>
          <xdr14:nvPr macro=""/>
          <xdr14:xfrm>
            <a:off x="53534328" y="17758612"/>
            <a:ext cx="440280" cy="401183"/>
          </xdr14:xfrm>
        </xdr:contentPart>
      </mc:Choice>
      <mc:Fallback xmlns="">
        <xdr:pic>
          <xdr:nvPicPr>
            <xdr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1315617" y="10592326"/>
              <a:ext cx="47592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263128</xdr:colOff>
      <xdr:row>88</xdr:row>
      <xdr:rowOff>171609</xdr:rowOff>
    </xdr:from>
    <xdr:to>
      <xdr:col>69</xdr:col>
      <xdr:colOff>297798</xdr:colOff>
      <xdr:row>94</xdr:row>
      <xdr:rowOff>29996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14:cNvPr>
            <xdr14:cNvContentPartPr/>
          </xdr14:nvContentPartPr>
          <xdr14:nvPr macro=""/>
          <xdr14:xfrm>
            <a:off x="54238128" y="17380109"/>
            <a:ext cx="1552320" cy="995037"/>
          </xdr14:xfrm>
        </xdr:contentPart>
      </mc:Choice>
      <mc:Fallback xmlns="">
        <xdr:pic>
          <xdr:nvPicPr>
            <xdr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2019057" y="10231966"/>
              <a:ext cx="1587960" cy="98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523528</xdr:colOff>
      <xdr:row>92</xdr:row>
      <xdr:rowOff>163735</xdr:rowOff>
    </xdr:from>
    <xdr:to>
      <xdr:col>65</xdr:col>
      <xdr:colOff>629728</xdr:colOff>
      <xdr:row>93</xdr:row>
      <xdr:rowOff>6715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14:cNvPr>
            <xdr14:cNvContentPartPr/>
          </xdr14:nvContentPartPr>
          <xdr14:nvPr macro=""/>
          <xdr14:xfrm>
            <a:off x="52974528" y="18134235"/>
            <a:ext cx="106200" cy="33480"/>
          </xdr14:xfrm>
        </xdr:contentPart>
      </mc:Choice>
      <mc:Fallback xmlns="">
        <xdr:pic>
          <xdr:nvPicPr>
            <xdr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0755457" y="10949806"/>
              <a:ext cx="14184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388320</xdr:colOff>
      <xdr:row>91</xdr:row>
      <xdr:rowOff>107492</xdr:rowOff>
    </xdr:from>
    <xdr:to>
      <xdr:col>69</xdr:col>
      <xdr:colOff>733560</xdr:colOff>
      <xdr:row>92</xdr:row>
      <xdr:rowOff>143935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14:cNvPr>
            <xdr14:cNvContentPartPr/>
          </xdr14:nvContentPartPr>
          <xdr14:nvPr macro=""/>
          <xdr14:xfrm>
            <a:off x="55887320" y="17887492"/>
            <a:ext cx="345240" cy="226943"/>
          </xdr14:xfrm>
        </xdr:contentPart>
      </mc:Choice>
      <mc:Fallback xmlns="">
        <xdr:pic>
          <xdr:nvPicPr>
            <xdr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43668249" y="10721206"/>
              <a:ext cx="380880" cy="24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127440</xdr:colOff>
      <xdr:row>89</xdr:row>
      <xdr:rowOff>107537</xdr:rowOff>
    </xdr:from>
    <xdr:to>
      <xdr:col>73</xdr:col>
      <xdr:colOff>330970</xdr:colOff>
      <xdr:row>93</xdr:row>
      <xdr:rowOff>45303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14:cNvPr>
            <xdr14:cNvContentPartPr/>
          </xdr14:nvContentPartPr>
          <xdr14:nvPr macro=""/>
          <xdr14:xfrm>
            <a:off x="56388440" y="17506537"/>
            <a:ext cx="2495880" cy="699766"/>
          </xdr14:xfrm>
        </xdr:contentPart>
      </mc:Choice>
      <mc:Fallback xmlns="">
        <xdr:pic>
          <xdr:nvPicPr>
            <xdr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44169372" y="10358394"/>
              <a:ext cx="2531515" cy="69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334288</xdr:colOff>
      <xdr:row>89</xdr:row>
      <xdr:rowOff>187134</xdr:rowOff>
    </xdr:from>
    <xdr:to>
      <xdr:col>74</xdr:col>
      <xdr:colOff>238648</xdr:colOff>
      <xdr:row>92</xdr:row>
      <xdr:rowOff>1459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14:cNvPr>
            <xdr14:cNvContentPartPr/>
          </xdr14:nvContentPartPr>
          <xdr14:nvPr macro=""/>
          <xdr14:xfrm>
            <a:off x="58881288" y="17586134"/>
            <a:ext cx="666360" cy="381743"/>
          </xdr14:xfrm>
        </xdr:contentPart>
      </mc:Choice>
      <mc:Fallback xmlns="">
        <xdr:pic>
          <xdr:nvPicPr>
            <xdr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46662227" y="10429280"/>
              <a:ext cx="701981" cy="39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247720</xdr:colOff>
      <xdr:row>89</xdr:row>
      <xdr:rowOff>82886</xdr:rowOff>
    </xdr:from>
    <xdr:to>
      <xdr:col>75</xdr:col>
      <xdr:colOff>616418</xdr:colOff>
      <xdr:row>93</xdr:row>
      <xdr:rowOff>10082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14:cNvPr>
            <xdr14:cNvContentPartPr/>
          </xdr14:nvContentPartPr>
          <xdr14:nvPr macro=""/>
          <xdr14:xfrm>
            <a:off x="59556720" y="17481886"/>
            <a:ext cx="1137048" cy="682846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47337652" y="10334103"/>
              <a:ext cx="1172682" cy="68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699808</xdr:colOff>
      <xdr:row>90</xdr:row>
      <xdr:rowOff>32857</xdr:rowOff>
    </xdr:from>
    <xdr:to>
      <xdr:col>76</xdr:col>
      <xdr:colOff>446258</xdr:colOff>
      <xdr:row>92</xdr:row>
      <xdr:rowOff>47411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14:cNvPr>
            <xdr14:cNvContentPartPr/>
          </xdr14:nvContentPartPr>
          <xdr14:nvPr macro=""/>
          <xdr14:xfrm>
            <a:off x="60770808" y="17622357"/>
            <a:ext cx="514800" cy="401903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48551737" y="10465143"/>
              <a:ext cx="550440" cy="41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76</xdr:col>
      <xdr:colOff>683360</xdr:colOff>
      <xdr:row>89</xdr:row>
      <xdr:rowOff>133357</xdr:rowOff>
    </xdr:from>
    <xdr:to>
      <xdr:col>77</xdr:col>
      <xdr:colOff>332610</xdr:colOff>
      <xdr:row>92</xdr:row>
      <xdr:rowOff>9710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14:cNvPr>
            <xdr14:cNvContentPartPr/>
          </xdr14:nvContentPartPr>
          <xdr14:nvPr macro=""/>
          <xdr14:xfrm>
            <a:off x="61516360" y="17532357"/>
            <a:ext cx="417600" cy="441503"/>
          </xdr14:xfrm>
        </xdr:contentPart>
      </mc:Choice>
      <mc:Fallback xmlns="">
        <xdr:pic>
          <xdr:nvPicPr>
            <xdr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9297649" y="10375143"/>
              <a:ext cx="453240" cy="45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414320</xdr:colOff>
      <xdr:row>93</xdr:row>
      <xdr:rowOff>22812</xdr:rowOff>
    </xdr:from>
    <xdr:to>
      <xdr:col>77</xdr:col>
      <xdr:colOff>349890</xdr:colOff>
      <xdr:row>94</xdr:row>
      <xdr:rowOff>48383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14:cNvPr>
            <xdr14:cNvContentPartPr/>
          </xdr14:nvContentPartPr>
          <xdr14:nvPr macro=""/>
          <xdr14:xfrm>
            <a:off x="60485320" y="18183812"/>
            <a:ext cx="1465920" cy="216071"/>
          </xdr14:xfrm>
        </xdr:contentPart>
      </mc:Choice>
      <mc:Fallback xmlns="">
        <xdr:pic>
          <xdr:nvPicPr>
            <xdr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48266609" y="10999383"/>
              <a:ext cx="150156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164260</xdr:colOff>
      <xdr:row>48</xdr:row>
      <xdr:rowOff>105168</xdr:rowOff>
    </xdr:from>
    <xdr:to>
      <xdr:col>52</xdr:col>
      <xdr:colOff>530740</xdr:colOff>
      <xdr:row>58</xdr:row>
      <xdr:rowOff>137640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14:cNvPr>
            <xdr14:cNvContentPartPr/>
          </xdr14:nvContentPartPr>
          <xdr14:nvPr macro=""/>
          <xdr14:xfrm>
            <a:off x="42709260" y="10328668"/>
            <a:ext cx="366480" cy="2282403"/>
          </xdr14:xfrm>
        </xdr:contentPart>
      </mc:Choice>
      <mc:Fallback xmlns="">
        <xdr:pic>
          <xdr:nvPicPr>
            <xdr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30490207" y="3235314"/>
              <a:ext cx="402085" cy="236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715060</xdr:colOff>
      <xdr:row>97</xdr:row>
      <xdr:rowOff>84089</xdr:rowOff>
    </xdr:from>
    <xdr:to>
      <xdr:col>62</xdr:col>
      <xdr:colOff>254380</xdr:colOff>
      <xdr:row>98</xdr:row>
      <xdr:rowOff>107011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14:cNvPr>
            <xdr14:cNvContentPartPr/>
          </xdr14:nvContentPartPr>
          <xdr14:nvPr macro=""/>
          <xdr14:xfrm>
            <a:off x="50118060" y="19007089"/>
            <a:ext cx="301320" cy="207071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37899349" y="11795446"/>
              <a:ext cx="33696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621700</xdr:colOff>
      <xdr:row>95</xdr:row>
      <xdr:rowOff>185369</xdr:rowOff>
    </xdr:from>
    <xdr:to>
      <xdr:col>61</xdr:col>
      <xdr:colOff>380260</xdr:colOff>
      <xdr:row>99</xdr:row>
      <xdr:rowOff>152583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14:cNvPr>
            <xdr14:cNvContentPartPr/>
          </xdr14:nvContentPartPr>
          <xdr14:nvPr macro=""/>
          <xdr14:xfrm>
            <a:off x="46976700" y="18727369"/>
            <a:ext cx="2806560" cy="729214"/>
          </xdr14:xfrm>
        </xdr:contentPart>
      </mc:Choice>
      <mc:Fallback xmlns="">
        <xdr:pic>
          <xdr:nvPicPr>
            <xdr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4757629" y="11515726"/>
              <a:ext cx="2842200" cy="73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427900</xdr:colOff>
      <xdr:row>96</xdr:row>
      <xdr:rowOff>53189</xdr:rowOff>
    </xdr:from>
    <xdr:to>
      <xdr:col>63</xdr:col>
      <xdr:colOff>597580</xdr:colOff>
      <xdr:row>99</xdr:row>
      <xdr:rowOff>67062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14:cNvPr>
            <xdr14:cNvContentPartPr/>
          </xdr14:nvContentPartPr>
          <xdr14:nvPr macro=""/>
          <xdr14:xfrm>
            <a:off x="50592900" y="18785689"/>
            <a:ext cx="931680" cy="579023"/>
          </xdr14:xfrm>
        </xdr:contentPart>
      </mc:Choice>
      <mc:Fallback xmlns="">
        <xdr:pic>
          <xdr:nvPicPr>
            <xdr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38373829" y="11574395"/>
              <a:ext cx="967320" cy="5965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749860</xdr:colOff>
      <xdr:row>96</xdr:row>
      <xdr:rowOff>33389</xdr:rowOff>
    </xdr:from>
    <xdr:to>
      <xdr:col>65</xdr:col>
      <xdr:colOff>230620</xdr:colOff>
      <xdr:row>99</xdr:row>
      <xdr:rowOff>45232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14:cNvPr>
            <xdr14:cNvContentPartPr/>
          </xdr14:nvContentPartPr>
          <xdr14:nvPr macro=""/>
          <xdr14:xfrm>
            <a:off x="51676860" y="18765889"/>
            <a:ext cx="1004760" cy="583343"/>
          </xdr14:xfrm>
        </xdr:contentPart>
      </mc:Choice>
      <mc:Fallback xmlns="">
        <xdr:pic>
          <xdr:nvPicPr>
            <xdr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39457795" y="11554606"/>
              <a:ext cx="1040387" cy="60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490900</xdr:colOff>
      <xdr:row>97</xdr:row>
      <xdr:rowOff>53489</xdr:rowOff>
    </xdr:from>
    <xdr:to>
      <xdr:col>65</xdr:col>
      <xdr:colOff>694430</xdr:colOff>
      <xdr:row>98</xdr:row>
      <xdr:rowOff>6758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14:cNvPr>
            <xdr14:cNvContentPartPr/>
          </xdr14:nvContentPartPr>
          <xdr14:nvPr macro=""/>
          <xdr14:xfrm>
            <a:off x="52941900" y="18976489"/>
            <a:ext cx="209880" cy="136511"/>
          </xdr14:xfrm>
        </xdr:contentPart>
      </mc:Choice>
      <mc:Fallback xmlns="">
        <xdr:pic>
          <xdr:nvPicPr>
            <xdr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40723159" y="11765206"/>
              <a:ext cx="245581" cy="16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222974</xdr:colOff>
      <xdr:row>94</xdr:row>
      <xdr:rowOff>34806</xdr:rowOff>
    </xdr:from>
    <xdr:to>
      <xdr:col>73</xdr:col>
      <xdr:colOff>607574</xdr:colOff>
      <xdr:row>99</xdr:row>
      <xdr:rowOff>84472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14:cNvPr>
            <xdr14:cNvContentPartPr/>
          </xdr14:nvContentPartPr>
          <xdr14:nvPr macro=""/>
          <xdr14:xfrm>
            <a:off x="53435974" y="18386306"/>
            <a:ext cx="5718600" cy="1002166"/>
          </xdr14:xfrm>
        </xdr:contentPart>
      </mc:Choice>
      <mc:Fallback xmlns="">
        <xdr:pic>
          <xdr:nvPicPr>
            <xdr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41217263" y="11193166"/>
              <a:ext cx="5754240" cy="10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631168</xdr:colOff>
      <xdr:row>94</xdr:row>
      <xdr:rowOff>38406</xdr:rowOff>
    </xdr:from>
    <xdr:to>
      <xdr:col>79</xdr:col>
      <xdr:colOff>313778</xdr:colOff>
      <xdr:row>99</xdr:row>
      <xdr:rowOff>54952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14:cNvPr>
            <xdr14:cNvContentPartPr/>
          </xdr14:nvContentPartPr>
          <xdr14:nvPr macro=""/>
          <xdr14:xfrm>
            <a:off x="59178168" y="18389906"/>
            <a:ext cx="4260960" cy="969046"/>
          </xdr14:xfrm>
        </xdr:contentPart>
      </mc:Choice>
      <mc:Fallback xmlns="">
        <xdr:pic>
          <xdr:nvPicPr>
            <xdr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46959457" y="11196406"/>
              <a:ext cx="4296600" cy="9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108808</xdr:colOff>
      <xdr:row>102</xdr:row>
      <xdr:rowOff>24283</xdr:rowOff>
    </xdr:from>
    <xdr:to>
      <xdr:col>75</xdr:col>
      <xdr:colOff>391638</xdr:colOff>
      <xdr:row>108</xdr:row>
      <xdr:rowOff>45936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14:cNvPr>
            <xdr14:cNvContentPartPr/>
          </xdr14:nvContentPartPr>
          <xdr14:nvPr macro=""/>
          <xdr14:xfrm>
            <a:off x="55607808" y="19899783"/>
            <a:ext cx="4848480" cy="1171003"/>
          </xdr14:xfrm>
        </xdr:contentPart>
      </mc:Choice>
      <mc:Fallback xmlns="">
        <xdr:pic>
          <xdr:nvPicPr>
            <xdr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43389096" y="12643143"/>
              <a:ext cx="4884123" cy="11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471928</xdr:colOff>
      <xdr:row>102</xdr:row>
      <xdr:rowOff>183186</xdr:rowOff>
    </xdr:from>
    <xdr:to>
      <xdr:col>75</xdr:col>
      <xdr:colOff>20248</xdr:colOff>
      <xdr:row>109</xdr:row>
      <xdr:rowOff>7743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14:cNvPr>
            <xdr14:cNvContentPartPr/>
          </xdr14:nvContentPartPr>
          <xdr14:nvPr macro=""/>
          <xdr14:xfrm>
            <a:off x="57494928" y="20058686"/>
            <a:ext cx="2596320" cy="1138100"/>
          </xdr14:xfrm>
        </xdr:contentPart>
      </mc:Choice>
      <mc:Fallback xmlns="">
        <xdr:pic>
          <xdr:nvPicPr>
            <xdr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5276217" y="12783543"/>
              <a:ext cx="2631960" cy="111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754048</xdr:colOff>
      <xdr:row>104</xdr:row>
      <xdr:rowOff>110849</xdr:rowOff>
    </xdr:from>
    <xdr:to>
      <xdr:col>71</xdr:col>
      <xdr:colOff>27328</xdr:colOff>
      <xdr:row>106</xdr:row>
      <xdr:rowOff>30233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14:cNvPr>
            <xdr14:cNvContentPartPr/>
          </xdr14:nvContentPartPr>
          <xdr14:nvPr macro=""/>
          <xdr14:xfrm>
            <a:off x="57015048" y="20367349"/>
            <a:ext cx="35280" cy="300383"/>
          </xdr14:xfrm>
        </xdr:contentPart>
      </mc:Choice>
      <mc:Fallback xmlns="">
        <xdr:pic>
          <xdr:nvPicPr>
            <xdr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44796337" y="13074423"/>
              <a:ext cx="70920" cy="31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195688</xdr:colOff>
      <xdr:row>102</xdr:row>
      <xdr:rowOff>79146</xdr:rowOff>
    </xdr:from>
    <xdr:to>
      <xdr:col>71</xdr:col>
      <xdr:colOff>485608</xdr:colOff>
      <xdr:row>108</xdr:row>
      <xdr:rowOff>144676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14:cNvPr>
            <xdr14:cNvContentPartPr/>
          </xdr14:nvContentPartPr>
          <xdr14:nvPr macro=""/>
          <xdr14:xfrm>
            <a:off x="54170688" y="19954646"/>
            <a:ext cx="3337920" cy="1202180"/>
          </xdr14:xfrm>
        </xdr:contentPart>
      </mc:Choice>
      <mc:Fallback xmlns="">
        <xdr:pic>
          <xdr:nvPicPr>
            <xdr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41951619" y="12679503"/>
              <a:ext cx="3373556" cy="117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761248</xdr:colOff>
      <xdr:row>104</xdr:row>
      <xdr:rowOff>150449</xdr:rowOff>
    </xdr:from>
    <xdr:to>
      <xdr:col>71</xdr:col>
      <xdr:colOff>27688</xdr:colOff>
      <xdr:row>108</xdr:row>
      <xdr:rowOff>54807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14:cNvPr>
            <xdr14:cNvContentPartPr/>
          </xdr14:nvContentPartPr>
          <xdr14:nvPr macro=""/>
          <xdr14:xfrm>
            <a:off x="57022248" y="20406949"/>
            <a:ext cx="28440" cy="666357"/>
          </xdr14:xfrm>
        </xdr:contentPart>
      </mc:Choice>
      <mc:Fallback xmlns="">
        <xdr:pic>
          <xdr:nvPicPr>
            <xdr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44803537" y="13113663"/>
              <a:ext cx="64080" cy="65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173248</xdr:colOff>
      <xdr:row>103</xdr:row>
      <xdr:rowOff>36966</xdr:rowOff>
    </xdr:from>
    <xdr:to>
      <xdr:col>72</xdr:col>
      <xdr:colOff>209968</xdr:colOff>
      <xdr:row>105</xdr:row>
      <xdr:rowOff>162412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14:cNvPr>
            <xdr14:cNvContentPartPr/>
          </xdr14:nvContentPartPr>
          <xdr14:nvPr macro=""/>
          <xdr14:xfrm>
            <a:off x="57958248" y="20102966"/>
            <a:ext cx="36720" cy="506446"/>
          </xdr14:xfrm>
        </xdr:contentPart>
      </mc:Choice>
      <mc:Fallback xmlns="">
        <xdr:pic>
          <xdr:nvPicPr>
            <xdr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45739177" y="12828183"/>
              <a:ext cx="723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703408</xdr:colOff>
      <xdr:row>82</xdr:row>
      <xdr:rowOff>100877</xdr:rowOff>
    </xdr:from>
    <xdr:to>
      <xdr:col>80</xdr:col>
      <xdr:colOff>639198</xdr:colOff>
      <xdr:row>87</xdr:row>
      <xdr:rowOff>131894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14:cNvPr>
            <xdr14:cNvContentPartPr/>
          </xdr14:nvContentPartPr>
          <xdr14:nvPr macro=""/>
          <xdr14:xfrm>
            <a:off x="60012408" y="16166377"/>
            <a:ext cx="4501440" cy="983517"/>
          </xdr14:xfrm>
        </xdr:contentPart>
      </mc:Choice>
      <mc:Fallback xmlns="">
        <xdr:pic>
          <xdr:nvPicPr>
            <xdr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47793337" y="9073023"/>
              <a:ext cx="4537080" cy="97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80</xdr:col>
      <xdr:colOff>636088</xdr:colOff>
      <xdr:row>84</xdr:row>
      <xdr:rowOff>157420</xdr:rowOff>
    </xdr:from>
    <xdr:to>
      <xdr:col>81</xdr:col>
      <xdr:colOff>84098</xdr:colOff>
      <xdr:row>86</xdr:row>
      <xdr:rowOff>10362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14:cNvPr>
            <xdr14:cNvContentPartPr/>
          </xdr14:nvContentPartPr>
          <xdr14:nvPr macro=""/>
          <xdr14:xfrm>
            <a:off x="64517088" y="16603920"/>
            <a:ext cx="216360" cy="227592"/>
          </xdr14:xfrm>
        </xdr:contentPart>
      </mc:Choice>
      <mc:Fallback xmlns="">
        <xdr:pic>
          <xdr:nvPicPr>
            <xdr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52298377" y="9492063"/>
              <a:ext cx="252000" cy="25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77</xdr:col>
      <xdr:colOff>197968</xdr:colOff>
      <xdr:row>82</xdr:row>
      <xdr:rowOff>176117</xdr:rowOff>
    </xdr:from>
    <xdr:to>
      <xdr:col>79</xdr:col>
      <xdr:colOff>648928</xdr:colOff>
      <xdr:row>88</xdr:row>
      <xdr:rowOff>64644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14:cNvPr>
            <xdr14:cNvContentPartPr/>
          </xdr14:nvContentPartPr>
          <xdr14:nvPr macro=""/>
          <xdr14:xfrm>
            <a:off x="61792968" y="16241617"/>
            <a:ext cx="1974960" cy="1037877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49574257" y="9147903"/>
              <a:ext cx="2010600" cy="10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18448</xdr:colOff>
      <xdr:row>82</xdr:row>
      <xdr:rowOff>148757</xdr:rowOff>
    </xdr:from>
    <xdr:to>
      <xdr:col>77</xdr:col>
      <xdr:colOff>549328</xdr:colOff>
      <xdr:row>87</xdr:row>
      <xdr:rowOff>122664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14:cNvPr>
            <xdr14:cNvContentPartPr/>
          </xdr14:nvContentPartPr>
          <xdr14:nvPr macro=""/>
          <xdr14:xfrm>
            <a:off x="60089448" y="16214257"/>
            <a:ext cx="2054880" cy="932757"/>
          </xdr14:xfrm>
        </xdr:contentPart>
      </mc:Choice>
      <mc:Fallback xmlns="">
        <xdr:pic>
          <xdr:nvPicPr>
            <xdr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7870737" y="9120550"/>
              <a:ext cx="2090520" cy="923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78</xdr:col>
      <xdr:colOff>341728</xdr:colOff>
      <xdr:row>87</xdr:row>
      <xdr:rowOff>184814</xdr:rowOff>
    </xdr:from>
    <xdr:to>
      <xdr:col>81</xdr:col>
      <xdr:colOff>521858</xdr:colOff>
      <xdr:row>92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14:cNvPr>
            <xdr14:cNvContentPartPr/>
          </xdr14:nvContentPartPr>
          <xdr14:nvPr macro=""/>
          <xdr14:xfrm>
            <a:off x="62698728" y="17202814"/>
            <a:ext cx="2472480" cy="769606"/>
          </xdr14:xfrm>
        </xdr:contentPart>
      </mc:Choice>
      <mc:Fallback xmlns="">
        <xdr:pic>
          <xdr:nvPicPr>
            <xdr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50480017" y="10063743"/>
              <a:ext cx="2508120" cy="76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81</xdr:col>
      <xdr:colOff>613288</xdr:colOff>
      <xdr:row>87</xdr:row>
      <xdr:rowOff>41103</xdr:rowOff>
    </xdr:from>
    <xdr:to>
      <xdr:col>82</xdr:col>
      <xdr:colOff>10998</xdr:colOff>
      <xdr:row>92</xdr:row>
      <xdr:rowOff>102490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14:cNvPr>
            <xdr14:cNvContentPartPr/>
          </xdr14:nvContentPartPr>
          <xdr14:nvPr macro=""/>
          <xdr14:xfrm>
            <a:off x="65256288" y="17059103"/>
            <a:ext cx="153360" cy="1020237"/>
          </xdr14:xfrm>
        </xdr:contentPart>
      </mc:Choice>
      <mc:Fallback xmlns="">
        <xdr:pic>
          <xdr:nvPicPr>
            <xdr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53037577" y="9929103"/>
              <a:ext cx="189000" cy="10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752834</xdr:colOff>
      <xdr:row>108</xdr:row>
      <xdr:rowOff>48909</xdr:rowOff>
    </xdr:from>
    <xdr:to>
      <xdr:col>61</xdr:col>
      <xdr:colOff>600544</xdr:colOff>
      <xdr:row>112</xdr:row>
      <xdr:rowOff>114835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14:cNvPr>
            <xdr14:cNvContentPartPr/>
          </xdr14:nvContentPartPr>
          <xdr14:nvPr macro=""/>
          <xdr14:xfrm>
            <a:off x="47107834" y="21067409"/>
            <a:ext cx="2889360" cy="827926"/>
          </xdr14:xfrm>
        </xdr:contentPart>
      </mc:Choice>
      <mc:Fallback xmlns="">
        <xdr:pic>
          <xdr:nvPicPr>
            <xdr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34889121" y="13729126"/>
              <a:ext cx="2925004" cy="82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146114</xdr:colOff>
      <xdr:row>106</xdr:row>
      <xdr:rowOff>166317</xdr:rowOff>
    </xdr:from>
    <xdr:to>
      <xdr:col>65</xdr:col>
      <xdr:colOff>380474</xdr:colOff>
      <xdr:row>111</xdr:row>
      <xdr:rowOff>125492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14:cNvPr>
            <xdr14:cNvContentPartPr/>
          </xdr14:nvContentPartPr>
          <xdr14:nvPr macro=""/>
          <xdr14:xfrm>
            <a:off x="50311114" y="20803817"/>
            <a:ext cx="2520360" cy="905326"/>
          </xdr14:xfrm>
        </xdr:contentPart>
      </mc:Choice>
      <mc:Fallback xmlns="">
        <xdr:pic>
          <xdr:nvPicPr>
            <xdr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38092043" y="13474606"/>
              <a:ext cx="2556000" cy="90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43445</xdr:colOff>
      <xdr:row>107</xdr:row>
      <xdr:rowOff>176477</xdr:rowOff>
    </xdr:from>
    <xdr:to>
      <xdr:col>67</xdr:col>
      <xdr:colOff>102965</xdr:colOff>
      <xdr:row>110</xdr:row>
      <xdr:rowOff>151240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14:cNvPr>
            <xdr14:cNvContentPartPr/>
          </xdr14:nvContentPartPr>
          <xdr14:nvPr macro=""/>
          <xdr14:xfrm>
            <a:off x="53256445" y="21004477"/>
            <a:ext cx="821520" cy="546263"/>
          </xdr14:xfrm>
        </xdr:contentPart>
      </mc:Choice>
      <mc:Fallback xmlns="">
        <xdr:pic>
          <xdr:nvPicPr>
            <xdr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41037374" y="13666194"/>
              <a:ext cx="857160" cy="56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543365</xdr:colOff>
      <xdr:row>105</xdr:row>
      <xdr:rowOff>175663</xdr:rowOff>
    </xdr:from>
    <xdr:to>
      <xdr:col>71</xdr:col>
      <xdr:colOff>330245</xdr:colOff>
      <xdr:row>112</xdr:row>
      <xdr:rowOff>2733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14:cNvPr>
            <xdr14:cNvContentPartPr/>
          </xdr14:nvContentPartPr>
          <xdr14:nvPr macro=""/>
          <xdr14:xfrm>
            <a:off x="52994365" y="20622663"/>
            <a:ext cx="4358880" cy="1143788"/>
          </xdr14:xfrm>
        </xdr:contentPart>
      </mc:Choice>
      <mc:Fallback xmlns="">
        <xdr:pic>
          <xdr:nvPicPr>
            <xdr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40775294" y="13311588"/>
              <a:ext cx="4394520" cy="11250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39845</xdr:colOff>
      <xdr:row>108</xdr:row>
      <xdr:rowOff>175303</xdr:rowOff>
    </xdr:from>
    <xdr:to>
      <xdr:col>73</xdr:col>
      <xdr:colOff>302765</xdr:colOff>
      <xdr:row>111</xdr:row>
      <xdr:rowOff>83306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14:cNvPr>
            <xdr14:cNvContentPartPr/>
          </xdr14:nvContentPartPr>
          <xdr14:nvPr macro=""/>
          <xdr14:xfrm>
            <a:off x="57824845" y="21193803"/>
            <a:ext cx="1024920" cy="485854"/>
          </xdr14:xfrm>
        </xdr:contentPart>
      </mc:Choice>
      <mc:Fallback xmlns="">
        <xdr:pic>
          <xdr:nvPicPr>
            <xdr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45605774" y="13855160"/>
              <a:ext cx="1060560" cy="49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728405</xdr:colOff>
      <xdr:row>112</xdr:row>
      <xdr:rowOff>109109</xdr:rowOff>
    </xdr:from>
    <xdr:to>
      <xdr:col>74</xdr:col>
      <xdr:colOff>438245</xdr:colOff>
      <xdr:row>114</xdr:row>
      <xdr:rowOff>12580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14:cNvPr>
            <xdr14:cNvContentPartPr/>
          </xdr14:nvContentPartPr>
          <xdr14:nvPr macro=""/>
          <xdr14:xfrm>
            <a:off x="57751405" y="21889609"/>
            <a:ext cx="1995840" cy="284471"/>
          </xdr14:xfrm>
        </xdr:contentPart>
      </mc:Choice>
      <mc:Fallback xmlns="">
        <xdr:pic>
          <xdr:nvPicPr>
            <xdr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45532694" y="14515017"/>
              <a:ext cx="2031480" cy="3110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479525</xdr:colOff>
      <xdr:row>108</xdr:row>
      <xdr:rowOff>122023</xdr:rowOff>
    </xdr:from>
    <xdr:to>
      <xdr:col>74</xdr:col>
      <xdr:colOff>257395</xdr:colOff>
      <xdr:row>111</xdr:row>
      <xdr:rowOff>77056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14:cNvPr>
            <xdr14:cNvContentPartPr/>
          </xdr14:nvContentPartPr>
          <xdr14:nvPr macro=""/>
          <xdr14:xfrm>
            <a:off x="59026525" y="21140523"/>
            <a:ext cx="533520" cy="526534"/>
          </xdr14:xfrm>
        </xdr:contentPart>
      </mc:Choice>
      <mc:Fallback xmlns="">
        <xdr:pic>
          <xdr:nvPicPr>
            <xdr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46807454" y="13802227"/>
              <a:ext cx="569160" cy="53498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</xdr:col>
      <xdr:colOff>74545</xdr:colOff>
      <xdr:row>59</xdr:row>
      <xdr:rowOff>8283</xdr:rowOff>
    </xdr:from>
    <xdr:to>
      <xdr:col>10</xdr:col>
      <xdr:colOff>1324003</xdr:colOff>
      <xdr:row>76</xdr:row>
      <xdr:rowOff>87701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78AD1C4D-E336-CEDD-B6D8-5855E2F4A6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3"/>
        </a:graphicData>
      </a:graphic>
    </xdr:graphicFrame>
    <xdr:clientData/>
  </xdr:twoCellAnchor>
  <xdr:twoCellAnchor>
    <xdr:from>
      <xdr:col>11</xdr:col>
      <xdr:colOff>769550</xdr:colOff>
      <xdr:row>58</xdr:row>
      <xdr:rowOff>218271</xdr:rowOff>
    </xdr:from>
    <xdr:to>
      <xdr:col>20</xdr:col>
      <xdr:colOff>49697</xdr:colOff>
      <xdr:row>76</xdr:row>
      <xdr:rowOff>45311</xdr:rowOff>
    </xdr:to>
    <xdr:graphicFrame macro="">
      <xdr:nvGraphicFramePr>
        <xdr:cNvPr id="12" name="Diagramm 11">
          <a:extLst>
            <a:ext uri="{FF2B5EF4-FFF2-40B4-BE49-F238E27FC236}">
              <a16:creationId xmlns:a16="http://schemas.microsoft.com/office/drawing/2014/main" id="{94198174-0402-23EB-34CE-947962EA4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4"/>
        </a:graphicData>
      </a:graphic>
    </xdr:graphicFrame>
    <xdr:clientData/>
  </xdr:twoCellAnchor>
  <xdr:twoCellAnchor>
    <xdr:from>
      <xdr:col>2</xdr:col>
      <xdr:colOff>38244</xdr:colOff>
      <xdr:row>77</xdr:row>
      <xdr:rowOff>183191</xdr:rowOff>
    </xdr:from>
    <xdr:to>
      <xdr:col>10</xdr:col>
      <xdr:colOff>1377347</xdr:colOff>
      <xdr:row>98</xdr:row>
      <xdr:rowOff>93544</xdr:rowOff>
    </xdr:to>
    <xdr:graphicFrame macro="">
      <xdr:nvGraphicFramePr>
        <xdr:cNvPr id="13" name="Diagramm 12">
          <a:extLst>
            <a:ext uri="{FF2B5EF4-FFF2-40B4-BE49-F238E27FC236}">
              <a16:creationId xmlns:a16="http://schemas.microsoft.com/office/drawing/2014/main" id="{697D110B-D341-B45C-821C-3A79FA4ED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5"/>
        </a:graphicData>
      </a:graphic>
    </xdr:graphicFrame>
    <xdr:clientData/>
  </xdr:twoCellAnchor>
  <xdr:twoCellAnchor>
    <xdr:from>
      <xdr:col>11</xdr:col>
      <xdr:colOff>762975</xdr:colOff>
      <xdr:row>77</xdr:row>
      <xdr:rowOff>186115</xdr:rowOff>
    </xdr:from>
    <xdr:to>
      <xdr:col>20</xdr:col>
      <xdr:colOff>115958</xdr:colOff>
      <xdr:row>98</xdr:row>
      <xdr:rowOff>51644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30ED13DB-177D-4AC3-3229-2ADCE9D04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6"/>
        </a:graphicData>
      </a:graphic>
    </xdr:graphicFrame>
    <xdr:clientData/>
  </xdr:twoCellAnchor>
  <xdr:twoCellAnchor editAs="oneCell">
    <xdr:from>
      <xdr:col>7</xdr:col>
      <xdr:colOff>0</xdr:colOff>
      <xdr:row>62</xdr:row>
      <xdr:rowOff>162323</xdr:rowOff>
    </xdr:from>
    <xdr:to>
      <xdr:col>10</xdr:col>
      <xdr:colOff>280148</xdr:colOff>
      <xdr:row>70</xdr:row>
      <xdr:rowOff>11206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E8F8E45A-B091-7884-132F-BDDA9E4A8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7"/>
        <a:stretch>
          <a:fillRect/>
        </a:stretch>
      </xdr:blipFill>
      <xdr:spPr>
        <a:xfrm>
          <a:off x="6096000" y="13329235"/>
          <a:ext cx="3115236" cy="1608207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66</xdr:row>
      <xdr:rowOff>0</xdr:rowOff>
    </xdr:from>
    <xdr:to>
      <xdr:col>19</xdr:col>
      <xdr:colOff>45499</xdr:colOff>
      <xdr:row>73</xdr:row>
      <xdr:rowOff>44824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3D695B78-311C-05AD-CE16-D719B028B0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8"/>
        <a:stretch>
          <a:fillRect/>
        </a:stretch>
      </xdr:blipFill>
      <xdr:spPr>
        <a:xfrm>
          <a:off x="15004677" y="13973735"/>
          <a:ext cx="3216764" cy="1658470"/>
        </a:xfrm>
        <a:prstGeom prst="rect">
          <a:avLst/>
        </a:prstGeom>
      </xdr:spPr>
    </xdr:pic>
    <xdr:clientData/>
  </xdr:twoCellAnchor>
  <xdr:twoCellAnchor editAs="oneCell">
    <xdr:from>
      <xdr:col>13</xdr:col>
      <xdr:colOff>280147</xdr:colOff>
      <xdr:row>81</xdr:row>
      <xdr:rowOff>104365</xdr:rowOff>
    </xdr:from>
    <xdr:to>
      <xdr:col>19</xdr:col>
      <xdr:colOff>246528</xdr:colOff>
      <xdr:row>91</xdr:row>
      <xdr:rowOff>15568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9EE6E24E-AC1D-CC46-90BF-E552B084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9"/>
        <a:stretch>
          <a:fillRect/>
        </a:stretch>
      </xdr:blipFill>
      <xdr:spPr>
        <a:xfrm>
          <a:off x="15240000" y="17226953"/>
          <a:ext cx="3182470" cy="1816203"/>
        </a:xfrm>
        <a:prstGeom prst="rect">
          <a:avLst/>
        </a:prstGeom>
      </xdr:spPr>
    </xdr:pic>
    <xdr:clientData/>
  </xdr:twoCellAnchor>
  <xdr:twoCellAnchor editAs="oneCell">
    <xdr:from>
      <xdr:col>7</xdr:col>
      <xdr:colOff>201706</xdr:colOff>
      <xdr:row>87</xdr:row>
      <xdr:rowOff>1693</xdr:rowOff>
    </xdr:from>
    <xdr:to>
      <xdr:col>10</xdr:col>
      <xdr:colOff>691074</xdr:colOff>
      <xdr:row>96</xdr:row>
      <xdr:rowOff>189273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F4D41095-E7FA-53D7-EE2A-E7EF9D88E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0"/>
        <a:stretch>
          <a:fillRect/>
        </a:stretch>
      </xdr:blipFill>
      <xdr:spPr>
        <a:xfrm>
          <a:off x="6297706" y="18267281"/>
          <a:ext cx="3324456" cy="1902080"/>
        </a:xfrm>
        <a:prstGeom prst="rect">
          <a:avLst/>
        </a:prstGeom>
      </xdr:spPr>
    </xdr:pic>
    <xdr:clientData/>
  </xdr:twoCellAnchor>
  <xdr:twoCellAnchor>
    <xdr:from>
      <xdr:col>2</xdr:col>
      <xdr:colOff>1114745</xdr:colOff>
      <xdr:row>111</xdr:row>
      <xdr:rowOff>129110</xdr:rowOff>
    </xdr:from>
    <xdr:to>
      <xdr:col>10</xdr:col>
      <xdr:colOff>869673</xdr:colOff>
      <xdr:row>142</xdr:row>
      <xdr:rowOff>16565</xdr:rowOff>
    </xdr:to>
    <xdr:graphicFrame macro="">
      <xdr:nvGraphicFramePr>
        <xdr:cNvPr id="21" name="Diagramm 20">
          <a:extLst>
            <a:ext uri="{FF2B5EF4-FFF2-40B4-BE49-F238E27FC236}">
              <a16:creationId xmlns:a16="http://schemas.microsoft.com/office/drawing/2014/main" id="{EE7ECD0E-77BB-6ACF-28DA-CBDE95EBF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1"/>
        </a:graphicData>
      </a:graphic>
    </xdr:graphicFrame>
    <xdr:clientData/>
  </xdr:twoCellAnchor>
  <xdr:twoCellAnchor>
    <xdr:from>
      <xdr:col>10</xdr:col>
      <xdr:colOff>1341780</xdr:colOff>
      <xdr:row>100</xdr:row>
      <xdr:rowOff>1270549</xdr:rowOff>
    </xdr:from>
    <xdr:to>
      <xdr:col>17</xdr:col>
      <xdr:colOff>265043</xdr:colOff>
      <xdr:row>130</xdr:row>
      <xdr:rowOff>140805</xdr:rowOff>
    </xdr:to>
    <xdr:graphicFrame macro="">
      <xdr:nvGraphicFramePr>
        <xdr:cNvPr id="19" name="Diagramm 18">
          <a:extLst>
            <a:ext uri="{FF2B5EF4-FFF2-40B4-BE49-F238E27FC236}">
              <a16:creationId xmlns:a16="http://schemas.microsoft.com/office/drawing/2014/main" id="{952725A1-84C2-9301-5A97-12BCCF62B0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2"/>
        </a:graphicData>
      </a:graphic>
    </xdr:graphicFrame>
    <xdr:clientData/>
  </xdr:twoCellAnchor>
  <xdr:twoCellAnchor editAs="oneCell">
    <xdr:from>
      <xdr:col>12</xdr:col>
      <xdr:colOff>1242392</xdr:colOff>
      <xdr:row>104</xdr:row>
      <xdr:rowOff>1</xdr:rowOff>
    </xdr:from>
    <xdr:to>
      <xdr:col>16</xdr:col>
      <xdr:colOff>107674</xdr:colOff>
      <xdr:row>112</xdr:row>
      <xdr:rowOff>52736</xdr:rowOff>
    </xdr:to>
    <xdr:pic>
      <xdr:nvPicPr>
        <xdr:cNvPr id="22" name="Grafik 21">
          <a:extLst>
            <a:ext uri="{FF2B5EF4-FFF2-40B4-BE49-F238E27FC236}">
              <a16:creationId xmlns:a16="http://schemas.microsoft.com/office/drawing/2014/main" id="{547118E5-A351-A2CF-7A18-A72449F4C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3"/>
        <a:stretch>
          <a:fillRect/>
        </a:stretch>
      </xdr:blipFill>
      <xdr:spPr>
        <a:xfrm>
          <a:off x="14651935" y="23125044"/>
          <a:ext cx="2824369" cy="1576735"/>
        </a:xfrm>
        <a:prstGeom prst="rect">
          <a:avLst/>
        </a:prstGeom>
      </xdr:spPr>
    </xdr:pic>
    <xdr:clientData/>
  </xdr:twoCellAnchor>
  <xdr:twoCellAnchor editAs="oneCell">
    <xdr:from>
      <xdr:col>7</xdr:col>
      <xdr:colOff>331305</xdr:colOff>
      <xdr:row>125</xdr:row>
      <xdr:rowOff>33131</xdr:rowOff>
    </xdr:from>
    <xdr:to>
      <xdr:col>10</xdr:col>
      <xdr:colOff>364435</xdr:colOff>
      <xdr:row>133</xdr:row>
      <xdr:rowOff>156567</xdr:rowOff>
    </xdr:to>
    <xdr:pic>
      <xdr:nvPicPr>
        <xdr:cNvPr id="23" name="Grafik 22">
          <a:extLst>
            <a:ext uri="{FF2B5EF4-FFF2-40B4-BE49-F238E27FC236}">
              <a16:creationId xmlns:a16="http://schemas.microsoft.com/office/drawing/2014/main" id="{DBFCADA3-E1D9-0792-CD08-23ABA4E24F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4"/>
        <a:stretch>
          <a:fillRect/>
        </a:stretch>
      </xdr:blipFill>
      <xdr:spPr>
        <a:xfrm>
          <a:off x="7247283" y="27514827"/>
          <a:ext cx="2857500" cy="16474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10983" y="3457762"/>
          <a:ext cx="4043557" cy="1963507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660452</xdr:colOff>
      <xdr:row>20</xdr:row>
      <xdr:rowOff>123265</xdr:rowOff>
    </xdr:from>
    <xdr:to>
      <xdr:col>7</xdr:col>
      <xdr:colOff>328146</xdr:colOff>
      <xdr:row>21</xdr:row>
      <xdr:rowOff>190664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E985966-4C8C-4E93-A5CF-B3AC0FD7F8C6}"/>
            </a:ext>
          </a:extLst>
        </xdr:cNvPr>
        <xdr:cNvSpPr txBox="1"/>
      </xdr:nvSpPr>
      <xdr:spPr>
        <a:xfrm>
          <a:off x="5803952" y="4560794"/>
          <a:ext cx="429694" cy="3027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c</a:t>
          </a:r>
          <a:endParaRPr lang="de-CH" sz="1100">
            <a:solidFill>
              <a:srgbClr val="00B0F0"/>
            </a:solidFill>
          </a:endParaRPr>
        </a:p>
      </xdr:txBody>
    </xdr:sp>
    <xdr:clientData/>
  </xdr:twoCellAnchor>
  <xdr:twoCellAnchor>
    <xdr:from>
      <xdr:col>6</xdr:col>
      <xdr:colOff>672353</xdr:colOff>
      <xdr:row>19</xdr:row>
      <xdr:rowOff>100853</xdr:rowOff>
    </xdr:from>
    <xdr:to>
      <xdr:col>6</xdr:col>
      <xdr:colOff>675528</xdr:colOff>
      <xdr:row>22</xdr:row>
      <xdr:rowOff>126440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45EAFB6A-8C4D-4B2B-A2BB-31E7E261A198}"/>
            </a:ext>
          </a:extLst>
        </xdr:cNvPr>
        <xdr:cNvCxnSpPr>
          <a:cxnSpLocks/>
        </xdr:cNvCxnSpPr>
      </xdr:nvCxnSpPr>
      <xdr:spPr>
        <a:xfrm>
          <a:off x="5815853" y="4303059"/>
          <a:ext cx="3175" cy="731557"/>
        </a:xfrm>
        <a:prstGeom prst="line">
          <a:avLst/>
        </a:prstGeom>
        <a:ln w="19050">
          <a:solidFill>
            <a:srgbClr val="00B0F0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80382"/>
          <a:ext cx="5573940" cy="2017940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81643</xdr:colOff>
      <xdr:row>65</xdr:row>
      <xdr:rowOff>10431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249703</xdr:colOff>
      <xdr:row>19</xdr:row>
      <xdr:rowOff>89086</xdr:rowOff>
    </xdr:from>
    <xdr:to>
      <xdr:col>28</xdr:col>
      <xdr:colOff>405279</xdr:colOff>
      <xdr:row>41</xdr:row>
      <xdr:rowOff>155762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951793"/>
          <a:ext cx="449416" cy="514533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530643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511821"/>
          <a:ext cx="455766" cy="10577977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506913"/>
          <a:ext cx="455766" cy="10571161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583440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4163675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870699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775574"/>
          <a:ext cx="455766" cy="7321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417685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3154874"/>
          <a:ext cx="455766" cy="192389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9005694"/>
          <a:ext cx="488142" cy="414918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983470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619084"/>
          <a:ext cx="455766" cy="2916689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625888"/>
          <a:ext cx="455766" cy="8557327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654463"/>
          <a:ext cx="499981" cy="8534196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603663"/>
          <a:ext cx="559400" cy="4349297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618440"/>
          <a:ext cx="474363" cy="255292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669696"/>
          <a:ext cx="461663" cy="241548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727584"/>
          <a:ext cx="468013" cy="533314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720795"/>
          <a:ext cx="468014" cy="404767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769329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584965"/>
          <a:ext cx="405432" cy="3457680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987829"/>
          <a:ext cx="399082" cy="6134327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954584"/>
          <a:ext cx="411176" cy="4976359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4016857"/>
          <a:ext cx="406692" cy="2565789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24976"/>
          <a:ext cx="476894" cy="530155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22139"/>
          <a:ext cx="420052" cy="526946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88896"/>
          <a:ext cx="426708" cy="438104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80454"/>
          <a:ext cx="486977" cy="558367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50725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97739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2.911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103 16 16639,'-29'9'0,"29"-9"1,0 0 0,-1 0-1,1 0 1,0 0-1,0 0 1,0 0-1,-1 0 1,1 0 0,0 1-1,0-1 1,-1 0-1,1 0 1,0 0-1,0 0 1,-1 0-1,1 0 1,0 0 0,0 0-1,-1 0 1,1 0-1,0 0 1,-1 0-1,1 0 1,0 0 0,0 0-1,-1 0 1,1 0-1,0 0 1,0 0-1,-1 0 1,1 0-1,0 0 1,0 0 0,-1 0-1,1-1 1,0 1-1,0 0 1,-2 0-1,2 0 1,0 0 0,0 0-1,0 0 1,-1 0-1,1 0 1,0 0-1,0 0 1,0 0-1,0 0 1,0 0 0,-1 0-1,1 0 1,0 0-1,0-1 1,0 1-1,0 0 1,0 0 0,0 0-1,0 0 1,0 0-1,0 0 1,0 0-1,0 0 1,0 0-1,0-1 1,1 1 0,-1-6 68,0 6-69,1-2-19,-1 1 88,2 0-1,-2 0 1,1 0-1,-1 1 0,0-2 1,-1 1-1,1 1 1,0-2-1,-2 2 0,1-1 1,0 0-1,0 0 0,-2-1 1,3 1 59,-2 2 11,0 0-1,-1-1 1,1 1 0,0-1 0,0 1 0,0 0-1,-5 0 1,-13 3 415,18-3-403,0 1 0,1-1-1,-1 0 1,0 0 0,0 0 0,1 0 0,0 1 0,1-1 0,-1 0 0,1 0 0,0 1 0,0-1 0,1 1-1,-1 1 532,0-3 86,2 0-986,2 0-1,-1 1 0,-1-1 1,1 0-1,1 0 0,-1 0 1,3 0-1,3-3-10320,-4-1 4164,-3-1 2798,-7-2 2906,2 5 671,-1-1 0,-2 1 0,-6-3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8.8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266 0 18815,'3'4'20,"12"16"92,-15-20-103,0 1 1,0 0 0,0 0 0,0 0 0,0 0-1,0-1 1,0 1 0,0 0 0,0 0 0,0 0-1,0 0 1,0 0 0,-1-1 0,1 1-1,0 0 1,-1 0 0,1 0 0,0-1 0,-1 1-1,1 0 1,-1-1 0,1 1 0,-1 0 0,0-1-1,1 1 1,-1 0 0,-1 0 0,-14 13 299,0-1 0,-1-1 1,-29 16-1,39-24-246,-1-1 0,1 2 0,0-1 0,1 1 0,-13 10 0,16-12-11,1-1-1,-1 1 1,1 1-1,-1-1 1,1 0 0,0 1-1,0 0 1,1-1-1,-1 1 1,1 0 0,0 0-1,0 0 1,0 0-1,-1 6 1,2 4 50,1-1-1,0 1 1,1 0 0,1-1-1,7 26 1,-4-20 9,5 37 0,-5-11 129,-3-1 0,-1 2 0,-9 87 0,-14 51-48,1-1 149,11-127-207,2 1-1,3 0 0,4 61 1,2-86-70,2 20 177,-2 2 1,-10 101 0,-22 16-103,11-72 154,-7 111 0,28-151-719,1-46-1791,0-39-1668,0-60-11480,-3 43 11544,-2-1 3680,-4-36 141</inkml:trace>
  <inkml:trace contextRef="#ctx0" brushRef="#br0" timeOffset="612.9">236 80 19711,'-65'65'384,"61"-56"11,9-8-175,12-4 126,-16 2-261,28-9 322,-26 8-356,1 0 1,0 0-1,-1 1 1,1-1-1,0 1 1,0 0 0,0 0-1,0 1 1,0-1-1,1 1 1,-1 0-1,0 0 1,0 0-1,0 0 1,0 1 0,0 0-1,0 0 1,7 2-1,32 17-7,-16-6 34,0-2 0,31 10 0,60 8 211,-84-24-146,-1 2-1,1 2 1,-1 1 0,53 26-1,-69-28-123,-1 1 1,0 1-1,-1 0 0,0 2 0,-1-1 0,0 2 1,-1 0-1,0 0 0,10 18 0,-15-20-4,-1-1 0,0 2 0,-1 0-1,-1 0 1,0 1 0,-1 0 0,0-1-1,-1 1 1,-1 1 0,0-1 0,-1 0-1,-1 25 1,-1-18-6,-1 0 1,-1 0-1,-1 0 0,-1-1 0,-1 1 0,-13 29 0,12-36-2,0-1-1,-1 1 0,0-1 1,-1-1-1,0 1 1,-1-2-1,-1 1 0,0-1 1,-20 16-1,7-11 9,0-1-1,-1-1 0,-1-1 0,0-2 1,-1 0-1,-54 13 0,25-12-47,0-3 0,-87 4-1,128-11 2507</inkml:trace>
  <inkml:trace contextRef="#ctx0" brushRef="#br0" timeOffset="1368.4">1840 1052 19583,'0'0'2560,"7"6"-2453,8 7-103,0-3-1,2 1 1,-1-1-1,1 0 1,23 8-1,25 9 104,1-3 0,2-3-1,0-3 1,124 16 0,68-12-2155,-218-17-5416,-9 0 482,-14-5 5172,-19 0 1800,0 0-1,0 0 1,0 0 0,0 0-1,0 0 1,0 0 0,0 0-1,1 0 1,-1 0 0,0 0-1,0 0 1,0 0 0,0 0-1,0 0 1,0 0-1,0 0 1,0 0 0,0 0-1,0 0 1,0 0 0,1-1-1,-1 1 1,0 0 0,0 0-1,0 0 1,0 0 0,0 0-1,0 0 1,0 0 0,0 0-1,0 0 1,0-1-1,0 1 1,0 0 0,0 0-1,0 0 1,0 0 0,0 0-1,0 0 1,0 0 0,0 0-1,0-1 1,0 1 0,0 0-1,0 0 1,0 0-1,0 0 1,0 0 0,0 0-1,-1 0 1,1 0 0,0 0-1,0-1 1,0 1-113,-2-8-2160</inkml:trace>
  <inkml:trace contextRef="#ctx0" brushRef="#br0" timeOffset="1668.89">1818 668 23679,'0'0'0,"51"20"0,-33-12 0,-3-3 0,-2-2 0,-4-3 128,21-11 0,11-8-128,14-4 0,12-2-256,5 4 128,9 1-5376,15 14 1,10 3 5503,96-7-7552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2.74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39 264 14976,'0'0'1280,"0"4"-1046,-9 102 582,-1 2-224,-1 231 462,3-144-657,14 0 96,-1-102-240,-5-78-173,2-1-1,2 16 0,-3-26-57,0 0-1,0 0 0,0-1 0,0 1 0,1 0 0,0-1 0,-1 1 0,1-1 0,1 0 0,-1 0 0,0 0 1,1 0-1,3 3 0,-5-5-15,0 0 0,0-1 0,0 1 1,0 0-1,0-1 0,1 1 0,-1-1 0,0 1 1,0-1-1,1 0 0,-1 0 0,0 0 1,1 1-1,-1-1 0,0 0 0,1 0 0,-1-1 1,0 1-1,0 0 0,1 0 0,-1-1 1,0 1-1,0-1 0,1 1 0,-1-1 0,0 1 1,0-1-1,0 0 0,0 0 0,0 1 1,0-1-1,0 0 0,0 0 0,2-2 0,1-2 15,0 0 0,0 0-1,0 0 1,-1 0-1,6-12 1,27-73 103,6-13 8,16-18-57,95-146-1,-53 125-74,-45 67 0,-3-1 0,52-105 0,-76 120 16,0-2 40,58-91 0,-66 121-34,-18 50 191,-13 93 83,4-47-124,1 84 0,8-48-59,0 3 87,26 189-1,1-159-110,-10-51 5,10 112 0,-21-131-94,-4-34 0,1 37 0,-5-65-6,0 1 0,0 0 0,0-1 0,0 1 0,0-1-1,0 1 1,0 0 0,0-1 0,0 1 0,0-1 0,0 1-1,0-1 1,0 1 0,0 0 0,1-1 0,-1 1 0,0-1 0,1 1-1,-1-1 1,0 1 0,1-1 0,-1 1 0,0-1 0,1 1-1,0 0 1,0-1-16,-1-1 1,1 1-1,0 0 0,-1 0 0,1 0 0,-1 0 0,1-1 0,0 1 0,-1 0 0,1 0 0,-1-1 1,1 1-1,-1-1 0,1 1 0,-1 0 0,1-1 0,-1 1 0,1-2 0,21-27-1194,-17 20 579,0 0 0,0 0-1,-1-1 1,0 0 0,-1 0-1,0 0 1,3-19 0,1-17-10392</inkml:trace>
  <inkml:trace contextRef="#ctx0" brushRef="#br0" timeOffset="792.02">1951 880 18943,'3'-4'128,"4"-5"-38,0 0-1,16-15 0,-20 21-62,0 1 0,1-1-1,-1 1 1,0 0-1,1 0 1,0 0-1,-1 0 1,1 0 0,0 1-1,0 0 1,0 0-1,0 0 1,6 0-1,17 2 75,1 1 0,0 2 0,-1 0 0,0 2 0,45 16 0,37 8 189,-106-29-287,117 19 408,-107-19-367,-1 0 0,1-1 1,0 0-1,0-1 0,-1 0 1,1-1-1,17-6 0,-24 6-94,0-1 0,0 0 0,-1 0-1,0-1 1,1 1 0,-1-1 0,0 0-1,-1-1 1,1 1 0,6-10 0,-4 6-1316,-1-2 0,9-16 0</inkml:trace>
  <inkml:trace contextRef="#ctx0" brushRef="#br0" timeOffset="1117.99">1933 569 19327,'0'0'0,"60"16"0,-48-9 128,-10 3 0,-2 1 0,-5-2 0,10-4 0,3-2 0,9-3 0,11-3 0,15 1 0,11-1-384,22 3 128,13 0-512,-5 3 128,1-1-13183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9.80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114 266 13440,'0'0'3093,"-1"6"-2645,-1 10-236,0 0 1,1 0-1,2 30 1,-1 25 387,-9 59 46,-5 101 10,13-172-484,5 244 637,3-223-579,4 110 351,0-205-475,-9-1-197,0 1 0,-1-1 0,0 1 1,-1-1-1,-1 0 0,-1 1 0,-3-17 0,-1-19-355,-10-258-7511,16 257-320</inkml:trace>
  <inkml:trace contextRef="#ctx0" brushRef="#br0" timeOffset="546.12">0 307 14848,'8'-17'125,"0"0"0,1 1 1,0 0-1,19-23 1,-12 18 253,16-31 1,-26 42-266,-1 0-1,1 0 0,1 1 1,0 0-1,0 0 0,1 1 1,0 0-1,0 0 1,12-8-1,-14 12-54,2 0 0,-1 0 1,0 1-1,1-1 0,-1 2 0,1-1 0,0 1 1,0 0-1,0 1 0,0 0 0,0 0 0,0 1 1,13 0-1,-4 3 31,1-1 0,-1 2 0,0 1 0,0 0 0,-1 1 0,1 0 1,26 16-1,103 73 542,-135-87-577,4 2 38,0 2 0,-1-1 0,0 2 0,21 24 0,-30-30-59,0 0 0,-1 0 1,1 1-1,-1-1 0,-1 1 0,1 0 0,-1 0 0,-1 1 0,0-1 0,0 0 0,1 18 0,-2-17 28,0 1-1,-1 0 1,-1-1-1,0 1 0,-2 11 1,2-16-34,-1-1 0,1 0 0,-1 0 0,0 0 0,0 0 0,0-1 0,0 1 0,-1 0 0,1-1 0,-1 0 0,0 1 0,0-1 1,-1 0-1,-3 2 0,-41 28 146,-92 46 1,93-56-43,2 3 1,-82 59-1,120-79-119,0 0 0,1 0 0,0 0 0,0 1-1,0-1 1,0 2 0,1-1 0,1 0 0,-5 10-1,8-16-13,1 0 0,0-1 0,0 1 0,0 0 0,0 0 0,0-1 0,0 1 0,0 0 1,0 0-1,1 0 0,-1-1 0,0 1 0,0 0 0,1 0 0,-1-1 0,0 1 0,1 0 0,-1-1 0,1 1 0,-1 0 0,1-1 0,-1 1 0,1-1 0,-1 1 0,1-1 0,-1 1 0,1-1 0,0 1 0,-1-1 0,1 0 0,0 1 0,0-1 0,-1 0 0,1 0 0,0 1 0,0-1 0,-1 0 0,1 0 0,0 0 0,0 0 0,1 0 0,39 0-287,-37 0 191,31 0-2079,39 4 1,-51-2-66,8 0-7892</inkml:trace>
  <inkml:trace contextRef="#ctx0" brushRef="#br0" timeOffset="1636.56">381 789 17535,'11'0'19,"-2"-1"105,0 2 0,0-1 0,16 4 0,-21-3-87,0 0 1,-1 0-1,1 1 1,-1-1 0,0 1-1,0 0 1,1 0-1,-1 0 1,-1 0-1,1 1 1,0-1 0,4 6-1,0 0 56,1-2 1,0 1-1,0-1 1,0 0-1,0-1 0,19 9 1,-15-8 14,-1 0 0,0 1 0,0 0 1,12 12-1,-9-4 15,-2 0 1,0 2-1,0-1 0,-2 2 1,12 23-1,15 25 267,-22-43-283,-1 0 0,-1 1-1,-1 0 1,15 46 0,-9-22 8,-17-46-119,0 1 0,0-1 0,1 0 0,-1 0 1,0 0-1,1 0 0,0 0 0,-1 0 0,1-1 1,0 1-1,0 0 0,0-1 0,0 1 0,0-1 1,0 0-1,0 0 0,1 0 0,3 2 0,-5-3-18,0 0 0,0 0 0,0 0-1,0 0 1,0 0 0,0 0 0,1-1-1,-1 1 1,0 0 0,0 0 0,0-1-1,0 1 1,0-1 0,0 1 0,0-1-1,0 1 1,-1-1 0,1 0-1,0 1 1,0-1 0,0 0 0,1-1-1,14-25-1255,-9 14-644,20-32-10045</inkml:trace>
  <inkml:trace contextRef="#ctx0" brushRef="#br0" timeOffset="2116.27">1527 668 21887,'0'0'0</inkml:trace>
  <inkml:trace contextRef="#ctx0" brushRef="#br0" timeOffset="2829.45">2491 76 21247,'-31'38'0,"29"-31"0,7-8 0,11-8 0,-2-2 0,-15 23 0,-3 14 0,-4 253 406,31 186-236,-3-181-106,-17-241-77,-1-8-34,-2 41 1,-2-64 20,1-10-56,0 0-1,1 0 1,-1 0-1,1 0 1,0-1 0,0 1-1,-1 0 1,1 0-1,0 0 1,0 0 0,1 0-1,-1 0 1,0 0-1,1 0 1,0 2 0,-1-4 49,0 0-1,0 0 1,0 0 0,0 1 0,0-1 0,0 0-1,1 0 1,-1 0 0,0 0 0,0 0 0,0 0 0,0 0-1,0 1 1,0-1 0,0 0 0,0 0 0,1 0-1,-1 0 1,0 0 0,0 0 0,0 0 0,0 0 0,0 0-1,1 0 1,-1 0 0,0 0 0,0 0 0,0 0 0,0 0-1,0 0 1,1 0 0,-1 0 0,0 0 0,0 0-1,0 0 1,0 0 0,0 0 0,1 0 0,-1 0 0,0 0-1,0 0 1,0 0 0,0 0 0,0-1 0,0 1-1,1 0 1,-1 0 0,0 0 0,0 0 0,0 0 0,0 0-1,0-1 1,1-10-987,-3-14 257,-4-2-1711,-2-1-7339</inkml:trace>
  <inkml:trace contextRef="#ctx0" brushRef="#br0" timeOffset="3259.8">1855 96 20479,'11'11'6,"-8"-7"-6,0-1 0,0 0 0,1 0 1,-1 0-1,7 4 0,-8-6 14,0 0 1,0 0 0,0 0 0,0-1-1,0 1 1,0-1 0,0 0-1,0 1 1,0-1 0,0 0-1,0 0 1,0 0 0,0-1-1,0 1 1,0 0 0,4-2-1,47-12 175,2 2-1,-1 2 1,1 3-1,1 2 1,106 5-1,-21 3-49,141-14-1,-247 9-305,1 1 0,-1 2 0,1 1 0,-1 2 0,62 15 0,-86-15-329,0 0 0,-1 0 0,1 1 0,-1 1 0,1 0 0,-2 0 0,14 11 0,18 15-11173</inkml:trace>
  <inkml:trace contextRef="#ctx0" brushRef="#br0" timeOffset="3733.05">2184 1502 19583,'0'0'128,"4"-1"0,12-3-17,-1 0 0,1 2 0,0 0 0,0 0 0,19 2 0,86 9 296,-27-1-178,0-8 34,135-18 0,-142 8-1251,168 3-1,-137 15-2019,67 4-8042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04.02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291 726 16639,'0'0'128,"-5"2"0,-1 3-92,0 0-1,1 0 0,-1 1 0,1-1 0,0 1 1,0 1-1,1-1 0,0 1 0,0-1 0,0 1 0,-4 13 1,-5 14 101,-9 44 0,14-50-66,-43 224 465,14-54-197,6-7-184,27-159-139,-5 18 78,-17 55 0,13-56-26,5 6 20,7-55-99,1 0 0,0 1 1,0-1-1,0 0 0,0 0 1,0 1-1,0-1 0,-1 0 1,1 1-1,0-1 0,0 0 1,0 0-1,0 1 0,0-1 1,0 0-1,0 1 0,0-1 1,0 0-1,1 1 0,-1-1 1,0 0-1,0 0 0,0 1 1,0-1-1,0 0 0,0 0 1,1 1-1,-1-1 0,0 0 1,0 0-1,0 1 0,0-1 1,1 0-1,-1 0 0,0 0 1,0 0-1,1 1 0,11-26-1101,-8 8 342,0 1 0,-1-1 0,2-27 0,-3 24-779,3-26-7133</inkml:trace>
  <inkml:trace contextRef="#ctx0" brushRef="#br0" timeOffset="784.5">34 685 17663,'0'0'1024,"5"-1"-917,17-4-45,1 2-1,-1 1 1,1 0 0,-1 1-1,1 1 1,-1 1-1,1 1 1,24 5 0,100 38 44,-133-40-84,-1 0-1,1 0 0,-1 1 1,0 1-1,-1 1 0,0-1 1,0 2-1,0 0 0,-1 0 1,-1 1-1,1 0 0,-2 1 1,1 0-1,-2 1 0,1 0 1,-2 0-1,10 21 0,-11-18-21,-1 0 0,-1 1 0,-1 0 0,3 32 0,-5-42 0,-1 2 0,0 1 0,0-1-1,0 1 1,-1-1-1,0 0 1,-1 1-1,0-1 1,-1 0 0,1 0-1,-1 0 1,-8 13-1,-3 3 6,-2 0 0,-21 25-1,19-26 9,6-7 73,-27 27 0,35-39-48,-1 0-1,1 0 0,-1-1 0,0 0 0,0 0 0,0 0 1,0 0-1,0-1 0,-1 0 0,1 0 0,-8 1 0,12-2-37,-1-1 0,0 0 0,0 1 0,1 0 0,-1-1 0,0 1 0,0 0 0,1 0 0,-1 0 0,1 0 0,-3 2 0,3-3 0,1 1 0,0-1 0,-1 1 0,1-1 0,0 1 0,-1-1 0,1 1 0,0-1 0,0 1 0,0-1 0,0 1 0,0-1 0,-1 1 0,1-1 0,0 1 0,0 0 0,0-1 0,0 1 0,1-1 0,-1 1 0,0-1 0,0 1 0,0-1 0,0 1 0,0-1 0,1 1 0,-1-1 0,0 1 0,1-1 0,-1 1 0,0-1 0,1 1 0,-1-1 0,0 1 0,1-1 0,-1 0 0,1 1 0,-1-1 0,1 0 0,0 1 0,59 49 0,1-1 0,60 63 0,-92-81 9,-14-17 5,-1 1 0,0 1 0,-1 0 0,-1 1 0,0 0 0,13 29 0,-7-1 9,-15-33-24,1-1 1,1 1 0,0-1 0,0 0 0,1 0 0,1 0 0,0-1 0,10 13-1,-15-22-4,-1 0 0,1 1 1,-1-1-1,1 0 0,-1 0 0,1 1 0,0-1 0,-1-1 0,1 1 0,0 0 0,0 0 0,0-1 0,0 1 0,0-1 0,-1 1 0,1-1 0,0 0 0,0 0 1,0 0-1,0 0 0,0 0 0,0 0 0,0-1 0,0 1 0,0 0 0,2-2 0,-1 1-278,0-1-1,0 0 1,0 0-1,0 0 1,0-1-1,0 1 1,-1-1-1,1 1 1,-1-1-1,0 0 1,0 0-1,3-6 1,13-22-11130</inkml:trace>
  <inkml:trace contextRef="#ctx0" brushRef="#br0" timeOffset="1236.52">1640 1285 21759,'0'0'0,"-25"4"0,13-4 128,2-1-128,2-2 128,1-1 0,2 3 0,0-2 0,1 1-256,0-4 0,4 1-1408,5-3 0,3 2 256</inkml:trace>
  <inkml:trace contextRef="#ctx0" brushRef="#br0" timeOffset="1863.16">2495 605 18559,'0'0'747,"-1"7"-619,-45 317 194,10-55-111,-27 149-211,48-264-1642,28-191-297,-9 29 1138,0-1 1,-1 1-1,2-12 1,2-15-8032</inkml:trace>
  <inkml:trace contextRef="#ctx0" brushRef="#br0" timeOffset="2312.51">2079 311 19455,'3'13'-7,"-1"-8"46,0 1 1,-1 0-1,1-1 0,-1 1 0,-1 0 0,1 0 0,-1 0 0,0 0 0,-2 10 0,2-14 2,-1-1-1,0 1 1,1-1-1,-1 1 0,0-1 1,0 0-1,0 1 1,0-1-1,0 0 1,0 0-1,-1 0 0,1 0 1,0 0-1,-1 0 1,1 0-1,0 0 1,-1-1-1,-2 2 0,4-2-35,0 0 0,0 0 0,0 0 0,-1 0 0,1 0 0,0 1 0,0-1 0,0 0 0,0 0 0,0 0 0,-1 0 0,1 0 0,0 0 1,0 0-1,0 0 0,0 1 0,0-1 0,0 0 0,0 0 0,0 0 0,0 0 0,-1 0 0,1 1 0,0-1 0,0 0 0,0 0 0,0 0 0,0 0 0,0 0 0,0 1 0,0-1 0,0 0 0,0 0 0,0 0 0,0 0 0,0 1 0,0-1 0,0 0 0,0 0 0,1 0 0,-1 0 0,0 0 0,0 1 0,0-1 0,0 0 0,0 0 0,0 0 0,0 0 0,0 0 0,0 0 0,1 1 0,8 8 118,-4-7-93,0 0-1,1 1 1,-1-2-1,1 1 1,-1-1-1,1 1 0,0-1 1,6 0-1,53 0 179,-51-1-147,210-8 451,-79 4-348,-70 1-246,142 11 0,-212-7-167,0 0 0,0 0 0,-1 0 0,1 0 0,0 1 0,-1 0 0,1 0 1,-1 0-1,0 0 0,0 1 0,0 0 0,0-1 0,0 1 0,0 1 0,-1-1 1,0 1-1,1-1 0,-1 1 0,-1 0 0,1 0 0,0 0 0,-1 1 0,0-1 1,0 0-1,0 1 0,1 7 0,8 21-10076</inkml:trace>
  <inkml:trace contextRef="#ctx0" brushRef="#br0" timeOffset="2899.13">1534 2252 18431,'17'-4'2,"-10"2"2,1 0 0,-1 1 0,1 0 0,12 0 0,-20 1 6,0 1 1,0-1 0,0 0-1,0 0 1,0 1 0,-1-1-1,1 0 1,0 0 0,0 0-1,0 1 1,0-1 0,-1 0-1,1 0 1,0 0 0,0 0-1,-1 0 1,1 1 0,0-1-1,0 0 1,0 0 0,-1 0-1,1 0 1,0 0 0,-1 0-1,1 0 1,0 0 0,0 0-1,-1 0 1,1 0 0,0 0-1,0 0 1,-1 0 0,1 0-1,0 0 1,0 0 0,-1 0-1,1-1 1,0 1 0,0 0-1,0 0 1,-1 0 0,1 0-1,0 0 1,0-1 0,0 1-1,-1 0 1,1 0 0,0 0-1,0-1 1,0 1 0,0 0-1,-1 0 1,1 0 0,0-1-1,0 1 1,0 0 0,0 0-1,0-1 1,0 1 0,0-3 29,0 0 0,0 0 0,0 0 0,0 0 0,0 0 0,1 0 0,0 0 0,-1 1 0,1-1 0,0 0 0,0 0 0,1 1 0,-1-1 0,1 1 0,-1-1 0,1 1 0,0 0 0,-1-1 0,1 1 0,3-2 0,2-3 65,0 1 0,0-1 0,1 2 0,16-11 0,1 5 36,0 2-1,0 0 1,1 2 0,1 1-1,32-4 1,-28 5-46,86-11 448,194 1 1,-152 11-351,-147 3-183,89-6 105,-86 5-247,0 0 1,-1-1-1,0-1 0,24-8 0,-31 8-114,1-1-1,-1 0 1,0 0 0,0 0-1,8-9 1,3-2-2414</inkml:trace>
  <inkml:trace contextRef="#ctx0" brushRef="#br0" timeOffset="3205.86">3330 27 18687</inkml:trace>
  <inkml:trace contextRef="#ctx0" brushRef="#br0" timeOffset="3651.77">3330 27 18687,'0'0'512,"4"-1"-384,23-7 113,-15 4-110,0 0 0,0 1 0,0 0 0,13 0 0,-18 3-98,0 0 0,-1 0 0,1 1-1,0 0 1,-1 1 0,1 0-1,-1 0 1,1 0 0,-1 0-1,0 1 1,7 4 0,-4-1-3,0 0 1,-1 1-1,0 0 1,0 0-1,0 1 0,10 13 1,-8-7-1,0 1 0,-1 0 0,-1 1-1,0 0 1,-1 0 0,-1 1 0,0 0 0,3 22 0,-3 1-23,-3 1 0,-1 48 0,-2-79-7,-1 0 0,0 0 0,0-1 0,-1 1 0,0 0 0,-1-1 0,0 0 0,0 0 0,-1 1 0,0-2 0,-1 1 0,0-1 0,0 1 0,-1-1 0,0-1 0,0 1 0,-1-1 0,-13 11 0,-25 21 0,-48 40 0,89-76-1,-18 17-41,22-20 40,-1 1 0,1 0 0,-1-1 1,1 1-1,-1 0 0,1-1 0,0 1 0,0 0 1,-1-1-1,1 1 0,0 0 0,0-1 0,0 1 1,-1 0-1,1 0 0,0 0 0,0-1 0,0 1 1,0 0-1,1 0 0,-1-1 0,0 1 0,0 0 1,0-1-1,1 1 0,-1 0 0,0 0 0,1-1 1,-1 1-1,0 0 0,1-1 0,-1 1 0,1-1 0,0 2 1,15 12-8,1-1 1,21 13-1,3 3 13,-28-19 2,30 23-11,79 46-1,-107-71-352,1 0 0,0-1 1,0-1-1,1-1 0,0 0 0,0-1 0,0-1 0,0 0 0,25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55.62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111 157 15360,'0'0'277,"0"4"-64,3 15-18,-1 0 0,0 1-1,-2-1 1,-1 0-1,0 0 1,-1 0 0,-9 37-1,3-10 43,1 0-1,1 83 0,2-31 58,-65 843 389,69-756-509,2-125-220,-1-83-662,2-1 1,7-30 0,1-8-2398,-4 1-6281</inkml:trace>
  <inkml:trace contextRef="#ctx0" brushRef="#br0" timeOffset="871.25">1 26 17535,'5'49'0,"-5"-48"0,0-1 0,0 1 0,1-1 0,-1 1 0,0-1 0,0 1 0,0-1 0,0 1-1,1-1 1,-1 1 0,0-1 0,0 1 0,1-1 0,-1 0 0,0 1 0,1-1 0,-1 0-1,1 1 1,-1-1 0,0 0 0,1 1 0,-1-1 0,1 0 0,-1 0 0,1 1 0,-1-1 0,1 0-1,-1 0 1,1 0 0,-1 0 0,1 1 0,-1-1 0,1 0 0,-1 0 0,1 0 0,-1 0-1,1 0 1,-1-1 0,1 1 0,-1 0 0,1 0 0,-1 0 0,1 0 0,0-1 0,24-13 9,-18 9 8,11-5 68,0 1 0,0 0 1,1 2-1,0 0 0,0 1 1,1 1-1,0 1 0,0 0 1,24 0-1,-42 4-77,1 0 0,-1 0 0,1 0 0,-1 1 0,1-1 0,-1 1 1,0 0-1,1-1 0,-1 1 0,0 0 0,1 0 0,-1 1 0,0-1 0,0 0 0,0 1 0,0 0 0,0-1 0,0 1 0,-1 0 0,1 0 0,0 0 0,-1 0 0,1 0 1,-1 0-1,0 0 0,0 0 0,0 1 0,0-1 0,1 5 0,1 6 31,-1 0 0,0 1 0,0-1 1,-2 21-1,2 4 35,5 17-2,0-11-48,-3 1 1,-1 0 0,-5 71 0,-8-45 26,-22 89 1,21-120-14,-2-1 0,-1 0 1,-32 60-1,42-91-24,-1-1 0,0 0 1,0 1-1,0-2 0,-1 1 1,0-1-1,-9 8 0,12-12-14,-1 1-1,1-1 1,-1 0-1,0 0 1,0 0-1,0 0 1,0-1 0,0 1-1,0-1 1,0 0-1,0-1 1,0 1-1,-1-1 1,1 0-1,0 1 1,-7-2-1,3 0 1,0-1 0,0 0 0,1 0 0,-1 0 0,1-1 0,-11-5 0,14 6 0,1 0 0,-1-1 0,1 1 0,0-1 0,0 1 0,0-1 0,0 0 0,1 0 0,-1 0 0,1 0 0,0-1 0,0 1 0,0-1 0,-2-4 0,4 7 0,0 1 0,0 0 0,0 0 0,0 0 0,0-1 0,0 1 0,0 0 0,0 0 0,0-1 0,0 1 0,0 0 0,0 0 0,0 0 0,0-1 0,0 1 0,0 0 0,0 0 0,0 0 0,0-1 0,0 1 0,1 0 0,-1 0 0,0 0 0,0 0 0,0-1 0,0 1 0,0 0 0,1 0 0,-1 0 0,0 0 0,0 0 0,0 0 0,1 0 0,-1-1 0,0 1 0,0 0 0,0 0 0,1 0 0,-1 0 0,0 0 0,0 0 0,0 0 0,1 0 0,11-1 0,-9 1 0,17-1 0,0 0 0,0 1-1,1 1 1,20 4 0,-29-3 2,0 1 1,-1 0-1,0 0 1,1 1-1,-1 1 1,-1 0 0,1 0-1,13 10 1,-12-4 33,0 0 1,0 1 0,-1 1-1,0 0 1,16 28 0,-12-20-23,-3 0 14,-1 1-1,0 0 1,-2 1-1,0-1 0,5 26 1,-8-25 5,1 0 0,1-1 0,2 0 0,0 0 0,16 24 0,19 28-3,12 14 89,-54-84-227,0 0 1,1-1-1,-1 1 0,1-1 0,0 1 0,0-1 0,1-1 0,-1 1 0,1 0 0,5 1 0,-8-3-111,1 0-1,-1 0 1,0 0-1,1-1 1,-1 1-1,1-1 1,0 0-1,-1 0 1,1 0-1,-1 0 1,1 0-1,-1 0 1,1-1-1,-1 1 1,1-1 0,-1 0-1,1 1 1,-1-1-1,0 0 1,1-1-1,2-1 1</inkml:trace>
  <inkml:trace contextRef="#ctx0" brushRef="#br0" timeOffset="1250.83">1114 975 20607,'0'0'0,"33"-36"-1536,-9 17 512,7-1-128,-12 4 129</inkml:trace>
  <inkml:trace contextRef="#ctx0" brushRef="#br0" timeOffset="1920.27">2257 134 20607,'-35'14'0,"35"-14"0,0 0 0,0 0 0,0 0 0,0 0 0,0 0 0,0 0 0,0-1 0,0 1 0,0 0 0,0 0 0,0 0 0,0 0 0,0 0 0,0 0 0,0 0 0,0 0 0,0-1 0,0 1 0,0 0 0,0 0 0,0 0 0,1 0 0,-1 0 0,0 0 0,0 0 0,0 0 0,0 0 0,0 0 0,0 0 0,0 0 0,0-1 0,0 1 0,1 0 0,-1 0 0,0 0 0,0 0 0,0 0 0,0 0 0,0 0 0,0 0 0,0 0 0,0 0 0,1 0 0,-1 0 0,0 0 0,0 0 0,0 0 0,0 0 0,0 0 0,0 0 0,0 1 0,1-1 0,-1 0 0,0 0 0,0 0 0,0 0 0,0 0 0,0 0 0,0 0 0,9-14 79,-6 9 12,-6 13-26,-18 55-60,2 2 1,2 0-1,-14 130 0,17-62-5,-55 228 0,58-319 0,-58 222 0,66-248-1,-2 9-52,-2-1 0,0 0 0,-13 30 0,20-54 31,0 0 1,0 1-1,-1-1 0,1 0 1,0 0-1,0 0 1,0 0-1,0 0 0,0 1 1,0-1-1,0 0 0,0 0 1,0 0-1,0 0 0,0 0 1,0 0-1,0 1 0,0-1 1,0 0-1,-1 0 1,1 0-1,0 0 0,0 0 1,0 0-1,0 0 0,0 0 1,0 0-1,-1 0 0,1 0 1,0 1-1,0-1 0,0 0 1,0 0-1,0 0 0,-1 0 1,1 0-1,0 0 1,0 0-1,0 0 0,0 0 1,0 0-1,-1 0 0,1 0 1,0-1-1,0 1 0,-3-7-872,1-12-309,3-33-2509,-1 25-5525</inkml:trace>
  <inkml:trace contextRef="#ctx0" brushRef="#br0" timeOffset="2353.39">1622 274 18559,'24'43'0,"-25"-47"25,-6-29 88,6 31-107,1 0 0,0 0 0,0-1 0,0 1 0,0 0 0,0 0 0,0 0 0,0 0 0,1-1 1,-1 1-1,1 0 0,0 0 0,-1 0 0,1 0 0,2-2 0,1-1 5,2 0 0,-1 0 0,1 0-1,-1 1 1,1-1 0,0 2 0,1-1 0,-1 0-1,1 1 1,-1 1 0,1-1 0,0 1 0,0 0 0,9-1-1,12-1-15,1 1-1,36 1 1,-33 2 30,187 0 204,58-1 54,-162-8-121,57-2-239,-169 11-207,28 1-943,-14 5-3043</inkml:trace>
  <inkml:trace contextRef="#ctx0" brushRef="#br0" timeOffset="2835.33">1653 1723 19583,'19'-10'0,"-1"-1"0,34-26 0,-47 34 0,0-1 0,1 2 0,-1-1 0,0 0 0,1 1 0,0 0 0,0 0 0,-1 1 0,1 0 0,0 0 0,7 0 0,12-1 0,33 3 0,-37 0 0,165 16 175,-125-9-63,-1-3 1,110-4-1,-63-6-867,-34 4-2671</inkml:trace>
  <inkml:trace contextRef="#ctx0" brushRef="#br0" timeOffset="3697.8">3239 825 20607,'0'0'640,"34"-6"-2816,-15 4 1152</inkml:trace>
  <inkml:trace contextRef="#ctx0" brushRef="#br0" timeOffset="4486.65">4304 204 19967,'-12'53'16,"-8"101"-1,11 56 45,-1 24-23,-10-74-9,-4 62 51,23-169-63,1-33-21,0 1-1,-1-1 1,-1 0 0,-1 0-1,-1 1 1,-9 27 0,3-29-583,5-19-505,4-12-106,3-44-2406,-2 24-5611</inkml:trace>
  <inkml:trace contextRef="#ctx0" brushRef="#br0" timeOffset="4898.2">3718 129 19327,'8'1'107,"49"8"71,0-3 0,72-2-1,170-9 507,168-7-88,-449 10-833,37 1-29,-50 1-204,-1 1 0,0-1-1,0 1 1,1 0 0,-1 0 0,0 0 0,0 1 0,0 0 0,0 0 0,4 2 0</inkml:trace>
  <inkml:trace contextRef="#ctx0" brushRef="#br0" timeOffset="5313.82">3690 1524 20223,'0'0'0,"28"-17"0,-1 9 0,10 2 0,9 3 0,8 3 0,11 12 0,10 8 0,6 5 128,12 5-128,21 8 128,21 5-128,-18-8 0,-3-5-640,-9-10 128,-5-8-384,104 21-12159</inkml:trace>
  <inkml:trace contextRef="#ctx0" brushRef="#br0" timeOffset="7444.84">5912 1103 18303,'41'22'-4,"-17"-9"91,1-1 0,30 11-1,11 3 267,-52-20-272,0 1 0,1-2 1,0 0-1,0-1 0,1 0 0,-1-1 1,27 1-1,123 4-115,-114-5-913,-45-2 405,1-1 1,0 0 0,0-1-1,0 0 1,-1 0 0,1 0 0,8-3-1</inkml:trace>
  <inkml:trace contextRef="#ctx0" brushRef="#br0" timeOffset="7784.07">5793 864 18943,'0'0'0,"25"0"0,-5 0 0,7 3 0,20 0 0,15 2 0,-16 3 128,-9 4-128,-6-2 128,-2-1-128,4-3 0,1-4 0,0-7 0,4-4-384,14-2 0,10-2-512,-4 4 0,-1-2-10879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34.3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4667 283 18175,'0'0'640,"-1"4"-512,-16 63 0,3-2 0,3 2 0,-4 78 0,3 635 768,20-673-682,5 0-1,27 109 0,-28-164-79,32 90 0,-36-119-102,2-2 0,1 2 0,0-3-1,1 0 1,2 0 0,20 23 0,-30-38-28,1 1 0,0-1 0,0 0 0,0-1 0,1-1 0,0 1 0,-1-1 0,1 0-1,0 0 1,1 0 0,-1-1 0,0 0 0,1 0 0,-1 0 0,1-1 0,0 1 0,-1-2 0,1 1 0,0-1 0,0 0 0,-1-1 0,10-2 0,-4 0 1,-1-1-1,1 0 1,0 0 0,-1-1 0,0 0 0,0-1 0,0 0 0,-1-3 0,0 2 0,-1-1-1,11-10 1,-4 1-5,0-2 0,-1 0 0,20-33 0,31-69 0,-22 40 0,234-472 256,-214 404-256,14-30 0,-10 30 0,63-205 0,-34 61 0,-94 285 0,-1 3 0,0 0 0,-1 0 0,0-1 0,1 1 0,-2 0 0,1 0 0,0-2 0,-1-7 0,0 14 0,0-1 0,0 1 0,0 0 0,0-1 0,0 1 0,0 0 0,0 0 0,0-1 0,0 1 0,-1 0 0,1-1 0,0 1 0,0 0 0,0 0 0,0-1 0,0 1 0,0 0 0,-1 0 0,1-1 0,0 1 0,0 0 0,0 0 0,-1-1 0,1 1 0,0 0 0,0 0 0,0 0 0,-1 0 0,1 0 0,0-1 0,-1 1 0,1 0 0,0 0 0,0 0 0,-1 0 0,1 0 0,0 0 0,-1 0 0,1 0 0,0 0 0,0 0 0,-1 0 0,1 0 0,0 0 0,-1 0 0,1 0 0,0 0 0,0 0 0,-1 0 0,1 0 0,0 1 0,0-1 0,-1 0 0,1 0 0,0 0 0,0 0 0,-1 1 0,1-1 0,0 0 0,0 0 0,0 1 0,-1-1 0,1 0 0,0 1 0,-11 15 0,11-16 0,-11 23 8,1 0-1,2 0 1,0 2-1,-6 30 1,-11 105 61,2 190 174,18-230-187,1 374 200,41-166-32,-20-210-107,-8-58-97,-3-25-19,-2 0-1,-1-1 0,-2 59 0,-11 35-576,10-127 412,-1 0 0,1 0 0,0 0 0,0 0-1,0 1 1,0-1 0,0 0 0,0 0 0,0 0-1,0 0 1,1 0 0,-1 0 0,0 0 0,1 1-1,-1-1 1,1 0 0,-1 0 0,1 0 0,-1 0-1,1 0 1,0 0 0,-1 0 0,1-1 0,0 1-1,0 1 1,0-1 0,-1-1 0,1 1 0,0 0-1,0-1 1,0 1 0,2 0 0</inkml:trace>
  <inkml:trace contextRef="#ctx0" brushRef="#br0" timeOffset="449.29">6947 1187 23551,'0'0'0,"25"-30"-3200,-6 15 1408,4-3 1024,-6 4 128</inkml:trace>
  <inkml:trace contextRef="#ctx0" brushRef="#br0" timeOffset="1149.74">7958 283 21119,'-25'12'0,"25"-12"0,-1 0 0,1 0 0,0 1 0,0-1 0,0 0 0,0 0 0,-1 0 0,1 0 0,0 0 0,0 0 0,0 0 0,-1 0 0,1 0 0,0 0 0,0 0 0,0 0 0,-1 1 0,1-1 0,0-1 0,0 1 0,0 0 0,-1 0 0,1 0 0,0 0 0,0 0 0,0 0 0,-1 0 0,1 0 0,0 0 0,0 0 0,0 0 0,-1 0 0,1-1 0,0 1 0,0 0 0,0 0 0,0 0 0,2-8 0,10-9 0,-11 16 0,-3 7 0,1-2 0,1 1 0,-1-1 0,1 1 0,0 6 0,-1 7 0,-9 60 11,2 121 0,31 313 479,-21-460-445,6 607 550,-10-558-501,0-13 51,-17 131 0,14-202-187,1-14-24,-3-10-39,3-3-295,-1 1-1,1-3 1,1 2-1,0 0 1,0 0 0,1-1-1,-1-17 1,1-80-3124,2 72 1803,0-30-7665</inkml:trace>
  <inkml:trace contextRef="#ctx0" brushRef="#br0" timeOffset="1749.08">7254 151 19199,'46'37'0,"-41"-34"22,-6-5 4,1 1 0,0-1-1,-1 0 1,1 1 0,0 0 0,0-1 0,0 1 0,0-1 0,1 1 0,-1 0 0,0-1 0,0 1-1,2-2 1,-1-2-4,1 0-1,0 1 0,1-1 0,-1 2 0,1-3 0,0 1 0,0 1 0,0 0 0,1 1 0,-1-1 1,1 1-1,0-1 0,4-2 0,8-6 34,35-16 0,-26 16 22,1 1 0,0 2 0,0 0 0,1 1 0,0 2 0,0 1 0,0 2 0,42-1 0,16 6 75,122 20 0,-158-16-125,474 80 335,-291-41-24,-170-38-133,107 1-1,-156-8-163,0-1-1,0-1 1,14-3 0,-23 4-39,0 0 0,0 0 0,-1 0 0,1-1 0,0 1 0,-1-1 0,1 0 0,-1 0 1,0-1-1,1 1 0,-1 0 0,0 0 0,3-6 0,-5 6-75,0 1 1,-1 0-1,1-1 0,0 1 0,-1 0 1,1-1-1,-1 1 0,1-1 0,-1 1 1,0 0-1,1-1 0,-1 1 1,0-1-1,0 1 0,0-1 0,0 1 1,-1-3-1,-5-16-3930</inkml:trace>
  <inkml:trace contextRef="#ctx0" brushRef="#br0" timeOffset="2416.91">7213 2326 19711,'0'0'128,"5"1"0,21 4 16,1-2-1,-1-1 0,0-2 0,0 0 1,1-2-1,30-6 0,369-123 826,-234 65-765,-89 35-76,2 1 0,1 7 0,108-11 0,-40 23-426,223 15-1,-349-3-3605</inkml:trace>
  <inkml:trace contextRef="#ctx0" brushRef="#br0" timeOffset="184034.15">1243 3621 6400,'4'3'22,"9"15"83,-14-9-6,-12-5 59,-33 0 336,-75-2 1,77-3-320,0 1 0,-57 10 0,90-8-169,-12 1-22,0 0 0,1 1 0,-1 2 0,1 1 0,0 1 0,-21 13 0,-8 14-35,1 3-1,2 3 1,2-1 0,-42 51 0,33-28 102,2 4 0,4 3 0,2 0 1,-43 89-1,73-125 4,1 1-1,2 0 1,1 0 0,2 2 0,1-1 0,-8 71 0,-7 325 1678,27-344-1365,4 1 0,31 162 0,87 215 997,-97-388-1284,3 1 0,3-4 0,4 0 1,66 103-1,-67-121 9,37 58-62,-61-99-52,1-1 1,0 0-1,0-1 0,27 21 1,-32-30 18,1 0 0,0 0 0,0 0 0,0 0 0,1-2 0,-1 0 0,1 0 0,0-1 0,0 0 0,0 0 0,0-1 1,15-1-1,6-1-17,1-1 1,49-11 0,-52 5 21,0 0 0,0-1 0,-1-2 0,0-2 0,0 0 0,-3 0 0,1-4 0,38-29 0,13-18 0,86-95 0,-106 101 0,8-10 112,78-102 0,-113 127-55,-1 0 1,-3-1-1,-1-3 1,21-56 0,-21 34 146,-4-2 1,-3 0 0,14-107 0,-5-224 490,-31 192-172,-37-251 0,35 404-499,-39-271 196,33 266-185,-3-1 0,-2 2 0,-28-64 0,33 95-42,-2 5 1,0-3-1,-2 2 1,-1 0 0,-1 1-1,0 1 1,-2 1-1,-1 2 1,-29-26-1,44 44-53,0-1 0,0 1 0,0 0 0,-1 0 0,1 0 0,-1 1 0,1 0 0,-1 0 0,0 1 0,0 0 0,0 0 0,0 1 0,0 0 0,-9 0 0,4 1-395,0 1-1,-1 0 1,1 1-1,1 0 1,-1 0-1,0 1 1,-13 6 0,14-4-330,0 2 0,1-2 0,0 3-1,0-2 1,1 1 0,0 2 0,0-3 0,0 2 0,2 1 0,-1 1 0,1 0 0,0-1 0,1 0 0,-5 16 0,-7 22 785</inkml:trace>
  <inkml:trace contextRef="#ctx0" brushRef="#br0" timeOffset="185185.59">1972 4135 10368,'0'0'-86,"5"4"150,0 0-54,1-1 0,0 1 0,0 0 0,1 0 0,-1-1-1,1 1 1,0 0 0,0-2 0,0 0 0,0 0 0,0-1-1,11 1 1,3 0 66,-1-2 0,0 0 0,0-2 0,0 0 0,0-1-1,0-1 1,0-3 0,28-9 0,-4 1 121,-22 6-64,1 0 1,37-21-1,270-188 785,41-30-1,-300 196-618,114-61-1,-89 60 33,104-74 0,-165 98-137,53-51 0,-8 9 58,-38 35-106,72-54 127,-91 72-218,1 3 0,1 0 1,27-11-1,-37 20 12,0-2 1,0 0-1,-1 1 1,0-2-1,21-19 1,-21 19 21,-10 6-60,0 1 1,-1 0-1,1-1 1,0 0-1,-1-1 1,0 0-1,1 0 1,-1 1-1,4-10 1,-6 11-23,0 0 0,-1 0 0,1 0 0,0 0 0,0 0 0,0 0 1,1 0-1,-1 0 0,0-1 0,1 1 0,-1 1 0,1 0 0,-1 0 0,4-3 0,1-1-23,0-1 0,-1-1 0,1 2 0,-2-2 0,1 0 0,0 0 0,-1 1 0,-1 0 0,1-1 0,-1-1 0,3-10 0,-2 10-242,1 0 0,-1 0 0,1 0 0,1 0 1,0-1-1,0 2 0,0 0 0,14-11 0,18-23-2519,-18 17-5116</inkml:trace>
  <inkml:trace contextRef="#ctx0" brushRef="#br0" timeOffset="186102.31">4678 2228 15232,'-12'61'-128,"12"-60"119,-1 0 0,1 0 1,-1 0-1,1 0 1,-1 0-1,0-1 1,1 1-1,-1 0 1,0 0-1,0 0 1,1-1-1,-1 2 1,0-1-1,0-1 1,0 1-1,0 0 1,0-1-1,0 1 0,0-1 1,0 0-1,0 1 1,0-1-1,0 0 1,0 0-1,-2 1 1,-35 0-294,11-1 186,20 2 96,1 1 1,-1-1 0,0 1 0,1 0 0,-1 1-1,1 1 1,0-1 0,0 0 0,-5 6 0,-8 6-77,-18 25 0,-206 208 96,158-156 0,56-61 0,0 0 0,-42 32 0,53-49 2,10-8-7,0 1 1,0-2-1,-1 0 0,-12 6 0,37-16-162,2-1 0,-1 1 0,0 2 0,29-1 0,18-3-128,-37 1 303,13-1 102,47-1-1,-72 7-76,-1 1 0,0 0 0,0 1 0,0 0-1,0 1 1,0 1 0,14 7 0,17 11 226,-32-14 53,1-1 0,15 6 0,-29-13-289,1 0-1,-1 0 1,1 0 0,-1 0 0,1 0 0,-1 0-1,1 0 1,-1 0 0,1 0 0,-1-1-1,1 1 1,-1 0 0,1 0 0,-1 0 0,1-2-1,-1 2 1,1 0 0,-1-1 0,0 1-1,1 0 1,-1-1 0,1 1 0,-1 0 0,0-1-1,0 1 1,1-1 0,-1 1 0,0-1-1,0 1 1,1-1 0,-1 1 0,0-1 0,0 1-1,0-1 1,0 1 0,0-1 0,0 1-1,0-2 1,3-24 305,-2 23-285,2-48 264,1-7-154,-2-3 1,-9-94-1,6 147-425,2 7 133,-1 0 0,0 0 0,0 0 0,0 1 1,0-1-1,0 0 0,0 1 0,-1-1 0,1 0 0,0 0 0,0 0 0,-1 1 1,1-1-1,0 0 0,-1 0 0,1 0 0,-1 1 0,1-1 0,-1 0 0,1 0 0,-2 0 1</inkml:trace>
  <inkml:trace contextRef="#ctx0" brushRef="#br0" timeOffset="188088.37">10520 1271 18431,'19'-4'51,"0"-1"0,0 2-1,1 0 1,-1 2 0,1 1-1,-1 0 1,28 4 0,-27-1-43,71 10 41,113 29 0,-139-27-1201,1-2 0,0-1 1,1-5-1,78-2 0,-115-5-7680</inkml:trace>
  <inkml:trace contextRef="#ctx0" brushRef="#br0" timeOffset="188478.11">10335 736 18431,'0'0'0,"47"11"0,-16-5 0,3 2 0,4 4 0,4 4 0,2-4 0,6 2 0,10-2 0,7 2-128,4-7 128,5-6-768,4 3 128,3-4-383,-19-4 127,0 3-9728</inkml:trace>
  <inkml:trace contextRef="#ctx0" brushRef="#br0" timeOffset="206144.92">9029 5169 19071,'41'22'117,"0"1"-1,2-3 1,0-2-1,1-1 1,46 11-1,-26-15 67,0-1-1,-1-3 1,73 0 0,-44-9-432,0-3 0,176-32 0,-245 31-960,-1-1 0,34-15 1,-12 0-9800</inkml:trace>
  <inkml:trace contextRef="#ctx0" brushRef="#br0" timeOffset="206631.29">9035 4736 18815,'32'18'-128,"-32"-18"128,1 0 0,-1 0 0,0 0 0,1 0 0,-1 0 0,1 0 0,-1 0 0,1 0 0,-1 0 0,1 0 0,-1 0 0,1 0 0,-1-1 0,1 1 0,-1 0 0,1 0 0,-1 0 0,0-1 0,1 1 0,-1 0 0,1-1 0,-1 1 0,0 0 0,1-1 0,-1 1 0,0 0 0,1-1 0,-1 1 0,0 0 0,0-1 0,0 1 0,1-1 0,-1 1 0,0-3 0,6-5 0,4 5 0,0 0 0,0 1 0,0 0 0,0 1 0,0 0 0,16 0 0,69 8 0,-47-3 0,315 17 0,-231-14-448,0-6 0,1-5 0,190-33 0,-289 30-2026,-1 0-7339</inkml:trace>
  <inkml:trace contextRef="#ctx0" brushRef="#br0" timeOffset="207843.33">10634 4345 17919,'10'31'0,"-2"2"0,9 60 0,-10-56 19,14 41 1,5 22 69,-20-51-15,-1 2 0,-3-1 0,-7 97 0,0-55-7,4-53-51,-2 55 168,-17 117 0,16-201-163,-1-12-42,-4-20-64,4-5-37,1 0 1,1-1 0,1 1 0,2-1-1,3-35 1,0-17-303,-22-296-200,5 183 458,13 96 248,-2-24 156,1 107-202,0-1 0,-1-2-1,-1 2 1,0 1-1,-11-26 1,9 24 100,-11-21 146,16 36-231,0-1 0,0 0 0,0 0 0,0 1-1,-1-1 1,1 0 0,-1 1 0,1 1 0,-1-2 0,0 1 0,1 0 0,-1-1 0,-3 0-1,6 2-17,0 1-1,1 0 0,-1-1 0,0 1 0,1 0 0,-1 0 0,0 0 0,0 0 0,0 0 0,0-1 1,2 3-1,11 9 94,8 2-23,0-1-1,1-2 0,1 0 0,37 8 0,-15-2 6,49 12 105,1-2 1,147 16-1,-175-30-128,129 45 1,-83-26 46,-72-20-55,-2 1 0,62 26-1,-100-38-73,0 0 0,0 0-1,0 0 1,0 0 0,0 1-1,0-1 1,-1 1 0,1 0-1,0-1 1,-1 2 0,1-1-1,-1 0 1,0 0 0,0 0-1,0 1 1,0-1 0,0 0-1,1 4 1,-1-2 7,-1 0 1,1 0-1,-1-1 1,0 0-1,0 1 1,-1 0-1,1 1 0,-1-1 1,0 0-1,-2 6 1,-2 3 22,-1 0-1,0-1 1,-1 1 0,-1-2 0,-11 15 0,-168 193 202,-17-13 145,-134 153-1102,311-324-866,-23 40-1,41-61 52,-11 17-9492</inkml:trace>
  <inkml:trace contextRef="#ctx0" brushRef="#br0" timeOffset="210748.02">12892 4027 16639,'-2'548'670,"-1"-350"-465,-10 543 456,7-645-532,1-8-2796,3-109 256,0-3-6463</inkml:trace>
  <inkml:trace contextRef="#ctx0" brushRef="#br0" timeOffset="211196.28">12246 3981 20607,'37'-37'50,"0"2"0,74-52 0,-77 64-7,2 2 0,0 0-1,1 3 1,1 3 0,0 1 0,43-13 0,19 5-12,124-16 0,-133 30-347,0 2-1,0 5 1,0 3 0,-1 5-1,103 20 1,-173-24-606,-1 3 1,0-1-1,0 2 0,22 8 1,1 6-8828</inkml:trace>
  <inkml:trace contextRef="#ctx0" brushRef="#br0" timeOffset="211633.26">12293 5723 20735,'0'0'0,"55"-25"128,-17 7 0,4-4-128,13 2 128,12 0 0,2 0 0,9 6 0,29 8 0,24 6-128,4 12 128,7 8-128,-15 3 0,-9 2-640,1-2 0,-2-1-768,120 21-11903</inkml:trace>
  <inkml:trace contextRef="#ctx0" brushRef="#br0" timeOffset="212595.09">14161 4818 21375,'0'0'256,"5"4"-128,6 5-83,0-2-1,0-1 1,1 0-1,0 1 1,14 4-1,71 21 68,-70-24-85,154 45 181,81 29-2784,-234-70-1755</inkml:trace>
  <inkml:trace contextRef="#ctx0" brushRef="#br0" timeOffset="212880.66">14102 4508 21759,'0'0'128,"47"11"-128,-5-8 128,11-3-128,8-3 0,13-2-256,3-12 128,7-3-896,77-17-13695</inkml:trace>
  <inkml:trace contextRef="#ctx0" brushRef="#br0" timeOffset="-205365.54">15641 3109 17023,'0'0'1302,"-2"5"-1089,-19 39 97,9-20-134,-12 35-1,6 3-7,4 1-1,2 0 0,3 1 0,2-1 0,4 120 0,4-162-133,1 0 0,0-2 0,1 1 1,12 38-1,-12-49-27,0-1 0,0 0 0,1-1 0,0 1 0,0-1 0,0 0 0,1 1 1,1-1-1,-1-1 0,1 2 0,0-2 0,0-2 0,1 2 0,7 4 0,-9-8-7,-1 1 0,1-1 0,0 0 0,0-1 0,-1 2 0,1-2 0,0-1 0,0 1 0,0-1 0,0 0 0,0 0 0,0 0 0,0-1 0,0 1 0,0-1 0,0-2 0,0 2 0,5-4 0,9-3 0,1 0 0,33-23 0,-49 29 0,10-8 0,0 0 0,-1-1 0,-1 1 0,0-2 0,0-1 0,11-15 0,55-89 0,-70 104 0,68-130-20,6-5-109,-50 95 104,96-144-176,-92 147 133,76-82-1,-105 126 69,-6 4 0,1 0 0,-1 1 0,1-1 0,-1 0 0,1 0 0,0 0 0,0 1 0,0-1 0,0 1 0,0 0 0,0-1 0,0 1 0,5-2 0,-7 4 0,0-1 0,1 0 0,-1 0 0,0 1 0,0-1 0,0 0 0,1 1 0,-1-1 0,0 0 0,0 1 0,0-1 0,0 0 0,0 1 0,0-1 0,1 0 0,-1 1 0,0-1 0,0 0 0,0 1 0,0-1 0,0 1 0,0-1 0,-1 0 0,1 1 0,0-1 0,0 0 0,0 1 0,0-1 0,0 0 0,0 1 0,-1-1 0,-5 15 0,6-15 0,-28 63 65,16-40-12,2 1 1,0-1-1,-6 28 0,-50 289 506,60-305-500,-5 37 37,2 0 0,4 3 0,6 123 0,2-96-416,-3-101 257,0 0 0,0 0-1,0 0 1,0 0 0,0 0-1,0 0 1,0-1 0,0 1-1,0 0 1,0 0 0,0 0-1,1 0 1,-1 1-1,0-1 1,1 0 0,-1 0-1,0-1 1,1 0 0,-1 1-1,1 0 1,0-1 0,-1 1-1,1 0 1,0-1 0,-1 1-1,1 0 1,0-1 0,0 1-1,-1-1 1,3 1 0,-2-1-93,0 0 0,0 0 1,0-1-1,0 1 1,0 0-1,0-1 0,0 1 1,0-1-1,-1 1 1,1-1-1,0 0 0,0 1 1,0-1-1,-1 0 1,1 1-1,0-1 0,0 1 1,-1-1-1,1 0 0,-1 0 1,1-1-1,-1 1 1,1 1-1,-1-1 0,0 0 1,1-2-1</inkml:trace>
  <inkml:trace contextRef="#ctx0" brushRef="#br0" timeOffset="-204825.61">15303 4665 18047,'8'1'34,"0"0"-1,1-1 0,-1 1 0,1-1 0,-1-1 0,0 0 0,1 0 1,-1 1-1,14-7 0,-11 4 18,0 0 1,0 1-1,0 0 1,0 1-1,17 1 0,53 10 232,153 41 0,-107-21-187,-92-22-54,0-3 1,1-2 0,-1-1-1,1-1 1,41-6-1,174-37-1352,-201 32 551,80-21-2931,-83 19-5547</inkml:trace>
  <inkml:trace contextRef="#ctx0" brushRef="#br0" timeOffset="-204244.59">15901 5093 19455,'-6'18'0,"0"1"0,2 1 0,0 0 0,1-2 0,1 3 0,1 25 0,14 121 0,-13-163 0,30 178 3,2 25 101,-12 46-17,3 26-25,-20-261-316,-1-23-361,2-23-798,-3-6-1403,-1-2-7061</inkml:trace>
  <inkml:trace contextRef="#ctx0" brushRef="#br0" timeOffset="-203614.72">15700 5066 16639,'0'0'1046,"8"-1"-833,50-8 71,-17 2-123,1 1 1,69 2-1,-100 5-143,0 1 0,0-1 0,0 2 0,-1 0 0,1 1 0,-1 0 0,17 8 0,67 50 110,-63-40-101,103 80 42,-112-82-60,0 2 1,-2-1-1,29 42 0,-43-56-18,-1 1-1,0 1 1,0 1-1,-1-2 0,0 2 1,-1 0-1,1 0 1,-2 0-1,3 13 0,-5-16 2,0-2 0,1 0 0,-2 1 0,1-1 0,-1 0 0,1 0 0,-2 0 0,1 0 0,0 0 0,-1 1 0,0-1 0,0-1 0,-1 0 0,1 1 0,-1-1 0,0 0 0,0 1 0,0-1 0,-6 6 0,-5 0-68,0 2 0,-1-1 1,0-1-1,-1-1 0,-30 13 0,20-10-80,-31 19-1,5 4-109,-53 46-1,104-81 264,0 1 1,0-1-1,0 1 0,0 0 1,1 0-1,-1 0 0,0 0 1,0 1-1,1 0 0,-1-1 0,1 0 1,-1 0-1,1 0 0,-1 1 1,1-1-1,0 0 0,-1 0 1,1 1-1,0-1 0,0 0 0,0 1 1,0-1-1,0 0 0,1 1 1,-1-1-1,0 0 0,0 0 1,1 1-1,-1-1 0,1 0 1,-1 0-1,1 0 0,0 0 0,-1 2 1,1-2-1,0 0 0,0 0 1,0 0-1,-1-1 0,1 1 1,0 0-1,2 1 0,5 5 5,1-2 0,-1 2 0,1-2 0,11 6-1,114 52 11,31 17 126,-139-64-57,0 0 1,0 2-1,-2 2 1,0-1-1,-2 3 1,0 0-1,-1 2 0,-1-2 1,-2 4-1,22 35 1,-7-1 81,18 26-3121,-24-41-7708</inkml:trace>
  <inkml:trace contextRef="#ctx0" brushRef="#br0" timeOffset="-201934.18">13513 2980 13824,'-4'-5'-107,"-1"-3"143,-1-2 0,0 2 1,-1 1-1,0 0 0,0 0 1,0 0-1,-1 1 0,0 1 0,-13-9 1,8 9 9,-1 1 0,0 0 1,-1 0-1,1 1 0,0 2 1,-1-1-1,0 2 0,-19 1 1,6 1 35,0 3 1,1 0-1,-40 12 0,19-1-3,1 2 1,1 2-1,0 4 0,2-2 0,0 6 1,-69 54-1,64-42-8,9-10 0,-47 50 0,13-1 75,-95 134 0,134-163-102,3 2 0,2 1 0,2 2 0,-25 71 0,-101 305 212,137-377-225,2 2 0,2 0 0,3 0 0,-5 77 0,13-53 10,2 1 0,18 123-1,53 303 88,-63-455-128,1 2 0,31 93 0,50 105 0,-83-228 1,73 198 4,-68-193-10,2-1 1,1 0-1,2-2 1,0 0 0,30 35-1,-21-33-50,2-1 0,0 0-1,2-4 1,1 1 0,0-3-1,48 26 1,-57-36-28,0-1-1,1-1 1,1 0 0,-1-2 0,1-2-1,1-1 1,-1 0 0,1-2-1,-1 0 1,1-1 0,26-4 0,-6-3-70,-1-2 0,0-3 1,0-1-1,41-19 0,-26 6-12,-1-4 0,70-44 0,-76 36 153,78-72 0,-78 63 15,-1 0 35,-2-3 1,-2-1 0,52-72-1,-68 76 12,-1 0 0,-3-2 1,-1-2-1,30-83 0,-32 60 207,28-152 0,-10-78 360,-29 155-169,-7-1-1,-5 0 1,-34-262 0,-22 68 105,37 264-438,-2 2-1,-43-104 0,33 111-74,-3 4 0,-4-1 0,-53-78 0,59 104-24,-2-1 0,-1 3 0,-3 3 0,0-1 0,-67-49 0,85 72-16,0 4 0,-1 0 0,0 0 0,-1-1 0,0 2 0,-43-9 0,31 12 0,0 1 0,0 1 0,-60 2 0,53 5-132,0 1 0,1 3 0,0 0 0,0 2 0,1 2 0,0 4-1,1-1 1,-61 33 0,20 0-1214,2 2 1,-117 103-1,118-89-7635</inkml:trace>
  <inkml:trace contextRef="#ctx0" brushRef="#br0" timeOffset="-200910.41">12116 3887 16384,'34'-7'0,"-38"7"38,0 0-1,-1 0 1,1 0 0,0-2 0,0 1 0,0 0 0,0 0 0,0-1 0,0 0 0,0 1 0,-5-4 0,-60-32 297,28 13-123,19 15-153,0-1 0,0 1-1,-1 2 1,-38-8 0,-100-6 74,110 16-99,-410-53 447,372 40-359,1-3 0,2-3-1,-100-44 1,125 41-3,-92-55-1,128 65-63,1 0-1,0 0 1,1-4-1,1 1 1,1 0 0,-19-26-1,24 22-8,-1 2 1,-1 2-1,-1-1 0,-1 1 0,-39-28 0,-6 6 55,-2 3 0,-107-47 0,-158-43 253,132 56 13,-97-51 764,171 75-610,83 34-402,33 9-86,-1-1 0,1 1 1,0-1-1,1 0 0,-1 0 0,1-1 0,1-2 0,-14-16 1,-11-23 189,28 40-212,-4-1 79,8 10-88,1-1 1,0 1 0,0 0-1,-1 0 1,1 0 0,0 0-1,0 0 1,-1 0 0,1 0-1,0 0 1,0-1-1,0 1 1,-1 0 0,1 0-1,0 0 1,0 0 0,0-1-1,-1 1 1,1 0 0,0 0-1,0 0 1,0 0-1,0 0 1,0 0 0,0 0-1,-1-1 1,1 1 0,0 0-1,0 0 1,0-1 0,0 1-1,0 0 1,0 0 0,0-1-1,0 1 1,0 0-1,0 0 1,0-1 0,0 1-1,1 0 1,-1 0 0,0-1-1,0 1 1,0 0 0,0 0-1,0-1 1,0 1-1,0 0 1,1 0 0,-1 0-1,0-1 1,0 1 0,0 0-1,1 0 1,0-1-94,0 1 1,0-1-1,0 1 0,0 0 1,0-1-1,1 1 1,-1 0-1,0 0 0,0 0 1,0 0-1,0 0 0,1 0 1,-1 0-1,0 0 1,0 1-1,0-1 0,0 0 1,0 1-1,0-1 0,0 0 1,0 1-1,0 0 1,0-1-1,0 1 0,0-1 1,0 1-1,0 0 0,0 0 1,0 0-1,-1-1 1,2 2-1,5 6-616,-1 0 0,10 20 0,-7-14-1354,10 15-8883</inkml:trace>
  <inkml:trace contextRef="#ctx0" brushRef="#br0" timeOffset="-199987.58">8611 2298 20351,'42'6'-128,"-46"22"128,-1 30 0,4 83 0,2-66 0,13 181 107,-12-229 21,-1 0 0,-1-1 0,-4 34 0,1-97 128,7-106-101,8-102-161,-9 215 6,0-2 0,1-4 0,2 4 0,1-2 0,11-31 0,-12 44 0,-5 17 0,1-1 0,-1 1 0,1-1 0,0 2 0,0-1 0,4-7 0,-5 10 0,0 0 0,0 1 0,0-1 0,0 0 0,1 0 0,-1 0 0,0 0 0,1 0 0,-1 0 0,1 1 0,-1-1 0,1 0 0,-1 1 0,1 0 0,-1-1 0,1 1 0,0 0 0,-1 0 0,1 0 0,-1 0 0,1 0 0,0 0 0,1 0 0,5 2 0,1-1 0,-1 1 0,0 0 0,0 1 0,0-1 0,0 1 0,0 1 0,12 8 0,0 3 0,31 28 0,-39-31 0,0 1 0,1-3 0,0-1 0,0 0 0,1 1 0,26 11 0,-40-20 9,1-1 0,0 0 0,-1 1 0,1-1 0,0 1 0,-1-1 0,1 1 0,0-1 0,-1 1 0,1-1 0,-1 1 0,1 0-1,-1-1 1,0 1 0,1 0 0,-1-1 0,1 1 0,-1 0 0,0-1 0,0 0 0,1 1 0,-1 0 0,0 1 0,0-2 0,0 1 0,0 0-1,0 0 1,0-1 0,0 1 0,0 0 0,0 0 0,0 0 0,-1-1 0,1 1 0,0 0 0,0 0 0,-1-1 0,1 1 0,0 0 0,-1-1-1,1 0 1,-2 2 0,0 2 46,-1 0 0,0 1 0,0-1 0,-1 0 0,1 0-1,-5 5 1,-29 21-145,1 4-1,2 0 0,-50 65 1,79-92-46,0 0 1,1 1-1,0-1 1,1 1-1,-1-2 1,1 3 0,1-1-1,-1 0 1,1 1-1,1-1 1,0 1-1,-1 8 1,3 3-716,1 1 0,1-2 0,0 1 0,10 27 0,14 66-9410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35.7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49 218 18431,'10'36'168,"-2"1"0,-1 0 0,1 42-1,-5 116 425,-3-120-425,-41 846 1219,39-903-1661,1-26-825,2-34-853,-1-4-1332,0-5-6485</inkml:trace>
  <inkml:trace contextRef="#ctx0" brushRef="#br0" timeOffset="463.47">0 17 17919,'5'40'22,"0"-52"254,-1-12-40,-4 3 254,1 23-473,0 0 0,1-1 0,-1 0-1,0 0 1,1 1 0,-1-1 0,1 1 0,0-1-1,-1 0 1,1 0 0,0 0 0,0 0-1,0 0 1,2 0 0,1 1-13,26 14 4,0 1-1,39 28 0,-8 4 101,95 95 0,-126-109-83,-1 0 0,-2 1 0,-2 1 0,27 52 0,-41-64 26,-2-1-1,-1 1 1,-1-1 0,-1 2-1,-2-1 1,0 1 0,1 50-1,-8-60 31,0 0 0,0-1-1,-2 1 1,0-1 0,-13 30-1,16-44-73,-2 6 9,-1-1-1,0 1 1,0-1 0,-1 0-1,0 1 1,0-2 0,-1 1-1,1-1 1,-1 0 0,-1 0-1,1-1 1,-1 1 0,0-1-1,0-1 1,-9 5 0,1-2 6,-1 1 0,0-2 0,0 0 0,0-1 0,-1-1 0,-24 2 0,27-4-210,0-1-1,0-1 0,0 0 1,0-1-1,0 0 0,0-1 1,-14-5-1,4 0-996,1-1-1,0-2 1,-25-13 0,17 7-8564</inkml:trace>
  <inkml:trace contextRef="#ctx0" brushRef="#br0" timeOffset="967.28">1235 1214 20095,'19'-5'0,"0"0"0,0 1 0,1 1 0,-1 0 0,27 0 0,-13 5 2,0 2 0,63 12 0,62 27-19,-126-34 7,10 3-162,59 18-735,-33-13-3774</inkml:trace>
  <inkml:trace contextRef="#ctx0" brushRef="#br0" timeOffset="1313.62">1274 591 19199,'48'65'0,"-52"-68"22,-17-23-67,20 26 54,0-1 1,0 1 0,1-1-1,-1 0 1,1 0 0,-1 0-1,1 0 1,-1 0 0,1 0-1,0 0 1,-1 0 0,1 0-1,0 0 1,0 0-1,0 1 1,-1-1 0,1 0-1,0 0 1,1 0 0,-1 0-1,0 0 1,0 0 0,0 0-1,0 0 1,1 0-1,-1 0 1,1 0 0,-1 0-1,3 0 28,0 0 0,0-1 0,0 1 0,0 0 0,0 0 0,1 1 0,-1-1 0,0 1 0,6-1 0,-7 1-23,41 0 153,-1 1-1,1 2 1,66 13-1,-58-9-64,265 36-166,-299-40-563,0-1 0,0 2 0,0 1 0,27 11-1,5 6-11275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49.98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224 261 17535,'18'7'-2,"-18"-7"2,0 0 0,0 0 0,0 0 0,0 0 0,0 0 0,0 0 0,0 0 0,0-1 0,0 1 0,-1 0 0,1 0 0,0 0 0,0 0 0,0 0 0,0 0 0,0 0-1,0 0 1,0 0 0,0 0 0,0 0 0,0 0 0,0 0 0,0 0 0,1-1 0,-1 1 0,0 0 0,0 0 0,0 0 0,0 0 0,0 0 0,0 0 0,0 0 0,0 0 0,0 0 0,0 0 0,0 0 0,0 0-1,0 0 1,0 0 0,0 0 0,0 0 0,0 0 0,0 0 0,0 0 0,0 0 0,1-1 0,-1 1 0,0 0 0,0 0 0,0 0 0,0 0 0,0 0 0,0 0 0,0 0 0,0 0 0,0 0 0,0 0 0,0 0-1,0 0 1,0 1 0,0-1 0,1 0 0,-14-13 14,12 12-1,-8-5-52,4 3 171,1-1 0,-1 1 0,0 1 0,0-1 0,-8-3 0,11 6-101,1 0 0,-1-1 0,1 1 0,0 0 0,-1 0 0,1 0 0,-1 0 0,1 0 0,-1 0 0,1 1 0,0-1 0,-1 0 0,1 1 0,-1-1 0,1 1 0,0-1 0,0 1 0,-1 0 0,1-1 0,0 1 0,0 0 0,0 0 0,0 0 0,0 0 0,0 0 0,0 0 0,-1 2 0,-4 4 13,2 1 0,-1-1-1,1 1 1,0 1 0,1-1 0,-4 13-1,-11 57 148,15-64-155,-26 223 679,14-80-406,-1-41-193,-12 117 238,23-170-152,8 114 1,-3-172-185,1 0 1,-1-1-1,1 1 1,0-1-1,1 1 1,1 5-1,-2-9-13,-1-1-1,0 1 0,0-1 1,1 1-1,-1-1 1,0 1-1,1-1 1,-1 0-1,0 1 1,1-1-1,-1 1 1,1-1-1,-1 0 1,1 0-1,-1 1 1,1-1-1,-1 0 0,1 0 1,-1 0-1,1 1 1,-1-1-1,1 0 1,0 0-1,0 0 0,0 0 0,0-1 0,0 1 0,0 0 0,0-1 0,0 1 0,0-1-1,0 1 1,0-1 0,0 0 0,0 1 0,0-1 0,0 0 0,0 0 0,1-1 0,21-26 107,29-43 1,-28 37-79,151-231 139,-9 13 40,-120 185-91,-3-3-1,54-121 1,-104 248 7,-14 26-128,10-39 0,-8 51 0,6 48 0,-5 41 0,13-136 0,1 93 0,3-103 0,-2-1 0,-2 0 0,-14 57 0,13-74-81,6-26-145,0 5 43,3-8-195,1 0 0,0 0 0,0 0 0,1 1 0,0 0 0,1 0 0,0 0 1,0 1-1,9-9 0,22-31-2904,-12 8-7214</inkml:trace>
  <inkml:trace contextRef="#ctx0" brushRef="#br0" timeOffset="737.68">897 26 19711,'2'8'0,"-2"-6"0,1 0 0,-1-1 0,0 1 0,1-1 0,-1 1 0,1 0 0,-1-1 0,1 1 0,0-1 0,0 0 0,0 1 0,0-1 0,0 0 0,1 2 0,6-27 256,-7 22-233,1-1-1,-1 1 0,1 0 1,0 0-1,-1 0 0,1 0 1,0 1-1,0-1 0,0 0 1,1 1-1,-1-1 0,0 1 1,0 0-1,1 0 0,-1 0 1,1 0-1,-1 0 0,1 1 1,4-2-1,5 1 14,-1 0 1,1 0-1,13 2 1,-18-1-11,14 2 5,-1-1-1,0 2 1,0 1 0,0 1-1,19 6 1,-25-6 22,-1 1 0,0 0 0,0 1 0,0 0 0,-1 1 0,0 0 0,-1 1 0,13 12 0,-21-17-21,1 1 0,-1-1 1,0 1-1,0 0 0,0 0 0,-1 0 0,1 1 0,-1-1 0,-1 1 0,1-1 0,-1 1 0,1 8 0,-1-3 9,0 0 0,0 0-1,-2 0 1,1 1 0,-4 16 0,-3-4 0,-1 1-1,-2-1 1,0-1 0,-1 0 0,-22 33 0,0 3-52,19-36 11,-1 0 0,-24 28 0,20-28 0,14-15 0,0 0 0,1 1 0,-7 13 0,7-13 0,0 0 0,0 0 0,-8 10 0,11-17 0,1 0 0,-1 0 0,1 0 0,0 0 0,-1 1 0,1-1 0,0 0 0,0 0 0,1 0 0,-1 0 0,0 0 0,1 1 0,-1-1 0,1 0 0,0 0 0,0 0 0,2 3 0,1-2 0,1 0 0,-1 0 0,1 0 0,0-1 0,0 0 0,0 0 0,0-1 0,1 1 0,5 0 0,26 9 0,66 43 54,-77-39-41,1-1 0,0 0 1,40 12-1,-1-2-761,-21-1-3432,-10-4-7382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6.5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369 4535 14976,'0'0'384,"-3"5"-256,0 4-63,-1 2 1,2-1-1,-1-1 1,2 1-1,-1-1 1,1 2-1,0-2 1,1 2-1,0-1 1,1 0-1,0 0 1,0-1-1,6 20 1,-5-20 68,0-1 0,2 1 0,-1-1 0,8 16 0,-9-20-74,1-1 0,-1 0 1,1 0-1,0-1 0,0 1 1,0-1-1,0 1 0,1-1 1,-1 0-1,1 0 0,-1-1 1,1 1-1,4 2 0,6 0 94,0-1 0,1 0 0,-1 0 0,1-2 0,-1 0 0,1-1 0,-1 0 0,26-4 0,-3 1 18,137 5 397,-101 0-498,332 42 276,-180-15-332,-180-25-15,468 34 0,119-59 0,-443 7 0,81-6 0,-165 8 0,152-14 0,-25 17 0,340-31 0,-391 12 0,123-21 0,-239 34 0,-1 0 0,-1-3 0,-1-4 0,95-47 0,-108 43 0,-11 9 0,0-4 0,41-29 0,-56 32 0,90-62 0,-67 51 0,0-3 0,59-53 0,-79 61 0,-2-3 0,0 1 0,-2-1 0,38-63 0,10-42 0,67-178 0,-117 261-25,-3-1-1,-2 0 1,-2 0-1,6-56 0,-12 57 26,17-162 0,-22 173 0,-2-2 0,-1 2 0,-9-60 0,-2 39 71,-3 0-1,-2 1 0,-2 0 0,-3 2 1,-30-57-1,-10 0 295,-101-141 0,133 211-305,-15-23 102,-104-117 0,1 46 50,18 19-40,-121-97 113,-15 25-164,-122-56 106,84 54-92,295 187-135,-237-151 0,-8 19 0,110 73 0,-2 6 0,-3 7 0,-2 8 0,-1 6 0,-2 7 0,-193-12 0,239 38 0,-159 16 0,-98 41 0,287-34 0,1 5 0,-80 36 0,43-18 0,63-23 0,0 2 0,-92 53 0,84-34-21,2 3 0,-72 71-1,-89 116-42,164-167 23,3 2 1,-53 88-1,71-98 2,3 3 0,2 0 1,-27 85-1,31-66-25,3 2 0,3-1 0,-12 140 0,1 79-99,-3 28 85,25-2 84,11-132-6,5 79 0,-6-233 0,8 147 0,-10-132 0,12 89 0,5 0 0,-1 183 0,-16-289 0,2 50 0,2-1 0,5 2 0,3-2 0,41 144 0,-50-215 6,1-2 0,0 0 0,0-1 0,1 1 0,1 0 0,0 0 0,0-2 0,1 0 0,15 16 0,-10-14 16,2 1 0,-1-1 0,1-1 0,1-1 0,30 13 0,0-4 26,0-4 0,1-2 0,92 12 0,-57-12-42,341 41 133,3-21-28,-389-31-117,358 3-542,-345-10-81,-29 2-2113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8.46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102 757 20735,'13'336'281,"-13"-215"-178,-3 151 356,-44 299 0,44-544-432,-1 5-29,-1-1 0,-10 38 0,7-53-621,8-16 588,0 0-1,0 1 1,0-1-1,0 0 1,0 0-1,-1 0 0,1 0 1,0 0-1,0 0 1,0 1-1,0-1 1,0 0-1,-1 0 1,1 0-1,0 0 1,0 0-1,0 0 1,-1 0-1,1 0 0,0 0 1,0 0-1,0 0 1,0 0-1,-1 0 1,1 0-1,0 0 1,0 0-1,0 0 1,-1 0-1,1 0 1,0 0-1,0 0 1,0 0-1,-1 0 0,1 0 1,0 0-1,0 0 1,0-1-1,-2 0-111,1-1 0,0 0 0,0 0-1,1 0 1,-1 1 0,0-1-1,0 0 1,1 0 0,0 0 0,-1 0-1,1-3 1,-6-44-2690,-3-20-7232</inkml:trace>
  <inkml:trace contextRef="#ctx0" brushRef="#br0" timeOffset="448.6">21 134 18943,'6'-15'0,"2"2"0,16-25 0,-20 34 0,0-1 0,1 1 0,-1-2 0,1 3 0,0-1 0,0 0 0,0 1 0,0 0 0,1-1 0,6-2 0,-2 2 2,0 0-1,1 0 1,-1 2-1,1 0 1,-1 0-1,1 1 0,0 0 1,-1 0-1,1 1 1,0 0-1,0 1 0,-1 1 1,1-1-1,17 6 1,-1 5 97,0 0 1,0 0-1,-2 4 1,1-1 0,-2 2-1,0 1 1,-2 1-1,0 0 1,-1 1-1,0 2 1,-2 0-1,-1 2 1,-1-1-1,27 50 1,-31-46-7,-1 2 0,0-1 1,-3 2-1,0-2 0,-2 3 0,-1-1 1,3 43-1,-8-53-18,-1-1 1,-1 0 0,-1 1-1,-1-1 1,-7 27 0,6-33-37,0 0 1,-1 0 0,-1-1 0,0 0-1,0 0 1,-2 0 0,1-1 0,-14 15-1,13-17-14,0-3 0,-1 2 0,0-1-1,0-1 1,0 1 0,-1-2 0,0 0-1,0-1 1,0 2 0,0-3 0,-1 0-1,0 0 1,0-1 0,1 0 0,-2 0-1,1-1 1,0-1 0,0 0 0,0 0-1,0-1 1,0 0 0,0-1 0,0-1-1,-15-3 1,1-4 52,-43-19 0,59 23-632,-1 0-1,1 1 1,0-2 0,0 0 0,1 0 0,0-2-1,-12-13 1,-14-17-11775</inkml:trace>
  <inkml:trace contextRef="#ctx0" brushRef="#br0" timeOffset="1132.08">1350 1397 20223,'43'-3'0,"1"3"0,81 10 0,82 28 0,-139-23 0,-47-11-49,0 0 0,-1-2 0,1 0 0,27-2 0,-42 0-196,0 0 0,-1-1-1,1 0 1,-1 0 0,1 0-1,-1-1 1,0 0 0,0 0-1,0 0 1,0-2 0,0 2-1,0 0 1,0-1 0,-1-1-1,0 1 1,0-1 0,0 0-1,0 0 1,0 0 0,5-9-1,7-12-9716</inkml:trace>
  <inkml:trace contextRef="#ctx0" brushRef="#br0" timeOffset="1395.16">1391 886 20479,'0'0'256,"31"-6"-256,-1 1 0,11-2 0,4 3 0,10 0-128,4 4 128,9 5-1664,-4 0 128,0 2 257,-6 0-1,0-2-9088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40.8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42 726 19711,'6'18'3,"0"0"-1,0-1 1,-2 0-1,0 1 0,-1 0 1,-1 0-1,-1 0 0,-2 37 1,4 407 741,5-205-592,16 132 189,-22-358-307,-2-25-381,1-21-833,16-102-4303,-9 65-3903</inkml:trace>
  <inkml:trace contextRef="#ctx0" brushRef="#br0" timeOffset="668.8">1 504 18431,'21'-30'2,"-13"19"-3,0 0 0,1 0 0,11-11 0,-16 20 3,0-3 0,1 2 0,-1 0 0,1 0 0,0 0 0,0 1 0,0 0 0,0-1 0,0 1 0,1 1 0,6-2 0,5 1 47,0 1-1,-1 0 1,1 1 0,0 1 0,0 0-1,0 2 1,16 5 0,15 3 119,52 22-1,-67-20-88,0 1 0,57 36 1,-75-41-50,-1 1 1,0 0-1,-1 2 1,0-1-1,-1 1 1,0 1-1,-1 0 1,10 17-1,-15-21-6,-2 3 1,1-3-1,-1 3 0,-1-2 0,0 2 1,0-2-1,-1 2 0,-1-1 0,0 0 1,-1 22-1,-1-6 69,-1-1 0,-2 3 1,-9 34-1,10-53-72,0 1-1,-1-2 1,0 2-1,0-3 1,-1 3-1,0-3 1,-1 2-1,0-3 1,-11 14-1,6-9 31,-1-2 1,0 1-1,0-3 0,-1 2 0,-25 13 0,36-23-45,-13 7 44,0 1-1,1 2 0,0-1 0,-25 23 0,36-30-48,0 1-1,1-1 1,-1 1 0,1 1 0,0-1 0,0 0 0,0 0 0,0 0-1,1 0 1,-1 2 0,1-2 0,0 1 0,0-1 0,0 0 0,0 1-1,1 1 1,0-2 0,-1 1 0,1-1 0,1 1 0,-1 0 0,0 0-1,1 0 1,0-2 0,0 2 0,0-1 0,0 2 0,1-2 0,2 5-1,5 7 0,0-1 0,1-2 0,16 19 0,1 0 0,253 327 0,-241-306 17,-25-31 6,2 0-1,0-1 1,24 22-1,-22-24 108,-18-17-232,0-1 1,1 0 0,-1 0-1,0 1 1,1-1 0,-1 0-1,0 0 1,1 1-1,-1-1 1,0 1 0,0-1-1,1 0 1,-1 1 0,0-1-1,0 0 1,0 1 0,0-1-1,1 1 1,-1-1-1,0 0 1,0 1 0,0-1-1,0 1 1,0-1 0,0 1-1,0-1 1,0 0 0,0 1-1,0-1 1,-1 1-1,1-1 1,0 0 0,0 0-1,0 0 1,0 1 0,-1-1-1,1 0 1,0 1-1,0-1 1,-1 0 0,1 2-1,0-2 1,-1 0 0,1 1-1,0-1 1,-1 0 0,1 1-1</inkml:trace>
  <inkml:trace contextRef="#ctx0" brushRef="#br0" timeOffset="1097.08">1542 1139 21631,'0'0'0,"25"-1"-2944,-3-3 1152,4 0 641,24-3-9473</inkml:trace>
  <inkml:trace contextRef="#ctx0" brushRef="#br0" timeOffset="1614.1">2357 587 21503,'-4'81'0,"4"0"0,15 121 0,0 4 0,-21 391 0,4-570-11,-8 96-285,8-105 198,-1-2 0,-1 0 0,0 0 0,-1-1 0,-10 21-1,15-35 53,0-1-1,0 0 0,0 1 1,0-1-1,0 0 0,0 1 1,-1-1-1,1 0 0,0 1 1,0-1-1,0 0 0,-1 0 1,1 0-1,0 0 1,0 0-1,-1 1 0,1-1 1,0 0-1,-1 0 0,1 2 1,0-2-1,-1 0 0,1 0 1,0 0-1,-1 0 0,1 1 1,0-1-1,-1 0 0,1 0 1,0 0-1,-1 0 0,-7-10-3515</inkml:trace>
  <inkml:trace contextRef="#ctx0" brushRef="#br0" timeOffset="1983.45">1715 399 19967,'35'36'150,"-36"-38"-140,1 2 0,0 0 0,0-1 0,0 1 0,0 0 0,-1-1 0,1 1 0,0 0 0,0 0 0,0-1 0,0 1 0,0 0 0,0-1 0,0 1 0,0 0 0,0-1 0,0 1 0,0 0 0,0-1 0,0 1 0,1 0 0,-1-1 1,0 1-1,0 0 0,0-1 0,0 1 0,0 0 0,1 0 0,-1-1 0,0 1 0,0 0 0,0 0 0,1-1 0,-1 1 0,0 0 0,0 0 0,1 0 0,-1-1 0,0 1 0,1 0 0,-1 0 0,0 0 0,1 0 0,-1 0 0,1 0 0,15-6 126,20-3-89,2 2 1,-1 2-1,1 0 0,74 4 1,156 28 334,-38-4-212,92-27-2618,-272 1 758,3 0-10171</inkml:trace>
  <inkml:trace contextRef="#ctx0" brushRef="#br0" timeOffset="2447.84">1632 2157 20095,'4'2'24,"0"1"0,-1-1 0,1 0-1,0-1 1,0 2 0,0-2 0,0 1-1,0-1 1,1 0 0,5 1 0,-2-2 35,0 0 1,0 0-1,0-1 1,0 0-1,9-2 1,10-5 35,0-1 0,0-1 0,42-22 0,-41 18-51,0 1-1,1 2 1,35-9 0,202-24-16,-9 3-5709,-145 18-4559</inkml:trace>
  <inkml:trace contextRef="#ctx0" brushRef="#br0" timeOffset="3078.89">3136 1 21759,'79'2'0,"-35"-2"0,68 10 0,-84-6 16,0 2 0,0 0 0,33 14 0,-53-17-12,0 1 0,0 0 0,0 0 0,-1 1 0,0-1 0,0 2 0,0-1 0,0 1 0,-1 0 0,0 1 0,0-1 0,-1 1 0,0 1 0,0-1 0,4 9 0,-4-7-5,0 1 0,-1 0 0,0 0 0,-1 0 0,0 0 0,0 1-1,-1-1 1,0 1 0,-1-1 0,0 1 0,-1 0 0,-1 0 0,1-1 0,-1 1-1,-1 1 1,0-3 0,-1 1 0,-5 16 0,-13 19-24,-2-1 1,-2 0-1,-41 54 0,26-39 17,22-35 21,13-17-2,0-2-1,0 1 0,1 1 1,0-2-1,1 2 1,-1 1-1,1-3 1,-4 16-1,7-20-6,0 1 1,0-1-1,1 1 1,-1 0-1,0-1 1,1 1-1,-1 1 1,1-2-1,-1 1 0,1-1 1,0 1-1,0-2 1,0 2-1,-1-1 1,2 1-1,-1-1 1,0 0-1,0 0 1,0 1-1,0-1 0,1 0 1,-1 1-1,1-1 1,-1-1-1,0 1 1,1 0-1,0 0 1,-1-1-1,1 1 0,2 0 1,9 2 37,-1 0 0,26 5 0,-35-8-29,31 4-77,0-1 0,-1-3 0,1 0 0,0-1 0,-1-3 0,1-2 0,-1 0 0,0-1 0,-1-3 0,0 1 0,0-4 0,-1-1 0,41-22 0,-61 27-938,0 2-1,18-19 0,15-19-11476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46.7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323 857 23423,'44'-104'-108,"47"-94"-40,-59 138 148,40-71 0,-71 129 0,0-1 0,0 2 0,1-2 0,-1 1 0,0 0 0,1 0 0,0 0 0,-1 0 0,1 0 0,0 0 0,0 0 0,0 1 0,0-1 0,1 1 0,-1-1 0,4-1 0,-6 3 0,1 1 0,-1-1 0,1 1 0,0-1 0,-1 1 0,1-1 0,-1 1 0,1-1 0,-1 1 0,0 0 0,1-1 0,-1 1 0,0 0 0,1-1 0,-1 1 0,0-1 0,0 0 0,1 1 0,-1 0 0,0 0 0,0-1 0,0 1 0,0 0 0,0 0 0,0-1 0,0 1 0,-1 1 0,1-1 0,1 33 0,-3 0 0,-8 48 0,2-21 0,0 42 0,5 2 0,15 140 0,-12-240-1,1 2-153,0-1 0,0 0 0,0 1 0,3 7-1,-2-11-207,-1 0 0,1 0-1,0-1 1,0 1 0,0 0-1,0-1 1,1 0 0,-1 1-1,1-1 1,0 0 0,3 2-1</inkml:trace>
  <inkml:trace contextRef="#ctx0" brushRef="#br0" timeOffset="1478.7">141 0 18047,'-15'23'-2,"5"-8"10,-1 2 0,-13 30 0,-1 2 311,20-41-258,0 0 0,0 1 0,1-1 0,1 1 0,-1 0 0,-1 11 0,5-19-58,-7 43 259,2-1 0,1 47 1,0 37 581,0-4-263,5-104-491,0-1 1,2 1-1,1-1 1,9 30-1,5-4 49,2 0-1,2-1 1,50 72 0,-48-79-64,-16-23-30,1 1 0,1-1 0,20 21 1,-29-33-40,0 0-1,0 0 1,1 0 0,-1 0 0,0 0 0,0 0 0,0 0 0,1 0-1,-1 0 1,1-1 0,-1 0 0,1 1 0,-1-1 0,0 1 0,1-1 0,0 0-1,-1 1 1,1-1 0,-1 0 0,1 0 0,-1 0 0,1 0 0,2-1 0,-2 0 1,0 1 1,0-1 0,0 0 0,0 0 0,-1 0 0,1-1 0,0 1-1,0-1 1,-1 1 0,1-1 0,-1 1 0,1 0 0,-1-1 0,2-3-1,3-6 18,0 1 1,-1-1-1,0-1 0,3-15 0,50-226 278,-39 157-244,-3 40-59,2 0 0,39-80 0,16-46 0,-53 118 0,-21 57 0,0 10 0,2 8 0,-1-1 0,0 1 0,-1 0 0,0-1 0,-5 19 0,0 7 0,-3 13-4,4-25 17,-1 33 0,25 279 216,-1-104-117,3-66 31,-17-139-137,6 11 42,0-24-96,-10-14 43,1 1 0,-1-1 0,0 0 0,1 0-1,-1 0 1,0 0 0,1 0 0,-1 1 0,1-1-1,-1 0 1,0 0 0,1 0 0,-1 0 0,1 0-1,-1 0 1,0 0 0,1 0 0,-1 0 0,0-1-1,1 1 1,-1 0 0,1 0 0,-1 0 0,0 0 0,1 0-1,-1-1 1,0 1 0,1 0 0,-1 0 0,0-1-1,1 1 1,-1 0 0,0 0 0,0-1 0,1 1-1,-1 0 1,65-70-2875,-41 47-128</inkml:trace>
  <inkml:trace contextRef="#ctx0" brushRef="#br0" timeOffset="2302.86">1251 847 18687,'0'0'918,"7"3"-705,232 92 832,-207-82-842,63 17 0,-93-30-228,-1 1 1,1-1-1,-1 0 1,1 1-1,0-1 1,-1 0-1,1 0 1,-1 0-1,1 0 1,-1-1-1,1 1 1,0 0-1,-1-1 1,1 1-1,-1-1 1,1 1-1,-1-1 1,0 1-1,1 0 1,-1-1-1,1 0 1,-1 0-1,0 0 1,0 0-1,0 0 1,0 0-1,0-1 1,0 1-1,0 1 1,0-1 0,0-1-1,0 1 1,-1-1-1,1 1 1,0-2-1,2-4-752,-2 0-1,1 0 1,-1 0-1,0 1 1,0-15-1</inkml:trace>
  <inkml:trace contextRef="#ctx0" brushRef="#br0" timeOffset="2617.71">1280 495 19327,'0'0'1024,"7"2"-917,16 2-122,0-2-1,1 0 0,0 0 1,-1-2-1,1-1 1,0-1-1,-1-1 1,0 0-1,1-2 1,36-12-1,-34 9-1541,33-8 0,-14 7-10240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52.5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0 201 15104,'6'-3'-107,"10"-5"183,1 2 1,0 0-1,1 2 1,0-1-1,0 1 1,0 2-1,34-2 1,-28 3 70,-1 2 0,0 0 1,1 2-1,-1-1 0,0 3 0,22 6 0,-30-5-58,-1-1-1,0 2 0,-1-1 0,1 2 0,-1 0 0,-1 0 0,14 14 0,-7-6 56,-1 0 0,-1 2 0,23 32-1,-35-43-115,-1 0 1,0 1-1,-1-1 0,0 0 0,0 1 0,-1 0 0,0 0 0,0 0 0,-1-1 0,0 2 0,-1 8 0,-1 8 73,-1 0 0,-6 30 0,2-30-42,0-2-1,-2 0 0,-1 0 0,-1 0 0,-2-1 1,0-1-1,-1 1 0,-1-2 0,-1 0 0,-33 33 0,26-33 27,0-2-1,-1-1 1,-35 20-1,0 1 69,50-31-114,0-1-1,0 0 1,-8 10 0,14-14-31,0 0 1,0 1 0,0 0 0,0-1 0,0 1-1,1-1 1,0 1 0,-1 0 0,1 1-1,0-1 1,0-1 0,1 1 0,-1 6-1,1-9-8,0 2 0,0-1 0,1 1 0,-1-1 0,1 1 0,-1-1 0,1 1 0,0-1 0,-1 0 0,1 0 0,0 0 0,0 0 0,0 0 0,0 0 0,0 0 0,0 0 0,1 0 0,1 2 0,27 13 0,-24-13 0,66 30 0,1-4 0,82 23 0,-103-40 0,-40-10 0,1 0 0,-1 2 0,22 7 0,-30-8-106,0 1-1,0-1 1,0 1-1,0 0 1,0-1-1,5 9 1,-3-5-151,13 21-3199,-3-4-6933</inkml:trace>
  <inkml:trace contextRef="#ctx0" brushRef="#br0" timeOffset="974.45">957 219 18815,'25'-7'111,"0"0"0,1 2-1,50-5 1,-59 9-52,0 1 1,0 0-1,-1 1 0,1 0 1,0 1-1,0 1 0,19 6 1,-29-6-33,1 1-1,-1 0 1,0-1 0,0 2 0,-1 0 0,0-1-1,0 2 1,0-2 0,0 2 0,-1 0 0,6 8 0,2 4 79,-1 0 0,17 35 0,-26-46-78,0 1-1,0 1 1,-1-1 0,0 1 0,-1 0-1,0-1 1,-1 1 0,1-1 0,-2 1 0,1 0-1,-1-1 1,-1 1 0,-3 10 0,2-9 69,-1 1 1,0-1 0,0 1-1,-1-1 1,-1-1 0,0 1-1,-1 0 1,1-1-1,-17 15 1,23-23-97,0-1-1,-1 0 1,1 1-1,0-1 1,0 0 0,0 1-1,0-1 1,0 1-1,0-1 1,0 0 0,0 1-1,0-1 1,0 0-1,0 1 1,0-1 0,0 1-1,0-1 1,0 0-1,0 1 1,0-1 0,0 0-1,1 0 1,-1 0-1,0 0 1,0 1 0,0-1-1,1 0 1,-1 1-1,0-1 1,0 0 0,1 1-1,-1-1 1,0 0-1,1 0 1,-1 0 0,0 1-1,1-1 1,-1 0-1,0 0 1,1 0 0,-1 1-1,26 12 0,-6-3-4,27 16 4,-23-12 0,25 17 0,-42-26 0,0 0 0,0 2 0,0-2 0,-1 2 0,0-1 0,-1 2 0,7 8 0,-7-7 0,-1-2 0,0 1 0,0 0 0,-1 0 0,2 12 0,-5-16 0,1-2 0,-1 1 0,0 0 0,1 1 0,-2-2 0,1 1 0,0 1 0,-1-1 0,1-1 0,-1 1 0,0 1 0,1-1 0,-1 0 0,-1-1 0,1 1 0,-1 0 0,0-1 0,-2 4 0,-2 0 16,0 0-1,0 0 1,-1 0-1,0-1 0,0 0 1,0-1-1,-9 6 1,-59 20 223,11-4-90,53-20-583,-39 16 1484,46-21-2059,0 0 0,0 1-1,0-1 1,-1-1 0,-7 2-1</inkml:trace>
  <inkml:trace contextRef="#ctx0" brushRef="#br0" timeOffset="1787.59">2321 435 17279,'5'-4'1,"0"0"0,0 1 0,-1-1 0,1-1 0,-1 2 0,0-2 0,0 0 0,-1 0 0,0 0 0,1 0 0,-2 0 0,1-1 0,-1 2-1,0-2 1,0 0 0,0 0 0,-1 0 0,0 1 0,0-1 0,-1 1 0,0-2 0,0-9 0,-2 3 40,2 1 49,-2 1 1,-4-20-1,5 29-63,0-2 0,0 1 0,0 0 1,-1 1-1,1-1 0,-1 0 0,1 0 0,-1 1 0,0 0 1,0-1-1,-1 1 0,1 0 0,0-1 0,-1 1 0,-4-2 0,-3-2 39,-1 2-1,1-1 1,-1 1-1,-1 1 0,1 0 1,0 0-1,-1 0 0,-23-1 1,28 4-48,0 0 0,0 0-1,0 0 1,-1 1 0,1 0 0,0 1 0,0 0 0,0 0 0,0 0 0,1 1 0,-1-1 0,1 1-1,-1 1 1,1-1 0,-11 9 0,8-4-16,1 0 0,0 2 1,0-1-1,1 1 0,1-1 0,0 2 0,0-1 1,1 1-1,0-1 0,1 1 0,-4 19 0,-2 15-4,-5 76 0,10-69 1,0 6 52,2 63 0,5-89-18,1 1 0,1-1 1,15 49-1,-19-77-18,1-1 0,0 0 0,1 0-1,-1 0 1,1 0 0,-1 0 0,1-1 0,3 5 0,-4-5-3,1-1 1,-1 0-1,1 0 1,-1-1-1,0 1 1,1 0-1,-1-1 1,1 1-1,0 0 1,-1-1-1,1 1 1,0-1-1,-1 1 1,1-1 0,0 0-1,-1 0 1,1 0-1,0 0 1,2 0-1,3-1 18,-1 0 0,0 0 0,1 0 1,-1-1-1,0 1 0,0-1 0,0-1 0,0 0 0,-1 0 0,1 1 0,-1-2 1,1 0-1,-1 0 0,-1 1 0,1-1 0,7-9 0,3-5 95,-1 0 0,-1-2 0,12-23 0,-16 28-92,-3 4 11,-1-1-1,0 1 0,-1-1 1,0 0-1,3-19 0,1-63 82,-4 36-19,-3 51-88,0-2-1,0 2 1,-1-1-1,-1-1 1,1 2-1,-1-2 1,-1 2 0,1 0-1,-1-2 1,-1 2-1,0-1 1,0 1-1,0-1 1,-1 1 0,0 0-1,-6-7 1,-9-11 5,-6-9-131,6 14-3861</inkml:trace>
  <inkml:trace contextRef="#ctx0" brushRef="#br0" timeOffset="2568.34">2764 39 18303,'-37'26'0,"36"-25"1,1-1-1,-1 1 1,1-1-1,-1 1 1,1-1-1,-1 0 1,1 1-1,-1-1 1,1 0-1,-1 1 1,0-1-1,1 0 1,-1 0-1,1 0 1,-1 1-1,0-1 1,1 0-1,-1 0 1,0 0-1,1 0 1,-1 0-1,0 0 1,1 0-1,-1 0 1,0-1-1,1 1 1,-1 0-1,1 0 1,-1 0-1,0-1 1,1 1-1,-1 0 1,1-1-1,-1 1 1,1 0-1,-1-1 1,1 1-1,-1-1 1,1 1-1,-1-1 1,1 1-1,-1-2 1,-4 24 212,2-2-164,1-1 0,1 2-1,1-1 1,2 0 0,-1 0 0,2 0 0,6 20-1,50 134 358,-47-142-285,-7-17-71,10 25 282,1-1 0,28 46 0,-43-83-303,0 0 1,0-1-1,0 1 1,0 0-1,0-1 1,1 0-1,-1 0 1,1 1-1,-1-1 1,4 2-1,-4-2-13,-1-1-1,1 0 1,-1 0-1,1 0 1,-1 1-1,1-1 1,0 0-1,-1 0 1,1 0-1,-1 0 1,1 0-1,0 0 1,-1 0-1,1 0 1,-1-1-1,1 1 1,0 0-1,-1 0 1,1 0-1,-1-1 1,1 1-1,-1 0 1,2-1-1,1-2 43,0 0-1,0 0 0,0-1 1,0 0-1,0 1 0,-1-1 1,3-5-1,-2 2-60,24-36 241,-13 21-59,20-43 1,54-181 414,-63 171-313,8-55-196,-21 97-536,-12 32 350,0 0-1,1 1 0,-1-1 0,0 0 1,0 1-1,1-1 0,-1 0 0,0 1 1,1 0-1,-1 0 0,1-1 0,-1 0 1,1 1-1,-1-1 0,1 1 0,-1-1 1,1 1-1,-1 0 0,1-1 0,0 1 0,-1 0 1,1-1-1,0 1 0,-1 0 0,1 0 1,0-1-1,-1 1 0,1 0 0,0 0 1,0 0-1,-1 0 0,1 0 0,0 0 1,-1 0-1,1 0 0,0 0 0,0 1 1,-1-1-1,1 0 0,0 0 0,-1 1 1,1-1-1,1 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51.49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1703 176 19711,'50'-9'0,"-29"8"18,-21 1-18,0 0 1,0 0 0,0 0-1,0 0 1,0 0 0,1 0-1,-1 0 1,0 0-1,0 0 1,0 0 0,0 0-1,0 0 1,0 0 0,0 0-1,0 0 1,0 0 0,0 0-1,1 0 1,-1 0-1,0 0 1,0 0 0,0 1-1,0-1 1,0 0 0,0 0-1,0 0 1,0 0 0,0 0-1,0 0 1,0 0-1,0 0 1,0 0 0,0 0-1,0 1 1,0-1 0,0 0-1,0 0 1,0 0 0,0 0-1,0 0 1,0 0-1,0 0 1,0 0 0,0 1-1,0-1 1,0 0 0,0 0-1,0 0 1,0 0 0,0 0-1,0 0 1,0 0-1,0 0 1,0 0 0,0 0-1,0 1 1,0-1 0,0 0-1,-1 0 1,1 0 0,0 0-1,0 0 1,0 0-1,0 0 1,-21 12 90,-10-6 143,33-9 53,7-4-190,12-6 95,24-16-1,-27 17-55,-1 1-1,25-11 1,4 3 51,1 4 0,1 1 0,0 2-1,1 2 1,95-6 0,-24 11-65,153 13 0,-199-1-62,1 5-1,0 0 1,-1 5 0,130 45 0,93 61 196,-281-118-242,0 1 1,1-2 0,-1 0-1,1-1 1,0-1 0,1 0-1,-1-1 1,33-1 0,-41-1-27,0 0 1,0-1-1,0 1 1,0-1-1,0-1 1,-1 0 0,0 0-1,1 0 1,-1-2-1,-1 2 1,1-3-1,-1 2 1,1-3-1,-2 2 1,1-1 0,-1 1-1,1-3 1,7-9-1,29-57-2589,-27 43-1134</inkml:trace>
  <inkml:trace contextRef="#ctx0" brushRef="#br0" timeOffset="2344.33">2146 614 4096,'0'0'18687,"0"4"-18559,-16 458 380,17-368-504,1 29 57,0-40 26,-16 168 0,13-245-78,-1 8 8,0-1 1,0 0-1,-1-1 1,-1 1 0,0 0-1,-1-2 1,-7 16-1,12-27-17,0 0 0,-1 0 1,1 0-1,0 0 0,0 0 0,-1 0 0,1 0 0,0 0 0,0 0 0,-1 0 0,1 0 1,0 0-1,0 0 0,0 0 0,-1-1 0,1 1 0,0 0 0,0 0 0,-1 0 0,1 0 1,0 0-1,0 0 0,0-1 0,0 1 0,-1 0 0,1 0 0,0 0 0,0 0 0,0-1 0,0 1 1,0 0-1,-1 0 0,1 0 0,0-1 0,0 1 0,0 0 0,0 0 0,0 0 0,0 0 1,0 0-1,0 0 0,0 0 0,0-1 0,0 1 0,0 0 0,0 0 0,0-1 0,0 1 1,0 0-1,-3-16-27,-3-26-223,-1-79 0,13-48-651,-2 81 531,27-307-675,-21 281 931,-9 79 121,3-1 0,0 0 1,19-66-1,-22 100 7,0 1 0,0-2 0,1 1 0,-1 0 0,0-1 0,1 2 0,-1 0 0,1-1 0,0 1 0,0-1 0,0 1 1,0 0-1,-1-1 0,2 1 0,-1 1 0,0-1 0,0 0 0,0 0 0,0 1 0,1-1 0,-1 1 0,0-1 0,1 1 0,-1 0 0,3 0 1,6-1 35,0 1 1,0 0-1,0 1 1,11 3-1,12 0 52,-1 3-1,0 1 0,44 16 1,-46-11-27,40 15 43,-64-23-100,1-2 1,-2 1-1,1 1 1,0-1-1,-1 1 1,0 1-1,6 6 1,4 6 17,0 2 25,-1-3 0,-1 1 0,-1 2 0,13 22 0,-23-35-43,0-1 0,-1 1 0,0-1 0,0 0 0,-1 1 0,0 0 0,0 0 0,0 1 0,-1-2 0,0 1 0,-1 0 0,1-1 0,-1 1 0,0 0 0,0 2 0,-1-4 0,0 1 0,-4 9 0,-5 5 44,0-1 1,-15 20-1,4-8 7,16-23-37,0 0 1,0 0-1,-1 0 1,0-2-1,0 0 1,-1 1-1,0-1 1,0 1-1,-13 5 1,0-3 65,-1 1 0,-42 12-1,51-21-61,10-1-26,0 0 0,-1 2 0,1-2 1,0 1-1,0-1 0,0 1 1,0 0-1,-4 1 0,-8 1-10,12-1 0,2 2 0,4 0 0,3-3 0,-2-4 0,39 34 0,-5 1 0,-30-27 0,0 2 0,0 0 0,13 14 0,-4 0 27,35 30-1,-35-36-7,-1 2 0,-1-1 0,22 28-1,21 64-18,4 3 0,-55-102 30,-1 0 1,2-2-1,-1 0 0,1 2 0,0-2 1,1-1-1,0 1 0,0-2 0,0 2 0,1-2 1,10 4-1,-12-7-21,5 6 259,-13-8-239,0 0 0,1 0 0,-1 0 0,0 0 0,0 1 0,1-1 0,-1 0 0,0 0 0,1 0-1,-1 0 1,0 0 0,1 0 0,-1 0 0,0 0 0,1 0 0,-1 0 0,0 0 0,1 0 0,-1 0 0,0 0 0,1 0-1,-1 0 1,0 0 0,0 0 0,1 0 0,-1-1 0,5 1-212,5 0-3124</inkml:trace>
  <inkml:trace contextRef="#ctx0" brushRef="#br0" timeOffset="191117.34">1832 2760 14464,'-3'24'114,"-1"3"1,2-1-1,1 0 1,2 33 0,19 104 523,-6-62-335,-2-1-164,57 499 277,-57-475-368,61 782-203,-63-737-600,-2-45-2778,-5-81-4509</inkml:trace>
  <inkml:trace contextRef="#ctx0" brushRef="#br0" timeOffset="191719.59">1014 4029 20607,'33'2'0,"57"-4"0,-56-1 0,0 3 0,0 2 0,61 9 0,100 30 0,-82-14 0,494 60 0,-177-31 0,218 75 324,-526-106-285,112 23 115,1-10-1,3-12 1,-1-5-1,295-20 1,-162-43-88,12-31-5077,-371 71 4708,161-33-10683</inkml:trace>
  <inkml:trace contextRef="#ctx0" brushRef="#br0" timeOffset="193435.9">1914 4395 18559,'41'-19'22,"-41"19"-20,-1 0 1,0 0 0,1 2-1,-1-2 1,0 0 0,1 0-1,-1 0 1,0 0 0,0 0-1,1 0 1,-1 0 0,0 0-1,1 0 1,-1 0 0,0 0-1,0 0 1,1-2 0,-1 2-1,0 0 1,1 0 0,-1-1-1,1 1 1,-1 0 0,0-1-1,1 1 1,-1-1 0,0 0-1,0-1 9,0 1-1,0-1 0,0 1 0,1-1 1,-1 0-1,0 1 0,1-1 0,0 1 0,-1-1 1,1 1-1,0-3 0,0-6 31,0 1 1,0 1-1,3-14 0,5-11-41,2-1 0,1-1 0,2 4 0,20-38 0,-18 41 51,2-1 1,1 3-1,1-2 0,35-36 0,102-86 375,-90 91-318,117-129 525,-151 154-541,-12 14-51,1-1-1,1 4 1,0-2-1,2 2 1,33-18 0,-37 22-8,1 4 1,0 0-1,0 2 1,1 0-1,0 0 1,1 3-1,33-5 1,-30 7-30,0 1 1,1 1-1,-1 1 1,-1 1-1,29 5 1,-42-3-6,0-2 1,-1 1 0,1 1-1,-1-1 1,0 3-1,0-1 1,0 0 0,-1 1-1,1 0 1,-2 4 0,1-3-1,-1 0 1,12 14-1,16 25 21,-2 2-1,52 98 1,31 114 71,-15-27 15,-102-229-107,8 10 19,-1 2 0,-1-1 0,0 2 0,-2-1 0,6 24 0,17 115 3,-12-36-21,-13-90 0,0 1 0,2-1 0,1 1 0,2 0 0,15 38 0,-17-56 0,11 27 0,1-1 0,2-4 0,47 67 0,-61-96 0,0 2 0,1-1 0,0-1 0,0 1 0,0-1 0,1-2 0,-1 2 0,1-2 0,0 2 0,17 3 0,5 1 0,56 6 0,-64-12 0,-20-2 0,42 5 79,85 3 1,-117-9-55,0 0 1,0 0-1,1-2 1,-1 0-1,0 0 1,0-1 0,-1 0-1,1-1 1,-1-2-1,0 2 1,0-1-1,13-9 1,58-44 113,80-74-1,-145 112-138,0 2 0,-2-2 0,0-2 0,12-21 0,14-20 0,-15 26 0,-8 14 0,-2 0 0,14-28 0,1-10 79,-2 0-1,29-95 0,-41 61 65,-1 10 98,-14 65-241,38 19-5099,-5-2-6676</inkml:trace>
  <inkml:trace contextRef="#ctx0" brushRef="#br0" timeOffset="197748.73">1164 3334 18815,'29'-13'-21,"0"2"0,1 0-1,0 1 1,1 3 0,0 1-1,0 1 1,1 2 0,-1 0-1,1 2 1,35 3 0,163 21-95,25 5 82,-140-20-19,189-10 0,-71-20-800,173-9-2731,-243 27-5824</inkml:trace>
  <inkml:trace contextRef="#ctx0" brushRef="#br0" timeOffset="199456.48">37 2860 18175,'0'3'107,"-3"9"-41,0 1 0,-9 22 0,9-27-28,-1 1-1,1 0 0,1 1 0,-1-2 0,2 2 1,-1-1-1,1 0 0,1 19 0,2-15-37,1 2-1,0-1 0,1 0 1,0-2-1,1 2 0,1-1 1,9 16-1,-12-24 2,0-2 1,0 3-1,1-2 0,-1 0 0,1 0 0,0 0 1,0-1-1,1 0 0,-1 1 0,1-2 0,-1 1 1,1-1-1,0 1 0,0 0 0,0-2 0,1 1 1,-1 0-1,0-1 0,1 1 0,-1-1 1,11 0-1,-3 0 13,0-1-1,0-1 1,1 0 0,23-7 0,-30 5-11,1 1 1,-1-1-1,0 0 1,-1 0-1,1-1 0,0 0 1,-1 1-1,0-2 1,0 0-1,5-6 0,33-31 76,-2-4-1,44-60 0,-35 41 36,11-18 177,-51 70-34,-11 13-253,0 0 0,0 0 0,0 0 0,0 0 1,1 0-1,-1 0 0,0 0 0,0 0 1,0 0-1,0 0 0,1 0 0,-1 0 0,0 0 1,0 0-1,0 0 0,0 0 0,1 0 1,-1 1-1,0-1 0,0 0 0,0 0 0,0 0 1,0 0-1,1 0 0,-1 0 0,0 0 1,0 1-1,0-1 0,0 0 0,0 0 0,0 0 1,0 0-1,0 0 0,0 2 0,1-2 1,-1 0-1,0 0 0,0 0 0,0 0 0,0 1 1,0-1-1,0 0 0,0 0 0,0 2 10,0 0 0,0 0-1,0 0 1,-1 1-1,1-1 1,0 0 0,-1 0-1,0 0 1,1 0-1,-1 0 1,0-1-1,-2 4 1,-5 9 30,-4 6 46,-18 38 0,28-53-86,0 0 0,0 0 0,0 2 0,1-2 0,0 2 0,0-2 1,1 1-1,-1 0 0,1 0 0,1-1 0,-1 1 0,3 9 0,2 4-21,-1 1-1,-1 1 0,0-1 0,-2 2 0,-2 36 1,1-53-102,-1-1 1,1 1-1,1 0 1,-1-1-1,1 1 1,0 0-1,0 1 1,0-2-1,1 0 1,3 9-1,-1-6-851,1 0 0,-1-1 0,10 11 0</inkml:trace>
  <inkml:trace contextRef="#ctx0" brushRef="#br0" timeOffset="202377.42">3183 2987 12160,'0'0'-363,"0"4"64,-2 19-62,-1-1-1,-1 1 0,-1 0 0,-1-1 1,-2-1-1,-11 27 0,6-15-142,-18 71-1,26-81 450,2 0-1,1 0 1,1 0-1,2 24 1,25 135-378,-6-70-30,24 330-1626,-24-199 765,6 13-383</inkml:trace>
  <inkml:trace contextRef="#ctx0" brushRef="#br0" timeOffset="204453.94">72 2259 18303,'0'0'2048,"2"-5"-1941,-2 4-107,24-58 150,-21 54-126,0-1-1,0-1 0,0 3 1,1-1-1,0 1 1,0-1-1,1 1 0,-1 0 1,9-8-1,179-122 233,-163 112-251,1 3 1,1-1-1,57-23 0,-87 43-5,0-1 0,1 0 0,-1 1 0,0 0 0,1-2 0,-1 2 0,1 0 0,-1-1 0,1 1 0,-1 0 0,1 0 0,-1 0 0,1 1 0,-1-1 0,0 0 0,1 2 0,-1-2 0,1 0 0,-1 1 0,0 0 0,0-1 0,2 2 0,0 0 0,-1 0 0,1 0 0,0 0 0,-1 1 0,0 0 0,1-1 0,-1 0 0,0 1 0,1 5 0,2 0 0,-1 1 0,-1 0 0,0 0 0,0-1 0,-1 2 0,2 13 0,1 74 0,4 38 0,12 83 256,-21-215-297,0 0-1,0 0 0,0 0 0,1 0 1,0 0-1,-1 0 0,1-2 1,0 3-1,0-1 0,1-1 0,2 5 1,-3-6-21,1 0 1,-1 3 0,1-3 0,-1 0 0,1 0-1,-1-1 1,1 0 0,0 1 0,-1-1-1,1 1 1,0-1 0,0 1 0,-1-1 0,1 0-1,0 1 1,0-1 0,0 0 0,2-1-1,13 1-2754</inkml:trace>
  <inkml:trace contextRef="#ctx0" brushRef="#br0" timeOffset="-210932.31">5428 2788 16639,'-1'4'-106,"-46"130"82,32-85 26,1-4 130,3 0-1,1 1 0,3 0 0,1-1 0,3 1 0,4 75 0,0-111-70,1-1 0,0 1 1,0-1-1,0 1 0,2 0 1,-1-1-1,8 13 0,-10-21-50,-1 1 0,1-1 0,-1 0 0,1 0 0,-1 0 0,1-1 0,0 1 0,0 0 0,-1-1 0,1 1 0,0 0 0,0-1 0,0 1 0,0-1 0,0 0 0,0 0 0,0 0 0,0 1 0,0-1 0,0 0 0,0 1 0,0-1 0,0 0 0,0 0 0,0 0-1,0 0 1,0 0 0,0 0 0,0-1 0,0 1 0,0 0 0,0 0 0,0-1 0,0 1 0,0 0 0,0 0 0,-1 0 0,1-1 0,0 0 0,0 1 0,0-1 0,0 0 0,0 0 0,6-6 49,0 1 0,0 0 1,10-13-1,-11 12-16,81-91 209,-13 17-49,76-110 1,-121 147-118,-20 26-38,1 2 1,2 1-1,-1-2 1,2 3-1,23-24 1,-24 30-25,-6 8 1,-5 18 17,-2 2-31,2 55 127,-10 79 0,-1-79-38,-1 20 11,9-6-11,-4 71 75,6-155-178,-1-1 0,1 3-1,1-3 1,-1 1 0,1 0-1,0 0 1,0-1-1,3 12 1,-4-16-1,0 0 0,0 0 0,1 0 1,-1 0-1,0 0 0,0 1 0,0-1 0,0 0 0,0 0 0,0 0 1,0 0-1,0 0 0,0 0 0,0 0 0,0 0 0,0 0 0,0 0 0,0 0 1,1 0-1,-1 0 0,0 0 0,0 0 0,0 0 0,0 1 0,0-1 1,0 0-1,0 0 0,0 0 0,0 0 0,1 0 0,-1 0 0,0 0 0,0 0 1,0 0-1,0-1 0,0 1 0,0 0 0,0 0 0,0 0 0,0 0 1,0 0-1,1 0 0,-1 0 0,0 0 0,0 0 0,0 0 0,0 0 1,0 0-1,0 0 0,0 0 0,0 0 0,0 0 0,0 0 0,0-1 0,0 1 1,0 0-1,0 0 0,0 0 0,0 0 0,1 0 0,-1 0 0,0 0 1,0 0-1,0-1 0,5-11-290,3-12-465,21-111-3679,-21 88-5611</inkml:trace>
  <inkml:trace contextRef="#ctx0" brushRef="#br0" timeOffset="-210237.9">5477 2552 17279,'0'0'256,"3"-5"-128,30-44 331,82-89 0,-95 114-313,-1 2 1,-1-3 0,-2 0-1,26-54 1,-22 41-6,-14 25-96,0 2 0,1-1-1,1 1 1,0 0-1,0 0 1,1 1 0,1 1-1,0-1 1,0 0-1,13-7 1,-22 15-41,-1 2 1,0 0-1,1 0 0,-1 0 0,0 0 1,1-1-1,-1 1 0,0 0 1,1 0-1,-1 0 0,0 0 0,1 0 1,-1 0-1,1 0 0,-1 0 1,0 0-1,1 0 0,-1 0 0,0 0 1,1 0-1,-1 0 0,0 1 1,1-1-1,-1 0 0,0 0 0,1 0 1,-1 0-1,0 2 0,1-2 1,-1 0-1,0 0 0,0 1 0,1-1 1,-1 0-1,0 1 0,0-1 1,1 0-1,-1 0 0,0 1 0,0-1 1,0 0-1,0 1 0,0-1 1,0 1-1,1-1 0,-1 0 0,0 1 1,0-1-1,0 0 0,0 1 1,0-1-1,0 0 0,0 1 0,-1-1 1,2 30 87,-1-20-36,1 40 71,-2 1 1,-15 90-1,8-84 13,-2 93-1,7-77-1013,4-72 758,-1 1 1,1-1 0,0 0-1,0 0 1,0 0 0,-1-1-1,1 1 1,0 1 0,0-2-1,0 1 1,0 0-1,0-1 1,0 0 0,0 0-1,0 0 1,0 1 0,1-1-1,-1 0 1,0 1 0,0-1-1,0 0 1,0 0 0,2 0-1,1 0-1424</inkml:trace>
  <inkml:trace contextRef="#ctx0" brushRef="#br0" timeOffset="-208405.46">6349 3285 17023,'28'-15'34,"-23"12"-18,0 0 1,1-1-1,-1 0 0,1 2 0,0-1 1,0 1-1,0 0 0,0 0 0,0 1 1,0 1-1,1-1 0,-1 0 0,0 1 1,9 0-1,-4 2 42,1-1 1,-1 2 0,0 1-1,0-1 1,0 2 0,-1 1-1,18 8 1,-22-11-65,1-1-1,0 0 1,0 0-1,-1-2 1,1 1-1,0 0 1,0 0-1,1-1 1,-1 0-1,0-1 1,8-1-1,5 2-256,-15 0-256,-1-1 0,1 1 0,-1-1-1,1 0 1,6-3 0</inkml:trace>
  <inkml:trace contextRef="#ctx0" brushRef="#br0" timeOffset="-208034.99">6364 3049 18175,'13'-3'-3,"0"0"0,0 2 0,0-2 0,0 2 0,0 1 0,21 1 0,187 7-3187,-179-8 748,-8 0-5856</inkml:trace>
  <inkml:trace contextRef="#ctx0" brushRef="#br0" timeOffset="-206901.12">7106 2687 18047,'8'-4'0,"0"0"0,0 1 0,0-1 0,14-2 0,-18 5 0,0 0 0,0 1 0,0 0 0,-1-1 0,1 1 0,0 1 0,0-1 0,0 0 0,0 1 0,0 0 0,-1 0 0,1 0 0,6 2 0,10 6 15,-10-6 23,0 2 0,16 11 0,-22-14-30,-1 0 1,0 1 0,0 0 0,0-1 0,0 1 0,-1 1 0,1 0 0,-1-2-1,0 2 1,0 0 0,2 3 0,0 5 12,-1-2 0,0 1 0,-1 0 1,0-1-1,-1 1 0,0 1 0,-1-2 0,0 0 0,-1 2 0,0-1 0,0-1 0,-2 1 0,1 0 1,-5 12-1,-8 14 65,-1 0 1,-32 53 0,22-43-24,-15 25 35,-24 49 188,61-112-274,1-2 0,0 1 0,1 1 0,0 1 0,0-2-1,1 0 1,0 1 0,0-1 0,1 0 0,1 1 0,-1 0 0,4 14 0,-2-15-5,0 0 1,0-2 0,1 1-1,0-1 1,0 1 0,0-1-1,1 0 1,0 0 0,0 0-1,1 1 1,0-2 0,0 0-1,0 0 1,1-1 0,9 8-1,-11-10-44,0 1 0,1-1-1,-1-2 1,0 3 0,1-2-1,-1 1 1,1-1 0,-1-1-1,1 1 1,-1-1 0,1 1-1,0-1 1,-1-1 0,1 1-1,-1-1 1,1 1 0,5-3-1,5-1-274,0-1 0,-1-2 0,25-10 0,-33 14-237,-1 0 0,0 0 0,0-2-1,0 2 1,0-3 0,0 2-1,3-5 1,12-12-8240</inkml:trace>
  <inkml:trace contextRef="#ctx0" brushRef="#br0" timeOffset="-206137.25">7421 2679 17919,'9'5'39,"1"3"-1,0-3 0,1 1 1,-1-2-1,1 1 0,0-1 1,1-1-1,-1 1 0,1-2 1,22 2-1,6 3 31,-36-6-62,1 0-1,-1-1 1,1 1-1,-1 1 0,0 0 1,0 0-1,0 0 1,0-1-1,0 2 1,0 1-1,0-1 1,-1 0-1,6 5 1,-4-1 1,0-1 1,-1 1-1,0-1 0,0 1 1,-1 1-1,5 13 0,-1-1 0,-3-9 11,0-2 0,-1 2 0,0-1 0,-1 0 0,1 14-1,-2-21-13,-2-1 0,1 1-1,0 0 1,0 0-1,-1-1 1,0 2-1,1-1 1,-1 0-1,0-2 1,-1 3-1,1-1 1,0 0 0,-1-2-1,1 2 1,-1-1-1,0 0 1,0 1-1,0-2 1,0 2-1,0-1 1,-1 0-1,1 0 1,-1-1 0,-3 2-1,-8 4-4,-1-2 0,0 2 0,0-2 0,-1-1 0,1 0 0,-21 1 0,36-5 0,-1 0-10,0 0 0,0 0 0,0 0-1,0 1 1,0-1 0,0 0 0,0 0 0,0 1 0,1-1-1,-1 1 1,0-1 0,0 1 0,0-1 0,1 1 0,-1-1-1,0 0 1,0 1 0,1-1 0,-1 1 0,1 0 0,-2 1-1,2-2-6,0 1-1,0 0 1,0 0 0,0 0-1,0-1 1,0 2-1,0-1 1,0-1-1,0 1 1,0 0-1,0-1 1,1 1-1,-1 0 1,0 0-1,1 0 1,-1-1-1,0 1 1,1 0 0,0 0-1,2 4-57,1-1 0,0 1 0,0-1-1,0 1 1,9 4 0,9 8-98,-1 3 0,-1 0 0,28 36-1,-38-43 120,-1-2 23,0 1 0,0-1 0,-2 1 0,1 1 0,-2 0 0,0 1 0,0 0-1,-1-1 1,4 20 0,-8-25 66,0-1 0,0 1-1,-1-1 1,0 0 0,0 1 0,-1-1 0,0 1-1,0 0 1,-1-1 0,0-1 0,0 2-1,-1-2 1,0 2 0,0-1 0,0-1-1,-1 1 1,0-1 0,-1 1 0,-7 6-1,7-9 24,1 1-1,-1-2 0,0 2 1,0-2-1,-1-1 0,1 1 1,-1 0-1,1-1 0,-1 0 1,0-1-1,0 1 0,-9 1 1,-6 0-15,0-1 0,-28-2 0,34 1-258,-47-2 262,57 0-499,0 0-1,0 0 1,0 0-1,0 0 1,0-1-1,0 1 0,0-1 1,1 0-1,-9-5 1</inkml:trace>
  <inkml:trace contextRef="#ctx0" brushRef="#br0" timeOffset="-205492.08">7977 2987 18303,'-1'-12'-2,"-3"-36"1,3 44-12,0 0 1,1 2 0,-1-2 0,-1 0 0,1 1 0,0-1 0,-1 0 0,0 2-1,0-1 1,0 0 0,-3-3 0,-28-36-457,33 42 455,-1-1 1,1 1 0,0 0-1,-1-1 1,1 1 0,0 0-1,-1 0 1,1 0 0,-1 0-1,1-1 1,-1 1 0,1 0-1,-1 0 1,1-1 0,0 1-1,-1 0 1,1 0 0,-1 0-1,1 0 1,-1 0 0,0-1-1,1 1 1,-1 0 0,1 0-1,-1 0 1,1 1 0,-1-1-1,1 0 1,-2 0 0,-9 13-393,-1 20 38,1 13 194,3 2-1,2 0 0,2 2 0,3 71 0,3-83 154,-3-21 21,2 1 0,0-1 0,1 0 0,1 1 0,7 23 0,-10-40 5,1 0 0,-1 1 0,1-1 0,-1 0 1,1-1-1,-1 1 0,1 0 0,0 0 1,0 0-1,-1 0 0,1 0 0,0 0 1,0 0-1,0 0 0,0 0 0,0-1 0,0 1 1,0-1-1,0 0 0,1 1 0,-1-1 1,0 1-1,0-1 0,0 0 0,2 1 1,0-1 20,-1 0 0,1 0 0,0-1 0,-1 1 0,1-1 0,0 1 0,-1-1 0,1 1 0,-1-1 0,1 0 0,2-2 0,5-3 89,-2 1 0,1-3 0,0 0 0,13-12 0,-14 10-5,0 1-1,0-2 0,-1 0 1,-1 1-1,7-17 0,22-61 365,-12 24-174,-3 19-22,-12 27-171,0 2-1,0-3 1,-3 2-1,0-3 1,0 2-1,3-31 1,-7 39-25,-1-1 0,0 1 1,0-2-1,-1 1 0,-1 1 0,-3-13 1,5 22-80,0 0 0,0 1 0,0 0-1,0 0 1,-1-1 0,1 0 0,0 1 0,0-1 0,-1 1 0,1-2 0,0 2 0,-1-1 0,1 1 0,0-1 0,-1 1 0,1-1 0,-1 1 0,1-1-1,-1 1 1,1 0 0,-1-1 0,1 1 0,-1 0 0,1-1 0,-1 1 0,0 0 0,1 0 0,-1 0 0,1 0 0,-1-1 0,1 1 0,0 0-1,-1 0 1,1 0 0,-1 0 0,0 0 0,1 0 0,-1 1 0,0-1 0,1 0 0,-1 0 0,1 0 0,-1 0 0,0 1 0,1-1 0,-1 0 0,1 1-1,-1-1 1,1 0 0,-1 1 0,1-1 0,-1 1 0,1-1 0,-1 2 0,-5 3-17,1 0 1,0 1-1,-8 9 0,3-2-704,2 3 0,-1-3 0,2 2 0,0 0-1,-8 28 1,4-11-9756</inkml:trace>
  <inkml:trace contextRef="#ctx0" brushRef="#br0" timeOffset="-204643.3">8363 2740 17919,'-5'35'118,"0"49"-1,4-60-18,-9 46 0,6-45-49,-3 36 1,13 53 92,-1-13 76,-6 16 443,39-174 84,-13-2-521,-4 1 0,22-95-1,14-40-23,-47 164-191,41-104 138,-39 108-108,1-1-1,30-43 1,-43 68-44,1 0 0,0 0 0,-1-1 0,1 1 0,0-1 0,0 1 0,0 1-1,0-1 1,0 1 0,0-1 0,0 0 0,0 1 0,0-1 0,1 0 0,-1 1 0,0-1-1,2 0 1,-2 1-29,0 0 0,-1 1 0,1-1 0,0 0 0,-1 0 0,1 0-1,0 1 1,-1-1 0,1 0 0,-1 1 0,1-1 0,0 0 0,-1 1-1,1-1 1,-1 1 0,1-1 0,-1 1 0,0-1 0,1 0 0,-1 0-1,1 1 1,-1-1 0,1 3 0,1 3-249,1-1 0,-1 1 1,-1-1-1,1 1 0,0 10 0,3 14-2683,0 2-7765</inkml:trace>
  <inkml:trace contextRef="#ctx0" brushRef="#br0" timeOffset="-204127.65">8998 3012 21631,'0'0'0</inkml:trace>
  <inkml:trace contextRef="#ctx0" brushRef="#br0" timeOffset="-202759.34">9160 2800 17407,'-1'8'0,"1"0"0,0 0 0,1 0 0,-1 0 0,1-1 0,4 11 0,-1 2 0,-3-16 0,0 0 0,0 0 0,0 0 0,0 1 0,1-2 0,3 8 0,5 5 0,0 1 0,-1 1 0,-1 0 0,-1 2 0,-2-3 0,1 1 0,4 31 0,2 35 21,18 111 726,-29-190-692,6 17 481,-7-21-528,0-1 1,0 0 0,1 0 0,-1 1 0,0-1 0,0 0 0,1 0 0,-1 1 0,0-1 0,1 0 0,-1 0 0,0 0 0,1 0-1,-1 0 1,1 0 0,-1 0 0,0 0 0,1 0 0,-1 0 0,0 0 0,1 0 0,-1 0 0,1 0 0,-1 0 0,0 0 0,1 0-1,-1 0 1,0 0 0,1 0 0,-1 0 0,1 0 0,-1 0 0,0 0 0,1 0 0,-1-1 0,0 1 0,1 0 0,-1 0 0,0-1 0,0 1-1,1 0 1,-1 0 0,0-1 0,0 1 0,0 0 0,1-1 0,-1 1 0,0 0 0,0-1 0,0 0 0,4-3 21,-1-1 1,-1 1 0,1 0-1,-1-1 1,1 0-1,-1 1 1,-1-1-1,1-2 1,-1 2 0,2-9-1,-1-9 35,0-28 0,-2 16-19,-2-610 1468,0 604-1311,4-41 0,-2 79-197,1-1-1,0-1 1,0 2 0,0-1 0,1 0 0,-1 1 0,1-1 0,0 1-1,0 0 1,0 0 0,1-1 0,-1 2 0,1-1 0,0 0 0,0-1-1,0 3 1,0-3 0,0 2 0,0-1 0,1 1 0,-1 1 0,1-1-1,4-1 1,6-2 28,0 1-1,0-1 1,0 2-1,0 0 1,18-1-1,-14 3 43,31 2 0,-39 0-63,0 0-1,0-1 1,0 0-1,0-1 1,0 0-1,0 0 1,0-1-1,0 1 1,17-9-1,-1-3-17,25-9 288,-50 21-198,3-3-42,-4 4 42,-5 17-59,1-9-31,-10 41 5,7-25 0,-7 44 0,11-47 0,-2 15 0,2 0 0,2-2 0,3 42 0,-1-52-18,-1 35 0,0 17-66,1-69 67,0 3 1,0-2 0,1-1 0,0 1-1,0 1 1,7 11 0,-8-18-101,-1-2 1,0 1 0,1-1 0,-1 1 0,1-1 0,-1 0 0,1 0-1,-1 1 1,1-1 0,-1 0 0,1 1 0,-1-1 0,1 0-1,-1 1 1,1-1 0,0 0 0,-1 0 0,1 0 0,0 1 0,-1-1-1,1 0 1,0 0 0,-1 0 0,1 0 0,0 0 0,-1 0-1,1 0 1,0 0 0,-1-1 0,1 1 0,-1 0 0,1 0-1,0 0 1,-1-1 0,1 1 0,-1 0 0,1-1 0,-1 1 0,1 0-1,-1-1 1,1 1 0,-1 0 0,1 0 0,0-1 0</inkml:trace>
  <inkml:trace contextRef="#ctx0" brushRef="#br0" timeOffset="-202061.08">9479 2687 18047,'11'-1'5,"1"1"0,0 1-1,-1 0 1,1 0 0,-1 2-1,1-2 1,16 9 0,-23-8-1,1-1 0,-1 2 0,1 0 0,-1 0 0,0-1 0,0 3 0,0-1 0,0-1 0,-1 1 1,1 0-1,-1 0 0,0 0 0,-1 0 0,1 3 0,-1-2 0,3 7 0,-3-6 16,-1 2 0,1 0 0,-2 1 0,1-2-1,-1 2 1,0-1 0,-1-1 0,0 1 0,0 0 0,-3 14 0,-1 4 73,-17 49 0,-9 1-93,12-34 0,11-23 0,5-15 0,1 1 0,-1-1 0,0 1 0,-1-1 0,1 1 0,-1 0 0,-5 4 0,7-7 0,0-1 0,0 2 0,0-1 0,0 0 0,0 0 0,0 0 0,0 0 0,0 0 0,1 1 0,-1-1 0,1 0 0,0-1 0,0 2 0,0-1 0,0 0 0,0 1 0,0-2 0,1 1 0,-1 0 0,1 1 0,-1-1 0,1 0 0,0 0 0,0 0 0,0 0 0,0 1 0,0-1 0,0-1 0,1 1 0,-1 0 0,3 1 0,2 4 0,1 1 0,0-1 0,1-1 0,-1 1 0,13 7 0,-2-4-715,0-1-1,32 13 0,-41-19-315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3.98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1 495 17151,'5'37'279,"-1"-1"-1,-2 76 1,0 0 272,11 274 599,-10-248-977,-10 1031 1192,2-764-1642,9-379-457,-4-26 723,0 0 0,0 1-1,0-1 1,0 0 0,1 0 0,-1 0-1,0 0 1,0 0 0,0 0 0,0 0-1,0 0 1,0 0 0,0 0 0,1 0-1,-1 0 1,0 0 0,0 0 0,0 0-1,0 0 1,0 0 0,1 0-1,-1 0 1,0 0 0,0 0 0,0 0-1,0 0 1,0 0 0,0 0 0,1 0-1,-1 0 1,0 0 0,0 0 0,0 0-1,0 0 1,0 0 0,0 0 0,1 0-1,-1 0 1,0-1 0,0 1-1,0 0 1,0 0 0,0 0 0,0 0-1,0 0 1,0 0 0,0-1 0,10-14-614,-4-2 43,0 1 0,-2-2 0,0 2 0,-1-1 0,0 0 0,-1-23 0,4-51-9530</inkml:trace>
  <inkml:trace contextRef="#ctx0" brushRef="#br0" timeOffset="1398.83">376 0 19583,'54'2'58,"0"2"0,-1 1 0,0 5 0,-1 0 0,0 2 0,74 28 0,-114-35-32,265 89 349,10-20-158,126-12-32,5-27 32,-276-25-128,658 28 256,1-76-7,27-74-11,-194 22-57,-280 34-96,-112 17 36,-204 33-178,0 1 0,1 3 0,70 3 0,83 22 105,43 3-20,-179-22-59,0-3-1,69-8 1,-109 6-45,-1 0 0,1 0 1,0 1-1,-1 1 0,1 1 1,0 0-1,28 8 0,-43-10-11,0 1-1,-1-1 1,1 0-1,-1 1 0,1-1 1,0 1-1,-1-1 1,1 1-1,-1-1 1,1 1-1,-1-1 1,1 1-1,-1 0 0,0-1 1,1 2-1,-1-1 1,0-1-1,1 1 1,-1 0-1,0-1 1,0 0-1,1 1 0,-1 0 1,0-1-1,0 1 1,0 0-1,0 0 1,0-1-1,0 1 0,0 0 1,-1 0-1,1-1 1,0 1-1,-1 1 1,-11 26 68,8-22-63,-4 12 2,1 1 0,1 0 0,0-1 0,2 1 0,-5 33 0,3 106 62,6-123-68,9 297-3,-4-232 0,23 324 0,3 99 0,-26-41 128,-32-3 0,13-363-88,-8 77 48,23-64-88,1-8 0,-2-120 0,0 0 0,0-1 0,0 1 0,0 1 0,0-1 0,0-1 0,0 1 0,-1 0 0,1 0 0,0-1 0,0 1 0,-1 0 0,1-1 0,0 0 0,-1 1 0,1-1 0,-1 1 0,1-1 0,-1 1 0,1 0 0,-1-1 0,1 1 0,-1-1 0,0 0 0,1 1 0,-1-1 0,0 1 0,1-1 0,-1 0 0,0 0 0,0 1 0,1-1 0,-1 0 0,0 0 0,0 0 0,1 0 0,-1 0 0,0 0 0,0 0 0,1 0 0,-1 0 0,0 0 0,0 0 0,1 0 0,-1-1 0,0 1 0,0 0 0,1 0 0,-1-1 0,0 1 0,0-1 0,-8-3 0,0 0 0,1-2 0,-12-6 0,10 5 0,-21-11 0,0 1 0,-2 1 0,0 2 0,0 2 0,-1-1 0,-1 3 0,0 2 0,-1 1 0,-63-6 0,-169 5 0,54 2 0,-229-29 0,304 21 70,0 8-1,0 5 0,-237 29 1,-147 48 143,62-7-64,-187-12 37,323-34-94,-517 23 292,678-43-293,-198 0-54,194-11 9,-181-1 14,259 14-740,-96-11 0,-100-34-4680,207 26-7119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9.14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73 174 17023,'0'0'2838,"1"7"-2625,28 128 555,-27-129-727,0 1-1,0-1 1,-1 1-1,0 0 1,-1 0-1,1-2 1,-1 4-1,-1-3 1,-2 13-1,1-11 15,0 1-1,1-2 1,0 2-1,0 0 1,1-2-1,1 2 1,-1-2-1,4 18 1,1-5 37,-1 0 1,-1 0-1,-1 1 1,0-1-1,-4 30 1,-21 214 653,17-228-640,-2 0 0,-15 42 0,16-56-61,4-10-39,1 0 0,0 0 1,1-1-1,1 1 0,0 0 1,2 18-1,1 26 121,-10-22-31,7-32-90,0-1-1,-1 0 1,1 0 0,-1 1-1,1-1 1,-1 1-1,0-2 1,0 1-1,1 2 1,-1-2-1,0-1 1,0 2-1,0-1 1,0 0 0,0 0-1,-1 0 1,1 0-1,0 0 1,-1 0-1,-1 1 1,0-2 15,-2 0-21,1-2 0,3 1 0,0 1 0,1 0 0,-1-1 0,0 1 0,1 0 0,-1-1 0,1 1 0,-1-1 0,1 1 0,-1-1 0,1 1 0,-1-1 0,1 1 0,0-1 0,-1 0 0,1 1 0,0-1 0,-1 1 0,1 0 0,0-1 0,0 0 0,-1 1 0,1-2 0,0 1 0,0 1 0,0 0 0,0-1 0,0 0 0,0 1 0,0-1 0,0 0 0,1 0 0,-1 1 0,0-1 0,0 1 0,1 0 0,-1-1 0,0 0 0,1 0 0,0 0 0,0 0 0,-1 0 0,1 0 0,0 0 0,0 0 0,0 1 0,0-1 0,0 0 0,0 1 0,1 0 0,-1-2 0,0 2 0,0-1 0,0 1 0,0 0 0,1 0 0,1 0 0,1 0 0,1 0 0,0 0 0,1 0 0,-1 0 0,0 0 0,8 3 0,-12-3 0,0 0 0,0 1 0,0-1 0,-1 1 0,1-1 0,0 1 0,0-1 0,0 1 0,0-1 0,-1 1 0,1 0 0,0-1 0,-1 1 0,1 0 0,0 0 0,-1-1 0,1 1 0,-1 0 0,1-1 0,-1 1 0,0 0 0,1 0 0,-1 0 0,0 0 0,0 0 0,1-1 0,-1 1 0,0 1 0,0-1 0,0 0 0,0-1 0,0 0 0,-1 1 0,1 0 0,0 0 0,-1 2 0,0 3 0,0 0 0,0 0 0,1 0 0,0-1 0,0 2 0,1-1 0,0-1 0,0 1 0,0 1 0,3 6 0,2 10 0,-5-16 0,0 1 0,-1 0 0,0-1 0,-1 1 0,0 0 0,-2 10 0,-3 23 0,-3 61 0,33-143-256,-14 13-684,-1 0 0,-2 0 0,-1 0-1,3-46 1,-4 33-1377,2-12-8840</inkml:trace>
  <inkml:trace contextRef="#ctx0" brushRef="#br0" timeOffset="683.83">80 95 20351,'4'-1'128,"10"-6"-21,-1 3-1,0-2 1,0 0-1,17-13 1,-13 8 57,32-14 1,-41 22-133,-1-1 0,0 3 1,1-1-1,-1 1 0,1-1 1,0 1-1,0 0 0,11 0 0,2 3 37,0 1 0,0-1 0,30 9 0,2 0 39,-10-1-8,114 23 184,-132-26-186,-1 0 0,1 3 1,-2-1-1,28 16 0,-48-24-78,1 2 0,-1-1 1,1 1-1,-1 0 0,0-2 0,0 1 1,0 3-1,-1-2 0,1-1 0,-1 2 1,0-1-1,0 0 0,0 1 0,2 5 0,-2-3 11,-1-3 0,0 3-1,-1 0 1,1-2-1,-1 2 1,0-2 0,0 2-1,-1-2 1,0 2-1,-3 8 1,0 2-20,-2 0 1,0-1-1,-1-1 1,0 2-1,-1-2 1,-1-1-1,-1 0 1,0 2-1,-1-2 1,0-2-1,-1 2 1,-25 17-1,33-26-11,-211 149 325,181-133-262,0 0 0,-1-3 0,-2 0 0,-66 20 0,102-37-108,0 0 0,-1 0-1,1 0 1,0 1-1,0-1 1,-1 0 0,1 0-1,0-1 1,0 1 0,-1 0-1,1 0 1,0 0-1,0 0 1,-2 0 0,0-5-1097,10-3 298,11 3-2228</inkml:trace>
  <inkml:trace contextRef="#ctx0" brushRef="#br0" timeOffset="1649.83">1064 1096 8832,'0'0'0</inkml:trace>
  <inkml:trace contextRef="#ctx0" brushRef="#br0" timeOffset="3257.06">1114 1146 16000,'0'0'7039,"-4"-3"-6932,-11-6-96,2 0-7,-1 2 0,0-3 0,-23-7-1,32 15-3,1 1 0,-1-1 0,0 1-1,0 1 1,0-1 0,0 0-1,0 1 1,1-1 0,-1 1-1,0 1 1,0-1 0,0 1 0,0-1-1,0 1 1,0 0 0,-9 4-1,9-2 10,-1-1-1,1 2 0,0 0 1,-1 0-1,2-1 0,-1 1 0,0 0 1,1 1-1,0 0 0,0-1 1,1 1-1,-1 0 0,1 0 1,-2 7-1,-5 8 36,2 1-1,-8 29 1,15-47-44,0 2 0,0 0 0,0-1 0,0 1 0,0 0 0,1 0 0,0 0 0,0 8 0,1-11 0,0 2 0,0-1 0,0-1 0,0 1 0,1 0 0,-1 0 0,1 0 0,-1-2 0,1 2 0,0 0 0,0-2 0,0 2 0,5 2 0,2 3 0,1 0 0,0-1 0,1-1 0,0 0 0,0 0 0,18 5 0,74 20 0,-50-17 0,-50-13 0,0-1 0,0 0 0,0 2 0,0-1 0,0 0 0,0 1 0,0-1 0,0 1 0,0-1 0,-1 0 0,5 6 0,-6-6 0,-1 1 0,1-1 0,-1-1 0,1 2 0,-1-1 0,1 1 0,-1-1 0,0 0 0,0 0 0,0 0 0,0 1 0,0-2 0,0 3 0,0-2 0,0 1 0,-1-1 0,1 1 0,0-1 0,-1 0 0,1 0 0,-1 0 0,0 0 0,1 1 0,-1-2 0,0 1 0,0 0 0,0 0 0,-1 3 0,-8 8-1,0-1-1,-1-1 0,-1 2 1,-19 12-1,-56 33 80,-2 2 2,39-27-187,50-32 74,0 0-1,0 0 1,0 0-1,-1 0 1,1 1 0,0-1-1,0 0 1,0 0-1,0 0 1,0 0 0,0 0-1,0 0 1,0 1 0,0-1-1,0 0 1,1 0-1,-1 0 1,0 0 0,0 0-1,0 0 1,0 0-1,0 1 1,0-1 0,0 0-1,0 0 1,0 0 0,0 0-1,0 0 1,0 0-1,0 0 1,1 0 0,-1 0-1,0 0 1,0 1-1,0-1 1,0 0 0,0 0-1,0 0 1,0 0 0,1 0-1,-1 0 1,0 0-1,0 0 1,0 0 0,0 0-1,0 0 1,0 0-1,0 0 1,1 0 0,-1 0-1,0 0 1,0 0 0,0 0-1,0 0 1,0 0-1,0 0 1,0-1 0,1 1-1,-1 0 1,0 0-1,0 0 1,0 0 0,0 0-1,0 0 1,12-1-1232,21-11-2510</inkml:trace>
  <inkml:trace contextRef="#ctx0" brushRef="#br0" timeOffset="3797.29">1495 1402 20479,'-22'1'0,"22"-1"0,0 0 0,0 0 0,-1 0 0,1 0 0,0 0 0,0 0 0,-1 0 0,1 0 0,0 0 0,0 0 0,-1 0 0,1 0 0,0 0 0,0 0 0,0 0 0,-1 0 0,1 0 0,0 0 0,0 0 0,0 0 0,-1 0 0,1 0 0,0 0 0,0 0 0,0 1 0,0-1 0,-1 0 0,1 0 0,0 0 0,0 1 0,0-1 0,0 0 0,0 0 0,0 0 0,0 1 0,0-1 0,-1 0 0,1 0 0,0 1 0,0-1 0,0 0 0,0 0 0,0 0 0,0 1 0,0-1 0,0 0 0,1 0 0,-1 1 0,0-1 0,0 0 0,0 0 0,0 0 0,0 0 0,0 0 0,0 0 0,1 1 0,-1-1 0,0 0 0,0 0 0,0 0 0,0 1 0,0-1 0,0 0 0,0 0 0,0 1 0,0-1 0,0 0 0,0 0 0,0 0 0,0 2 0,0-2 0,0 0 0,0 0 0,0 1 0,-1-1 0,1 0 0,0 0 0,0 0 0,0 0 0,0 0 0,0 0 0,0 0 0,-1 0 0,1 0 0,0 1 0,0-1 0,0 0 0,0 0 0,-1 0 0,1 0 0,0 0 0,0 0 0,0 0 0,-1 1 0,1-1 0,0 0 0,0 0 0,-1 0 0,1 0 0,0 0 0,0 0 0,-1 0 0,1 0 0,0 0 0,0 0 0,0 0 0,-1 0 0,1 0 0,0 0 0,0-1 0,-1 1 0,1 0 0,-5 1-21,1-1 0,-1 2 0,1-1 0,-1 0 0,1 1 0,0 0 0,0-1 0,0 1 0,-7 4-1,-33 23-23,42-27 43,0-1 0,0 0-1,1 0 1,-1 1 0,0-1-1,1 2 1,0-1-1,-1 0 1,1 0 0,0 0-1,0-1 1,0 1 0,0 0-1,1-1 1,-1 2-1,0 0 1,1-2 0,0 2-1,-1-1 1,1 0 0,0 1-1,0-2 1,1 0-1,-1 2 1,0 0 0,2 2-1,0 1-4,0-2 0,1 3 0,0-2 0,0 0 0,0 0 0,1 1 0,0-1 0,7 8-1,-2-5-48,0-1 0,0 2 0,1-2 0,0 0 0,1 1 0,0-3 0,18 10 0,-23-13 4,1-1 0,-1 2 0,1-1 0,0-1 0,0 2 0,0-2 0,0-1 0,0 1 0,0-1 0,0 0 0,0 0 0,0-1 0,0 0 0,0-2 0,8-1 0,48-20-4385</inkml:trace>
  <inkml:trace contextRef="#ctx0" brushRef="#br0" timeOffset="4373.69">1749 1040 20607,'1'8'0,"-1"2"0,0-3 0,0 2 0,0-1 0,-1 1 0,-1-1 0,1 1 0,-6 14 0,0-6 6,2 0-1,0 0 0,1 0 1,1 2-1,-1 16 1,6 90 54,-1 6-25,-2-129-35,1 18 0,0-20 0,0 2 0,0-2 0,0 0 0,-1 1 0,1-1 0,0 0 0,0 1 0,0-1 0,0 0 0,0 1 0,0-1 0,0 0 0,0 1 0,1-1 0,-1 0 0,0 1 0,0-1 0,0 0 0,0 1 0,0-1 0,1 0 0,-1 1 0,0-1 0,0 0 0,0 0 0,1 0 0,-1 0 0,0 0 0,0 0 0,1 1 0,-1-1 0,0 0 0,0 0 0,1 0 0,-1 0 0,0 1 0,1-1 0,-1 0 0,0 0 0,1 0 0,-1 0 0,0 0 0,1 0 0,-1 0 0,0 0 0,1 0 0,-1 0 0,1 0 0,0-1 0,0 0 0,0 1 0,0-1 0,0 0 0,0 0 0,0 0 0,-1 0 0,1 0 0,0 0 0,-1-2 0,1 2 0,-1 0 0,1 1 0,-1-2 0,0 2 0,1-4 0,2-3 0,5-13-18,2 1 0,1 1 0,1-1-1,0 1 1,1 1 0,17-17-1,-24 29 19,0-1 0,1 0 0,0 1 0,0 1 0,0-1 0,1 1 0,-1 0 0,1 0 0,0 1 0,1 0 0,-1 0 0,18-3 0,-20 6 0,0-1 0,1 0 0,-1 0 0,0 1 0,1 1 0,-1-1 0,1 1 0,-1 0 0,0-1 0,0 0 0,0 3 0,0-1 0,0 1 0,0-1 0,0 0 0,0 1 0,-1 0 0,0 0 0,6 5 0,-5-2 1,0-1 0,0 1-1,-1 1 1,1-1-1,-2 2 1,1-1 0,-1-1-1,5 14 1,-6-14-3,-1 0 0,0-2 0,-1 3-1,1-2 1,-1 1 0,0-1 0,-1 2 0,0-2 0,0 1 0,0 0 0,-1 0 0,-2 11 0,2-15-40,0 0-1,0 0 1,0 0 0,0-2-1,0 2 1,0 0 0,-1 1-1,-2 1 1,4-4-158,-1 1 1,1-1 0,-1 1-1,1-1 1,-1 1-1,1-1 1,-1 0 0,0 1-1,1-1 1,-1 0-1,0 0 1,1 1-1,-1-1 1,0 0 0,1 0-1,-1 0 1,0 0-1,1 0 1,-1 0 0,0 0-1,0 0 1,1 0-1,-1 0 1,0 0-1,1 0 1,-1 0 0,0 0-1,1-1 1,-1 1-1,0 0 1,0-1 0</inkml:trace>
  <inkml:trace contextRef="#ctx0" brushRef="#br0" timeOffset="4924.01">2162 1439 16000,'0'0'128,"4"1"0,23 4 168,1-2 1,-1-1-1,42-1 1,-58-1-172,-1-1 1,0 0-1,0 0 1,0 0-1,0-2 1,-1 0 0,1 0-1,-1 0 1,1-2-1,-1 1 1,-1 0-1,1-1 1,10-9-1,-10 7 44,-1 0-1,0-1 0,0-3 1,-1 4-1,0-3 0,-1 2 0,0-2 1,5-13-1,-11 23-157,0 0 0,1-1-1,-1 0 1,0 1 0,0-1 0,0 0 0,0 1-1,0-1 1,-1 0 0,1 0 0,0 1 0,0-1-1,0 1 1,0-1 0,-1 0 0,1 1-1,0-1 1,-1 1 0,1 0 0,0-1 0,-1 1-1,1-1 1,-1 1 0,1-1 0,-1 1 0,1-1-1,-1 1 1,1 0 0,-1-1 0,0 1-1,0-2 1,-25-7 128,20 6-111,-9-2-4,-1-1 1,1 2-1,-1-1 0,0 1 1,0 2-1,-26-2 0,37 4-31,-1 0 0,1 0-1,-1 1 1,1-1-1,-1 1 1,1 1 0,-1-1-1,1 0 1,0 2-1,0-1 1,0 0 0,0 0-1,0 1 1,1 0-1,-1 0 1,1 0-1,0 1 1,0-1 0,0 1-1,0-1 1,1 2-1,-7 8 1,6-6-5,0 1 1,0 1-1,1-1 0,0 0 0,1 0 1,-1 1-1,2 0 0,0-1 0,0 1 1,0 0-1,1-1 0,1 1 0,-1-1 1,2 2-1,-1-1 0,1-1 1,1 0-1,0 0 0,5 12 0,-6-17 12,0 0 0,0-1 0,0 1 0,1 0 0,-1-2 0,1 1 0,-1 0 0,1 1 0,0 0 0,0-2 0,0 0 0,0 1 0,0 0 0,6 1 0,3 0 0,1 0 0,20 5 0,-25-7 0,0-1-135,1 0 0,0 0 0,-1 0-1,1-2 1,-1 1 0,1-1-1,-1 0 1,0-2 0,10-1 0,14-4-561,-3 0-2375,-2 0-7681</inkml:trace>
  <inkml:trace contextRef="#ctx0" brushRef="#br0" timeOffset="5206.96">2805 1398 20479,'0'0'0,"-3"26"0,2-19 0,1 3-128,0-3 128,1-5-512,5-4-1664,-4-7 513,3-6 127,1-11 0,-1-1-7296</inkml:trace>
  <inkml:trace contextRef="#ctx0" brushRef="#br0" timeOffset="5397.17">2808 874 19199,'0'0'0,"10"29"0,-7-15 0,-1 3 0,-2-2 0,0-1-512,-2 2 128,-1-5-640,3 2 1</inkml:trace>
  <inkml:trace contextRef="#ctx0" brushRef="#br0" timeOffset="5928.19">3062 1329 20095,'0'0'896,"5"-5"-768,39-40 101,-32 32-177,2-1 1,-1 0-1,2 2 1,18-14-1,-32 25-50,1 1 0,-1 0 1,0-1-1,1 1 0,-1-1 0,0 1 0,1-2 0,-1 2 1,1 0-1,-1 0 0,1 0 0,-1 0 0,1 0 0,-1 0 1,0 0-1,1 0 0,-1 0 0,3 2 0,0-1 5,-1 0-1,1 0 0,-1 1 0,1 0 0,-1 0 0,0 0 1,3 3-1,3 3 8,0 0 1,0 0 0,10 15-1,-3-1-46,-2 1 0,-1 0 0,0 0 0,-2 3 0,-1-2 0,-1 1 0,6 34 0,-14-57-616,-3-8 249,-3-13-2372,-2-6-9282</inkml:trace>
  <inkml:trace contextRef="#ctx0" brushRef="#br0" timeOffset="6875.2">3906 651 19199,'-24'29'0,"13"-21"2,6-10-5,5 1 4,0 0 0,0 0 0,-1 1 0,1-2 0,0 1 0,0 0 0,0 0 0,0 1 1,1-1-1,-1 0 0,0 1 0,0-1 0,0 1 0,1-1 0,-1 0 0,0 1 0,1-1 0,-1 0 1,0 1-1,1-1 0,10-5 95,-2 0-1,-9 6-89,0 0 0,0 0-1,-1 0 1,1 0 0,0 0-1,0 0 1,0 0-1,0 0 1,0 0 0,0 0-1,0 0 1,0 0 0,0 0-1,0 0 1,0 0 0,-1 0-1,1 0 1,0 0 0,0 0-1,0 0 1,0 0-1,0 0 1,0-1 0,0 1-1,0 0 1,0 0 0,0 0-1,0 0 1,0 0 0,0 0-1,-1 0 1,1 0 0,0 0-1,0 0 1,0 0-1,0 0 1,0 0 0,0 0-1,0 0 1,0-1 0,0 1-1,0 0 1,0 0 0,0 0-1,0 0 1,0 0 0,0 0-1,0 0 1,0 0 0,0 0-1,0 0 1,0-1-1,-2 2 18,-1 0 0,1 0 0,-1-1 0,1 1 0,-1 1 0,1 0 0,0-1 0,-1 0-1,1 0 1,0 1 0,0-1 0,0 1 0,0-1 0,0 1 0,1 0 0,-1-1 0,1 1-1,-1 2 1,1-2 0,0 0 0,0 0 0,0-1 0,0 2 0,-1 3 0,-3 8 83,2 1 0,-4 25 0,7-38-101,-22 118 194,-3 26-35,18-71-125,2-6-52,-4-1 0,-27 106 0,35-171-367,-3 13 216</inkml:trace>
  <inkml:trace contextRef="#ctx0" brushRef="#br0" timeOffset="7444.13">3917 1342 20863,'11'4'-38,"0"-2"0,0 1 0,1-1-1,-1 1 1,15-1 0,-19-2 20,0 0 1,0 0-1,1-1 0,-1 0 1,0 0-1,0-2 1,0 2-1,-1-1 1,14-6-1,-6 2 4,-1-2-1,0 0 1,0 0-1,0-1 1,-1-1-1,-1 1 1,18-20-1,-22 21 16,-1 0 0,1-1-1,-2 0 1,1-1 0,-1 1 0,-1-1-1,0 0 1,0 0 0,-1 0 0,-1 0 0,2-13-1,-4 18 0,0 1 0,0-1 0,0 0 0,-1 1 0,0 0 0,0-1 0,0 1 0,-1 0 0,1 0 0,-1-1 0,0 1 0,0 1 0,-1-1 0,0-1 0,-4-3 0,-4-4 0,0 0 0,-2 2 0,-13-12 0,25 22 0,0-2 0,-1 1 0,1 0 0,0 0 0,-1 1 0,1 0 0,0 0 0,-1-1 0,1 1 0,-1-1 0,1 1 0,-1 0 0,1 0 0,-1 0 0,1 0 0,-1 0 0,1 0 0,-1 0 0,1 0 0,-1 1 0,1-1 0,0 1 0,-1-1 0,1 0 0,-1 0 0,1 1 0,0 0 0,-1-1 0,1 1 0,0 1 0,0-1 0,-2 1 0,-4 3 0,0 2 0,1 0 0,-11 12 0,14-16 0,-5 8 0,0 0 0,1 2 0,1-2 0,0 1 0,1 0 0,0 1 0,1-1 0,-4 21 0,4-11 0,2-1 0,0 1 0,2-1 0,4 34 0,-2-43 0,0 0 0,1 1 0,7 16 0,-8-25 0,0 2 0,0-3 0,1 3 0,-1-1 0,1-1 0,0 0 0,1 1 0,-1-1 0,1 1 0,7 5 0,-7-8-14,-1-1 0,1 0 0,-1 0 1,1 0-1,-1 0 0,1 0 0,0 0 0,0-1 0,-1 1 0,1-1 0,0 0 0,0 0 0,0 0 0,-1-1 0,1 1 0,0-1 0,-1 0 0,8-2 0,6-4-504,-1 2 0,25-15-1,-36 17 355,63-37-3889,-35 19-5525</inkml:trace>
  <inkml:trace contextRef="#ctx0" brushRef="#br0" timeOffset="7692.96">4487 1291 21503,'0'0'0,"34"5"-6783,-13-18 5247</inkml:trace>
  <inkml:trace contextRef="#ctx0" brushRef="#br0" timeOffset="7854.9">4581 683 19327,'0'63'0,"3"39"384,-11-151 0,0 22 0,-1 4-128,0 9 0,1 8 0,-2 1 0,2 5-384,1 3 128,-1 1-384,3 0 128</inkml:trace>
  <inkml:trace contextRef="#ctx0" brushRef="#br0" timeOffset="8724">5063 1060 20607,'-32'-10'0,"23"6"21,11 2 24,2-1-4,-51 25-20,20-6-17,12-8-13,1 1 1,-26 19 0,38-25 0,-17 12-63,1 0 0,1 2 0,1 0 0,-28 36 0,44-51 61,-1-1-1,0 1 1,0-1-1,0 0 0,1 1 1,-1-1-1,1 1 1,-1-1-1,1 0 0,0 1 1,-1 0-1,1-1 1,0 1-1,0-1 0,0 0 1,0 1-1,0-1 1,1 1-1,-1-1 0,0 0 1,1 2-1,-1-2 1,1 0-1,0 0 0,0 1 1,-1-1-1,1 1 1,0-1-1,0 0 0,0 0 1,0 1-1,0-2 1,1 1-1,-1 0 0,0-1 1,1 1-1,-1 0 1,0 1-1,1-1 0,-1-1 1,1 1-1,-1-1 1,3 2-1,8 0-28,0 2 0,0-1 0,0-1-1,19-1 1,-27 0 40,44 3-48,0-3 0,-1-2 0,1-4 0,88-14 0,-136 19 41,21-2 154,-17 3 79,-10 6-62,-61 27 371,12-6-304,15-6-305,2 3-1,1 1 1,1 0 0,1 2 0,2 3 0,-38 43 0,67-69-326,-1 1 1,1-1-1,0 2 1,-3 7-1,1 4-2877</inkml:trace>
  <inkml:trace contextRef="#ctx0" brushRef="#br0" timeOffset="9253.99">5409 479 14848,'0'0'256,"0"4"85,-3 32 745,2 0-1,1 1 1,3-1 0,9 48 0,49 144-457,-1-18-522,-23-75-86,-25-96-107,-6-22-127,0 0 0,-2 1 0,0-2 0,-1 3-1,1 35 1,-4-54 185,0 1-1,0-1 1,0 0 0,0 0-1,0 0 1,0 1 0,0-1-1,0 0 1,0 0 0,0 0-1,0 0 1,0 0-1,0 0 1,0 0 0,0 1-1,0-1 1,0 0 0,0 0-1,0 0 1,0 0 0,0 1-1,0-1 1,0 0 0,-2 0-1,2 0 1,0 0 0,0 0-1,0 1 1,0-1 0,-1 0-1,1 0 1,0 0-1,0 0 1,0 0 0,-1 0-1,1 0 1,0 0 0,0 0-1,0 0 1,-1 0 0,1 0-1,0 0 1,0 0 0,-1 0-1,1 0 1,0 0 0,0 0-1,0 0 1,-1 0-1,-10-6-1472,7 4 260</inkml:trace>
  <inkml:trace contextRef="#ctx0" brushRef="#br0" timeOffset="9502.94">5329 1031 21503,'0'0'0,"22"31"0,-14-20 0,-3-6 0,-2-10 0,3 2 0,5 0 0,6 6 0,8 1-768,10 4 0,7 3-768,-9-4 0,0 1-10367</inkml:trace>
  <inkml:trace contextRef="#ctx0" brushRef="#br0" timeOffset="10208.79">6117 1142 21119,'0'0'-128,"-3"6"-1045,-64 139-4693,64-136 6045,1 0 0,1-1 0,0 0 0,0 0 0,1 1 0,0 14 0,1-20-101,-1 0 1,0 2-1,1-2 1,0 0-1,0 1 1,0-1-1,0 0 1,1 1 0,-1 0-1,1-2 1,0 1-1,0 0 1,0 1-1,0-2 1,1 1-1,-1 0 1,7 3-1,-7-5-47,1 0 1,-1 0-1,1 0 0,-1 1 1,1-2-1,0 1 0,0-1 0,-1 0 1,1 1-1,0-1 0,0 0 1,-1-1-1,1 1 0,0 0 0,-1-1 1,1-1-1,0 1 0,-1 1 1,1-2-1,2 1 0,5-3 98,0-1 0,0 0 0,16-12 0,-14 6 24,0-2 0,-1 2-1,0-1 1,-1-1-1,0 0 1,11-21-1,9-12 60,-2 8-104,-8 12 19,23-40 1,-42 64-122,0 0-1,0 0 1,1 1-1,-1 0 1,0-1-1,1 0 1,-1 0 0,1 1-1,-1 0 1,1-1-1,0 2 1,0-2-1,-1 1 1,1 0 0,0 0-1,0 0 1,0 0-1,0 0 1,1 1-1,-1-1 1,0 1-1,4-1 1,-5 1-2,-1 0 0,1 0 0,-1 1 1,1-1-1,0 0 0,-1 1 0,1-1 0,-1 0 0,1 1 0,-1-1 1,0 0-1,1 1 0,-1-1 0,1 1 0,-1-1 0,0 1 0,1-1 1,-1 1-1,0-1 0,0 1 0,1-1 0,-1 1 0,0 0 0,0-1 1,0 0-1,0 0 0,0 2 0,0-1 0,0-1 0,0 0 0,0 0 1,0 1-1,0 0 0,0-1 0,0 1 0,-1 30 74,0-23-28,0 18 75,1 0 0,1 1 0,2-1 0,0 1 0,3-1 0,9 31 0,-7-33-37,-3-7-95,0 0-1,2-1 1,0 2-1,1-3 0,16 25 1,-24-40-58,0 1 1,1-1 0,-1 1 0,0 0-1,1-1 1,-1 0 0,1 0 0,-1 0-1,0 0 1,1 0 0,-1 0 0,1 1-1,0-1 1,-1 0 0,1 1-1,-1-1 1,1 0 0,-1 0 0,1 0-1,0 1 1,-1-1 0,1 0 0,-1 0-1,1 0 1,0 0 0,-1 0 0,1 0-1,0 0 1,0-1 0,1 1-19,-1-1 0,0 0 0,1 1 0,-1 0 1,0-1-1,0 0 0,1 0 0,-1 0 0,0 0 1,0 0-1,1-3 0,19-33-3238,-20 36 3207,11-29-9550</inkml:trace>
  <inkml:trace contextRef="#ctx0" brushRef="#br0" timeOffset="10792.95">6893 957 22783,'-24'44'26,"1"2"0,3 1-1,2 1 1,-14 55-1,25-76-28,2 0-1,0-1 1,2 1-1,1 2 1,2 36-1,2-63-89,2-8 46,3-10-10,-6 15 41,6-15-28,0 2 1,12-15 0,2-6 2,-6 12-49,0-1 1,2 2-1,1 0 0,1 0 0,1 2 1,32-26-1,-38 35 39,1 0 1,0 0-1,1 1 0,0 1 0,1 1 0,-1 1 1,2 0-1,-1 1 0,1-1 0,0 3 0,25-5 1,-39 9 49,0-1 0,-1 1 1,1 0-1,0 0 0,0 0 0,0 1 1,0-1-1,0 1 0,0 0 1,-1 0-1,1 0 0,0 2 1,-1-2-1,1 0 0,-1 0 0,1 1 1,-1 0-1,0 1 0,0-1 1,0 1-1,0-2 0,0 3 1,-1-2-1,1 1 0,-1-1 0,0 2 1,0-1-1,0 0 0,0 0 1,-1 1-1,1-1 0,0 4 0,4 11 2,-1 0-1,-2-1 1,0 2-1,1 34 0,-4-53 0,3 54-32,-2 0 0,-4-1 0,-12 77 0,23-142-2224,6-18-885,-5 7-7461</inkml:trace>
  <inkml:trace contextRef="#ctx0" brushRef="#br0" timeOffset="11506.68">8024 1013 23167,'-60'31'0,"60"-31"0,-1 0 0,1 0 0,0 1 0,-1-1 0,1 0 0,0 0 0,-1 0 0,1 0 0,-1 0 0,1 1 0,0-1 0,-1 0 0,1 0 0,-1 0 0,1 0 0,-1 0 0,1 0 0,0 0 0,-1-1 0,1 1 0,-1 0 0,1 0 0,0 0 0,-1 0 0,1 0 0,0-1 0,-1 1 0,1 0 0,0 0 0,-1 0 0,1-1 0,0 1 0,-1 0 0,1-1 0,0 1 0,0 0 0,-1-1 0,1 1 0,0 0 0,0-1 0,0 1 0,-1 0 0,1 0 0,0 0 0,0 0 0,0 0 0,0-1 0,1-22 0,0 11 0,-1 11 0,-1 0 0,1 0 0,0 1 0,-1 0 0,1-1 0,0 0 0,-1-1 0,1 2 0,-1-1 0,1 0 0,-1 1 0,1-1 0,-1 1 0,1 0 0,-1-1 0,0 1 0,1-1 0,-1 1 0,0 0 0,1-1 0,-1 1 0,0 0 0,0-1 0,0 1 0,1 0 0,-1 0 0,0-1 0,0 1 0,0 0 0,1 0 0,-1 0 0,0 0 0,0 0 0,-1 1 0,-29 4 0,26-4 0,-11 4-48,1 0 0,-1 1 0,1 1 0,1 0 0,-1 0 0,1 1 0,1 1 0,-1 1 0,2-1 0,0 1 0,-22 24 0,26-26 14,1 2 1,0-1-1,0 1 0,1-1 0,1 1 0,-1 1 0,2-1 0,0 1 0,0-1 0,1 1 1,0 0-1,1 1 0,1-1 0,0 0 0,0 0 0,3 21 0,1-14 27,0 1 0,2-2-1,0 0 1,1 1 0,1-1-1,1-1 1,11 19 0,-15-31 2,0 4 0,1-3 0,0 0 0,0 1 0,0-1 0,1 1 0,0-3 0,0 3 0,8 2 0,-9-5 3,0-2-1,0 1 0,0 0 0,0 0 1,1 0-1,-1-1 0,1 0 0,-1 0 1,1 0-1,-1-1 0,1 0 0,-1 0 1,1 0-1,6-2 0,1-1-4,-1-2 0,1 2 0,-1 0 0,0-2 0,0 0 0,-1-2 0,1 2 1,-1-2-1,18-14 0,-3-1-6,-2 1 1,35-39-1,-38 36 24,30-46 0,-39 45 157,-12 18-46,-13 15-28,0 4-43,1 0 1,1 1 0,0 0 0,1 1 0,1 0-1,-16 31 1,-31 99 191,27-62-102,11-35-56,-7 22 129,-64 116-1,-2-40-53,68-114-128,-1 0 0,-42 40 0,46-54-452,-1-1 0,-1-1 0,-36 19 0,6-4-460,6 1-2448,1-3-8703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8:17.73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1 298 17407,'0'0'1536,"5"2"-1408,-3-2-118,56 21 497,79 18 0,-53-23-249,-29-7 125,71 22 0,-116-27-323,0 1 0,0 1 0,-1-1 1,0 1-1,10 9 0,-8-7 18,0 0 0,0 0 1,24 11-1,-32-18-62,0 0 1,0 0-1,1 0 1,-1 0-1,1 0 1,-1-1-1,0 1 1,1-1-1,-1 0 0,1 0 1,-1 0-1,1-1 1,-1 1-1,0-1 1,1 0-1,-1 0 1,0 0-1,1 0 1,4-4-1,152-81-1211,-156 84 675,0 0 0,0 0 0,0-1 0,-1 1-1,1-1 1,-1 0 0,0 0 0,0 0 0,0 0-1,0 0 1,0-1 0,3-5 0</inkml:trace>
  <inkml:trace contextRef="#ctx0" brushRef="#br0" timeOffset="562.41">90 41 19711,'50'-14'0,"-29"7"0,0 1 0,1 1 0,24-2 0,-23 6 38,-1 1-1,1 1 0,0 1 1,33 7-1,87 32 182,-108-29-180,148 44 387,-149-48-399,0-1 1,0-2 0,55 0 0,-84-5-357,1 0-1,-1 0 1,0-1 0,1 0 0,-1 0 0,0 0 0,0-1 0,0 0 0,0 0-1,0 0 1,0-1 0,0 1 0,5-5 0,31-14-10380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05.44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1725 34 18815,'-1'0'0,"-1"1"0,0 0-1,0 0 1,0-1-1,0 1 1,0-1 0,0 0-1,0 0 1,0 0-1,0 1 1,-3-2-1,4 1 2,0-1 0,1 0 0,-1 1 0,0-1 0,1 0 0,-1 0 0,1 1 0,-1-1 0,1 0 0,-1 0 0,1 1 0,0-1 0,-1 0 0,1 1 0,0-1 1,0 0-1,-1 0 0,1 0 0,0 0 0,0 0 0,0 0 0,0 0 0,0 0 0,1 0 0,-1 0 0,0 0 9,0 0 0,0 1 1,-1-1-1,1 0 0,0 0 1,0 0-1,-1 1 0,1-1 1,-1 0-1,1 0 0,0 1 1,-1-1-1,1 0 0,-1 1 1,0 0-1,1-1 0,-1 1 1,0-1-1,1 1 0,-1-1 1,0 1-1,1-1 0,-1 1 1,0 0-1,0-1 0,0 1 1,1 0-1,-1 0 0,0-1 1,0 1-1,0 0 1,0 0-1,-1 0 0,-35 1 75,29-1-52,-87 11 378,1 3-1,-98 27 1,168-35-320,-1-1 31,1 2 0,1 0-1,0 2 1,0 0 0,0 1 0,-39 24 0,20-8 136,-89 39 0,91-47-131,1 1-1,-71 48 1,100-59-107,0-1-1,1 2 1,0 0-1,1 1 1,0-1-1,1 1 1,0 0-1,-7 13 1,11-16-5,0-2-1,0 2 1,1-1 0,0 1 0,0-1-1,1 1 1,0-1 0,0 2 0,0-2-1,1 0 1,0 2 0,1-2 0,0 1-1,0-1 1,0 1 0,3 7 0,0-4 1,0-1 1,1-1 0,0 0-1,1 1 1,0-1 0,0 0-1,12 12 1,-2-7 17,0-1 0,32 22-1,-11-9-33,-1 3 0,56 56 0,-78-70 55,0 1 1,19 27-1,-29-37-40,0 0 0,-1 1 0,0-1 0,-1 1 1,1-1-1,-1 2 0,0-2 0,-1 2 0,1-2 0,-1 2 1,-1-1-1,1 11 0,-4 16 65,2-17-33,0-1 0,-5 18 0,5-28-32,-1 0 0,1-1 0,-1 1-1,0 0 1,-1-1 0,0 1 0,1-1 0,-1 1-1,-1-1 1,-5 6 0,-8 5 18,-2-1 0,0 0 1,0-1-1,-1-1 0,-1-1 0,0-1 1,-1 0-1,-29 9 0,-11-2 212,-117 22 0,135-34-128,0-2 0,0-2 0,-47-3 0,-70 2 162,155 0-273,1 1 1,-1 0-1,1 0 1,0 1-1,0-1 1,0 1-1,0 0 1,-8 4-1,12-5-38,-1 0-1,1-1 0,0 1 0,0 0 0,0 0 0,0 0 0,0 0 0,0 0 0,0-1 0,0 1 0,0 1 0,1-1 0,-1 0 0,0 0 1,1 1-1,-1-1 0,1 0 0,-1 1 0,1-2 0,0 1 0,0 1 0,-1-1 0,1 1 0,0-1 0,0 0 0,0 1 0,1-1 0,-1 0 0,0 0 1,0 0-1,1 1 0,-1-1 0,1 0 0,-1 1 0,1-1 0,0 0 0,-1 0 0,1 0 0,1 1 0,1 1-422,0 0-1,0 0 1,0-1 0,0 0-1,0 1 1,0-1-1,1 0 1,0-1 0,6 4-1,-10-5 296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30.57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234 167 15872,'0'0'917,"1"5"-704,10 98 832,-6 153 1,-6-177-716,2-42-122,-7 53 0,-11 13 16,3-24 48,-4 115 0,17-139-179,-2 0-1,-17 90 1,-20 3 73,19-79-4,-17 112 0,37-164-110,-1 1 0,-1-1 0,-1 0 0,-1-2-1,0 2 1,-11 20 0,-15 43 119,30-79-161,1 0 0,-1-1 0,1 1 0,-1 0 0,1 0 0,0-1 0,-1 1 1,1 0-1,0-1 0,-1 1 0,1-1 0,0 1 0,0 0 0,0 0 0,0 0 0,0 0 0,0 0 1,0 1-1,15-4 195,-5 0-133,0-1-58,0 1-1,0 1 1,0-1-1,0 1 1,0 0-1,0 1 1,0 0 0,1 1-1,-1 0 1,13 2-1,137 44 9,-121-39 50,-1-2 0,1-1 0,-1-2 0,59-2 0,39 2 58,-119-2-133,0-1 0,0-1 0,0 0 0,0 0 0,0-1 0,16-6 0,-32 7-77,1 0-1,-1 1 1,0-2 0,0 2-1,1-1 1,-1 0 0,0 0-1,0-1 1,0 1 0,0 0-1,-1-1 1,1 1 0,0-1-1,-1 1 1,1 0 0,0 0-1,0-3 1,6-26-2037,-6 16-933</inkml:trace>
  <inkml:trace contextRef="#ctx0" brushRef="#br0" timeOffset="773.05">275 99 19967,'306'49'747,"-79"-17"-214,-108-3-254,-84-18-108,1-2-1,39 4 0,-45-12 24,-10 0-99,-18 0-432,-8-1-426,-5 2-2288</inkml:trace>
  <inkml:trace contextRef="#ctx0" brushRef="#br0" timeOffset="2816.53">1091 509 16767,'10'26'0,"-4"-19"114,-2-13 151,-3 5-223,-1 0-1,0-1 0,1 2 1,-1-2-1,0 1 1,0 0-1,0-1 1,0 1-1,0-1 0,0 1 1,0 0-1,-2-3 513,13 25 448,-10-15-856,-1-1 0,1 1 0,-1 0-1,-1-1 1,0 9 0,0-9-95,1-1 0,-1 1 1,1-1-1,0 1 0,0-1 0,1 1 0,0-1 1,-1 0-1,3 5 0,2 6 96,-1 0-1,0 0 1,-1-1 0,-1 1-1,-1 0 1,0 1 0,-2 26-1,-1-15 25,2 0 0,6 52-1,3 38 37,-1-3-51,3-44-73,21 116 218,-29-175-268,0 0 0,-2 0 1,1 1-1,-2 0 0,1-1 0,-2 0 0,0 1 0,-3 18 1,3-27-13,0 0 0,0-1 1,0 2-1,1-1 0,0 0 1,-1 0-1,1 0 0,0 1 1,1-1-1,0 4 0,-1-7-20,0 0 0,1 0 0,-1 1 0,0-1 0,0 0 1,1 0-1,-1 0 0,0 0 0,1 0 0,-1 0 0,0 1 0,1-1 0,-1 0 0,0 0 0,1 0 0,-1 0 0,0 0 0,1 0 0,-1 0 0,0 0 0,1 0 0,-1-1 0,0 1 0,1 0 0,-1 0 0,0 0 0,0 0 0,1 0 0,-1-1 0,0 1 0,1 0 0,-1 0 1,0 0-1,0-1 0,1 1 0,8-6 68,-4 2-54,1-2-1,-1 2 1,0-1-1,-1 0 1,1-1-1,-1 0 1,0 0-1,3-6 1,6-10 3,43-53-18,-29 40 0,30-49 0,-11-8 0,64-182 0,-85 213 0,2 0 0,3 2 0,55-80 0,-68 113 24,-8 10 29,2 0-1,-1 1 1,27-27 0,-66 105 96,-2-15-160,21-34-84,1 0-1,-12 23 0,9-14-938,9-18 504,0-1-1,1 0 1,-1 1 0,1 0 0,0-1 0,1 1-1,-1 0 1,1 0 0,0 7 0</inkml:trace>
  <inkml:trace contextRef="#ctx0" brushRef="#br0" timeOffset="4079.81">2265 505 18559,'-17'43'0,"20"-50"124,1-1 0,-2 1 0,1-1-1,2-12 1,-5 20-118,0 0 0,0 0 0,0 0 1,0 0-1,0-1 0,0 1 0,0 0 0,0 0 0,0 0 0,0 0 0,0-1 1,0 1-1,0 0 0,0 0 0,0 0 0,0 0 0,0 0 0,0-1 0,0 1 1,0 0-1,0 0 0,0 0 0,0 0 0,0 0 0,0 0 0,0-1 0,-1 1 1,1 0-1,0 0 0,0 0 0,0 0 0,0 0 0,0 0 0,0 0 0,-1 0 1,1 0-1,0 0 0,0 0 0,0-1 0,0 1 0,0 0 0,-1 0 0,1 0 1,-7 5 227,-6 11 73,5 1-128,1-1 0,1 2 0,0 0 0,1 0 0,-2 21 0,-3 6 27,-2 8 31,2-7-100,-21 58 1,-123 288 502,151-385-611,-1 0-1,0 0 1,0 0 0,0-1 0,-1 1 0,0-1 0,0 1 0,-1-1-1,0-1 1,0 1 0,0-2 0,-1 1 0,0 0 0,0-1 0,0 0-1,-10 4 1,17-8-29,0 0 0,0 0 0,0 0 0,0 0 0,0 1 0,-1-1 0,1 0 0,0 0 0,0 0 0,0 0 0,0 0 0,-1 0 0,1 0 0,0 0 0,0 0 0,0 0 0,0 0 0,-1 0 0,1 0 0,0 0 0,0-1 0,0 1 0,0 0 0,0 0 0,-1 0 0,1 0 0,0 0 0,0 0 0,0 0 0,0 0 0,0 0 0,0-1 0,-1 1 0,1 0 0,0 0 0,0 0 0,0 0 0,0 0 0,0-1 0,0 1 0,0 0 0,0 0 0,0 0 0,0 0 0,0 0 0,0-1 0,0-10 0,6-13 0,13-22 0,37-64 0,9-20 0,146-437 0,-181 496 0,-33 84 38,0 1-1,2-1 1,-1 1 0,2-1-1,0 1 1,3 22-1,0 17 63,-2-23-57,2-1-1,0 0 1,3 1 0,0-1-1,2-1 1,18 42 0,80 254 282,-29 7-32,-73-313-293,1 2 0,-1 0 0,-1 0 0,-1 0 0,0 1 0,-3 25 0,-2-35-10,1-14-17,1-20-42,7-38-1364,0-16-3321,-6 41-7384</inkml:trace>
  <inkml:trace contextRef="#ctx0" brushRef="#br0" timeOffset="4593.72">2066 1113 16000,'7'3'-27,"-3"0"12,0 0 0,0 0 0,0 0 0,0 0 0,4 6 0,-7-9 16,-1 1 0,1-1-1,-1 0 1,1 1 0,-1 0 0,1 0 0,-1-1-1,0 1 1,1 0 0,-1 0 0,0 0-1,0 0 1,0-1 0,0 1 0,0 0 0,0 0-1,0 0 1,0 0 0,0 0 0,0-1-1,0 0 1,0 1 0,0 0 0,-1 0 0,1 0-1,0-1 1,-1 1 0,1 0 0,-1 0-1,1-1 1,-1 1 0,1 0 0,-1-1 0,1 1-1,-1 0 1,0-1 0,1 1 0,-1-1-1,-1 1 1,-2 2 156,-1 0 0,1-1 0,-1 1 0,0 0-1,0-1 1,0-1 0,0 1 0,0-1 0,0 1 0,-1-1 0,1 0-1,-1-1 1,1 1 0,0-1 0,-1 0 0,-8-2 0,14 2-125,0 0 0,-1 0 0,1 0 0,0-1 0,0 1-1,0 0 1,-1 0 0,1-1 0,0 1 0,0 0 0,0 0 0,0-1 0,0 1 0,0 0 0,0 0 0,-1-1 0,1 1 0,0 0 0,0 0 0,0-1 0,0 1 0,0 0 0,0-1 0,0 1 0,0 0 0,1 0-1,-1-1 1,0 1 0,0 0 0,0 0 0,0 0 0,0 0 0,0 0 0,0-1 0,1 1 0,-1 0 0,0 0 0,6-11 247,-3 8-218,0-1 0,0 0 0,1 0 0,0 2 0,-1-2 0,1 1 0,0 0-1,0 1 1,1 0 0,-1-1 0,1 1 0,-1 0 0,1 0 0,0 1 0,0-1 0,7 0 0,5 0 102,1 1-1,-1 0 1,26 3 0,9-1 219,92-1 365,-142 0-771,0 0 16,1 0 0,-1 0 0,0 0-1,0 0 1,0-1 0,0 1 0,0 0-1,0-1 1,0 0 0,0 1 0,0-1-1,0 0 1,0 0 0,0 0 0,0 0-1,-1-1 1,1 1 0,0 0 0,-1 0-1,1 0 1,-1-1 0,2-1 0</inkml:trace>
  <inkml:trace contextRef="#ctx0" brushRef="#br0" timeOffset="6163.95">2253 110 18175,'0'0'1430,"6"1"-1217,351 16 1088,-320-18-1207,0 0-1,61-10 1,72-24 312,-14 3-90,-107 24-254,46-9 132,-65 7-111,-26 8-56,0 0 0,0 1 0,0-1 0,1 1 0,-1 0 0,0 0 0,9-1 0,-13 2-22,0 1 1,1-1-1,-1 1 1,0-1-1,0 0 1,1 1 0,-1-1-1,0 1 1,0-1-1,0 1 1,0-1-1,0 1 1,0-1 0,1 1-1,-1-1 1,0 0-1,-1 0 1,1 1-1,0-1 1,0 1 0,0-1-1,0 0 1,0 1-1,0-1 1,0 1-1,-1-1 1,1 1-1,0-1 1,0 1 0,-1-1-1,1 0 1,0 1-1,-1-1 1,1 0-1,0 1 1,-1-1 0,1 0-1,-1 1 1,1-1-1,0 0 1,-1 0-1,1 1 1,-1-1 0,1 0-1,-1 0 1,-24 7 67,10-3-19,1 1 0,-18 7 0,27-9-43,0-1 1,0 1 0,1 0-1,-1 0 1,1 1-1,0-1 1,0 1 0,0 0-1,0 0 1,-3 5-1,-3 7-11,0 1 0,2-1 0,0 2 0,1 0 0,0 0 0,2-1 0,0 2 0,-3 33 0,5-5 0,2 0 0,7 64 0,1-61 0,3 1 0,3-2 0,25 66 0,4 14 0,-18-42 0,-4 2 0,8 103 0,9 69 0,-34-244 0,8 128 11,-4-35 128,-5-86-81,-1-1 1,-2 1 0,-3 29-1,5-29-58,-1-23 0,1 1 0,-1 0 0,0 0 0,0-1 0,0 1 0,0 0 0,0 0 0,0 0 0,0 0 0,-1 0 0,1 0 0,-1-1 0,1 1 0,-1 0 0,0 0 0,0-1 0,0 1 0,-1 2 0,0-2 1,0 2 1,-1 0-1,2 0 0,-1-1 0,0 1 0,1 0 1,0 0-1,0 0 0,0 0 0,0 1 0,1-2 1,-1 1-1,1 1 0,0-2 0,1 2 0,-1-1 0,2 5 1,-2-7 1,1-1 1,-1 1-1,0-1 1,0 1-1,0-1 1,0 0-1,0 1 0,-1-1 1,1 1-1,0-1 1,-1 1-1,1-1 1,-1 1-1,1-1 1,-1 0-1,0 0 1,0 0-1,0 0 1,1 1-1,-1-1 1,-1 0-1,1 0 1,0 0-1,0 0 1,0 0-1,0 0 1,-1 0-1,1 0 1,0 0-1,-1-1 1,1 0-1,-3 1 1,-6 4 24,-1-1 0,0-1 0,-16 3 0,15-4-21,-3 1-7,0-1 0,0-1 0,-18 0 0,-1 0 0,-50-1 192,-137-14-1,109 4-83,61 7 1,-97 8 1,117-2-73,0 1 0,1 1 1,0 3-1,-41 12 0,65-17-172,0-1-1,0 1 0,1-1 0,-1 2 1,1-1-1,0 1 0,0-1 1,-6 8-1,8-8 30,1-2-1,0 2 1,0 0 0,0 0-1,0 1 1,0-2 0,1 1-1,0 1 1,-1-1 0,1 0-1,0 0 1,1 1 0,-1-1-1,1 1 1,-1 3 0,1 6-3180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51.26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 3097 17151,'0'0'2155,"6"1"-1984,54 6 78,1-2 0,62-2-1,311-31 1012,-251 16-728,96 4 107,-270 8-638,28 0-978,-13 0-2910</inkml:trace>
  <inkml:trace contextRef="#ctx0" brushRef="#br0" timeOffset="674.53">0 2972 20095,'9'-5'0,"-6"4"0,0 0 0,0 0 0,0-1 0,0 0 0,1 0 0,-1 0 0,0 1 0,1 1 0,-1-1 0,1 0 0,-1 0 0,1 1 0,4-1 0,-4 2 22,1-1-1,0 0 1,-1 0-1,1 0 0,-1-1 1,1 0-1,-1 0 0,1 0 1,-1 0-1,1 0 1,-1 0-1,5-5 0,55-24 400,-54 25-373,14-10 61,-1 5-1,2-1 1,-1 0-1,1 3 1,1 0 0,0 2-1,0 1 1,1 1-1,0-1 1,46 1 0,396-5 381,-309 16-151,17 0 156,-144-8-410,-1-1 0,0-1 0,43-9 0,-71 11-188,-1 1 0,0-2 1,1 1-1,-1 0 1,0-1-1,1 1 0,-1 0 1,0-1-1,0 1 1,-1-1-1,1 0 0,0 0 1,-1 0-1,1-2 1,-1 1-1,0 2 0,0-2 1,0 0-1,0 0 1,2-4-1,-4 7-1,0-1 0,0 1 1,0-1-1,0 1 0,0 0 0,0-1 1,0 1-1,0 0 0,0 0 0,0-1 0,0 1 1,-1-1-1,1 1 0,0 0 0,0-1 1,0 1-1,0-1 0,-1 1 0,1 0 0,0-1 1,-1 1-1,1 0 0,0-1 0,-1 1 1,1 0-1,0 0 0,-1-1 0,1 1 0,0 0 1,-1 0-1,1-1 0,-1 1 0,1 0 0,0 0 1,-1 0-1,0 0 0</inkml:trace>
  <inkml:trace contextRef="#ctx0" brushRef="#br0" timeOffset="40116.83">2685 1066 17407,'0'0'384,"5"-3"-149,6-7-137,0 1-1,1 2 1,1 0-1,0 1 1,0-2 0,0 3-1,17-7 1,-8 7 6,-1 0 0,1 1 0,0-2 0,30 0 0,107 4 568,-135 4-525,-1 0 0,1 2 1,-1 2-1,37 8 0,-54-12-119,0 1 0,0-1 0,0 1 0,0 1 0,-1-2 0,1 2 0,-1 1 0,0-1 0,-1-1 0,1 1 0,-1 1 0,0-1 0,4 7 0,-3-2 1,0-1-1,-1-1 0,0 2 0,0-1 0,-1 2 0,-1-2 0,4 21 0,-5-13 18,0 1-1,-1 2 0,-1-2 0,0 2 0,-2-2 1,0 1-1,-2 0 0,-8 21 0,-4 3 50,-2 0-1,-3 0 1,-1-2-1,-2-1 1,-2-2-1,-38 43 1,48-66-29,15-11-45,-1-2 0,1 2 0,-1-1 0,1 0 0,0 0-1,0 1 1,0 0 0,-2 3 0,4-5-17,0 0 1,-1 1-1,1-2 0,0 1 0,0 1 0,0-1 0,0-1 0,1 2 1,-1-1-1,0 0 0,0 0 0,1 0 0,-1 0 0,1 0 1,-1 0-1,1 1 0,-1 0 0,1-1 0,0 0 0,0 0 1,0-1-1,-1 1 0,1 0 0,0 0 0,2 1 0,3 2 5,-1 1 0,1-1 0,0-1-1,0 0 1,0 1 0,1-3-1,0 2 1,-1 1 0,1-2 0,0 0-1,10 1 1,9 1 69,47 0 0,-53-3-61,66-3 135,5 1 51,-79 1-280,-1 0 0,1 2 0,-1 0 0,1 1 0,19 6 0,-28-7-109,0-1 1,0 1-1,1-1 1,-1 0-1,0 0 1,0 2-1,0-1 1,-1 0-1,1 0 0,-1 1 1,3 2-1,0 2-699,-1-2-1,-1 1 0,1 3 0,2 3 0</inkml:trace>
  <inkml:trace contextRef="#ctx0" brushRef="#br0" timeOffset="41183.57">3849 935 22015,'2'-5'0,"0"1"0,1-2 0,-1 1 0,1 1 0,0 1 0,0 0 0,1-2 0,0 1 0,-1 0 0,1 0 0,0 1 0,1 1 0,-1-1 0,1 0 0,-1 1 0,1 0 0,5-3 0,-4 3 0,0 1 0,0-1 0,0 1 0,0-1 0,1 2 0,-1-1 0,0 1 0,0 1 0,0-1 0,1 2 0,-1-1 0,0 0 0,0 1 0,11 4 0,309 132 0,-313-131 2,-1 1-1,0 1 1,0-1-1,-1 1 1,0 2-1,-1-1 1,0-1 0,-1 2-1,0 1 1,-1-2-1,0 2 1,-1 0-1,10 24 1,-15-28 9,0-3 1,0 1 0,-1 1 0,0-3 0,0 2-1,-1 0 1,0 1 0,0 0 0,0-3 0,-1 3-1,0-1 1,-3 7 0,1-4 15,0-1 1,-1 1-1,0-2 1,-1 0-1,0 3 1,0-3-1,-11 11 0,-2-2 18,0 2-1,-1-3 1,-1 0 0,0-3-1,-32 18 1,32-18 24,0-2 0,-1 0 1,0-2-1,-38 13 0,53-20-56,-1 1 0,1-1 0,-1 0 0,0 0 0,1-1 0,-1 0 0,0 0 0,1-1 0,-1 0 0,0 0 0,1 0 0,-1-1 0,1 0 0,0-1 0,0 0-1,-1 1 1,2-1 0,-1 1 0,0-1 0,-7-6 0,12 8-13,0 1 0,0-1 0,1 1 0,-1-1 0,0 1 0,1-1 0,-1 0 0,0 1 0,1 0 0,-1-1 0,1 1 0,-1-1 0,1 0 0,0 0 0,-1 1 0,1-1 0,0 0 0,-1 0 0,1 0 0,0-1 0,0 2 0,0 0 0,0 0 0,0-1 0,0 0 0,0 0 0,0-1 0,1 1 0,-1 0 0,1 0 0,0 0 0,0 0 0,0 1 0,0-1 0,0 0 0,0 1 0,0-1 0,0 0 0,0 0 0,0 1 0,0-2 0,0 2 0,3-2 0,4 0 0,1 0 0,0 0 0,-1 1 0,12-1 0,2 1 0,0 1 0,1 1 0,-1 0 0,0 2 0,0 0 0,34 12 0,-40-10 0,0 0 0,-1 1 0,0 1 0,0-1 0,-1 1 0,0 3 0,0 0 0,-1-2 0,17 18 0,-26-22 0,-1-1 0,1 4 0,-1-4 0,0 2 0,0 0 0,-1 0 0,1-1 0,-1 4 0,-1-3 0,1 1 0,-1-1 0,0-2 0,0 5 0,-1-3 0,0 2 0,0-2 0,0 1 0,-2 5 0,1-3 0,0 0 0,-1-2 0,0 1 0,-1 0 0,1-1 0,-1 0 0,-1 2 0,1-3 0,-1 2 0,-1-1 0,1-1 0,-1 1 0,0-2 0,-7 9 0,-4-3 6,1 0 0,-1-1 0,-1-1 0,0 0 1,0 0-1,0-3 0,-36 11 0,-135 16-156,165-29 38,11-3-783,10 0 313,0 0-1,0 0 1,0 1-1,0-1 1,0 0-1,0 2 1,1-2-1,-1 1 1,-2 0-1</inkml:trace>
  <inkml:trace contextRef="#ctx0" brushRef="#br0" timeOffset="41934.42">5233 1283 22015,'-22'7'0,"22"-7"0,0 0 0,0 0 0,0 0 0,0 0 0,0 0 0,0 0 0,-1 1 0,1-1 0,0 0 0,0 0 0,0 0 0,0 0 0,0 0 0,-1 0 0,1 0 0,0 0 0,0 0 0,0 0 0,0 0 0,0 0 0,0 0 0,-1 0 0,1 0 0,0-1 0,0 1 0,0 0 0,0 0 0,0 0 0,0 0 0,-1 0 0,1 0 0,0 0 0,0 0 0,0 0 0,0 0 0,0-1 0,0 1 0,0 0 0,0 0 0,0 0 0,0 0 0,-1 0 0,1 0 0,0 0 0,0-1 0,0 1 0,0 0 0,0 0 0,0 0 0,10-14 0,-8 12 0,0-2 0,0-2 0,0 1 0,0 0 0,-1-1 0,1 1 0,-2-1 0,1 1 0,-1-2 0,1 1 0,-2 1 0,1-1 0,-1 2 0,0-3 0,-3-8 0,-1-2 0,-1 0 0,-1-1 0,-12-20 0,18 35 0,-1 0 0,1 1 0,-1-1 0,0 1 0,0 0 0,0 0 0,0-1 0,-1 1 0,1 0 0,-1 1 0,0-1 0,1-1 0,-1 0 0,0 1 0,-5 0 0,2 1 0,1-1 0,0 1 0,-1 0 0,1 1 0,-1-1 0,1 1 0,-1 0 0,1 1 0,-7 0 0,-3 2 1,0 0-1,0 0 0,1 4 1,-1-2-1,1 0 0,1 1 1,-1 0-1,1 1 1,0 2-1,1 0 0,0-1 1,1 0-1,0 2 0,-12 13 1,6-5-5,0 4 1,1-3 0,1 3-1,1-2 1,1 4 0,2-1-1,-11 26 1,9-10-12,3-2 0,1 2-1,2 1 1,2-2 0,2 2 0,3 64-1,2-91 16,-1 0-1,2-1 0,-1 0 1,2 0-1,0-1 0,1 1 1,11 20-1,-14-28 2,1 1 0,0 0 0,0-1 1,0 0-1,0-1 0,1 1 0,0 0 0,0-2 0,0 2 1,0-1-1,1 0 0,-1 0 0,1 1 0,0-1 0,0-3 1,0 2-1,0-1 0,0 1 0,0-1 0,1 0 0,-1 0 0,7 0 1,-4-2 11,1 1 0,0 0 0,-1-1 1,1-1-1,-1 0 0,0 1 0,1-1 1,-1 0-1,0-2 0,-1 0 0,1 0 1,-1-1-1,1 2 0,-1-2 0,-1 1 1,1-1-1,6-8 0,6-6 18,0-1 0,-2 0 0,28-44 0,-15 16-33,-2-2 0,-3-1-1,24-71 1,29-166 118,-74 268-31,0-3 1,-1-36-1,-2 59-85,-1 0 1,0 0-1,0-2 1,0 2-1,-1 0 1,1-1-1,0 1 1,0 0-1,0-1 1,0 1-1,0 0 1,0-1-1,0 1 1,0 0-1,-1-1 1,1 1-1,0 0 1,0 0-1,0 0 1,-1 0-1,1 0 0,0 0 1,-1-1-1,1 1 1,0 0-1,0 0 1,-1 0-1,1-1 1,0 1-1,-1 0 1,1 0-1,0 0 1,-1 0-1,1 0 1,-16 2-77,-15 12-228,22-9 50,0 1-1,1-1 1,0 3 0,0 0-1,0-2 1,1 1-1,-10 15 1,-1 4-1924,-18 41 0,35-66 2106,-47 85-10232</inkml:trace>
  <inkml:trace contextRef="#ctx0" brushRef="#br0" timeOffset="42548.27">5653 937 21887,'9'82'0,"15"102"0,-15-130 10,40 189 130,-32-167-65,34 116 106,-49-182-166,10 20 183,-11-30-193,-1 1 0,0-1 0,0 0 0,1 0 0,-1 0 0,1 1 0,-1-1 0,0 1 0,1-1 0,-1 0 0,1 1 0,-1-1 0,0 0 0,1 0 0,-1 1 0,1-1 0,-1 0 0,1 0 0,-1 0 0,1 1-1,0-1 1,0 0-1,0-1-1,0 1 0,-1 0 0,1 0 1,0-1-1,0 1 0,-1-1 0,1 1 0,0 0 1,-1-1-1,1 0 0,-1 1 0,1 0 1,0 0-1,-1-1 0,1 1 0,-1-1 0,1 0 1,7-12 39,-1 0 1,-1 1-1,0 0 1,-1-1 0,0 0-1,3-17 1,-1 7 13,4-15 16,7-24 116,2 2 0,53-104 0,-41 107-167,3 2-1,82-101 0,11-7-3936,-103 126 1302,19-23-8714</inkml:trace>
  <inkml:trace contextRef="#ctx0" brushRef="#br0" timeOffset="44079.37">2836 209 19711,'-17'8'0,"1"2"0,0 1 0,0-3 0,-14 19 0,-53 51 0,58-55 0,9-7 0,1 0 0,1-1 0,1 3 0,-18 28 0,26-36 0,0 1 0,0-1 0,2 1 0,-1 0 0,2 1 0,-1-2 0,2 1 0,-1 2 0,2-3 0,0 18 0,5 16-20,21 84 0,27 45-57,-27-90 45,73 214-162,-73-233-104,3 1 0,58 92 0,-49-101-651,57 62 0,77 65-2443,7 4-5056</inkml:trace>
  <inkml:trace contextRef="#ctx0" brushRef="#br0" timeOffset="44785.36">6526 192 18687,'12'32'0,"1"-1"0,2 1 0,25 40 0,86 124 0,-103-153 0,-2-1 0,28 86 0,-29-58 46,-4 2 0,-3 1 0,-4-2 0,-1 133 0,-10-158-17,-3 1 0,-1 0 0,-3-3 0,-2 3 0,-3-3 0,-1 0 0,-3 1 0,-38 67 0,4-28-114,-3-1-1,-72 83 1,114-151-207,-1-2 1,0 2-1,-18 9 0,26-19-114,-1 0 0,0 0 0,-1-1 0,1-2 0,-1 2 0,0 0 0,0-2 0,0 1 1,-17 2-1,-17 0-8810</inkml:trace>
  <inkml:trace contextRef="#ctx0" brushRef="#br0" timeOffset="45430.35">6973 109 19327,'34'-6'0,"0"-3"0,59-20 0,5-3 0,-72 24 0,-5 2 0,1 2 0,0-3 0,25 1 0,-40 5 0,-1 1 0,1-1 0,0 2 0,-1-1 0,1 1 0,-1 0 0,1 0 0,-1 0 0,1 1 0,-1 0 0,0 1 0,0 0 0,0-2 0,0 4 0,6 1 0,-5-1 0,0 0 0,-1 2 0,0-2 0,0 1 0,0 2 0,-1-2 0,0-1 0,-1 3 0,1-1 0,-2 1 0,1 0 0,-1-2 0,0 2 0,-1 0 0,0-1 0,0 3 0,-1-1 0,1 10 0,-2 5 0,-2 1 0,0-2 0,-2 2 0,0-2 0,-10 26 0,-3 2 0,-49 101 0,-42 40 1,29-55 20,63-108 36,-2 2 123,1 1 0,-15 44 0,32-75-167,0 0 0,-1 0 0,1-1 1,0 2-1,0-1 0,0 0 0,0 0 0,0 0 0,0 0 0,0 0 1,0 0-1,0 0 0,1-1 0,-1 1 0,0-1 0,1 1 0,-1 0 0,1 0 1,-1 1-1,1 0 0,-1-1 0,1-1 0,0 1 0,-1 0 0,1-1 1,0 1-1,0-1 0,0 1 0,-1 0 0,1-1 0,0 1 0,0-1 0,0 1 1,0-1-1,2 1 0,3 1 20,1 0 0,-1-2 0,2 2 0,9-1 0,-16-1-31,52 2 67,0-1 0,-1-2 1,99-14-1,153-50-3333,-219 45-8831</inkml:trace>
  <inkml:trace contextRef="#ctx0" brushRef="#br0" timeOffset="47013.57">1889 2850 19327,'12'-6'-76,"-9"4"28,1-1 0,0 1 0,0 1-1,-1 0 1,1 0 0,1-1 0,-1 1-1,0 0 1,0 0 0,0 0 0,1 0 0,-1 1-1,0 0 1,1 0 0,-1 0 0,5 1-1,0 1-32,0-1-1,1 1 1,-1-2-1,0 1 1,1-2-1,14-1 1,60-13-180,-34 5 90,-23 5 121,68-10-203,182-12 1,-123 30 135,230 31-1,-159 12 118,-145-27 0,82 10 0,347 19 128,-420-45 270,124-9 0,-38-3 321,-49 6 113,224-33 0,-126-16-55,-94 18-530,182-31 286,-199 29-256,-11 4-148,183-27 272,6 0-290,-224 40-23,-16 6 39,97-19-1,-116 30-119,62 3-1,-13 1 109,116-2-94,45 0 107,-204-3-154,1-1 0,40-8 0,-72 10-2,-3 2-190,0-1 0,0 0 1,0-2-1,0 1 0,0 1 0,5-3 1,2-6-3465</inkml:trace>
  <inkml:trace contextRef="#ctx0" brushRef="#br0" timeOffset="49382.53">3242 4014 19199,'4'-5'87,"-4"4"-46,0 0-1,1 0 1,-1 0 0,1 1 0,0-1-1,-1-1 1,1 0 0,0 1 0,-1 0 0,1 0-1,0 0 1,0 1 0,0-1 0,0 0-1,0 1 1,0-1 0,0 1 0,0-1-1,1 0 1,-1 1 0,0-1 0,2 0-1,15-17 238,-3 4-169,23-26 1,-24 22-38,22-17-1,189-133 390,-22 20-175,-161 113-235,-20 14 31,1 2 1,49-32 0,-70 50-73,-1-1 0,1 2 0,0-1 0,0 0 0,0 1-1,0-1 1,0 0 0,0 1 0,0-1 0,1 1 0,-1-1 0,0 1 0,0 0 0,0 0 0,0 0 0,1 0 0,2 1 0,-4 0-5,0-1 1,0 1-1,0 0 1,0 0-1,1 0 0,-1-1 1,-1 0-1,1 1 1,0 0-1,0 2 0,0-1 1,0-1-1,-1 0 1,1 0-1,-1-1 0,1 1 1,-1 0-1,1 0 1,-1 0-1,1 1 0,-1-1 1,0 0-1,0 1 1,0-1-1,0-1 0,0 2 1,0-1-1,0 0 1,-1 2-1,-4 46 52,-2 1 0,-21 70 0,10-54 31,-17 59 37,23-83-97,3 1 0,1 0 0,-1 44 0,-8 49 9,5-72-118,-20 124-862,33-170-88,-1-17 958,0-1 0,0 0 0,0 0 1,0 0-1,0 0 0,0 0 0,0 0 0,0 1 1,0-1-1,0 0 0,1 0 0,-1 0 1,0 1-1,0-1 0,0 0 0,0 0 1,1 0-1,-1 0 0,0 1 0,0-1 1,0 0-1,1 0 0,-1 0 0,0 0 1,0 0-1,1 0 0,-1 0 0,0 1 1,0-1-1,1 0 0,-1 0 0,0 0 1,0 0-1,1 0 0,-1 0 0,0 0 1,0 0-1,1 0 0,-1-1 0,0 1 1,0 0-1,1 0 0,-1 0 0,0 0 1,0 0-1,0 0 0,1 0 0,-1-1 1,0 1-1,0 0 0,0 0 0,1 0 0,-1 0 1,0-1-1,0 1 0,0 0 0,0 0 1,0 0-1,1-1 0</inkml:trace>
  <inkml:trace contextRef="#ctx0" brushRef="#br0" timeOffset="49709.87">4486 4371 19967,'0'0'0,"-37"-3"0,52 3 0,-4 3 0,5 1 0,-8 1 0,-3-3 0</inkml:trace>
  <inkml:trace contextRef="#ctx0" brushRef="#br0" timeOffset="50596.36">5192 3364 22143,'-44'36'0,"43"-35"-2,0-1 0,0 1 0,0 0 0,1-1-1,-1 1 1,0 0 0,0-1 0,0 1 0,0-1 0,-1 0-1,1 0 1,0 0 0,0 0 0,0 0 0,0 1-1,0-1 1,0 0 0,0 0 0,0 0 0,-1-1 0,1 1-1,0 0 1,0 0 0,0 0 0,0 0 0,0 0 0,0-1-1,0 1 1,0-1 0,0 1 0,-2-2 0,2 1-4,0 0 0,0 1 0,0 0 0,-1 0 0,1 0 0,0 0 0,-1-1 0,1 1 0,0 0 0,-1-2 0,1 2 0,0 0 0,-1 0 0,1 0 1,0 0-1,-3 0 0,-4 3-84,-1-1 1,1 2-1,-1-2 1,1 1-1,1 2 1,-1-1-1,1 3 1,-1-4-1,1 3 1,1-1 0,-11 11-1,5-3-66,1 1-1,0-1 1,1 2-1,-14 24 1,20-31 139,0 2 1,1-1-1,0 0 0,0 1 1,1-2-1,1 2 1,0 1-1,0-4 1,1 3-1,0 0 1,1-2-1,0 2 0,0 0 1,1-2-1,1 1 1,0 2-1,0-3 1,9 19-1,-4-14 0,-1-3 0,2 1 1,0 2-1,0-1 0,2-3 0,-1 1 0,1 1 0,1-1 1,0-3-1,0 2 0,1-1 0,17 9 0,22 7 17,-1 2 0,-2 3 0,90 68 0,-136-95 0,-1 1 0,0-2 0,1 0 0,-1 1 0,0 1 0,0-2 0,-1 2 0,1 0 0,0-1 0,-1 0 0,0 2 0,1-1 0,-1 0 0,1 2 0,-2-2 0,-1 1 0,1-1 0,0 0 0,-1 0 0,0 1 0,0-1 0,0-1 0,0 1 0,0 0 0,-1 0 0,-3 7 0,-7 10 124,-1 1 0,-2 1 0,0-1-1,-31 30 1,41-46-87,-1-1-1,1-1 1,0 0-1,-1 0 1,0 0-1,0-1 1,0 1 0,0 1-1,-1-2 1,1 0-1,-1-1 1,1 1-1,-1-1 1,0 0 0,1-1-1,-1 1 1,0-1-1,0-1 1,1 1-1,-1-1 1,0 0 0,1-1-1,-1 1 1,1-1-1,0 0 1,-1-2-1,1 1 1,0 1 0,0-1-1,1 0 1,-1 0-1,1 0 1,0-1-1,-9-9 1,5 4-23,1-2 0,0 3 0,0-1 0,1-4 0,1 3 0,0 0 0,1-2 1,0 1-1,1-2 0,0 3 0,1-1 0,0-2 0,1 2 0,0-2 0,2 2 0,-1-2 0,3-18 0,0 9-9,2 1 0,0-3 0,2 5 0,1-4 0,0 4 1,2-3-1,0 3 0,25-38 0,52-53 99,8-12 51,-83 105-138,-1 0 1,-1 0-1,-1 0 0,-1 0 0,9-34 0,-15 48-43,0 2-69,-1-1 0,1 1 1,-1-1-1,1 0 0,-1 1 1,0-1-1,1 0 0,-1 1 1,0-1-1,-1 0 0,1 0 1,0 0-1,0 1 0,-1 0 1,1 0-1,-1-1 0,1-2 1,-1 3-1,-1-3 0,1 4-14,1 0 0,-1 0 0,1 0-1,-1 0 1,0 0 0,1 0 0,-1 0 0,1 0-1,-1 0 1,1 0 0,-1 0 0,1 0-1,-1 0 1,1 0 0,-1 0 0,1 0-1,-1 1 1,1-1 0,-1 0 0,1 0 0,-1 1-1,1-1 1,-1 0 0,1 0 0,-1 0-1,1 0 1,0 1 0,-1-1 0,1 1 0,0-1-1,-1 1 1,1 1 0</inkml:trace>
  <inkml:trace contextRef="#ctx0" brushRef="#br0" timeOffset="51405.94">5929 3475 20607,'-91'1'128,"90"-1"-121,0 0-1,0 0 1,0 0-1,0 0 0,0 0 1,0 0-1,0-1 0,-1 1 1,1 0-1,0-1 1,1 1-1,-1 0 0,0-1 1,0 0-1,-1 0 1,1 1 0,1-1 1,0 1 0,0-1 0,-1 1 0,1 0 0,0 0 0,0 0-1,0-1 1,0 1 0,0-1 0,-1 1 0,1-1 0,0 1 0,0 0-1,0-1 1,0 1 0,0-1 0,0 1 0,1-2 0,-1 2 0,0-1-1,0 1 1,0-1 0,2-1 76,-1 0-1,1 0 0,0-2 1,-1 4-1,1-3 1,5-4-1,-51-2 194,34 8-299,-1 1 0,1-1-1,0 1 1,-1 1-1,1-1 1,0 1 0,0 1-1,0 0 1,-14 4-1,19-4 9,0 0 0,0 0-1,1 1 1,-1-3-1,1 4 1,-1-2 0,1 1-1,0 0 1,0 1-1,1-1 1,-1 1 0,1 0-1,-1-1 1,1 2-1,1-1 1,-1-1 0,0 1-1,1 0 1,-3 10-1,3-9-20,0 3 0,1-1 0,0-1 0,0 2-1,1-1 1,0 0 0,0 0 0,0 0 0,1-1 0,1 1-1,2 12 1,0-9-3,0-1-1,0-2 0,1 2 1,0 0-1,1-2 1,0 2-1,11 10 0,5 2-19,2-3-1,0 3 1,1-4-1,43 23 0,-53-31 59,-1-1 0,0 2 0,-1 0 0,0 0 0,0 0 0,-1 3 0,17 19 0,-26-26 0,1-1 0,-1 0 0,0 0 0,0 1 0,-1-1 0,0 2 0,0-2 0,-1 1 0,1 0 0,-1 0 0,-1 0 0,1-1 0,-1 2 0,0-1 0,-1 0 0,1 1 0,-1-2 0,-1 1 0,1 0 0,-1-1 0,0 2 0,-1-2 0,-3 8 0,-3 2 0,0 0 0,-19 24 0,23-34 0,-1 1 0,1-1 0,-1 1 0,-1 0 0,1-2 0,-1-1 0,0 2 0,-12 6 0,11-9 6,-4 4-9,0-1 0,0 0 0,0-2-1,-17 5 1,26-7 9,-1-1-1,1 0 0,-1 0 1,1 0-1,-1 0 0,1 0 0,0 0 1,-1 0-1,1-1 0,-1 0 1,1 0-1,0 0 0,0 1 1,0-3-1,-1 2 0,1-1 1,0 1-1,1 0 0,-1-2 0,0 1 1,-3-3-1,1 0-1,0 1 1,1-3-1,0 3 1,0-2-1,0 3 0,1-5 1,-1 2-1,2 0 0,-1 0 1,1 1-1,0-2 1,0 1-1,-1-10 0,2 5 7,1 1-1,1 1 0,-1-2 1,2 1-1,0 1 1,0-1-1,0 0 0,5-9 1,6-9 13,2-2 1,1 5-1,1-1 1,35-43-1,-4 14-24,-22 25 0,25-35 0,-39 48-12,25-43-187,-33 53 141,-1 0 0,0 1-1,0-3 1,-1 2 0,1 0 0,-1-12 0,-2 10-1323</inkml:trace>
  <inkml:trace contextRef="#ctx0" brushRef="#br0" timeOffset="52196.89">6500 3351 22143,'-75'10'0,"71"-10"0,5-1 0,12-3 0,3 3 0,-15 1 0,-1 0 0,0 0 0,1 0 0,-1 1 0,0-1 0,1 0 0,-1 0 0,0 0 0,0 0 0,1 1 0,-1-1 0,0 0 0,1 0 0,-1 0 0,0 1 0,0-1 0,1 0 0,-1 0 0,0 1 0,0-1 0,0 0 0,0 1 0,1-1 0,-1 0 0,0 1 0,0-1 0,0 0 0,0 0 0,0 0 0,0 0 0,0 1 0,0-1 0,0 0 0,0 1 0,0-1 0,-8 30 0,6-23 0,0-1 0,0 1 0,-1 12 0,-2 15 0,-1-1 0,-2 2 0,-13 33 0,9-32 0,-15 79 0,25-104 2,0 10 32,-1 38 1,4-55-31,-1 3 1,1-2 0,1 2 0,-1-1 0,1 0-1,0 0 1,0-1 0,2-1 0,-2 2 0,1 0 0,5 4-1,-7-8 1,0-1-1,0 1 0,0-2 0,1 1 0,-1 1 1,1-1-1,-1-1 0,1 0 0,-1 1 0,1 0 1,-1 0-1,1-1 0,0 1 0,-1-1 0,1 0 1,0 1-1,0-1 0,-1 0 0,4 0 1,1 0 48,-1 0 1,0-1-1,0 0 1,0 0-1,7-1 1,-11 0-40,1 0 1,-1 0-1,1 1 1,-1-1 0,0 1-1,1-1 1,-1 0-1,0-1 1,0 1 0,-1 1-1,1-2 1,0 1-1,-1-1 1,1-1-1,1 0 2,15-50-5,-7 22 25,25-56-1,-30 79-31,0-2 0,1 3 0,0-1 1,0 0-1,1 0 0,0 2 0,1-2 1,0 2-1,0 1 0,11-9 0,-13 11-49,-1 1 0,1 1-1,0-1 1,-1 1 0,1 0-1,1 1 1,-1-1 0,0 0-1,10 0 1,-14 1 4,1 1 1,0 0-1,0 0 1,0 0-1,0 0 1,0 1-1,0-1 0,0 1 1,0 0-1,-1 0 1,1 0-1,0 0 0,-1 0 1,1-1-1,0 2 1,-1-1-1,0 0 1,1 1-1,-1 0 0,0-1 1,0 1-1,4 4 1,1 5-1631,0-1 0,10 22-1</inkml:trace>
  <inkml:trace contextRef="#ctx0" brushRef="#br0" timeOffset="52542.35">6587 3816 21887,'0'0'0,"13"30"0,-8-17 0,1 1 0,5 0 0,-2 1 0,12 1 0,5 0 0,2 8 0,-1-1-384,-2 4 0,0-1-1536,-5-11 128,-2-6 129,-9 2 127</inkml:trace>
  <inkml:trace contextRef="#ctx0" brushRef="#br0" timeOffset="53704.2">7145 3998 21119,'80'20'0,"-54"-12"0,1 0 0,-1-3 0,55 5 0,-61-8 0,-12-2 0,1 1 0,-1-1 0,14-2 0,-20 1 22,-15-9 84,-13-16-106,1-2 0,2 1 0,1-2 0,1-2 0,-22-41 0,39 63 24,0 3-1,1-1 0,-1 1 0,2-1 1,-1 0-1,1-2 0,1 2 1,-1 0-1,1-1 0,1 2 0,0-3 1,0 1-1,0 0 0,1 2 0,0-1 1,1-1-1,0 0 0,0 2 1,1-2-1,-1 0 0,6-6 0,-3 6 1,-1 0 0,1 1 0,1 1 0,-1-1 0,1 0-1,1 1 1,-1 0 0,1 1 0,1 0 0,-1-1 0,1 1-1,-1 1 1,2 0 0,-1 0 0,0 1 0,15-5 0,-16 4-17,1 2 0,0-1 0,0 2 0,0-1 0,0 1 0,0 0 0,0 1 1,0-2-1,1 2 0,-1 0 0,0 2 0,0-2 0,0 1 0,12 3 0,6 5 25,-1 1 0,0-1 0,27 16 0,-42-19-19,0-1 0,-1 2 0,1 1 0,-1-3-1,-1 3 1,1 0 0,-2 1 0,1-1 0,10 15-1,-15-18-12,0 1 0,-1 1 0,1-2 0,-2 0 0,1-1 0,0 1 0,-1 2 0,0-1 0,-1 1 0,0-3 0,0 3 0,0-2 0,-1 7 0,-3 5 0,0-3 0,-1 5 0,-8 12 0,-5 19 0,18-49 0,0 1 0,-1 0 0,1 0 0,0 0 0,0-1 0,0 1 0,0 0 0,0 0 0,1 0 0,-1 0 0,1-1 0,-1 1 0,1 0 0,0 0 0,0 0 0,0-2 0,0 1 0,0 1 0,0-1 0,0 1 0,0-1 0,1 1 0,-1 0 0,0-1 0,1 0 0,0 1 0,-1-2 0,1 1 0,2 2 0,7 2 0,0 0 0,1-1 0,20 7 0,-17-8 0,4 3-172,-1 0-1,1-3 1,0 1 0,0-2-1,27 2 1,-34-4 25,-1-1 1,0 1-1,1-1 1,-1-2 0,0 1-1,0-1 1,1 1-1,-1-2 1,0 0-1,14-8 1,-22 12-26,-1-1 1,0-1-1,0 1 1,0-1-1,0 0 1,0 1-1,0 0 0,0-1 1,-1 0-1,1 0 1,0 0-1,-1 0 0,0 0 1,0 0-1,1 1 1,-1-3-1,-1 2 0,1-1 1,0 1-1,-1-1 1,1 2-1,-1-5 1,5-25-10645</inkml:trace>
  <inkml:trace contextRef="#ctx0" brushRef="#br0" timeOffset="54415.23">7664 2367 17279,'5'12'0,"-3"-7"0,-1-2 0,1 1 0,-1-2 0,0 2 0,0-1 0,0 8 0,-1-11 14,0 0 0,0 0 0,0 0 0,0 0 0,0 0 0,0 1 0,0-1 0,0 0 0,0 0 0,0 1-1,-1-1 1,1 0 0,0 0 0,0 1 0,0-1 0,0 0 0,0 0 0,0 0 0,-1 1 0,1-1 0,0 0-1,0 0 1,0 0 0,-1 0 0,1 1 0,0-1 0,0 0 0,0 0 0,-1 0 0,1 0 0,0 0 0,0 0-1,-1 0 1,1 0 0,0 0 0,0 0 0,-1 0 0,1 0 0,0 0 0,0 0 0,-1 0 0,1 0 0,0 0-1,0 0 1,0 0 0,-1 0 0,1 0 0,-13-4 462,12 3-446,-5 1 124,0 0 0,0 1 0,0-1 0,0 1 0,0 1 0,0-1 0,0 0 0,-8 3 0,13-4-136,1 0-1,0 2 0,0-2 0,-1 0 0,1 0 0,0 0 1,-1 0-1,1 1 0,0-1 0,0 0 0,-1 0 0,1 1 0,0-1 1,0 0-1,0 0 0,-1 1 0,1-1 0,0 0 0,0 1 1,0-1-1,0 0 0,0 1 0,-1-1 0,1 0 0,0 1 1,0-1-1,0 0 0,0 1 0,0-1 0,0 0 0,0 0 1,0 0-1,0 0 0,1 1 0,-1-1 0,0 0 0,0 1 0,0-1 1,0 0-1,0 0 0,0 1 0,1-1 0,-1 0 0,0 1 1,0-1-1,0 0 0,1 0 0,-1 2 0,0-2 0,0 0 1,1 0-1,-1 0 0,0 1 0,1-1 0,0 0 0,0 1 26,1 0-1,-1 0 1,1-1 0,-1 1-1,1-1 1,0 1-1,0 0 1,0 0-1,2-1 1,100 20 705,-71-13-482,45 3 0,-47-7-165,0 1 1,-1 1-1,49 15 0,-45-11-846,-7-3-3459</inkml:trace>
  <inkml:trace contextRef="#ctx0" brushRef="#br0" timeOffset="55024.47">9078 2658 21503,'2'3'128,"-1"-1"-124,1 3 56,1-1 1,0-1 0,0 1-1,6 8 1,-8-11-47,0 0-1,0 0 1,0 0 0,-1 0 0,1-1-1,0 1 1,0-1 0,1 1 0,-1-1-1,0 1 1,0-1 0,0 1 0,0-1-1,0 1 1,1-1 0,-1 0 0,0 0-1,0 0 1,1 2 0,-1-2 0,0 0-1,0-2 1,1 2 0,-1 0 0,0 0-1,0 0 1,0-1 0,1 1 0,-1-1-1,0 1 1,2-1 0,10-5 1,1 1 0,0-2 0,1 3 0,-1 1 0,1-1 0,0 2 0,0-1-1,0 2 1,26-2 0,-36 4-29,-1-1 0,1 2-1,0-1 1,0 0-1,-1 0 1,6 2-1,-6-1-44,0-1 0,0 0-1,1 1 1,-1-2 0,1 0-1,-1 1 1,8-1-1,-1-1-646,0 1 1,-1-2-1,15-3 0,-2-4-2998</inkml:trace>
  <inkml:trace contextRef="#ctx0" brushRef="#br0" timeOffset="55287.68">9045 2295 21887,'0'0'0,"36"56"0,-36-51 128,-11-16-128,7 11 128,2 0-128,7 6 128,7 3-128,10 4 128,11 7-128,11-4 128,14 2-256,6-5 0,14-7-256,-6-7 0,0-2-15231</inkml:trace>
  <inkml:trace contextRef="#ctx0" brushRef="#br0" timeOffset="-212233.01">10347 1879 21119,'20'-11'0,"-6"3"0,1-2 0,-2 1 0,0 0 0,22-24 0,-32 49 79,0 1-1,-1 22 0,-2-3-33,-1 1 0,-2-3 0,-2 1 0,-1-1 0,-2 3 0,-2-3 0,-2 0 0,-29 60 0,1-24 238,-3-1 0,-3-4-1,-80 92 1,122-154-268,1 2 1,-1-3-1,1 2 1,-1 2-1,1-1 1,1 0-1,-1-1 1,1 2-1,-3 7 1,4-10-11,1 0 0,0-1 1,0 1-1,0 0 0,0-1 1,1-1-1,-1 2 0,1 1 1,0-1-1,0-2 0,0 2 1,0 0-1,0-1 0,0 0 1,1 0-1,-1 2 0,1-3 1,0 0-1,-1 0 0,1 1 1,0 1-1,4 2 0,5 3-5,1-1 0,1 0 0,-1 2 0,1-4 0,16 5 0,15 12 0,-41-21 0,62 29 11,100 37 0,-115-51 106,0 0 0,2-6 1,79 13-1,-118-22-252,22 1-119,-8-8-3688</inkml:trace>
  <inkml:trace contextRef="#ctx0" brushRef="#br0" timeOffset="-211344.93">9959 2063 22271,'0'0'256,"0"-6"-149,1-3-73,1 2 0,-1 1 0,1-3 0,1 0 0,0 2-1,0 0 1,0 0 0,1-1 0,0 1 0,1 1 0,0-3 0,0 3 0,1 1 0,-1 0 0,2-1 0,9-9-1,1 3 3,0 1-1,2-1 1,-1 1-1,2 1 1,35-13-1,-27 11 14,39-20 0,-49 20-22,2 2 1,-1 2-1,1-1 1,38-10-1,-56 19-23,0 0-1,0 0 1,0 0 0,0-2-1,0 2 1,0 0 0,0 0 0,0 2-1,0-2 1,0 0 0,0 0-1,0 0 1,0 1 0,0 0 0,0 0-1,0-1 1,0 1 0,-1 0-1,1 0 1,0 0 0,-1 0-1,1 0 1,-1 0 0,1 1 0,-1-1-1,1 1 1,-1-1 0,0 1-1,0-1 1,0 1 0,0 0 0,0-1-1,1 5 1,2 4 30,0 1 0,-1 1 0,0 1-1,2 12 1,-2-6-30,1 4 102,-4-23-113,0 1 0,0-1 0,0 0 0,0 0 0,0 0-1,0 1 1,0-1 0,1 0 0,-1 0 0,0 0 0,0 0 0,0 1 0,0-1-1,0 0 1,0 0 0,0 0 0,0 0 0,0 1 0,1-1 0,-1 0-1,0 0 1,0 0 0,0 0 0,0 0 0,1 0 0,-1 0 0,0 0 0,0 0-1,0 0 1,0 0 0,1 0 0,-1 0 0,0 0 0,0 0 0,0 0-1,1 0 1,-1 0 0,0 0 0,0 0 0,0 0 0,1 0 0,-1 0 0,0 0-1,0 0 1,0 0 0,0 0 0,1 0 0,-1 0 0,0 0 0,0 0 0,0 0-1,1 0 1,-1 0 0,0 0 0,0 0 0,0 0 0,0 0 0,0-1-1,0 1 1,1 0 0,-1 0 0,0 0 0,0 0 0,0-1 0,0 1 0,0 0-1,6-12-3610</inkml:trace>
  <inkml:trace contextRef="#ctx0" brushRef="#br0" timeOffset="-210442.26">11547 1760 22015,'-51'18'0,"51"-17"2,-1-1-1,1 0 1,-1 0-1,1 0 1,-1 0-1,1 0 1,-1 1-1,1-1 1,-1 0-1,1 0 1,-1 0-1,1 0 1,-1 0-1,1 0 1,-1 0-1,0 0 1,1 0-1,-1 0 1,1 0-1,-1 0 1,1 0-1,-1 0 1,1 0-1,-1-1 1,1 1-1,-1 0 1,1 0-1,-1 0 1,0 0-1,5-12 98,0 1-18,-4 11-79,0 0-1,0 0 0,0-1 1,0 1-1,0 0 0,0 0 0,0-1 1,0 1-1,0 0 0,0 0 0,0 0 1,0-1-1,-1 1 0,1 0 1,0 0-1,0-1 0,0 1 0,0 0 1,0 0-1,0 0 0,0 0 0,-1-1 1,1 1-1,0 0 0,0 0 1,0 0-1,0 0 0,-1 0 0,1 0 1,0 0-1,0 0 0,0 0 0,-1 0 1,1 0-1,0 0 0,0 0 1,-1 0-1,1 0 0,0 0 0,-1 0 1,-7 0 16,0 0 1,-1 0 0,1 1 0,0 0-1,0 1 1,0 0 0,0 0-1,0 1 1,0 0 0,1-1 0,0 2-1,-9 4 1,-15 11 51,-36 26 1,20-9 99,-78 79 1,122-112-157,0 0 1,0 1-1,0-2 1,0 2-1,1-1 1,0 1-1,0 2 0,0-3 1,0 1-1,1 1 1,-1-2-1,1 1 0,0-1 1,0 7-1,1-7-2,0-1 0,1 2-1,-1-3 1,1 2 0,-1-2-1,1 1 1,0 0 0,0 0-1,0 1 1,0 0 0,1-1-1,-1-1 1,0 1 0,1 0-1,-1-1 1,1 1 0,0 0-1,0-2 1,0 2 0,0-1-1,0 0 1,0 1 0,0-1-1,0 0 1,1 1 0,-1-2-1,0 2 1,3-1 0,19 6 9,0-3-1,0 0 1,1-1 0,29 0 0,-21-1 3,12 1-7,0 1 0,0 3 1,82 21-1,-114-25-15,-1 0 0,0 3 0,-1-1 0,1 0 0,-1 1 0,0 0 0,-1 1 0,1 1 0,-1-1 0,-1 1 0,0 0 0,0 1-1,-1 2 1,0-3 0,-1 2 0,0 0 0,0 0 0,6 17 0,-6-10 2,-2-2-1,0 3 0,-1 0 1,-1-1-1,-1 1 1,0-1-1,-2 3 0,0-4 1,-1 1-1,-6 30 1,0-19 7,-1 2 1,-1-2-1,-2-1 1,-2 1-1,-22 38 1,32-61 1,1 0 0,-1 0-1,-1 0 1,1-1 0,-1 2 0,0-3 0,0 1-1,0 0 1,-1-1 0,0 1 0,1-1 0,-1 0-1,-1 1 1,1-1 0,0-2 0,-1 3 0,1-3-1,-1 2 1,-11 1 0,1-1 23,0-1 0,-26-1-1,35-1-19,1 0-1,0-1 1,-1 0-1,1 0 1,0-1-1,0 1 1,0-1-1,-1 0 0,1-2 1,-6-1-1,-8-6 42,1-2-1,-1 0 0,2 0 0,-20-20 1,32 28-44,1 0 0,-1-1 0,1-2 0,1 3 0,-1-2 0,1 0 0,0 1 0,1-2 0,-1 1 0,2-1 1,-1 1-1,1 0 0,0-1 0,1 1 0,-1-11 0,3 2-2,0 3 1,1-3-1,0 3 0,2-4 1,0 6-1,0-5 0,13-22 1,-5 15-1,0 4 1,2-2 0,0 2-1,19-20 1,34-35-424,4 4-1,124-99 1,-160 145-718,-18 18-1964</inkml:trace>
  <inkml:trace contextRef="#ctx0" brushRef="#br0" timeOffset="-207957.96">12112 2827 22271,'0'0'512</inkml:trace>
  <inkml:trace contextRef="#ctx0" brushRef="#br0" timeOffset="-207162.97">12618 2284 20607,'0'0'384,"4"-3"-256,212-221 1131,-82 76-1067,29-27 21,-125 140-196,87-73 94,-118 103-111,0-3 0,1 4 0,-1-1 0,15-4 0,-21 8 1,0 1 1,-1 0-1,1 0 0,-1-1 0,1 1 0,-1 0 0,1 0 0,0 0 0,-1-1 1,1 1-1,0 0 0,-1 0 0,1 0 0,-1 0 0,1 0 0,0 0 0,-1 0 1,1 1-1,0-1 0,-1 0 0,1 0 0,-1 0 0,1 1 0,0-1 1,-1 0-1,1 1 0,-1-1 0,1 0 0,-1 0 0,1 0 0,-1 1 0,1-1 1,-1 0-1,0 0 0,1 1 0,-1-1 0,0 1 0,1-1 0,-1 1 0,0-1 1,0 1-1,1 0 0,-1-1 0,0 1 0,0-1 0,0 1 0,0 0 0,0-1 1,0 0-1,0 1 0,0 0 0,0 3 14,0 0 0,0 2 0,-1-2 0,0 1 1,-2 6-1,-88 216 346,77-196-338,-25 54 78,-47 116 54,-37 221-49,117-397-106,-10 49 0,-42 111 0,57-182 0,-7 22 0,8-24 0,-1 0 0,1-1 0,0 1 0,0 0 0,0 0 0,0 0 0,0 0 0,0 0 0,0 0 0,1 0 0,-1 0 0,0 0 0,0-1 0,1 1 0,-1 0 0,1-1 0,-1 1 0,1 0 0,-1 0 0,1 0 0,1 3 0,-2-4-2,0 0 0,0 0 0,0 0 0,0 0 0,0 0 0,1 0 0,-1 0 0,0 0 0,0 1 0,0-1 0,0 0 0,0 0 0,1 0 0,-1 0 0,0 0 0,0 0 1,0 0-1,0 0 0,0 0 0,1 0 0,-1 0 0,0 0 0,0-1 0,0 1 0,0 0 0,0 0 0,1 0 0,-1 0 0,0 0 0,0 0 0,0 0 0,0 0 0,0 0 0,0 0 0,1-1 0,-1 1 0,0 0 0,0 0 0,0 0 0,0 0 0,0 0 0,5-12-215,2-11-411,-6 20 468,23-75-3850,-8 39-8811</inkml:trace>
  <inkml:trace contextRef="#ctx0" brushRef="#br0" timeOffset="-205960.97">13870 1677 20351,'0'0'256,"-6"5"-128,-4 7-71,0 2 0,2 0 0,-1 0 0,2 1 0,0-2 0,1 2 0,1 0-1,-5 18 1,-19 209 437,20 2-92,10-138-287,1-41 9,-10 81 0,4-124-85,2-16 13,1-1 1,1 0-1,-1 0 0,1-1 1,0 2-1,1 8 0,-1-14-40,1 0-1,0 0 0,-1 0 0,1 0 0,0 0 1,-1 0-1,1 0 0,-1 0 0,1-1 1,0 1-1,-1 0 0,1-1 0,-1 1 1,1-1-1,-1 1 0,1-1 0,-1 1 1,1-1-1,-1 1 0,0-1 0,1 1 1,-1-1-1,0 1 0,1-2 0,19-21 37,-17 18-14,114-150 119,-55 69-50,190-259-60,-181 237 74,15-19 0,-79 116-117,2 1 0,-1 1 0,1-2 0,1 2 0,0 0 0,0 1 0,23-13 0,-32 20-1,0 1-1,0-1 1,0 1-1,0-1 1,0 1-1,0 0 1,0 0-1,0 0 1,0 0-1,0 0 1,0 0-1,0 0 1,0 0-1,1 0 1,-1 0-1,0 0 1,0 0-1,0 0 1,0 0-1,0 1 1,0-1-1,0 1 1,0-1-1,1 1 1,-1-1-1,-1 1 0,1 0 0,-1-1 1,1 1-1,-1-1 0,0 1 0,1 0 0,-1-1 1,0 1-1,0-1 0,0 1 0,1-1 0,-1 1 0,0 0 1,0 0-1,0-1 0,0 1 0,0 0 0,0 0 0,-1-1 1,1 1-1,0 0 0,0 0 0,0-1 0,-1 0 1,1 1-1,0-1 0,-1 1 0,1 0 0,0-1 0,-1 1 1,1-1-1,-1 1 0,1-1 0,-1 1 0,0-1 0,0 2 1,-27 19-814,-2 0-3917</inkml:trace>
  <inkml:trace contextRef="#ctx0" brushRef="#br0" timeOffset="-204892.36">14864 1788 20991,'-6'17'32,"0"-4"0,0 3 0,-1-3 0,-1 4 0,0-6 0,-1 4 0,-15 14 0,-29 33 340,-70 110-1,88-121-324,-23 29 70,22-30-5,-40 71 0,57-85-79,-4 5 25,-22 62 0,62-141-58,36-56 0,162-335 233,-170 330-210,-15 41 41,66-95 0,-93 148-45,1 1 0,-1 0-1,1 1 1,0-2 0,0-1-1,0 4 1,9-7 0,-19 43 237,6-30-220,-1-1 1,-1 2-1,1 0 1,-1-3-1,0 3 1,-3 4 0,4-7-24,0-1 0,1 1 1,-1 0-1,1 1 1,0-2-1,-1 1 0,1-1 1,0 1-1,0-1 1,0 1-1,1 0 0,-1 0 1,0-1-1,1 1 1,-1-1-1,1 2 0,0-1 1,1 1-1,20 36 150,-17-34-111,2 9-9,0-3 0,-1 3 0,0-1 0,6 20 0,7 61 109,-5-26-114,94 440-38,-103-468 0,-9-86-170,4-8-1959,0-2-4062,0 33-4518</inkml:trace>
  <inkml:trace contextRef="#ctx0" brushRef="#br0" timeOffset="-204558.25">14520 2345 20479,'0'0'662,"6"-5"-449,6-4-106,1 0 1,0 2-1,1 0 0,18-8 1,-25 12-78,1 1 0,-1-1-1,1 1 1,0 0 0,0 1 0,0 0 0,1 0 0,-1 0 0,0 1 0,0 0 0,10 2 0,2 1-1,-1 2 0,1 0 1,-1 2-1,23 9 0,70 40-879,-108-54 765,30 16-679,-17-14-2035</inkml:trace>
  <inkml:trace contextRef="#ctx0" brushRef="#br0" timeOffset="-202912.99">9748 3256 18687,'0'0'128,"7"3"-21,76 23 49,123 25 0,-89-24-41,308 60 424,-340-75-354,-1-3 1,0-3-1,100-7 0,-71-7 199,184-38 0,-101-6-25,9-5-78,-116 44-57,139-8 0,98 16 9,-109 3-61,762-16 212,-650-4-237,20-1 346,-271 24-394,64-1 101,-34-3-91,-75 3-59,0 0 1,-1-4 0,1 2 0,53-12-1,51-18-50,-32 9 0,-86 19 0,1 1 0,-1 1 0,1 2 0,22-2 0,-41 4-17,0-2 0,0 0 0,0 0 1,0 0-1,0 0 0,0 0 0,0 0 0,1-2 0,-1 2 0,0 0 0,0 0 0,0-1 0,0 1 0,0-1 0,0 1 1,0 0-1,-1 0 0,1-2 0,0 2 0,0-1 0,0 0 0,0 0 0,-1 1 0,1-1 0,0 1 0,-1-1 0,1 0 1,0 0-1,-5-2-1893,3 2 1698,1 1 0,-1 0 0,0 0 0,1 0 0,-1-1-1,1 1 1,-1 0 0,0 0 0,-1 0 0</inkml:trace>
  <inkml:trace contextRef="#ctx0" brushRef="#br0" timeOffset="-201082.92">9758 3715 18687,'0'0'1280,"4"1"-1152,42 9 30,-1-1 0,0-2 0,1-2 0,56 0 0,88 2 278,-48-1-232,107 7 199,126 2-60,103-29 63,-229-3-219,-139 8-118,-20 1 12,87-6 51,-151 13-99,497-15 190,-437 10-203,155-12 259,-32 1-23,-154 12-209,1 3 1,84 5 0,-77-1-3,97-5 1,117-38-50,-87 7 30,-99 14 78,-58 13-49,42-7-1,192-20 95,-223 28-149,-31 4 0,0-1 0,0 1 0,20 1 0,-9 2 0,-6 1 0,-1-2 0,0 0 0,21-3 0,-18-1 64,0 2 0,-1 1 0,28 2 0,-44-1-35,0 0 0,1 0 0,-1 0 0,1 1 0,-1-1 0,0-1 0,1 1 0,-1 0 0,0 0 0,1-1 0,-1 0 0,0 0 0,6-1 0,-8 1-16,0 1 1,1-1 0,-1 1 0,0-1 0,1 1-1,-1-1 1,0 1 0,1 0 0,-1 0 0,0 0-1,1 0 1,-1 0 0,1 0 0,-1 0 0,0 0-1,1 1 1,-1-1 0,0 0 0,1 1 0,-1-1-1,0 1 1,1 0 0,-1-1 0,0 1 0,0-1-1,0 1 1,0 0 0,0 0 0,0 0 0,0-1-1,0 1 1,0 0 0,1 3 0,2-3-1147,-4-8 428,-1-3-262,1 9 871,-15-47-4598,3 17-7657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4.34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6 419 24191,'-2'-6'0,"2"5"0,-1 0 0,1-1 0,-1 1 0,1-1 0,0 1 0,-1-1 0,1 1 0,0-1 0,0 1 0,0-1 0,0 1 0,0-1 0,1-2 0,14 11 0,-4-5 0,-1-1 0,1-1 0,0 1 0,17-3 0,4 0 0,-11 3-277,0-1-1501,0 0 0,24-5 0,-39 4 1176,0 0 0,0 0-1,-1-1 1,1 0 0,0 0 0,-1 0 0,0-1 0,0 0-1,1 0 1,-1 0 0,-1-1 0,7-4 0,9-18-7615,-9 11 7794,-3 5-665</inkml:trace>
  <inkml:trace contextRef="#ctx0" brushRef="#br0" timeOffset="216.93">44 0 22271,'0'0'0,"47"57"0,-40-45 0,-7-10 256,-4-4 512,13 2-768,8 0 0,16 2 0,14 2-11263,6-13-641,10-13 11904,51-11 3328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4:54.49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20 79 16128,'0'0'2922,"-2"6"-2794,-3 11-43,1 1 0,1 0 0,0-1 0,2 1 0,0 0 0,1 19 0,15 116 541,-1-27-332,14 389 922,-14-373-1058,-5-66 58,-1 95-1,-9-147-188,0 0 0,-2 0 0,-1 0 0,-1 0 0,-1-1 0,0 0 0,-2 0 0,-12 25 0,20-48-125,0 1-1,0-1 1,0 0 0,0 1 0,1-1 0,-1 0 0,0 1 0,0-1 0,0 0 0,1 1 0,-1-1 0,0 0-1,1 0 1,-1 1 0,0-1 0,1 0 0,-1 0 0,0 1 0,1-1 0,-1 0 0,0 0 0,1 0 0,-1 0-1,1 0 1,-1 0 0,0 0 0,1 0 0,0 1-16,-1-1 0,0 0 0,1 0 1,-1 0-1,0 0 0,0 0 0,1 0 0,-1 0 0,0 0 0,1 0 0,-1 0 0,0 0 1,1 0-1,-1 0 0,0 0 0,0 0 0,1 0 0,-1 0 0,0 0 0,1-1 0,-1 1 1,3-7-2848,-5-35-8805,3-21 9132,2 9 2634</inkml:trace>
  <inkml:trace contextRef="#ctx0" brushRef="#br0" timeOffset="670.66">47 110 18175,'8'36'8,"-5"-19"104,-2-15 128,-3-7 190,-1-4-97,1-1-1,0 0 1,0 0 0,1-11 0,2 19-308,0 0 0,1 0 0,-1 0 0,1 0 0,-1 0 0,1 0 0,0 1 0,0-1 0,0 1 0,0-1 0,3-1 0,1-1 16,7-5 89,0 0 0,1 1 0,1 1 1,-1 0-1,1 1 0,0 0 0,1 1 0,-1 1 0,31-4 0,-34 6-108,1 1-1,0 0 0,0 1 1,0 1-1,0 0 0,-1 1 1,1 0-1,0 1 0,-1 0 1,0 1-1,24 10 0,-28-9-6,1 0 0,-1 0 0,-1 0 1,1 1-1,-1 0 0,0 0 0,0 1 0,0 0 0,-1 0 0,0 1 0,-1 0 0,0 0 0,0 0 0,-1 0 0,0 1 0,5 14 0,-2 2 4,0 0-1,-2 0 0,-1 0 0,-1 0 1,-1 1-1,-2 26 0,-1-38-7,0 1 0,-1 0-1,-1 0 1,0-1 0,-1 1-1,-1-1 1,0 0 0,-1-1-1,0 1 1,-1-1 0,-15 22-1,10-20 19,0 0 0,-1 0 0,0-1 0,-1 0 0,-1-2 0,0 1 0,0-2 0,-1 0 0,-1-1 0,0-1 0,0 0 0,-1-1 0,-23 7 0,32-13-8,1 0 0,-1-1 1,1 0-1,-13-1 0,20 0-170,72 21-23125</inkml:trace>
  <inkml:trace contextRef="#ctx0" brushRef="#br0" timeOffset="2117.03">762 1128 17535,'1'7'125,"-2"12"-36,1-18-48,0-1 0,0 1-1,0-1 1,-1 0 0,1 1-1,0-1 1,0 1 0,0-1 0,-1 1-1,1-1 1,0 0 0,0 1-1,-1-1 1,1 1 0,0-1 0,-1 0-1,1 1 1,-1-1 0,1 0-1,0 0 1,-1 1 0,1-1 0,-1 0-1,1 0 1,0 0 0,-1 1-1,1-1 1,-1 0 0,1 0 0,-1 0-1,1 0 1,-1 0 0,-3-9 1435,3 9-1471,1 0-1,0 0 0,0-1 1,0 1-1,0 0 0,0 0 1,0 0-1,0 0 1,0-1-1,-1 1 0,1 0 1,0 0-1,0 0 1,0 0-1,0 0 0,0 0 1,-1 0-1,1 0 1,0-1-1,0 1 0,0 0 1,-1 0-1,1 0 1,0 0-1,0 0 0,0 0 1,0 0-1,-1 0 0,1 0 1,0 0-1,0 0 1,0 0-1,-1 0 0,1 0 1,0 0-1,0 0 1,0 0-1,-1 1 0,1-1 1,0 0-1,0 0 1,0 0-1,0 0 0,0 0 1,-1 0-1,1 0 1,0 1-1,0-1 0,0 0 1,0 0-1,0 0 1,0 0-1,-1 1 0,1-1 1,0 0-1,0 0 0,0 0 1,0 0-1,0 1 1,0-1-1,0 0 0,0 0 1,0 0-1,0 1 1,0-1-1,0 0 0,0 3 24,0 0 0,0 0 0,0 0 0,1 0 0,-1 0 0,1 0 0,0-1 0,0 1 0,0 0 0,0 0 0,3 3 0,-1 1-1,5 13 35,19 26-1,-20-34-57,0-1 0,-1 1-1,0 0 1,-1 1 0,0 0 0,4 17-1,-5-3-4,-2-15-3,0-1 0,0 1 0,1 0 0,7 15 0,-10-27 2,0 0-1,0 1 1,0-1 0,0 0-1,1 1 1,-1-1 0,0 0 0,0 0-1,0 1 1,0-1 0,1 0-1,-1 0 1,0 0 0,0 1-1,1-1 1,-1 0 0,0 0-1,0 0 1,1 0 0,-1 1 0,0-1-1,1 0 1,-1 0 0,0 0-1,0 0 1,1 0 0,-1 0-1,0 0 1,1 0 0,-1 0 0,0 0-1,1 0 1,-1 0 0,0 0-1,0 0 1,1 0 0,-1 0-1,0 0 1,1 0 0,-1-1-1,0 1 1,1 0 0,13-15-17,9-23 52,74-203 73,-97 241-106,0-1 0,0 0 0,0 1 0,0-1 0,0 0 0,1 1 0,-1-1 0,0 1 0,1-1 0,-1 0 0,0 1 0,1-1 0,-1 1 0,0-1 0,1 1 0,-1-1 0,1 1 0,-1-1 0,1 1 0,-1-1 0,1 1 0,0 0 0,-1-1 0,1 1 0,-1 0 0,1 0 0,0-1 0,-1 1 0,1 0 0,0 0 0,-1 0 0,1 0 0,0 0 0,-1 0 0,1 0 0,0 0 0,-1 0 0,1 0 0,0 0 0,-1 0 0,1 1 0,0-1 0,-1 0 0,1 0 0,-1 1 0,1-1 0,0 0 0,-1 1 0,1-1 0,-1 1 0,1-1 0,0 1 0,4 4 0,0 0 0,0 0 0,-1 1 0,5 6 0,-4-5 0,17 27-34,-2 1-1,-1 1 0,25 70 0,0-2 89,-43-101-40,13 20 321,-13-23-328,-1 0 0,1 1-1,-1-1 1,1 0 0,-1 1-1,1-1 1,0 0 0,-1 1 0,1-1-1,-1 0 1,1 0 0,0 0-1,-1 0 1,1 0 0,-1 0 0,1 0-1,0 0 1,-1 0 0,1 0-1,0 0 1,-1 0 0,1 0-1,0 0 1,-1 0 0,1-1 0,-1 1-1,1 0 1,-1 0 0,1-1-1,0 1 1,-1 0 0,1-1 0,-1 1-1,0-1 1,1 1 0,0-2-1,6-5 22,-1 0 0,-1-1-1,1 1 1,-1-2 0,0 1-1,-1 0 1,0-1-1,0 0 1,4-14 0,-6 14 5,1 0 0,0 0 0,1 1 0,0-1 0,0 1 0,1 0 0,0 1 0,0-1 0,1 1 0,11-12 0,4 2 2764,1 0-4358,48-34-16724,-39 31 12935,-7 6 5350</inkml:trace>
  <inkml:trace contextRef="#ctx0" brushRef="#br0" timeOffset="2517.73">1835 1284 22015,'0'0'0,"-30"18"0,25-3 0,8 6 0,-1-7 0,4 1 0,-1-1 0,3-1-256,-3-2 128,-4-3-512,2-4 0</inkml:trace>
  <inkml:trace contextRef="#ctx0" brushRef="#br0" timeOffset="2741.83">1922 757 22271,'-1'25'0,"-5"15"0,1-29 0,-3-16 0,3 2 0</inkml:trace>
  <inkml:trace contextRef="#ctx0" brushRef="#br0" timeOffset="3255.25">2171 1274 18687,'-15'-67'534,"16"64"287,3 6-512,3 5 75,-4-3-259,-1-1-1,1 1 0,-1-1 0,0 1 1,-1 0-1,1 0 0,-1 0 0,0 0 1,0 0-1,0 5 0,-4 53 6,2-49-117,0 1 0,1 20 0,5 57 265,-1-92-124,4-8-92,7-12-22,39-72 97,-4 5-40,-36 66-1186,1 1-1,29-31 0,-36 45 280,-1-1 0,1 1 0,0 0 0,0 1 0,1 0-1,-1 0 1,1 1 0,0 0 0,17-5 0,5 2-6592,15 0 5057,-23 4 2279,7-2-894</inkml:trace>
  <inkml:trace contextRef="#ctx0" brushRef="#br0" timeOffset="3769.42">2878 554 20479,'-19'92'128,"17"-77"169,1 0 68,-6 31-297,1-15 15,-1 50 0,18 101-83,-1-47 0,-8-34 54,3 68 170,-2-152 48,1-13 107,-2-5-355,0 0 1,-1-1-1,1 0 1,-1 1-1,1-1 1,-1 0-1,0 0 1,0 0-1,2-3 1,36-68 175,-4 7-3093,-26 52-775,0-1 1,16-16-1,-2 5-3126,3-2 4735,-7 3 2059</inkml:trace>
  <inkml:trace contextRef="#ctx0" brushRef="#br0" timeOffset="4017.59">3126 1339 22655,'0'0'0,"10"38"0,-5-18 0,-2 0-128,1 2 128,4 3-512,5 3 128,4 5-2688,0-8 129,0-3-4481,18 3-640,-16-37 8064</inkml:trace>
  <inkml:trace contextRef="#ctx0" brushRef="#br0" timeOffset="4665.49">3676 421 23551,'-22'43'0,"21"-42"0,1 0 0,0-1 0,-1 1 0,1 0 0,0-1 0,-1 1 0,1-1 0,-1 1 0,1 0 0,-1-1 0,1 1 0,-1-1 0,1 1 0,-1-1 0,0 1 0,1-1 0,-1 0 0,0 1 0,1-1 0,-1 0 0,0 0 0,1 1 0,-1-1 0,-1 0 0,-8-8 0,9 8 0,1-1 0,0 1 0,0-1 0,-1 1 0,1-1 0,0 1 0,0 0 0,-1-1 0,1 1 0,0 0 0,-1-1 0,1 1 0,-1 0 0,1-1 0,0 1 0,-1 0 0,1 0 0,-1-1 0,1 1 0,-1 0 0,1 0 0,-1 0 0,1 0 0,-1-1 0,1 1 0,-1 0 0,1 0 0,-1 0 0,1 0 0,-1 0 0,1 1 0,-1-1 0,1 0 0,-1 0 0,1 0 0,0 0 0,-1 0 0,1 1 0,-1-1 0,1 0 0,-1 0 0,1 1 0,0-1 0,-1 0 0,1 1 0,-1-1 0,1 0 0,-1 1 0,-4 7-20,0-1 0,0 1 0,1 0 0,0 0 0,0 1 0,1-1 0,0 1 0,1-1 0,-3 16 0,0 11-116,0 40 0,4-56 118,-8 296-1037,9-235-1269,0 5-3801,0-1-5217,0-81 10919,1 33 850,2-20-1750</inkml:trace>
  <inkml:trace contextRef="#ctx0" brushRef="#br0" timeOffset="5196.96">3742 1194 19839,'0'0'3,"0"0"-1,0 0 1,0 0-1,0 0 1,0 0-1,0 0 1,1 0-1,-1 0 1,0 0-1,0 0 1,0 1-1,0-1 1,0 0-1,0 0 0,0 0 1,0 0-1,0 0 1,0 0-1,0 0 1,0 0-1,0 0 1,0 1-1,0-1 1,0 0-1,0 0 1,0 0-1,0 0 1,0 0-1,0 0 1,0 0-1,0 0 0,0 1 1,0-1-1,0 0 1,0 0-1,0 0 1,0 0-1,0 0 1,0 0-1,0 1 1,23-4 226,34-7 166,-41 6-394,1-2 1,-1 0-1,0-1 1,-1 0-1,1-1 1,-1-1-1,-1-1 1,0 0-1,0-1 1,-1 0-1,0-1 1,-1 0 0,14-19-1,-24 26 117,1 0 0,-1 0 0,0 0 0,0 0-1,-1 0 1,1 0 0,-1-1 0,0 1 0,-1 0 0,1-7 0,-1 3 35,0-1 1,-1 1 0,0 0-1,0 0 1,-4-9 0,5 17-138,0-1-1,0 1 1,-1 0 0,1 0 0,-1-1 0,1 1 0,-1 0 0,1 0 0,-1 0 0,0 0 0,0 0 0,1 0 0,-1 0 0,0 0-1,0 0 1,0 0 0,0 0 0,0 0 0,0 1 0,0-1 0,-1 0 0,1 1 0,0-1 0,0 1 0,0-1 0,-1 1 0,1 0-1,0-1 1,-1 1 0,1 0 0,0 0 0,0 0 0,-1 0 0,1 0 0,0 0 0,-1 1 0,1-1 0,-3 1 0,-3 2-8,-1 0 1,1 0-1,-1 1 1,1 0 0,-7 5-1,6-4 45,-12 8-57,0 0 1,1 2-1,1 0 1,0 1-1,1 1 1,1 0-1,-27 38 1,37-46-30,1 0-1,0 0 1,0 1 0,1-1 0,0 1 0,1 0-1,0 0 1,0 1 0,1-1 0,1 1 0,0-1-1,0 1 1,1-1 0,0 1 0,1-1 0,0 1-1,1-1 1,0 1 0,1-1 0,4 12 0,-5-16-21,0-1 0,1 1-1,0-1 1,0 0 0,0 0 0,0 0 0,1 0 0,0-1 0,0 1 0,0-1 0,1 0 0,-1 0 0,1-1 0,0 1 0,0-1 0,0 0 0,0-1 0,1 1 0,-1-1 0,8 2 0,-6-2-520,0-1 0,1 1 0,-1-2 0,0 1 0,1-1 1,12-1-1,-11-1-1120,0 1-1,0-1 1,0-1 0,0 0 0,13-6 0,2-4 830,29-21 0,-17 9-2848</inkml:trace>
  <inkml:trace contextRef="#ctx0" brushRef="#br0" timeOffset="5435.6">4351 1123 21887,'0'0'0,"-39"0"0,48-7-640,-1 2 0</inkml:trace>
  <inkml:trace contextRef="#ctx0" brushRef="#br0" timeOffset="5668.56">4421 205 23935,'0'0'0,"-4"30"0,0-10 0,3 2 0,-2-6 0,3-4-1408,0-2 128</inkml:trace>
  <inkml:trace contextRef="#ctx0" brushRef="#br0" timeOffset="6351.76">4750 784 19711,'-49'-21'0,"39"20"7,8 6 13,7 9 60,-4-14-59,1 8 176,1-1 0,-1 1-1,0 0 1,1 9-1,-2-9-627,-1 0 0,0 0 0,0-1 0,-1 1 0,0 0 0,-3 14-1,0-11-266,0-1 0,0 1-1,-1-1 1,0 0 0,-1 0 0,0-1-1,-1 1 1,-10 11 0,14-18 1325,-1 1 0,1 0-1,1 1 1,-1-1 0,1 0 0,-1 1 0,-2 7 0,5-10-597,-1-1 0,1 1 0,0-1 1,-1 1-1,1-1 0,0 1 0,0-1 0,0 1 0,0-1 0,0 1 0,0-1 0,1 1 0,-1-1 0,0 1 0,1-1 0,-1 1 1,1-1-1,0 1 0,-1-1 0,1 0 0,0 1 0,0-1 0,0 0 0,0 0 0,0 0 0,0 0 0,0 0 0,1 1 0,3 1-113,-1 0-1,1 0 1,0-1-1,0 0 0,0 0 1,0 0-1,0-1 0,0 0 1,6 1-1,51 2-558,-45-4 1595,31 4-1,-46-4-815,0 0-1,0 1 0,0-1 1,0 1-1,0 0 1,0-1-1,0 1 1,-1 0-1,1 0 0,0 0 1,0 0-1,-1 0 1,1 1-1,0-1 1,-1 1-1,1-1 1,-1 1-1,0-1 0,0 1 1,1 0-1,-1-1 1,0 1-1,1 2 1,-1 1 19,0 0 1,0-1 0,-1 1 0,1-1 0,-1 1-1,0 0 1,0-1 0,-1 1 0,-1 8 0,-1 3-66,-1 0 0,-1-1 1,-1 1-1,0-1 1,-1 0-1,0-1 1,-18 27-1,-34 35 226,16-28-3270,-14 16-7921,33-52 1104</inkml:trace>
  <inkml:trace contextRef="#ctx0" brushRef="#br0" timeOffset="6749.44">5323 40 22527,'-107'194'112,"78"-137"-96,13-24-81,1 1 0,3 1 0,0 0 0,-11 66 0,12-30-210,-3 107 1,21 4-706,-2-91 402,2-27 281,-4-45-913,-2 1 1,0 35 0,-12-96-14961,9 6 16170</inkml:trace>
  <inkml:trace contextRef="#ctx0" brushRef="#br0" timeOffset="6951.13">5044 739 13824,'12'48'384,"-11"-47"-269,-1 0 0,1 0 0,-1 0 0,1 0 0,-1 0 0,1 0 0,-1 0 0,1 0 0,0 0 0,-1 0 0,1 0 0,0-1 0,0 1 0,0 0 0,0-1 0,0 1 0,0 0 0,0-1 0,0 1 0,0-1 0,0 0 0,0 1 0,0-1 0,0 0 0,0 1 0,0-1 0,0 0 0,0 0 0,0 0 0,1 0 1,-1 0-1,0 0 0,0-1 0,0 1 0,0 0 0,0 0 0,0-1 0,1 0 0,0 1-52,0-1 0,0 1 1,-1 0-1,1 0 1,0 0-1,0 0 0,0 0 1,0 0-1,3 1 0,10 5 16,1-2 0,24 5 0,-16-5-3318,0-2-1,1-1 1,-1-1 0,0-1-1,27-5 1,-14 1 3239</inkml:trace>
  <inkml:trace contextRef="#ctx0" brushRef="#br0" timeOffset="7702.88">5525 987 23551,'0'9'-2,"0"14"-91,0 1 1,2 0 0,6 30 0,-7-48 73,0-1 0,1 0 0,-1 1 0,1-1 0,0 0 0,1 0 1,-1 0-1,1-1 0,0 1 0,0-1 0,0 1 0,1-1 0,0 0 0,0 0 1,0-1-1,0 1 0,0-1 0,1 0 0,-1 0 0,7 3 0,-7-5 14,-1 0 0,0-1 0,0 1 0,0-1 0,1 0 0,-1 0 0,0 0 1,0 0-1,1 0 0,-1-1 0,0 0 0,0 1 0,0-1 0,0 0 0,1-1 0,-2 1 0,1 0 0,0-1 0,0 0 0,3-2 0,8-6 47,-2 0 1,20-20-1,-28 26-43,34-40 70,-1-1 0,-3-2 1,42-74-1,-47 73-5,-15 26-64,-2-1 0,15-36 0,-19 45-15,-4 24 25,-5 28 16,-15 80-26,-2 13 0,17-113 0,0-13 0,0 1 0,1 0 0,0-1 0,1 10 0,-1-15-1,0 0 0,0 1 0,0-1-1,0 0 1,0 1 0,0-1 0,0 0-1,0 1 1,0-1 0,1 0 0,-1 1-1,0-1 1,0 0 0,0 0 0,0 1-1,0-1 1,1 0 0,-1 0 0,0 1-1,0-1 1,0 0 0,1 0 0,-1 1-1,0-1 1,1 0 0,-1 0 0,0 0-1,0 0 1,1 1 0,2-3-68,1 0 16,-1-1 0,0 1 1,-1-1-1,1 0 1,0 0-1,-1 0 0,0 0 1,1-1-1,-1 1 0,2-6 1,16-42-652,-14 34 451,5-14-56,-8 18 169,1 1 0,1 0 0,0 0 0,1 0 0,0 1-1,0 0 1,15-19 0,-20 30 143,-1-1-1,1 1 0,-1-1 0,1 0 0,-1 1 0,1-1 1,0 1-1,-1 0 0,1-1 0,0 1 0,-1-1 1,1 1-1,0 0 0,-1 0 0,1-1 0,0 1 0,-1 0 1,1 0-1,0 0 0,0 0 0,-1 0 0,1 0 0,0 0 1,0 0-1,-1 0 0,1 0 0,0 0 0,1 1 1,-1 0 8,0 0 0,1 0 0,-1 0 1,0 0-1,0 0 0,0 1 1,0-1-1,0 0 0,0 1 1,0-1-1,0 0 0,0 3 1,3 6 60,-1 0 1,0 1-1,2 10 1,-5-18-62,5 24-64,-1 0 0,-2 0-1,-1 29 1,-3-27-3394,-3-2-3388</inkml:trace>
  <inkml:trace contextRef="#ctx0" brushRef="#br0" timeOffset="8584.13">6461 887 19199,'-4'31'-119,"3"-23"33,0 1-1,-1 0 1,0-1 0,0 1 0,0-1-1,-1 0 1,0 0 0,-6 10-1,7-13 140,0-1-1,0 0 0,0 0 0,1 0 1,0 1-1,0-1 0,0 1 0,1-1 1,-1 1-1,1-1 0,0 1 0,0-1 1,1 1-1,-1-1 0,2 7 0,0-3 144,-1 1-1,-1-1 1,0 1-1,-1 10 1,0-10-129,0 0 0,1 0 1,0 0-1,0 0 0,1 0 1,0 1-1,1-2 0,0 1 1,4 13-1,4 2 272,25 44 0,-24-46-304,-5-9-35,-5-10 0,0 0 0,0-1 0,1 1 0,-1 0 0,1-1 0,-1 1 0,4 2 0,4-3 0,3-12 0,-8 3 1,0 0 0,0 0 0,-1 0 1,4-14-1,2-2-49,15-41-304,21-93 0,-37 127 305,2 0 1,1 1 0,1 0 0,1 0 0,20-30-1,-31 55 93,0 1-1,0 0 1,1 0-1,-1 0 0,1 0 1,-1 0-1,1 0 1,0 1-1,0-1 1,0 1-1,1 0 0,-1 0 1,0 0-1,1 0 1,0 1-1,-1 0 0,1-1 1,0 1-1,-1 0 1,1 1-1,0-1 1,0 1-1,0 0 0,0 0 1,0 0-1,0 0 1,-1 0-1,1 1 1,0 0-1,4 1 0,29 3 211,-33-5-211,1 1 0,0-1 1,0 1-1,0 0 1,-1 0-1,1 0 1,4 2-1,-6 0-33,-1-1 1,0 1-1,0 0 0,0 0 1,-1 0-1,1 0 1,-1 0-1,1 0 0,-1 0 1,0 0-1,0 1 1,0 3-1,1 0-2,38 151 459,-27-109-436,4 17-215,-16-82-2044,22-48-18033,-14 44 22179</inkml:trace>
  <inkml:trace contextRef="#ctx0" brushRef="#br0" timeOffset="9229.69">7553 815 24191,'-60'10'0,"59"-9"0,1-1 0,-1 0 0,1 0 0,-1 0 0,1 0 0,-1 0-1,1 0 1,-1 0 0,0 0 0,1 0 0,-1-1 0,1 1 0,-1 0 0,1 0-1,-1 0 1,1-1 0,-1 1 0,1 0 0,-1 0 0,1-1 0,-1 1 0,1 0-1,0-1 1,-1 1 0,1-1 0,0 1 0,-1-1 0,1 1 0,0-1 0,-1 1-1,1-1 1,0 0 0,1-17 2,1 1 22,-3 14-21,0-1 0,0 1 1,0-1-1,-1 1 0,1 0 1,-1-1-1,0 1 0,0 0 1,0 0-1,0 0 0,0 0 1,-1 1-1,1-1 0,-1 1 1,0-1-1,0 1 0,0 0 1,0 0-1,0 0 0,0 0 1,-1 1-1,1-1 0,0 1 1,-1 0-1,1 0 0,-1 0 1,0 1-1,1-1 0,-1 1 1,0 0-1,-4 0 0,-1 0-21,0 1-1,0 0 0,0 0 0,0 1 1,0 0-1,0 1 0,0 0 1,1 0-1,-1 1 0,1 0 1,-9 6-1,12-7-10,0 0-1,1 1 1,0-1 0,0 1-1,0 0 1,0 0 0,0 1-1,1-1 1,0 1 0,0 0-1,0 0 1,0 0 0,1 0-1,0 0 1,0 1 0,0-1 0,1 1-1,0-1 1,-1 9 0,1-7 1,1 0 1,1 0 0,-1-1-1,1 1 1,0 0 0,1-1-1,0 1 1,0-1 0,0 1-1,0-1 1,1 0 0,0 0-1,1 0 1,-1 0 0,1 0 0,0-1-1,1 0 1,-1 0 0,1 0-1,0 0 1,6 4 0,-2-3-1,0 0 0,1-1 1,-1 0-1,1 0 1,0-1-1,0 0 0,1-1 1,-1 0-1,1 0 0,-1-1 1,1-1-1,19 1 1,-4-3 27,0 0 0,0-2 1,43-10-1,-53 9 30,0-1 1,0-1-1,0 0 0,-1-1 0,0-1 1,26-18-1,49-51 222,-86 73-227,1 2 179,-8 10-59,-11 18 4,11-22-135,-133 245 269,-16 28-341,43-98-4113,94-153 1343,-2 5-2688,-8-5-5233,12-16 12669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6.3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257 259 19455,'0'0'1280,"-2"4"-1109,-2 13 61,0-1-1,1 1 1,1 0 0,-1 21-1,-2 21-24,-6 8 8,4-32 158,-3 64-1,6 15-137,-32 199 0,-39 140 127,4-52-84,66-379-262,2-16-66,2 0 0,-1 0 0,1 0 0,0 1 0,0-1 0,1 1 0,0 10 0,-3-50-4336,1-1-1,3-43 1,7-13-4280,0 25 6465,-4 33 2782,12-105 1339</inkml:trace>
  <inkml:trace contextRef="#ctx0" brushRef="#br0" timeOffset="587.29">323 137 21503,'-32'32'0,"51"-41"448,32-22 0,-42 25-436,-1 1-1,1 0 1,0 0-1,0 1 0,1 0 1,0 1-1,-1 0 1,1 0-1,0 1 0,0 1 1,0 0-1,0 0 0,1 0 1,-1 2-1,0-1 1,18 4-1,-1 2 48,0 2 1,0 0-1,-1 2 1,48 25-1,-64-29-40,0 0-1,0 0 1,0 1-1,-1 1 1,0 0-1,0 0 1,-1 1-1,0 0 1,-1 0-1,0 1 1,0 0 0,-1 0-1,0 0 1,-1 1-1,0 0 1,-1 0-1,0 0 1,0 1-1,-2 0 1,1-1 0,-1 1-1,0 20 1,-1-6 41,0-13-31,-1 1 0,0 0 0,-1-1 0,0 1 0,-6 21 0,1-15 0,0 0-1,-2-1 1,0 0-1,-1-1 0,-1 0 1,-1-1-1,-1 1 1,0-2-1,-1 0 1,-1-1-1,0 0 1,-1-1-1,0 0 0,-1-1 1,-1-1-1,0-1 1,-31 16-1,0-6-28,23-10 0,1 0 0,0 2 0,-25 17 0,39-22-13,8-6-214,0 0 0,0 0 0,0 0 0,0 0-1,0-1 1,0 1 0,-1-1 0,1 0 0,0 0-1,-1 0 1,1 0 0,-1 0 0,1 0 0,-1 0 0,-4 0-1,-44 3-20059,33 1 20287</inkml:trace>
  <inkml:trace contextRef="#ctx0" brushRef="#br0" timeOffset="1814.56">1646 362 22143,'0'0'256,"0"5"-149,3 71-94,16 84-1,-2-34-16,-3 44 4,-8 1 0,-7-1 0,-38 286 0,36-436 0,0-1 0,1 1 0,0 21 0,3-46 11,1 1 0,0 0-1,0-1 1,0 1-1,1 0 1,0 0 0,-1 0-1,1 1 1,0-1 0,4-3-1,1-2 1,5-4-11,0 1 0,1 1 0,0 0 0,1 0 0,0 2 0,28-15 0,-18 11 0,12-6 2,0 3 0,1 1 0,0 1 0,1 3 0,1 1 0,0 1 0,0 3 0,1 1 0,-1 2 0,57 3 0,-77 1 24,22-1 21,0 3 0,0 1-1,42 10 1,-25 3-23,-32-8-25,1-2 0,43 6 0,-67-12-77,0-1 0,0 0-1,0 0 1,0 0 0,0-1-1,0 1 1,0-1 0,0 0-1,0 0 1,-1-1 0,1 1-1,0-1 1,0 0 0,-1 0-1,1 0 1,-1 0 0,0 0-1,0-1 1,4-4 0,-4 4-300,0 0 1,0-1 0,-1 0-1,1 0 1,-1 1 0,0-1-1,0-1 1,-1 1 0,1 0-1,1-8 1,2-15-11313</inkml:trace>
  <inkml:trace contextRef="#ctx0" brushRef="#br0" timeOffset="2282.77">1727 473 23167,'17'39'0,"-18"-42"13,1 1 1,-1-1-1,1 1 0,0-1 0,-1 1 0,1-1 1,0 1-1,1 0 0,-1-1 0,0 1 0,1-1 1,-1 1-1,1-1 0,0 1 0,0 0 0,0 0 1,0-1-1,2-2 0,1-2 43,0 0 1,1-1 0,0 1-1,8-9 1,-6 10-42,-1 1 0,1 0 0,0 0 0,1 0 0,-1 1 0,1 0 0,0 1 0,0-1 0,0 1 0,0 1 0,0 0 0,1 0 0,13-1 0,10 1 0,0 1-1,40 4 1,-55-2-13,163 19 118,32 1-6,-174-20-147,-6 1-217,0-1 1,0-2 0,0-1 0,59-11-1,-63 0-1579,-15 6-1650,-13 7 3305</inkml:trace>
  <inkml:trace contextRef="#ctx0" brushRef="#br0" timeOffset="3368.83">3180 142 21759,'-51'25'0,"44"-23"41,6-4 66,9-8 225,6 4 16,-13 6-342,-1 0 0,1 1-1,-1-1 1,1 0-1,-1 0 1,0 0 0,1 0-1,-1 1 1,1-1-1,-1 0 1,0 1 0,1-1-1,-1 0 1,0 0-1,0 1 1,1-1 0,-1 1-1,0-1 1,0 0-1,1 1 1,-1-1 0,0 1-1,0-1 1,0 0-1,0 1 1,1-1 0,-1 1-1,0-1 1,0 1-1,0-1 1,0 0 0,0 1-1,0-1 1,-1 2-1,70 555 891,10-135-768,-39-245-128,-40-177 0,0 1 0,0-1 0,0 0 0,0 1 0,0-1 0,0 0 0,0 1 0,0-1 0,0 0 0,1 1 0,-1-1 0,0 0 0,0 1 0,0-1 0,1 0 0,-1 0 0,0 1 0,0-1 0,0 0 0,1 0 0,-1 1 0,0-1 0,1 0 0,-1 0 0,0 0 0,0 0 0,1 0 0,-1 1 0,0-1 0,1 0 0,0 0 0,7-8 0,8-22 0,-15 26 0,14-34 0,13-52 0,-3 6 0,106-274 0,-71 226 0,-60 131 0,1 0 0,-1 0 0,0 0 0,1 0 0,-1 0 0,1 0 0,-1 0 0,1 0 0,0 0 0,-1 0 0,1 0 0,0 1 0,0-1 0,-1 0 0,1 1 0,0-1 0,0 0 0,0 1 0,1-1 0,-1 1 0,0 0 0,0 0 0,-1 0 0,1 0 0,0 0 0,-1 0 0,1 0 0,0 1 0,-1-1 0,1 0 0,0 1 0,-1-1 0,1 0 0,-1 1 0,1-1 0,-1 1 0,1-1 0,-1 1 0,1-1 0,-1 1 0,1-1 0,0 2 0,4 6 0,0 0 0,-1 1 0,6 15 0,-2-6 0,8 17 20,-2 0-1,-1 0 0,11 47 1,15 115 108,-27-127-99,-6-33-5,-3-15 49,11 39 1,-14-61-71,1 0 0,-1 0 0,0 0 0,0 1 0,0-1 0,1 0 0,-1 0 0,0 0 0,0 0 0,0 0 0,1 0 0,-1 0 0,0 0 0,0 0 0,0 0 0,1 0 0,-1 0 0,0 0 0,0 0 1,0 0-1,1-1 0,-1 1 0,0 0 0,0 0 0,0 0 0,0 0 0,1 0 0,-1 0 0,0 0 0,0-1 0,0 1 0,0 0 0,1 0 0,-1 0 0,0 0 0,0-1 0,0 1 0,0 0 0,0 0 0,0 0 1,0-1-1,8-13 84,-2 0 1,1-1 0,-2 0 0,7-28-1,-8 26-35,21-79 185,-13 41-60,3 1 0,34-79 0,9 19-14,17-40 37,-65 132-192,1 0-1,19-26 1,5-9-31,-33 52-84,-1 4-21,-4 17-1472,3-12 1166,0-1 0,1 1 1,-1-1-1,1 1 0,0-1 0,0 0 0,0 1 0,1-1 0,2 5 0,1 2-1563,8 24-9778</inkml:trace>
  <inkml:trace contextRef="#ctx0" brushRef="#br0" timeOffset="4281.84">4335 10 22015,'-3'28'32,"1"-17"8,3-17 16,-1 4-17,0 0 0,0 0-1,0 1 1,1-1 0,-1 0-1,1 0 1,-1 1-1,1-1 1,0 1 0,-1-1-1,1 0 1,0 1 0,0-1-1,0 1 1,0 0-1,0-1 1,0 1 0,1 0-1,-1 0 1,0-1 0,1 1-1,-1 0 1,3-1 0,1 1 8,0-1 0,0 1 1,0 1-1,0-1 0,0 1 1,11 0-1,28 3 128,0 2 1,86 21-1,-91-18-146,12 5 29,0-3 1,0-3 0,100 3-1,-112-12-15,-25 0-13,1 1 1,-1 0-1,1 1 1,-1 1-1,0 0 1,18 4-1,-31-5-29,0 1 1,0-1-1,0 0 0,0 1 0,0-1 1,0 1-1,0-1 0,0 1 0,0-1 1,0 1-1,-1 0 0,1 0 0,0-1 0,0 1 1,-1 0-1,1 0 0,0 0 0,-1 0 1,1 0-1,-1 0 0,1 0 0,-1-1 0,0 2 1,1-1-1,-1 0 0,0 0 0,0 0 1,1 0-1,-1 0 0,0 0 0,0 0 1,0 0-1,-1 0 0,1 0 0,0 0 0,0 0 1,0 0-1,-1 0 0,1 0 0,-1 0 1,0 2-1,-3 5 13,0 0 0,0-1 0,-1 1 0,-6 7 0,4-4-8,-19 30-6,3 1 0,1 1 0,2 1 0,3 0 0,1 2 0,2 0 0,2 1 0,-6 55 0,7-7 0,4 0 0,4 1 0,11 105 0,-4-147-13,2-1 0,3 0-1,1 0 1,4-1 0,1 0-1,3-1 1,42 85 0,-53-125-6,11 17 16,-18-28 3,1 1 0,-1 0 0,1 0 0,-1 0 0,0 0 0,1 0 0,-1 0 0,0 0 0,0 0 0,1 0 0,-1 0 0,0 0 0,0 0 0,0 0 0,0 0 0,0 0 0,0 0 0,-1-1 0,1 1 0,0 0 0,0 0 0,-1 0 0,1 0 0,-1 0 0,0 1 0,-5 4 0,0-1 0,0 0 0,-1 0 0,0 0 0,0-1 0,0 0-1,-1 0 1,1-1 0,-11 3 0,-14 4 49,-33 5-1,4-2 112,16-2-5,0-2-1,-75 4 1,-92-8-819,167-6-10,6 3-708,0 0-3167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12.48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0 294 23679,'16'1'0,"0"-2"0,0 0 0,-1 0 0,1-2 0,-1 0 0,30-9 0,-24 6 0,0 0 0,33-3 0,-41 9 0,-1 0 0,0 1 0,0 0 0,1 1 0,-1 0 0,-1 1 0,1 0 0,0 1 0,16 8 0,9 6 0,50 35 0,-27-16 0,-46-29-1088,1 0 0,0-1 0,17 5 0</inkml:trace>
  <inkml:trace contextRef="#ctx0" brushRef="#br0" timeOffset="354.55">151 63 23551,'0'0'0,"34"12"0,-21-9 0,-6-1 0,-2-2 0,-5-5 0,0-3 0,0-4 0,10-7 0,5-6-128,10 14 128,10 11-1664,4 11 0,11 8 512,39 12-11903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38.52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1 191 16384,'4'-1'127,"78"-37"513,-80 38-608,-1 0-1,0 0 0,0 0 0,0 0 1,0 0-1,0 0 0,0 0 0,0 0 1,0 1-1,0-1 0,0 2 0,0-2 1,0 1-1,0-1 0,-1 1 0,1 0 0,0-1 1,0 2-1,0-1 0,-1 0 0,1 0 1,0 1-1,20 24 325,-20-25-300,19 32 781,25 52 0,4 4-58,35 50-214,109 171 257,-169-281-758,2 2 0,0 0 0,38 27 0,-34-31 21,-1 4 1,48 60-1,3 15 128,122 127 1,-113-148 2,-60-59-121,-1-1 1,-2 3-1,25 31 0,-14 3-1,-2-3 0,-3 0 1,25 74-1,30 57 62,-60-146-111,2 1-1,39 45 1,19 28 56,4 7 32,20 32 11,-77-96-144,-3-2 0,-3 0 0,40 129 0,-2 68 0,-59-230 0,6 17 22,2 0 0,2-2 0,28 48 0,10 26 40,-22-39-9,36 127 0,-47-127-53,37 81 0,-41-115 0,7 33 114,21 96 0,3 11 64,-1-15 163,-40-146-312,1-5-1,1 4 1,1-2 0,16 21-1,-14-22-22,25 43-6,-28-42 0,1-1 0,1 0 0,25 30 0,13 8 0,-29-34 0,1 4 0,2-5 0,37 31 0,-37-36 0,-1 3 0,0 2 0,-1-2 0,-1 3 0,0 0 0,-2 2 0,-1-1 0,25 43 0,-36-57 0,1 2 0,1 2 0,0-3 0,0-1 0,0 2 0,1-3 0,22 18 0,-28-23 2,-1 1 1,0-1-1,0 0 0,0 1 1,0 1-1,0 0 0,-1-1 0,0 1 1,1-1-1,1 7 0,13 41 50,-16-44-46,1 2 1,1-1-1,0 1 1,0 0-1,0-3 0,1 2 1,8 13-1,-10-18-6,2 0 0,-3 1 0,4-2 0,0 2 0,-2 4 0,2-5 0,-1 0 0,-3 0 22,-1-2 170</inkml:trace>
  <inkml:trace contextRef="#ctx0" brushRef="#br0" timeOffset="1681.72">3810 5370 20223,'0'1'8,"-1"4"8,0-4 0,0 2-1,0 0 1,1-1 0,-1 1 0,1 0 0,0-1 0,0 0 0,0 1 0,0 2-1,0-3 1,0 1 0,1-2 0,-1 3 0,1-2 0,2 6 0,-2-7 36,-1 1 1,1 1-1,-1 0 1,1-1-1,-1 0 1,0 0-1,0 0 1,0-1-1,0 1 1,0 2-1,0-2 1,0-1-1,-1 0 1,1 1-1,-1 0 1,0-1-1,1 2 1,-1-2-1,0 2 1,0-1-1,0 0 1,0-1-1,0 1 1,-2 1-1,-4 5 61,-1 0 0,1-2 0,-16 11 0,2 0-85,-61 48 367,58-47-299,1 0 0,1 1 0,0-1-1,-19 28 1,-5 13 70,9-10 71,-67 67 0,-246 192 147,344-302-384,-1-1 0,0 0 0,1 0 0,-2-1 0,1-1 0,0 2 0,-13 2 0,34-26-132,29-40 0,-38 54 119,229-252-647,-204 226 595,116-139-33,-20 19 46,-74 93 52,-11 12 0,2 0 0,76-62 0,-117 106 19,1 0 0,-1 1-1,1-1 1,-1 1 0,1 0-1,0 1 1,0-1 0,-1 0-1,1-1 1,0 2 0,6-1-1,-9 1-10,1 0-1,0 0 1,-1 0-1,1 0 1,-1 0-1,1 0 1,0 0-1,-1 0 1,1 0-1,-1 1 1,1-1-1,-1 0 1,1 2-1,0-2 0,-1 0 1,1 1-1,-1-1 1,0 1-1,1-1 1,-1 0-1,1 0 1,-1 1-1,1 0 2,0 1 0,-1-1 0,1 1 0,-1 0 0,0-1 0,1 1 0,-1-1 0,0 2 0,0-3 0,0 3-1,0-1 1,-1 1 0,-2 23 161,1-16-136,1-1-1,0 4 1,1-4 0,0 2-1,0 0 1,3 10 0,3 13 29,27 173 258,-32-199-300,21 159 64,-16-148-69,0 2-1,1-1 0,1-2 1,12 21-1,-8-17 11,15 43-1,85 228-25,-76-207 0,-34-81 0,0 1 3,0 1 0,1-1 0,0-1 0,0 2 0,1-2 0,6 9 1,-9-13 81,3-1-42,-24-14 191,-10 5-234,1 0 0,-44-22 0,-14-8 0,21 17 7,-219-76 93,236 89-94,0-1 0,0 5 1,-57-2-1,-11 0-10,61 1 63,0 2 0,1 3-1,-69 8 1,123-6-58,0-1 0,0 0 1,0 0-1,0 0 0,0 0 0,0 0 1,0 0-1,0 0 0,0 0 0,0 0 1,0 0-1,0 0 0,0 0 0,0-1 1,-1 0-1,2 1-1,0 0 0,0-1 0,0 1 0,0 0 1,0 0-1,0 0 0,0 0 0,0-2 0,0 2 0,0 0 0,0-2 0,0 2 0,1 0 1,-1-1-1,0 1 0,0 0 0,0 0 0,0-1 0,1 1 0,-1 0 0,0 0 0,0 0 1,1 0-1,-1 0 0,0 0 0,1 0 0,-1-1 0,30-18-2,-18 11-12,1 5 0,-1-3 0,1 2-1,0 2 1,0-1 0,21-4 0,-5 6-75,59 2 0,-73 1 24,-6-2-210,1 0 1,-1 1-1,0 1 1,0 0-1,1 0 1,-1 0-1,9 2 1,-17-3 92,0 0 0,0 0 0,0 1 1,0 0-1,0-1 0,0 0 1,0 0-1,-1-1 0,1 1 0,0 0 1,-1 3-1,1-3 0,-1 0 1,0 1-1,1-1 0,-1 1 0,0 0 1,0 0-1,0-1 0,0 2 1,1 6-1913,6 24-9041</inkml:trace>
  <inkml:trace contextRef="#ctx0" brushRef="#br0" timeOffset="4663.26">2327 0 18303,'0'0'768,"3"8"-640,10 24 171,-3 5 0,10 44-1,-16-60-154,1-1 0,1 2 0,1-2 0,10 21 0,-6-14 126,11 35-1,3 21 85,-13-48-211,8 43 0,22 103 33,-23-114-64,-4 1 0,11 122 0,-21-84 80,-15 172 0,2-162-81,6-72-64,-1 1 0,-3 1 0,-15 60 0,-9-5 244,-5-2 1,-65 131-1,92-219-291,-1 4 0,0-5 0,-1 2 0,0 0 0,-1 0 0,-22 14 0,14-8 0,-26 26 0,27-21 0,-17 31 0,22-33 0,-2-1 0,-23 28 0,-10 13 119,32-40-50,-22 23-1,24-32-113,-30 22 0,2-6-5326</inkml:trace>
  <inkml:trace contextRef="#ctx0" brushRef="#br0" timeOffset="6972.72">1631 785 11392,'0'0'8469,"-2"4"-8128,-24 48 441,13-28-494,1 3-1,0-5 0,2 5 0,-8 32 1,12-33-149,2-4-89,0-2 1,1 4-1,0 20 1,3 4-44,1 0 0,13 78 0,-10-106 7,-3-9 8,1 0 0,0 0 0,1-3 0,0 4 0,1 0 0,0-4 0,0 4 0,1-2 0,1 0 0,7 10 0,-4-10-22,0 0 0,1-1 0,0 2 0,0-3 0,1 1 0,1-3 0,-1 2 0,1-2 0,20 10 0,-23-13 0,-3 0 0,-1-1 0,1 0 0,0 0 0,0-2 0,0 0 0,0 1 0,0 0 0,0-1 0,0 2 0,0-4 0,0 2 0,9-2 0,0 1 4,2-3 19,0 0 1,20-10-1,-32 12-18,0 0-1,-1 0 1,1-1-1,0 0 1,-1-1-1,0 1 1,0-1-1,0 2 1,0-2-1,0 0 1,5-8-1,12-22 21,54-86 185,-68 99-168,0 3 0,0-3 1,-2 1-1,-1 0 0,4-34 0,5-29 4,-10 66-16,-1 2 0,-1-2 0,-1 0 0,0 1 0,-3-25 0,-1-21 24,4 60-45,0 0-1,0 0 1,-1-1-1,1 0 1,-1-1-1,0 1 1,0 0 0,0 1-1,0 0 1,0-1-1,-1-1 1,1 2-1,-1-1 1,-1-2-1,0 0-8,3 5 0,0 0 0,0-2 0,0 2 0,0 0 0,0-1 0,0 1 0,0 0 0,0 0 0,0-1 0,0 1 0,-1 0 0,1 0 0,0 0 0,0 0 0,0 0 0,0-1 0,0 1 0,-1 0 0,1 0 0,0-1 0,0 1 0,0 0 0,-1 0 0,1 0 0,0-1 0,0 1 0,-1 0 0,1 0 0,0 0 0,-1 0 0,1 0 0,0 0 0,0 0 0,-1 0 0,1-1 0,0 1 0,-1 0 0,1 0 0,0 0 0,-1 0 0,1 0 0,0 0 0,0 1 0,-1-1 0,1 0 0,0 0 0,-1 0 0,1 0 0,0 0 0,0 0 0,-1 0 0,1 1 0,0-1 0,0 0 0,-1 0 0,1 0 0,0 1 0,0-1 0,-1 0 0,-10 16 0,11-15 0,-43 80 0,-1 1 0,39-72 0,-1 1 0,2 2 0,-1-2 0,2 2 0,0-1 0,0 1 0,-1 17 0,-9 40 0,-68 275 0,75-315 24,4-20-7,0 2 1,1-1-1,0-2 0,0 3 1,2 12-1,-1-8-17,1 2 0,-2-2 0,0 0 0,-1 1 0,-5 17 0,-2 15 0,9-47 0,0 1 0,0-1 0,0 0 0,1 1 0,-1 1 0,1-1 0,-1-1 0,1 0 0,0 0 0,2 7 0,-2-7 0,0 0 0,0 0 0,0 0 0,-1 1 0,1-1 0,-1 0 0,1 0 0,-1 0 0,0 0 0,0-1 0,0 1 0,0 0 0,0 4 0,0-2 0,0-3 0,0 0 0,0 0 0,0 0 0,0 0 0,0 1 0,1-1 0,-1 0 0,0 1 0,1-1 0,0 0 0,-1 1 0,1 0 0,0-1 0,-1-1 0,3 4 0,-2-4 0,0 2 0,0 1 0,0-2 0,0 1 0,0 1 0,0-1 0,-1-1 0,1 0 0,-1 1 0,1 0 0,-1 2 0,0 6 22,0-2-1,-1 3 0,-1-3 1,-2 10-1,4-16-11,-1-1 0,1-1-1,0 2 1,0-1 0,0 0 0,0 0 0,0 2 0,0-1 0,0-1-1,0-1 1,0 1 0,1 0 0,-1 0 0,1 2 0,-1-2 0,0 0-1,1 0 1,0 0 0,-1 0 0,1 0 0,1 2 0,20 13 168,-13-11-61,-9-3-109,0 0-1,0 1 1,0-1 0,0 0 0,0 0-1,0-2 1,0 2 0,-1 1-1,1-1 1,0 0 0,-1 0 0,0 0-1,1-1 1,-2 2 0,1-1-363,5-7-601,-3 1 224,1-1-1,0 0 1,-1 2 0,0-2-1,2-5 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52.3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1 559 15232,'0'0'128,"4"-2"0,20-6 40,-17 5-22,-1 0 0,1 0 1,0 1-1,0 0 0,0 0 0,0 1 1,0 0-1,0 0 0,0 1 0,0 0 0,0 0 1,14 3-1,-10-2-13,0 1 1,0-1 0,0-1 0,0 0-1,0 0 1,17-4 0,7 1 82,277-7 1042,-219 9-878,178 20-1,-74-2-220,-26-7 161,249 46 0,-364-45-200,-1 2-22,1-3 0,0-3 0,59 1 0,121-26 126,-101 5-107,-98 10-107,424-21 129,-395 27-139,100 18 0,46 3 0,-109-22 139,117-14 0,-189 7-104,1-2 1,36-12-1,-2 0-13,377-73 84,-418 89-106,0 2 0,0 1 0,28 3 0,16 1 0,-64-5 0,-4 1 0,0 0 0,0 0 0,0 0 0,0 0 0,0 0 0,0 0 0,0 0 0,0 0 0,0 0 0,0 0 0,0 1 0,0-1 0,0 0 0,-1 1 0,1-1 0,0 1 0,0-1 0,0 1 0,1 1 0,2 2 0,-5 0 22,1-3 42</inkml:trace>
  <inkml:trace contextRef="#ctx0" brushRef="#br0" timeOffset="1364.8">3898 235 19199,'15'8'1,"-9"-5"3,0 0-1,-1 1 1,0-1-1,0 1 0,8 8 1,-12-12 12,-1 1 0,0 0 0,0 0 0,0 0 0,0-1 0,0 1 0,0 0 0,0 0 0,0 0 0,0-1 0,0 1 0,0 0 0,0 0 0,-1 0 0,1-1 0,0 1 0,-1 0 0,1 0 0,0-1 0,-1 1 0,1 0 0,-1-1 0,1 1 0,-1 0-1,1-1 1,-1 1 0,0-1 0,0 1 0,-6 8 33,3 1-24,-1 0 0,1 1 1,1-1-1,0 1 0,1-1 0,0 1 1,0 0-1,1 0 0,0 12 0,2 19 37,8 46-1,-2-16 33,-2 284 290,-5-333-324,2 0 0,0 0-1,1 0 1,13 45 0,-16-68-60,0 0 1,0 0-1,0 0 1,0 0-1,0 0 1,0 1-1,0-1 1,0 0-1,0 0 1,0 0-1,0 0 1,0 0-1,0 0 0,0 0 1,0 1-1,0-1 1,0 0-1,0 0 1,0 0-1,0 0 1,0 0-1,0 0 1,0 0-1,0 1 1,0-1-1,0 0 1,0 0-1,0 0 1,0 0-1,0 0 1,1 0-1,-1 0 1,0 0-1,0 0 1,0 0-1,0 1 1,0-1-1,0 0 1,0 0-1,1 0 1,-1 0-1,0 0 1,0 0-1,0 0 0,0 0 1,0 0-1,0 0 1,0 0-1,1 0 1,-1 0-1,0 0 1,0 0-1,0 0 1,0 0-1,0 0 1,0 0-1,0 0 1,1-1-1,-1 1 1,0 0-1,0 0 1,0 0-1,0 0 1,0 0-1,6-12 32,3-23 10,-8 31-41,34-141-161,17-163 0,-45 239 96,-3-1 0,-3 1 0,-3-1 0,-18-110 0,11 128 64,-19-58 0,28 110 0,0-1 0,0 0 0,0 1 0,-1-1 0,1 0 0,0 0 0,0 1 0,0-1 0,-1 0 0,1 1 0,0-1 0,-1 0 0,1 1 0,-1-1 0,1 1 0,-1-1 0,1 1 0,-1-1 0,1 1 0,-1-1 0,0 1 0,1-1 0,-1 1 0,1 0 0,-1-1 0,0 1 0,1 0 0,-1-1 0,0 1 0,0 0 0,1 0 0,-1 0 0,0 0 0,0 0 0,1 0 0,-1 0 0,0 0 0,1 0 0,-1 0 0,-1 0 0,1 1 0,0 0 0,1-1 0,-1 1 0,0 0 0,0-1 0,1 1 0,-1 0 0,0 0 0,1 0 0,-1 0 0,1 0 0,-1 0 0,1 0 0,-1-1 0,1 1 0,0 0 0,-1 1 0,1-1 0,0 0 0,0 0 0,0 0 0,0 0 0,0 0 0,0 0 0,0 0 0,1 2 0,0 5 25,1 1-1,1 0 0,-1-1 0,1 1 1,1-1-1,0 0 0,0 0 0,1 0 1,-1-1-1,2 1 0,-1-1 0,1 0 1,0-1-1,1 1 0,-1-1 0,1-1 0,0 1 1,1-1-1,-1 0 0,1-1 0,12 5 1,245 101 684,-118-52-437,-133-50-244,0 0 1,0 0-1,-1 1 0,0 1 0,0 0 1,-2 1-1,12 12 0,-8-8 22,0-1 0,0 0 1,27 16-1,-21-19 1,-12-6 2,1 0 1,-1 1 0,0 0-1,10 9 1,-17-14-48,-1 1 0,1-1 1,-1 1-1,1-1 1,-1 1-1,0 0 0,0 0 1,0-1-1,0 1 0,0 0 1,0 0-1,0 0 0,-1 0 1,1 0-1,-1 0 0,1 1 1,-1-1-1,0 0 0,0 0 1,0 0-1,0 0 1,0 0-1,0 1 0,0-1 1,-1 0-1,-1 3 0,0-2-6,0 0 0,0-1 0,0 1 0,0-1 0,-1 1 0,1-1 0,-1 0 0,0 0 0,0 0 0,0-1 0,0 1 0,-4 1 0,-8 5 0,-77 57 0,27-17 0,-2-4 0,-80 40 0,35-35 112,-76 39-4277,159-72-8549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04.04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628 920 15616,'0'0'256,"-6"0"-128,-24-3 148,1 2 1,-50 5 0,68-3-192,-1 1 1,1 0-1,0 1 1,0 0-1,0 1 1,1 0-1,-1 1 1,1 0-1,0 0 1,-17 13-1,-160 147 704,164-146-713,2 1 0,-38 46 0,51-56-50,1 0 1,0 1-1,1 0 0,0 1 1,1-1-1,1 1 0,-1 0 0,2 0 1,-4 18-1,7-28-19,0 1-1,0-1 0,-1 0 1,2 0-1,-1 0 1,0 1-1,0-1 1,1 0-1,-1 0 1,1 0-1,-1 0 0,1 0 1,0 0-1,0 0 1,0 0-1,0 0 1,0 0-1,1 0 1,-1-1-1,0 1 1,1 0-1,0-1 0,-1 1 1,1-1-1,0 0 1,0 1-1,-1-1 1,4 1-1,5 3 13,1-1 0,0 0 0,0 0 0,16 2-1,-4-1-22,8 2 115,1-1 0,38 1-1,9 2 177,-75-9-259,-1 1 0,1-1 1,-1 0-1,1 0 0,0 0 0,-1 0 0,1-1 1,0 1-1,-1-1 0,1 0 0,-1 0 0,1-1 0,5-2 1,-2-1-1000,0 0 0,1-1 1,-2 0-1,9-8 1</inkml:trace>
  <inkml:trace contextRef="#ctx0" brushRef="#br0" timeOffset="701.11">998 1224 16384,'0'0'127,"-1"-5"1,-2-15-7,-16-80 564,16 88-559,0 1 0,-1 0-1,-1 0 1,0 0 0,0 0-1,-12-16 1,17 26-121,-1 0 0,0-1 0,0 1 0,0 0 0,0 0 0,0 0 0,0 0 0,0 0 0,0 0 1,-1 0-1,1 0 0,0 0 0,0 1 0,-1-1 0,1 0 0,-1 1 0,1-1 0,0 1 0,-1 0 0,1-1 0,-1 1 0,-2 0 0,0 1-6,1 0-1,-1 0 0,0 0 0,1 1 0,-1 0 0,1 0 0,-6 3 0,5-3 7,-5 4-13,0 0-1,0 1 0,1-1 0,0 1 0,0 1 0,0 0 0,1 0 0,0 0 0,1 1 1,0 0-1,-5 11 0,3-6-13,1 1 0,0 0-1,1 0 1,1 0 0,1 1 0,-5 30 0,7-33 10,2 0 0,0 0-1,0 0 1,1 0 0,1-1 0,0 1-1,1 0 1,0 0 0,6 13-1,-7-22 13,-1-1 0,1 1 0,0 0 0,0-1 0,1 0 0,-1 1 0,1-1 0,-1 0 0,1 0 0,0 0 0,0 0 0,1-1 0,3 3 0,-5-4 4,-1 0-1,0-1 0,1 1 1,-1-1-1,0 0 0,1 1 1,-1-1-1,0 0 0,1 0 1,-1 0-1,1 0 0,-1 0 1,0 0-1,1 0 0,-1 0 1,1-1-1,-1 1 0,0 0 0,1-1 1,-1 1-1,3-2 0,22-17 137,-20 14-97,3-2-5,1-1-1,-2 0 0,1 0 0,-1-1 0,0 0 1,-1-1-1,0 0 0,-1 0 0,0 0 0,9-22 0,-9 15-186,0-1-1,-2 0 0,0 0 0,-1-1 0,-1 1 0,0-23 0,-2-35-4649</inkml:trace>
  <inkml:trace contextRef="#ctx0" brushRef="#br0" timeOffset="1383.25">1483 1042 19199,'-3'0'0,"0"-1"0,0 1 0,0-1 0,0 0 0,0 0 0,0 0 0,0-1 0,-3-1 0,5 2 0,0 1 0,0-1 0,0-1 0,1 1 0,-1 0 0,0 0 0,0 0 0,1 0 0,-1 0 0,1-1 0,-1 1 0,1 0 0,0-1 0,-1 1 0,1 0 0,0-1 0,0 1 0,0 0 0,0-1 0,0-1 0,0 2 0,0-1-1,-1 1 1,1 0-1,-1-1 1,1 1-1,-1 0 1,1-1-1,-1 1 1,1 0-1,-1 0 1,0 0-1,0-1 1,0 1-1,0 0 1,0 0-1,0 0 1,0 0-1,0 1 1,0-1-1,0 0 1,-1 0-1,1 1 1,0-1-1,0 0 1,-1 1-1,1-1 1,-1 1-1,1 0 0,-2-1 1,-6-1-59,0 1 0,-1 0 1,-10 0-1,18 1 32,-8 0-10,0 1-1,0 0 1,0 0 0,0 1-1,1 1 1,-1 0 0,1 0-1,-1 0 1,1 2 0,0-1-1,1 1 1,-10 6 0,4-1-19,1 0 1,0 1-1,1 0 0,0 1 1,1 0-1,-15 22 0,22-29 56,1 1 0,0 0 0,0 0 0,1 0 0,0 0 0,0 1 0,0-1 0,1 1 0,0-1 0,0 1 0,0-1 0,1 1 0,0-1 0,0 1 0,1-1 0,0 1 0,0-1 0,1 1 0,-1-1 0,1 0 0,1 1 0,-1-1 0,1 0 0,0-1 0,1 1 0,-1 0 0,1-1 0,0 0 0,0 0 0,1 0 0,-1 0 0,1-1 0,0 0 0,1 0 0,-1 0 0,1 0 0,-1-1 0,1 0 0,0 0 0,0-1 0,1 0 0,-1 0 0,0 0 0,1-1 0,-1 0 0,1 0 0,-1 0 0,11-1 0,28-4 0,61-12 0,-87 8 102,-35 17 31,-38 30-46,-18 13-34,-92 50-1,142-88-2910</inkml:trace>
  <inkml:trace contextRef="#ctx0" brushRef="#br0" timeOffset="3480.41">1916 403 16128,'0'0'2943,"-3"4"-2836,-10 19-71,1 0-1,1 2 1,1-1-1,1 1 1,2 0-1,1 1 1,0 0 0,2 0-1,0 0 1,2 1-1,2 41 1,-1-32 38,-2 1 0,-12 58 0,10-64-62,2-3 58,1 0 0,4 52 0,-1-59-45,-1-16-17,1 0-1,0 0 1,0 0 0,0 0 0,1 0-1,-1 0 1,1-1 0,0 1 0,1-1-1,-1 1 1,1-1 0,0 0-1,0 0 1,0 0 0,0 0 0,1-1-1,0 1 1,-1-1 0,1 0 0,6 4-1,-3-3-8,0 0 0,0-1 0,0 0 0,1 0 0,-1 0 0,1-1 0,0 0 0,-1-1 0,1 0 0,0 0 0,0 0 0,10-1 0,0-2 1,0 0 0,-1 0 0,0-2 0,1 0 0,-1-1 0,-1-1 0,1 0 0,-1-1 0,0-1 0,0-1 0,-1 0 0,-1-1 0,23-19 0,60-52-1,-63 55 9,-2-1-1,36-38 1,-56 50 25,0-1-1,-1 0 1,-1 0 0,-1-2 0,15-33 0,-10 11 50,14-67-1,-23 87-68,0 0 0,-2 0-1,-1-1 1,0 1-1,-1-1 1,-2 1-1,0-1 1,-1 1 0,-1-1-1,-7-26 1,9 44-9,0 0 1,0 0-1,0 0 1,0 0-1,0 1 1,-1-1 0,1 1-1,-1-1 1,0 1-1,0-1 1,0 1-1,0 0 1,0 0-1,0 0 1,0 0 0,-1 0-1,1 1 1,-1-1-1,1 1 1,-1-1-1,0 1 1,0 0-1,-3-1 1,2 1 1,-1 1 0,0 0-1,1 0 1,-1 0 0,0 0 0,1 1-1,-1 0 1,0 0 0,1 0 0,-1 0-1,1 1 1,-1 0 0,1 0 0,-5 3-1,-3 1-13,1 0 0,0 1 0,0 0 0,1 0 0,0 2 0,0-1 0,1 1-1,0 0 1,1 1 0,0 0 0,1 1 0,-1-1 0,2 1 0,-7 14 0,1 12-49,2 1 0,1 0 0,-4 43 0,-1 5 2,-2 20 54,-2 119 0,8-71 0,-3-34 0,-34 142 0,38-225 0,0 8 0,-24 65 0,16-67-1,-26 73-3,39-100 9,0 0-1,1 1 1,0-1-1,2 0 0,0 23 1,1 40-27,0-78 2,0-1-1,0 0 0,0 1 1,-1-1-1,1 0 1,0 0-1,0 1 0,0-1 1,0 0-1,0 1 0,0-1 1,0 0-1,0 1 0,0-1 1,0 0-1,0 0 0,0 1 1,0-1-1,0 0 1,0 1-1,1-1 0,-1 0 1,0 0-1,0 1 0,0-1 1,0 0-1,1 0 0,-1 1 1,0-1-1,0 0 0,0 0 1,1 1-1,-1-1 1,0 0-1,0 0 0,1 0 1,-1 0-1,0 1 0,0-1 1,1 0-1,-1 0 0,0 0 1,1 0-1,-1 0 0,0 0 1,1 0-1,-1 0 1,0 0-1,0 0 0,1 0 1,-1 0-1,0 0 0,1 0 1,-1 0-1,0 0 0,1 0 1,-1 0-1,0-1 1,2 0-79,-1 0 0,1 0 0,-1 0 1,0 0-1,0-1 0,1 1 0,-1 0 1,0-1-1,0 1 0,1-4 0,9-29-2802,-2-5-7509</inkml:trace>
  <inkml:trace contextRef="#ctx0" brushRef="#br0" timeOffset="4213.02">1735 174 19455,'0'7'0,"-2"15"0,2-21 0,0-1 0,0 1 0,0-1 0,0 1 0,0 0 0,0-1 0,0 1 0,-1-1 0,1 1 0,0-1 0,0 1 0,-1-1 0,1 1 0,0-1 0,-1 1 0,1-1 0,0 1 0,-1-1 0,1 1 0,-1-1 0,1 1 0,-1-1 0,1 0 0,-1 1 0,0-1 0,-2 0 0,-1 1 0,1-1 0,0 1 0,-1-1 0,1 1 0,0 0 0,0 0 0,-1 1 0,1-1 0,0 1 0,0-1 0,1 1 0,-1 0 0,0 0 0,0 0 0,1 1 0,0-1 0,-1 1 0,1-1 0,0 1 0,0 0 0,0-1 0,1 1 0,-1 0 0,1 0 0,-3 7 0,-14 36 0,1 2 0,-16 84 0,-6 105 0,35-206 0,-19 155 0,3 302 0,21-434 1,4 0 0,17 90-1,-14-114-3,0 0 0,2-1-1,1 0 1,1-1 0,1 0-1,20 30 1,-21-42-199,1 0 1,0 0-1,1-2 0,1 1 0,0-2 1,25 17-1,-3-6-2505,74 37 0,-53-33-5549</inkml:trace>
  <inkml:trace contextRef="#ctx0" brushRef="#br0" timeOffset="4830.15">2718 1 17791,'2'4'107,"5"12"-56,-1 0 1,0 0-1,-2 1 0,0-1 0,2 19 1,14 50 67,8 12-20,-4 1 1,-4 2-1,-5 0 1,-4 0 0,-3 118-1,-10-122-18,-4-1 0,-4 0 0,-5 0 0,-30 107 0,-69 123 338,83-256-338,-3-2 0,-66 99 0,36-75-412,-119 129 0,179-216 100,1 0 0,0-1 0,-1 1-1,0-1 1,0 0 0,0 0-1,0 0 1,0-1 0,-1 1-1,1-1 1,-1 0 0,0 0 0,0-1-1,1 0 1,-1 1 0,0-2-1,0 1 1,-8 0 0,-29 1-9838</inkml:trace>
  <inkml:trace contextRef="#ctx0" brushRef="#br0" timeOffset="5645.64">3391 1228 18303,'0'0'384,"4"1"-256,12 1 20,0-1 0,20-1-1,-21-1-107,0 1-1,0 1 1,0 0-1,17 4 0,-14-1-737,0-1 0,-1-1 0,27 0 0,-34-2-413,40 3-9321</inkml:trace>
  <inkml:trace contextRef="#ctx0" brushRef="#br0" timeOffset="5946.09">3374 934 19967,'0'0'0,"26"8"0,-18-5 128,-3-3-128,2 0 128,3 0 0,2 0 0,7 0 0,-2 0 0,5 0-128,0 0 0,6 0-512,7 2 128,6 4-384,-12-4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19.10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193 210 17535,'0'0'128,"1"5"22,4 13-21,-2-11 53,-1 1 0,0 0 1,0 0-1,-1 0 1,0 0-1,0 0 1,-1 0-1,-1 9 0,-12 42 433,-38 100-1,3-9-93,-8 84-73,54-214-386,-1 1 5,1-21-161,-3-11-155,2-2-406,1 0 0,0 0 0,2 0 0,-1 0 0,1 0 0,1 0 0,4-25-1,-2 22-780,3-30-8590</inkml:trace>
  <inkml:trace contextRef="#ctx0" brushRef="#br0" timeOffset="523.41">287 32 18303,'18'0'107,"-1"-1"0,1-1-1,-1 0 1,1-1 0,-1-1-1,28-10 1,-42 13-99,-1 0-1,0 1 1,1-1-1,-1 0 1,1 1-1,0-1 1,-1 1 0,1 0-1,-1 0 1,1 0-1,-1 0 1,1 0-1,0 1 1,-1-1 0,1 1-1,-1-1 1,1 1-1,-1 0 1,3 1-1,0 2-3,0 0-1,0 0 1,-1 0-1,0 0 1,0 1-1,6 7 1,8 9 76,-6-6-51,-1 0-1,-1 1 0,0 0 1,-1 0-1,0 1 1,-2 0-1,0 1 1,-1 0-1,-1 0 1,0 0-1,-1 0 0,-1 1 1,-1-1-1,-1 27 1,-1-37 0,-2 1 1,1-1-1,-1 0 0,-1 0 1,1-1-1,-1 1 1,-5 9-1,-32 49 286,29-49-247,-12 18 177,-1 0-1,-33 34 1,45-55-164,-1-2 1,0 0 0,-1-1-1,0 0 1,-1-1 0,0 0-1,-28 12 1,14-10 100,-51 14 0,71-24-178,1 0-1,-1 0 1,0-1-1,0 0 0,0-1 1,1 0-1,-1 0 1,0-1-1,0 0 0,0 0 1,-9-4-1,14 4-85,0-1-1,0-1 0,0 1 0,0-1 0,0 1 0,1-1 1,-1 0-1,1-1 0,0 1 0,-4-6 0,-7-6-2142,-34-32-10766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25.58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727 1 20095,'6'42'0,"-6"-41"0,0-1 0,0 1 0,0 0 0,1-1-1,-1 1 1,0 0 0,0 0 0,0-1 0,0 1 0,0 0-1,-1-1 1,1 1 0,0 0 0,0-1 0,0 1-1,-1 0 1,1-1 0,0 1 0,0 0 0,-1-1-1,1 1 1,-1-1 0,1 1 0,-1 0 0,0 0 0,-13-2 9,8 0 8,-17 0 72,0 1-1,1 0 1,-1 2 0,-41 8 0,15 1 190,-53 20 0,92-27-256,1 0-1,-1 1 1,1 0-1,0 1 0,1 0 1,-1 0-1,1 1 1,0 0-1,-13 16 0,16-18-11,0 1 0,1 0-1,0 1 1,0-1 0,0 1-1,1 0 1,0 0 0,0 0-1,1 0 1,0 0 0,0 1-1,0-1 1,1 1 0,0 11-1,2-13-20,0-1 0,0 1 0,0-1 0,1 0 0,0 1 0,0-1-1,0 0 1,1 0 0,-1 0 0,1-1 0,0 1 0,1-1 0,4 6 0,8 7-92,33 27 1,-37-34 83,12 10 1,17 13-27,-3 2 0,69 79-1,-104-110 45,-1-1 0,1 1 0,-1-1 0,0 1 0,0 0 0,-1 0 0,1 0 0,-1 0 0,0 0 0,0 0 0,0 0 0,0 0 0,-1 8 0,0-6 0,-1 0 0,0-1 0,0 1 0,-1-1 0,1 0 0,-1 1 0,0-1 0,-1 0 0,1 0 0,-5 5 0,0 2 4,-36 53 103,37-58-86,0 1-1,0-1 1,-1-1 0,0 1 0,0-1 0,-8 6-1,5-8 16,0 1-1,-1-1 1,1-1-1,-1 0 1,0 0-1,1-1 1,-1-1-1,-17 1 1,-2 1 28,-274 28-1088,276-28-3029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0.2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825 14 16384,'0'0'1023,"-4"-1"-895,-4-2-54,0 1-1,-1-1 0,1 2 1,-1-1-1,1 1 0,-1 0 1,1 1-1,-1 0 0,0 1 1,1-1-1,-1 2 0,1-1 1,-1 1-1,1 0 0,-12 5 1,-194 93 475,178-80-436,1 2 1,2 1-1,-58 51 0,90-72-114,-1-1 0,0 1 0,1-1 0,-1 1 0,1 0 0,0 0 0,-1-1 0,1 1 0,0 0 0,0 0 0,0 0 0,0 0 0,0 0 0,1 1 0,-1-1 0,1 0-1,-1 0 1,1 4 0,0-4-1,1 0 0,-1 0-1,1-1 1,-1 1-1,1 0 1,0 0-1,0-1 1,0 1-1,0-1 1,0 1 0,0 0-1,0-1 1,1 0-1,-1 1 1,0-1-1,1 0 1,2 2-1,4 2-6,1 0 0,0-1 0,0 0 0,0 0 0,1-1 0,16 4-1,7 0-15,-1 1-1,0 1 1,0 2-1,52 25 0,-72-28 26,-1 0 0,0 0 0,0 1 0,-1 0 0,0 1 0,-1 0 0,0 1 0,-1 0 0,0 0 0,0 1 0,-1 0 0,6 16 0,-12-24 26,0 0-1,-1 0 1,0-1-1,0 1 0,0 0 1,0 0-1,0 0 1,-1 0-1,0 0 0,0 0 1,0-1-1,0 1 1,0 0-1,-1-1 0,0 1 1,0-1-1,0 0 1,0 1-1,0-1 0,-1 0 1,-4 4-1,-3 5 64,-2-1 0,1 0-1,-2-1 1,-12 8 0,-22 15 113,5-4-6,-1-1 0,-53 25-1,20-20 253,-119 35 0,190-67-650,1-1 0,0 1 0,-1 0 0,1-1 0,-1 0 0,1 0 0,-1-1 0,-7-1 0,9 2-224,0-1-1,-1 0 1,1 0 0,0 0 0,0-1-1,0 1 1,0-1 0,0 1 0,1-1 0,-1 0-1,-4-5 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8.13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0 103 20937,'2095'-103'0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0.74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235 1 17535,'0'0'1920,"-1"5"-1792,-38 159 918,-12 73-428,37-168-404,-4-2-1,-28 70 0,27-96 30,-24 41 0,43-81-238,0-1-6,0 0 0,0 0 1,0 0-1,0 0 0,0 0 0,0-1 0,0 1 1,0 0-1,0 0 0,-1 0 0,1 0 0,0 0 1,0 0-1,0 0 0,0 0 0,0 0 0,0 0 1,0 0-1,0 0 0,0 0 0,0 0 0,0 0 1,0 0-1,0 0 0,0 0 0,0 0 1,0 0-1,-1 0 0,1 0 0,0 0 0,0 0 1,0 0-1,0 0 0,0 0 0,0 0 0,0 0 1,0 0-1,0 0 0,0 0 0,0 0 0,0 0 1,0 0-1,-1 0 0,1 0 0,0 0 0,0 0 1,0 0-1,0 0 0,0 0 0,0 0 0,0 0 1,0 0-1,0 0 0,0 0 0,0 0 0,0 0 1,0-6-62,2 2-81,0 0 1,1 0-1,-1 0 0,1 0 0,0 1 0,0 0 0,0-1 0,5-2 1,10-13-1047,20-26-3270</inkml:trace>
  <inkml:trace contextRef="#ctx0" brushRef="#br0" timeOffset="667.45">221 34 16000,'0'0'2175,"4"-2"-1940,14-4-90,-1 1 18,-1 0 1,24-3 0,-33 7-138,-1 0 0,1 1 0,0 0 0,0 1 0,-1-1 0,1 1 0,-1 0 0,1 1 0,12 4 0,-4 0 18,-1 0 0,1 1 0,-1 1 0,0 0 1,-1 1-1,0 0 0,0 1 0,-1 1 0,0 0 0,-1 1 0,0 0 0,-1 0 0,-1 1 0,9 14 0,-11-14 15,32 59 352,-35-65-328,-1 1 0,0 0-1,0 0 1,-1 1-1,0-1 1,-1 0-1,1 13 1,-2-16-30,-1 0 1,0 0-1,0 0 1,0 0-1,-1-1 1,0 1-1,0 0 0,0-1 1,0 1-1,-1-1 1,0 0-1,1 0 1,-2 0-1,1 0 0,0 0 1,-1-1-1,0 1 1,0-1-1,0 0 1,-6 3-1,-10 7 71,-1-1 0,-43 17 1,54-25-84,-75 29 137,41-17 127,-74 38 1,94-46-553,21-8-212,1 1 1,-1-1-1,1 1 1,0 0-1,0 0 1,-1-1-1,1 2 1,0-1-1,0 0 1,0 0-1,0 1 1,-2 1-1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6.99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32 775 17535,'61'-9'22,"-96"8"340,16 2-155,16-1-179,0 0 1,0 0-1,1 0 1,-1 0-1,0 2 1,0-2-1,1 1 0,-5 1 1,7-2-27,-1 1-1,0-1 1,0 1 0,1 0-1,-1 0 1,1-1-1,-1 0 1,0 1 0,1 1-1,-1-2 1,1 1 0,0 0-1,-1 0 1,1 0 0,0 0-1,-1 0 1,1-1 0,0 1-1,0 0 1,0 1 0,0-1-1,0 0 1,0 0 0,0 0-1,0-1 1,0 1-1,0 0 1,1-1 0,-1 2-1,1 4 10,1-3 0,-1 3 0,1-3 0,0 3 0,0-3 0,0 2 0,0-1 0,1-1 0,-1 2-1,1-2 1,0 2 0,1-2 0,-1 0 0,1 1 0,-1-1 0,1-1 0,0 0 0,0 2 0,0-2-1,0 0 1,1 0 0,-1-1 0,0 2 0,1-2 0,4 1 0,11 2 60,0 1 0,1-3 1,-1 0-1,31-1 0,66-6 417,171-31 0,-54 5-56,-97 19-289,106-14 77,-208 20-172,-29 4-24,0-1 1,0 3-1,0-1 0,0 0 1,0 0-1,0 1 1,0 0-1,0 0 1,0 0-1,0 1 1,10 1-1,-15-2-344,-15-3-3925</inkml:trace>
  <inkml:trace contextRef="#ctx0" brushRef="#br0" timeOffset="645.41">42 367 19583,'13'6'24,"-7"-2"26,0-1 0,0 0 0,0-1 0,11 5 1,-15-7-39,0 0 1,0 1-1,1-1 1,-1 0-1,0 0 1,0 0-1,1 0 1,-1 0-1,0-1 1,0 1-1,0-1 1,0 0-1,1 1 1,-1-1-1,0 0 1,0 0-1,0-1 1,2-1-1,33-27 250,-29 22-224,1 1 1,-1 0-1,1 0 0,1 2 0,18-12 0,-5 8 8,0 2 0,0 1-1,1 0 1,46-4 0,101 6 143,-83 4-95,40-6-72,195 4-1,-300 4 6,0 3-1,-1-1 1,35 13 0,-32-9-28,-21-8-188,0 1 0,1-1-1,-1 0 1,0 0-1,0 0 1,8 0 0,6-1-4715</inkml:trace>
  <inkml:trace contextRef="#ctx0" brushRef="#br0" timeOffset="1696.16">1322 14 19327,'0'0'0,"-1"25"0,-2-13 0,3-12 0,-1 0 0,1 0 0,0 0 0,0 1 0,0-1 0,0 0 0,0 0 0,0 0 0,-1 0 0,1 0 0,0 1 0,0-1 0,0 0 0,0 0 0,-1 0 0,1 0 0,0 0 0,0 0 0,0 0 0,0 0 0,-1 0 0,1 0 0,0 0 0,0 0 0,0 0 0,-1 0 0,1 0 0,0 0 0,0 0 0,0 0 0,0 0 0,-1 0 0,1 0 0,0 0 0,0 0 0,0 0 0,-1 0 0,1 0 0,0 0 0,0-1 0,0 1 0,-1 0 0,1 0 3,0-1 1,0 1-1,0-1 0,0 1 0,0 0 0,0-1 0,0 1 0,0-1 0,0 1 0,0 0 0,0-1 0,0 1 0,0-2 0,0 2 0,0 0 0,0-1 0,1 1 0,-1 0 0,0 0 0,0 0 0,0-1 0,1 1 0,-1 0 1,0 0-1,0-1 0,1 1 0,-1 0 0,0-1 0,1 1 0,-1 0 0,0 0 0,1 0 0,-1-1 0,1 1 0,-1 0-2,1 0 0,-1 0 1,0 0-1,1 0 0,-1 0 0,0 0 0,0 0 0,1 0 1,-1 0-1,0 0 0,1 0 0,-1 0 0,0 0 0,1 1 1,-1-1-1,0 0 0,0 0 0,1 0 0,-1 0 0,0 1 1,0-1-1,1 0 0,-1 0 0,0 1 0,0-1 0,0 0 1,1 0-1,-1 1 0,0-1 0,0 0 0,0 0 0,3 17 44,-4 20 20,0-33-63,-25 291 148,20-234-98,-4 0 0,-24 85 1,-50 118 131,51-168-163,32-93-20,-7 18 4,8-21-6,0 1 0,0-1 0,-1 1 0,1 0 0,0-1 0,0 1-1,-1-1 1,1 1 0,0-1 0,-1 1 0,1-1 0,-1 1 0,1-1 0,-1 2 0,1-2 0,-1 0 0,1 0 0,-1 0 0,1 1 0,-1-1 0,1 0 0,-1 1 0,0-1 0,1 0 0,-2 1 0,-2-9-84,1-6-11,2 1 0,-1-1 1,2 1-1,1-21 0,10-58-727,21-43-686,1-8-53,-22 65 944,25-126-172,-19 140 790,13-91 0,-29 135 211,-1 15-102,1 0 0,-1-1-1,1 1 1,0-1 0,0 1 0,0 0-1,1-1 1,0 0 0,0 2 0,5-10 0,-6 14-76,-1-2 0,1 2 0,-1 0 0,1-1 0,0 1 0,-1 0 0,1-1 0,0 1 0,-1-1 0,1 1 0,0 0 0,-1 0 0,1-1 0,0 1 0,0 0 0,-1 0 0,1 0 0,0 0 0,0 0 0,-1 0 0,1 0 0,0 0 0,0 0 0,0 0 0,-1 0 0,1 1 0,1-1 0,23 12 530,-13-6-259,4-1-93,1 1-1,0-2 0,0 1 0,24-1 0,-21 0-91,1-1 0,33 10 0,91 44 155,-117-45-209,-1 3 0,-1 0 0,26 21 0,-46-33-46,0 3-1,-1-2 1,0 3 0,0-3 0,0 3 0,-1-2 0,0 1 0,5 10 0,0 2 52,10 32 0,-15-38-42,-3-10-23,-1 1 0,1 0 0,-1 1 0,1-1 0,-1 0 0,0 0 0,0 1 0,0-1 0,-1 0-1,1 1 1,-1-1 0,1 0 0,-1 0 0,0 0 0,-1 0 0,1 0 0,0 0 0,-1-1 0,-3 6 0,-3 3 19,-1 0 0,-1 1 0,-14 12 0,8-8 12,-120 107 129,-14 15 52,135-124-208,0-1-1,-1 0 1,0-1-1,0-1 1,-2 0-1,-33 15 1,6-9-1,-79 23 0,102-34-468,-30 4 0,21-10-2697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6:02.45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291 272 20223,'2'5'128,"0"-1"-98,1-1 1,-2 1-1,0 0 0,1 0 0,-1-1 0,-1 1 0,1 1 0,-1-2 0,0 2 1,0-1-1,0 1 0,0-3 0,-1 3 0,1 0 0,-1-1 0,-3 7 0,-31 82 191,6 1-1,-20 110 1,7 52-15,-19 77 57,-8-81-114,69-252-169,0 1 0,0 0-1,-1 0 1,1-1 0,0 1 0,0 1-1,0-2 1,-1 1 0,1 0 0,-1-1-1,1 1 1,0 2 0,-1-3-1,1 1 1,-1 0 0,0 0 0,1-1-1,-2 2 1,-2-17-885,4-31-962,7-21-2058,-4 38-6272</inkml:trace>
  <inkml:trace contextRef="#ctx0" brushRef="#br0" timeOffset="514.29">329 192 18687,'9'-1'3,"6"-2"21,-1 2 1,1-4-1,-1 3 1,0-2-1,18-8 1,-29 10-3,0 1-1,0 0 1,0 1 0,0-1 0,0 0 0,1 1 0,-1 0 0,0 0 0,1 0-1,-1 0 1,0 0 0,0 0 0,1 0 0,-1 1 0,0-1 0,0 1-1,0-1 1,0 1 0,0 1 0,0-1 0,0 2 0,0-2 0,4 4 0,-2-1-4,0-1 0,0 1 0,0 1 0,0 1 1,-1-2-1,0 2 0,0-2 0,0 3 1,-1-2-1,5 10 0,10 29 36,-1 1 0,11 51 1,-23-73-2,-1-2 0,0 4 0,-2-4 0,-1 2-1,-1 2 1,-4 30 0,1-43 13,0 2 0,-1-2-1,0 1 1,-1-1 0,0 0-1,-1-2 1,-1 4-1,0-3 1,0-2 0,-17 20-1,-3 0 72,-1-3-1,-43 32 0,64-52-123,-1-1 0,1 0-1,-1-1 1,-1 1 0,1 0 0,0-2 0,-1-1-1,0 3 1,0-4 0,0 2 0,0-2 0,-1 1-1,2 0 1,-1-2 0,-16 0 0,8-3-580,0 0 0,0 0 0,0-2 0,1 2 0,-1-4 0,1 1 0,-22-12 0</inkml:trace>
  <inkml:trace contextRef="#ctx0" brushRef="#br0" timeOffset="1236.99">1066 1022 19711,'6'1'107,"10"2"26,0-1 1,0-1-1,31 0 0,-9-2 50,-1 2-1,1 2 0,42 8 0,-32-4-152,62-1 1,-109-6-56,71 2-1496,-24 4-3120</inkml:trace>
  <inkml:trace contextRef="#ctx0" brushRef="#br0" timeOffset="1483.76">1181 681 20095,'0'0'0,"36"29"0,-27-23 128,-1-1 128,-6-10-256,5-1 128,4-6-128,16 2 128,11-6-896,16 10 128,18 5-640,56-10-11391</inkml:trace>
  <inkml:trace contextRef="#ctx0" brushRef="#br0" timeOffset="9491.94">2519 371 17791,'0'0'640,"-10"-1"-533,-2 1-82,0-1 0,0 1 0,-1 1 0,1-1 0,0 1-1,0 1 1,0 0 0,0 0 0,0 3 0,1-2 0,-14 8 0,-18 13 35,2 0 1,0 2-1,1 2 1,1 1-1,-38 38 0,51-42-60,13-11 0,-24 25 0,34-33 0,-1-1 0,1 1 0,0-2 0,1 1 0,-1 3 0,1-3 0,0-1 0,0 3 0,1-1 0,-1 6 0,2-8 0,0 2 0,1-2 0,-1 0 0,1-1 0,0 2 0,0-1 0,0 0 0,1-1 0,0 3 0,0-3 0,3 8 0,34 41 0,-21-28 0,0-1 0,28 28 0,-32-39 0,-2 3 0,1-4 0,-2 7 0,0-3 0,-1-1 0,10 21 0,-18-30 0,5 12 0,0 0 0,7 30 0,-12-42 0,-2 2 0,1-1 0,-1-2 0,0 3 0,0-2 0,0 1 0,-1 0 0,0-1 0,0 1 0,0 1 0,-1-3 0,-4 12 0,1-6 8,-1 1 0,-1-2 0,0 0 0,0 2-1,-16 15 1,-51 37 194,21-20-67,-104 87 409,134-115-464,0 1 0,-1-4 0,0 2 0,-2-2 0,-37 12 0,42-18-234,-40 7-1,54-12-228,0 0 0,0-1 0,0 0 0,0 0 0,0-1 1,-1 1-1,1-1 0,0 0 0,-13-6 0</inkml:trace>
  <inkml:trace contextRef="#ctx0" brushRef="#br0" timeOffset="10178.27">2596 1018 21631,'0'0'427</inkml:trace>
  <inkml:trace contextRef="#ctx0" brushRef="#br0" timeOffset="11543.15">3747 671 19199,'0'0'512,"-4"0"-362,-38 3-38,1 4 0,0-1 0,2 2 0,-1 5 0,0-4 0,1 6 0,-58 28 0,75-30-80,0 1 0,2 0 1,-1 1-1,2 1 0,0 2 0,1 1 1,1 0-1,1-1 0,1 2 1,-19 33-1,20-27-17,1-1 0,1 1 0,1 1 0,2 0 0,0 0 0,2 1 0,2-2 0,-5 59 0,10-65-16,1-1 0,1 0-1,1-2 1,1 3-1,0-1 1,1-1-1,2 0 1,-1 1 0,2-2-1,1 0 1,0 0-1,1 0 1,1-2-1,14 17 1,-20-26-11,0-2 0,0-1 1,0 2-1,1 0 0,0-1 0,0-1 1,0 0-1,0 0 0,0 0 0,1-1 1,-1 0-1,1-1 0,0 0 0,-1 1 0,2-1 1,-1-1-1,0 0 0,0 2 0,0-4 1,-1 2-1,1-1 0,0 0 0,0-1 1,-1 1-1,1-1 0,-1 0 0,1 0 0,7-6 1,-9 6-216,1-3 0,-2 0 0,1 0 1,0 2-1,6-11 0,11-11-1314,3 3-1317,14-14-7019</inkml:trace>
  <inkml:trace contextRef="#ctx0" brushRef="#br0" timeOffset="12240.69">4149 1240 19199,'-2'-1'1,"0"1"0,1 0-1,-1-2 1,1 2-1,-1 0 1,0-1-1,1 1 1,-1-2-1,1 1 1,0 0-1,-1 0 1,1 0 0,0 0-1,-1 0 1,1 1-1,0-2 1,0 1-1,0 1 1,0-4-1,0 3 1,1 0-1,-1 0 1,0-1 0,0 1-1,1-1 1,-1 0-1,1 1 1,0-2-1,-1 2 1,1-1-1,0 0 1,0 1-1,0 0 1,0 0 0,0 0-1,1-1 1,-1-1-1,1 1 1,0-9 61,0 1 0,-1-2 0,0 2 1,-1 0-1,0-1 0,-1 0 0,0 2 1,-1-1-1,0-1 0,0 2 0,-9-19 0,-79-112 429,89 139-489,1-1-1,-1 0 1,0 0 0,0-1-1,0 2 1,0-2 0,0 1-1,0 1 1,-1-1 0,1 1-1,0 0 1,-1 0 0,1 0-1,-1 0 1,0 1 0,1-1-1,-1 1 1,-4-3 0,2 3-5,0 0 1,1 2 0,-1-2-1,0 1 1,1 0 0,-1-1-1,1 1 1,-1 0 0,1 1-1,-6 2 1,-3 3-17,1 1 0,0-1 0,1 2-1,-2 0 1,3-1 0,-15 19 0,12-12-44,1 1 0,1 3 0,0-2 0,1 0 0,1 1 0,1 1 0,-11 38 0,12-30-17,2-1 1,0 0-1,2 0 1,1 2-1,2 39 1,0-61 77,1 0 0,0 0 1,0-1-1,1 3 0,-1-2 1,1 0-1,1-1 0,-1 0 1,1 1-1,0-1 1,0 2-1,1-4 0,4 7 1,-6-7 1,0 0 0,0-2 0,1 1 0,-1 0 0,0-1 0,1 0 0,0 0 0,-1 2 0,1-2 0,0 0 0,0 0 0,-1 0 0,1 0 0,0-1 0,0 1 1,0-1-1,0 0 0,0 0 0,0 0 0,0 0 0,0 0 0,0 0 0,0-1 0,0 0 0,0 1 0,0-1 0,-1 0 0,1-1 0,3-2 0,21-10-1,1 2-1,-3-6 0,0 2 0,-1-3 0,-1 1 0,33-36 0,-17 10 57,-1-2-1,41-64 0,-76 105-33,0-1-1,0 2 1,0-3 0,2-8 0,-5 14-23,1 1 0,-1 0 0,0 0 0,0 0 0,1-1 0,-1 0-1,0 1 1,0-1 0,0 0 0,0 1 0,0-1 0,0 0 0,0 1 0,0-1 0,0-1 0,0 2 0,0 0 0,0-1 0,0 1 0,-1-1 0,1 0 0,0 1 0,0-1 0,-1 0 0,1 1 0,0-1 0,-1 1 0,1-1 0,-1 1 0,1-1 0,-1 1-1,1 0 1,-1 0 0,1-1 0,-1 1 0,1 0 0,-1-1 0,0 1 0,1 0 0,-1 0 0,1-2 0,-1 2 0,0 0 0,1 0 0,-1 0 0,0 0 0,0 0 0,1 0 0,-1 0 0,-1 0 0,-5 2-47,1-1 1,-1 0-1,0 0 1,0 1-1,1 0 0,-1 1 1,1 0-1,0 0 1,0 0-1,0 0 1,-9 9-1,-8 6-1334,-28 29 1,43-39 570,-29 30-9641</inkml:trace>
  <inkml:trace contextRef="#ctx0" brushRef="#br0" timeOffset="12909.05">4737 968 20991,'-8'4'0,"-22"1"0,29-5 0,0 0 0,0 0 0,0 0 0,0-1 0,-1 1 0,1 0 0,0-1 0,0 1 0,0 0 0,0-1 0,0 1 0,0-1 0,0 0 0,0 1 0,0-2 0,0 1 0,1 0 0,-1 1 0,0 0 0,0-2 0,1 1 0,-1 0 0,0 0 0,0-2 0,-1 2 0,0 1 0,0-1 0,0-1 0,-1 1 0,1 0 0,0 1 0,0-1 0,-1 0 0,1 1 0,-1-1 0,1 1 0,0 0 0,-1 0 0,-4 0 0,2 0 0,-4 0-26,-1 0-1,1 0 0,0 1 0,0 0 0,0 0 1,0 1-1,0 1 0,0-2 0,0 3 0,1 0 1,-1 0-1,1 0 0,0 0 0,0 0 0,1 1 1,0 1-1,-1-1 0,2 2 0,-1-1 0,1 1 1,0 0-1,0-1 0,1 2 0,0 0 0,0-2 1,0 3-1,1-2 0,0 3 0,1-2 0,0 1 0,1 0 1,0-1-1,0 2 0,1-3 0,0 2 0,1 2 1,0-4-1,2 16 0,-2-17 6,1 1 1,0-1-1,0-1 0,1 2 0,0-1 0,0 1 1,1-2-1,0 1 0,0 1 0,5 3 1,-4-4-2,-1-3 0,1 0 0,0 2 0,0-4 1,1 3-1,-1 0 0,1-2 0,-1 1 0,1 0 0,0-2 1,0 1-1,9 2 0,-7-3-27,-5-1 43,0 3-1,0-3 1,1 1 0,-1 0-1,0 1 1,0-1-1,0 0 1,0 0 0,3 2-1,-5-2 7,1-1 1,-1 1-1,0 1 0,0-1 0,1 0 0,-1-1 0,0 0 1,0 1-1,0 0 0,0 0 0,0 0 0,0 0 1,0 0-1,0-1 0,0 0 0,-1 1 0,1-1 1,0 2-1,0-2 0,-1 1 0,1 0 0,-1 1 1,1-2-1,0 1 0,-1 0 0,1 0 0,-1-1 1,0 1-1,1-1 0,-1 0 0,0 1 0,-3 4 22,-4 6 16,0-2 0,-1 0 0,0 2-1,0-1 1,-1-2 0,0 0 0,-1-1 0,-15 9 0,-12 5-109,-56 23 110,82-40-306,2-1 1,-2 2-1,0-2 0,0-1 1,0 0-1,-19 0 0,28-2-54,-1 0-1,1 0 0,0 0 0,0-1 0,0 1 0,-1-1 0,1 0 0,0 0 0,0 0 0,-4-3 0</inkml:trace>
  <inkml:trace contextRef="#ctx0" brushRef="#br0" timeOffset="15291.39">5058 316 15360,'0'0'3711,"-2"5"-3476,-17 27 94,10-19-166,-1-2-1,3 4 1,0-3-1,0 4 1,1-4-1,1 3 1,1 0-1,-5 22 1,6 28 40,2-2-1,4 1 1,13 77 0,-12-102-168,-1-2 1,-3 62-1,-1-69 8,1-2 0,1 2-1,1-2 1,2 1 0,10 35-1,-6-34-42,-5-20 0,-1 3 0,2-3 0,-1 1 0,2 0 0,-1 1 0,2-3 0,-1 2 0,1-1 0,1 0 0,12 14 0,-1-5 0,-14-13 0,1 0 0,0 0 0,0-1 0,0 0 0,1-1 0,0 1 0,0 0 0,0-2 0,1 0 0,-1 3 0,1-3 0,12 6 0,-3-7 0,1 0 0,-1-1 0,1 0 0,26-3 0,66-11 0,-49 2 0,-35 8 0,30-11 0,-10 3 0,-40 8 0,-1 2 0,2 0 0,-2-1 0,0 0 0,1 0 0,-1 1 0,0-3 0,0 1 0,-1 1 0,1-1 0,0-1 0,-1 2 0,0-2 0,5-7 0,-2 5 0,22-21 384,-27 26-277,3-2-86,0-3-21,-4 6 0,0-1 0,0 1 0,0 0 0,0-1 0,1 1 0,-1-2 0,0 2 0,0 0 0,0 0 0,0 0 0,0-1 0,0 1 0,0 0 0,0 0 0,0 0 0,-1-1 0,1 1 0,0-1 0,0 1 0,0 0 0,0-1 0,0 1 0,-1 0 0,1-1 0,0 1 0,0 0 0,-1-1 0,1 1 0,0 0 0,0-1 0,-1 1 0,0 0 0,0-5 0,0 1 0,1-1 0,-1-1 0,1 2 0,0 0 0,0-1 0,0 0 0,1 0 0,0 3 0,0-4 0,3-7 0,2-17 0,-3-26 0,-2 30 0,5-35 0,-3 36 48,-2 0 0,0 2 1,-5-43-1,0 4 37,3 47-61,0-2 0,-1 2 0,-1 0 1,-4-16-1,4 22 24,0 2-1,0-2 1,0 2-1,-1-1 1,0 2 0,-1-1-1,0 1 1,0-3-1,-8-5 1,-66-69 229,66 69-277,11 12 0,1 1 0,-1-2 0,1 1 0,-1 1 0,1-1 0,-1 2 0,0-1 0,0 0 0,0-2 0,0 2 0,0 0 0,0-1 0,-1 2 0,1-1 0,-2 0 0,0 0 0,0 0 0,-1 0 0,1 1 0,0 0 0,0-1 0,0 1 0,0 1 0,-1-1 0,1 1 0,0-1 0,0 1 0,0 1 0,0-1 0,0-1 0,1 3 0,-1 0 0,0-1 0,0-1 0,1 0 0,0 2 0,-1-1 0,1 1 0,0 0 0,0 0 0,-3 5 0,1-4 0,1 3 0,0 2 0,0-4 0,1 2 0,-1-1 0,1 3 0,1-3 0,0 1 0,0 1 0,0-2 0,1 1 0,0 15 0,-14 189 0,0 13 0,-10 197 0,16-345-250,4 2-1,3-3 0,13 123 1,-8-184-254,0-2 1,0 3-1,1-3 1,12 24-1,-16-36 466,0 0 0,0 1 0,0-1 0,0 0-1,0 0 1,0 0 0,0 0 0,1 0 0,-1 1-1,0-1 1,0 0 0,0 0 0,0 0 0,0 0-1,0 0 1,0 0 0,1 0 0,-1 0 0,0 1-1,0-1 1,0 0 0,0 0 0,0 0-1,1 0 1,-1 0 0,0 0 0,0 0 0,0 0-1,0 0 1,1 0 0,-1 0 0,0 0 0,0 0-1,0 0 1,0 0 0,0 0 0,1 0 0,-1 0-1,0 0 1,0 0 0,0 0 0,0 0 0,1 0-1,-1-1 1,0 1 0,0 0 0,0 0 0,0 0-1,0 0 1,0 0 0,1 0 0,5-8-1880</inkml:trace>
  <inkml:trace contextRef="#ctx0" brushRef="#br0" timeOffset="16068.84">5007 0 18687,'1'3'1,"1"2"20,0-1 0,-1-1 1,1 2-1,-1-1 0,0 1 0,0 8 1,-3-12 71,1-1 1,-1 1-1,0-1 1,0 0-1,0 0 1,1 0-1,-1 0 0,0 0 1,0 0-1,-3-1 1,0 1 136,-6 5-184,0 2 0,0-1 0,1-1 0,0 3 0,-10 9 0,15-13-39,0 2 1,1 0-1,0-3 0,0 4 0,0-1 1,1 0-1,0-1 0,0 0 0,1 2 1,-1-1-1,-1 7 0,-59 321 142,50-205-149,5 4 0,12 155 0,4-198 3,20 93 0,33 85-18,-45-201 3,0-10-65,2-1 0,4-1 1,2-2-1,34 56 0,-58-109 75,44 74-268,-39-68 182,0 0-1,1 1 0,0 0 1,0-2-1,0-1 0,1 4 0,13 6 1,-18-13 9,0 0 0,0-1 1,0 0-1,0 1 0,0-1 1,0 0-1,1 0 1,-1 1-1,0-1 0,0 0 1,0 0-1,1 0 0,-1 0 1,0-1-1,0 1 0,3 0 1,33-16-2885,-33 15 2207</inkml:trace>
  <inkml:trace contextRef="#ctx0" brushRef="#br0" timeOffset="16668.64">5836 88 17919,'0'0'1920,"-1"5"-1792,-3 17-68,1-2 0,0 3 0,2-2-1,0 2 1,5 29 0,23 114 197,-1-13-83,-4 103 17,-20-197-141,-3 1 0,-11 78 0,-97 321 186,29-148-323,59-216-723,-5-3-1,-41 91 0,21-70-2154,-1-6-7765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4.74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767 64 21503,'-24'-11'0,"6"2"0,0 1 0,-1 1 0,0 0 0,0 1 0,-1 2 0,-21-4 0,15 6 54,0 0-1,-1 2 0,1 1 1,0 2-1,0 0 0,0 1 1,0 2-1,1 1 0,-34 13 1,49-15-24,-1 0 0,1 0 0,0 1 0,0 1 0,1-1 0,0 2 0,-9 8 0,16-14-22,0 0 0,0 0 0,0 0 0,0 1 0,1-1 0,-1 1 0,1-1 0,-1 1 0,1 0 0,0-1 0,0 1 0,1 0 0,-1 0 0,0 0 0,1 0 0,0-1 0,-1 1 0,1 0 0,0 0 0,1 0 0,-1 0 0,0 0 0,1 0 0,0 0 0,0-1 0,-1 1 0,2 0 0,-1 0 0,0-1 0,0 1 0,1-1 0,0 1 0,2 2 0,15 18 61,1-2 0,35 30-1,15 14 67,-50-43-132,-1 1 0,-1 0-1,-1 1 1,19 37 0,-28-45 9,-1 0 1,-1 0 0,0 0 0,-1 1-1,0 0 1,-2 0 0,0 0-1,1 31 1,-5-40 7,1-1 0,-1 0 0,-1 1 1,1-1-1,-1 0 0,-1 0 0,1 0 0,-1 0 0,0-1 0,-1 1 0,0-1 1,0 0-1,0 0 0,-1 0 0,1 0 0,-2-1 0,1 0 0,0 0 0,-1 0 1,0-1-1,-9 6 0,-3 1 14,-1-2 0,1 0 1,-2 0-1,1-2 0,-1-1 0,-25 6 1,-155 30 349,193-40-376,1 0 1,-1 0 0,1 0 0,0 0 0,0 1 0,0 0 0,0 1 0,0-1 0,1 1-1,0 0 1,-7 6 0,12-9-22,0-1 0,0 1 0,-1 0 0,1-1-1,0 1 1,0 0 0,0 0 0,0-1 0,0 1 0,0 0-1,0 0 1,0-1 0,0 1 0,0 0 0,0 0 0,1-1-1,-1 1 1,0 0 0,0 0 0,1-1 0,-1 1 0,1 0-1,-1-1 1,0 1 0,1-1 0,-1 1 0,1 0 0,-1-1-1,1 1 1,0-1 0,1 1 0,20 14-952,60 20-4027,-47-19-7189</inkml:trace>
  <inkml:trace contextRef="#ctx0" brushRef="#br0" timeOffset="456.47">1190 526 23423,'0'0'0,"-49"3"0,59 1 0,-1 0 128,3-4-128,-1 0 128,2-4-128,-7 3 0,-1-2-640,1-2 0,-1-3-256,0 0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6.48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445 1381 19839,'-38'5'0,"37"-5"8,1 1-1,-1-1 0,1 0 0,-1 0 0,1 0 1,-1 0-1,1 0 0,0 0 0,-1 0 1,1 0-1,-1 0 0,1 0 0,-1 0 0,1 0 1,-1 0-1,1 0 0,0-1 0,-1 1 0,1 0 1,-1 0-1,1 0 0,-1-1 0,1 1 0,0 0 1,-1-1-1,1 1 0,0 0 0,-1-1 1,1 1-1,0 0 0,0-1 0,-1 1 0,1-1 1,3-14 483,-3 15-475,0-1 0,0 1 0,1-1-1,-1 1 1,0 0 0,0-1 0,0 1-1,0-1 1,1 1 0,-1-1 0,0 1-1,0-1 1,0 1 0,0-1 0,0 1-1,0-2 1,0 2 0,0-1 0,0 1-1,0 0 1,-1-1 0,1 1 0,0-1-1,0 0 1,-3 0 38,0 0 0,0 0 0,0 0 0,0 0 0,-1 1 1,1 0-1,0-1 0,0 1 0,0 0 0,0 0 0,-2 1 0,-2 0 0,-43 12 238,38-10-242,-10 4 5,1 1-1,0 1 1,1 1-1,-1 1 1,2 0-1,0 2 1,0 1-1,-26 24 1,37-29-40,1-1-1,-1 1 1,2 0-1,-1 1 1,1 1-1,0-2 1,1 2 0,1 1-1,-1-2 1,1 2-1,1-1 1,0-1-1,1 2 1,-2 18 0,1-6 11,2 1 1,1-2 0,1 2-1,1-1 1,1 1 0,6 25-1,-2-22-26,1 1 0,19 48 0,-22-67 0,0 1 0,0 0 0,1-2 0,1 1 0,-1 0 0,2-1 0,-1-1 0,1 0 0,1 0 0,8 6 0,-8-7 19,0-1-1,0 0 0,1-1 1,0 0-1,0-1 1,0 1-1,0-2 0,20 4 1,-24-6-7,1-1 0,-1 0 1,1 0-1,-1 0 0,0-1 1,1 0-1,-1 0 0,1 0 1,-1-1-1,0 0 0,0 0 1,0-1-1,0-1 0,-1 1 1,11-9-1,7-6-359,-2-2-1,-1 0 1,-1-1-1,-1-3 1,16-24-1,14-17-4287,-4 8-6159</inkml:trace>
  <inkml:trace contextRef="#ctx0" brushRef="#br0" timeOffset="586.2">1269 1597 23167,'-48'-11'0,"47"10"0,0 1 0,0-1 0,0 1 0,0-1 0,0 0 0,0 1 0,0-1 0,0 0 0,0 0 0,0 0 0,0 1 0,0-1 0,0 0 0,1 0 0,-1 0 0,0-2 0,1 2 0,-1 0 0,1 0 0,-1 0 0,1 0 0,0-1 0,-1 1 0,1-2 0,0-4 0,0 2 0,0 0 0,0-2 0,3-8 0,-2 11 0,-1 1 0,1 0 0,-1-1 0,1 0 0,-1 2 0,0-2 0,0 1 0,-2-8 0,1 8-7,0 1-1,-1-1 1,0-1-1,1 2 1,-1 0-1,0-1 1,0 1-1,0 0 0,-1 0 1,1-1-1,0 1 1,-1 0-1,1 0 1,-1 1-1,0-1 1,0 1-1,1 0 1,-1 0-1,0 0 0,0 0 1,0-1-1,0 2 1,0 0-1,0-1 1,0 1-1,0 0 1,0 0-1,-6 1 1,0 1-28,0-1 0,0 1 0,-1 0 0,1 1 0,-1 0 0,2 0 0,-1 1 0,-9 6 0,10-4 16,0-1 0,0 1 0,1 1-1,0 0 1,0-2 0,1 3 0,-1 0 0,1 0 0,1 0-1,-6 12 1,4-7-29,1 2 0,1 0-1,0-1 1,0 1-1,1 0 1,-2 18 0,4-10-3,0 0 1,1-1 0,1 1-1,1 1 1,1-1-1,1 0 1,0-1 0,14 45-1,-14-59 60,0-1-1,0-1 0,1 2 0,0-1 0,0 0 0,0-1 1,1 0-1,0 1 0,0-1 0,0 0 0,1-1 0,0 0 1,0-1-1,12 9 0,-13-10-1,0 0-1,-1-1 1,1-1 0,0 1 0,0-1-1,0 0 1,0 0 0,0 0 0,1-1-1,-1 0 1,1 0 0,-1 0-1,0-1 1,0 1 0,0-1 0,0 0-1,0-1 1,0 1 0,0-1-1,0-1 1,-1 1 0,8-5 0,5-6 23,0-1 0,0 0 0,-1-2 0,-1 0 0,26-31 0,8-29-1509,-9-3-3558</inkml:trace>
  <inkml:trace contextRef="#ctx0" brushRef="#br0" timeOffset="1230.43">1859 1455 23423,'-60'17'0,"42"-11"0,15-6 0,7-2 0,10-4 0,7-3 0,-20 6 0,-13-1 0,-10 2-31,2-1-122,-1 2 0,-29 0 0,49 1 133,0 0 0,1 0 1,-1 0-1,0 1 1,0-1-1,0 0 0,0 0 1,0 1-1,0-1 1,0 0-1,1 1 0,-1-1 1,0 1-1,0-1 0,0 1 1,1 0-1,-1-1 1,0 1-1,1 0 0,-1-1 1,1 1-1,-1 1 1,1-1-1,-1 0 0,1-1 1,-1 1-1,1 0 1,0 0-1,0 0 0,-1 0 1,1 0-1,0 0 0,0 0 1,0 0-1,0-1 1,0 1-1,0 0 0,0 0 1,0 1-1,0-1 1,0 0-1,1 0 0,-1 0 1,0 0-1,1 0 1,0 1-1,1 4-61,1 2 0,0-2 0,0 0 0,0 0 0,6 7 0,7 10 23,1-2 0,1 1 0,1-2 0,0-1 0,2-1 0,38 28 0,-51-42 63,0 2 24,-1-1 0,0 0-1,0 1 1,0-1 0,8 10 0,-14-13-22,0-1-1,0 1 0,0-1 0,0 0 1,0 1-1,0 1 0,-1-2 0,1 1 1,0-1-1,-1 1 0,1 0 0,-1 0 1,0-1-1,1 1 0,-1 0 0,0 1 0,0-2 1,0 1-1,-1 0 0,1 0 0,0-1 1,-1 1-1,1 0 0,-1-1 0,1 2 1,-1-1-1,0-1 0,0 1 0,1-1 1,-1 1-1,0-1 0,-3 3 0,-4 5 55,-2-1 0,1 1 0,-1-2-1,0 0 1,0-1 0,-1 1 0,-21 9 0,-8 3-14,-41 28-410,-109 43 0,184-89-13,-6 4 219</inkml:trace>
  <inkml:trace contextRef="#ctx0" brushRef="#br0" timeOffset="1901.15">2646 462 22399,'-10'23'0,"2"-15"0,-2-2 0,-16 23 0,2 3 0,-42 63 0,56-78 0,-19 34 29,2-1-1,2 3 1,2 0-1,3 3 1,2-2-1,2 4 0,3-3 1,-11 91-1,20-93 19,3 2 0,1-1 0,3 0 0,17 97 0,-17-131-37,2 2 0,0-2 0,1 0 0,0 0 0,2-2 0,1 2 0,0-1 0,1 0 0,0-2 0,2 1-1,0-2 1,1 0 0,0 0 0,31 27 0,9-6-1007,-44-32 653,-1 0-1,1 1 1,-1 0 0,0 2-1,-1-2 1,0 1 0,0 2 0,11 14-1,-6-1-2726</inkml:trace>
  <inkml:trace contextRef="#ctx0" brushRef="#br0" timeOffset="3129.19">3226 485 20223,'-11'35'0,"-1"6"0,-32 72 0,25-75 45,2 1 0,1 1 0,2 1 1,2-1-1,1 1 0,2 1 0,2 1 0,-2 47 0,7-41 20,2-1 1,9 80 0,-6-109-49,0 0-1,1 0 1,1 0-1,1-2 1,0 2-1,2-1 1,0 0-1,0-1 1,18 24-1,-25-38-13,1 0-1,0-1 0,0 0 0,0 0 0,1 0 1,-1 0-1,0 0 0,1 1 0,-1-2 1,1 1-1,0-1 0,-1 0 0,1 1 0,0-1 1,0-1-1,0 1 0,4 1 0,-3-2 6,0-1-1,0 1 0,0 0 1,0-1-1,0 0 0,0 0 1,0 0-1,-1 0 0,1-1 1,0 1-1,5-5 0,5-4 19,1-1 0,-2 0-1,0 0 1,21-27-1,69-99-25,-66 85 0,56-85 0,-76 107 0,-1-1 0,23-57 0,-24 47 22,39-120 81,-44 127-17,-1-1 1,6-58-1,-14 76-24,0 0 0,-1-1 0,-4-29 0,3 40-40,0 0 0,-1-1 0,0 1 0,0-1 0,-1 1 1,1 0-1,-1 0 0,-1-1 0,0 2 0,-7-11 0,10 15-14,-1 0 0,-1 0-1,1-1 1,0 1 0,0 0 0,-1 0-1,1 1 1,-1-1 0,1 1 0,-1 0-1,0 0 1,0 0 0,1 0 0,-1 0-1,0-1 1,-5 1 0,3 1-5,1 0-1,-1 1 1,0-1 0,1 2-1,0-1 1,-1 0 0,1 1-1,-1-1 1,-7 5 0,1 1-5,1 0 1,0 1 0,0-1 0,0 1 0,1 2 0,1-1-1,-11 13 1,-1 5 1,3 2 0,0 0 0,2 2 0,0-1 0,3 2 0,0 1 0,2-2 0,-7 40 0,0 23 0,-10 163 0,11 235 192,46 2 0,-18-434-506,-8-46 14,-1 1 0,-1-1 0,2 25 0</inkml:trace>
  <inkml:trace contextRef="#ctx0" brushRef="#br0" timeOffset="3709.55">4025 0 21887,'-2'9'4,"1"-7"3,0 1 0,0 0 0,0-1 0,0 1 0,1 1-1,-1-1 1,1 0 0,0-1 0,0 1 0,0 0 0,0 1 0,0-1 0,0 0 0,1 0 0,-1-1 0,1 0 0,0 2 0,0-1 0,0-1 0,2 5 0,52 74 99,-23-26-10,-3 1 0,-2 1 0,23 65 0,-27-59 27,-2 3 0,-2-1-1,17 122 1,-29-127-98,-3 0 0,-3 2 1,-2-2-1,-2 2 0,-3-3 0,-2 2 0,-3-2 1,-2 1-1,-3-2 0,-44 109 0,2-42-403,-4-2-1,-4-4 0,-138 187 1,-29-31-1943,129-154-905,2-2-7760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13.41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93 14208,'0'0'3455,"4"-5"-3327,2-3-71,0 1 0,1-1 0,0 1 0,1 1 0,0-1 0,0 1 0,0 1 0,11-6-1,-14 9-28,6-3 55,1 1 0,22-6 0,-30 9-37,1 1 0,-1-1 0,0 1 0,0 0 0,0 0 0,0 1 0,1-1 0,-1 1 0,0 0 0,0 0 0,0 0 0,7 4 0,-2-1 4,-1 1 0,1-2-1,0 1 1,0-1 0,17 3 234,-21-3 1252,-7-3-1268,4 0-152,11 2 216,-11 4 126,-2-5-454,0-1 1,0 1-1,-1-1 1,1 1-1,0-1 1,-1 1-1,1-1 1,0 1-1,-1-1 1,1 0-1,-1 1 1,1-1-1,-1 0 1,1 1 0,-1-1-1,1 0 1,-1 1-1,1-1 1,-1 0-1,1 0 1,-1 0-1,0 0 1,1 1-1,-1-1 1,0 0-1,-18 2 108,17-1-107,-34 2-159,3 0-2563,-57 13-1,60-8-8844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23.41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0 416 22015,'7'6'9,"1"-1"-1,-1 0 1,1 0-1,0-1 1,0 0-1,0-1 1,1 0-1,11 3 0,11 1 58,33 3 0,7 1-18,35 18 22,-74-18-33,1-2 0,0-2 1,0-1-1,43 3 0,46 3-101,-77-7-21,45 1 0,-81-6-129,0 0 0,0-1 0,0 0 0,0-1 0,0 0 0,16-6 0,-21 7-68,-1-1-1,0 0 0,1 1 0,-1-1 1,0 0-1,0-1 0,0 1 1,0 0-1,0-1 0,-1 0 0,1 0 1,-1 1-1,0-1 0,0-1 0,0 1 1,0 0-1,0 0 0,2-8 1,3-14-10150</inkml:trace>
  <inkml:trace contextRef="#ctx0" brushRef="#br0" timeOffset="272.17">249 0 22783,'0'0'0,"44"5"0,-8-2 0,8-1 0,-2-2 0,3 0-512,12 0 0,10 0-640,-6-2 0,-1-1-12671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30.56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0 330 21759,'7'2'107,"32"14"-85,-26-10-5,-1 0 1,1-1 0,0-1 0,0-1-1,26 5 1,2-6-15,-2 2 0,1 2 0,0 2 0,0 2 0,-1 2 0,63 27 0,-91-34 2,0 0-1,0 2 0,-1 0 0,0 0 0,0 0 0,0 1 1,-1 1-1,0 0 0,-1 0 0,1 1 0,-2 0 1,0 0-1,9 18 0,-9-12 5,0-1 0,0 1 0,-2 0 0,0 1 0,0 0 0,-2 0 0,0 0 1,-1-1-1,0 32 0,-3-13 22,-1-1 0,-2 0 0,-2 0 0,0 0 0,-18 51 1,-71 154 130,33-94-42,-15 17 136,68-143-213,1 0-8,7-16-31,0 0 0,0 0 0,0-1-1,0 1 1,0 0 0,-1 0-1,1 0 1,-1-1 0,0 1 0,1-1-1,-1 0 1,0 0 0,0 0 0,-1 1-1,1-1 1,0 0 0,-1 0 0,-4 2-1,6-4-2,1 0 0,-1 0 0,0 0 0,1 0 0,-1 0 0,0 0-1,1 0 1,-1 0 0,1 1 0,-1-1 0,0 0 0,1 1 0,-1-1 0,1 0 0,-1 1-1,1-1 1,-1 0 0,1 1 0,-1-1 0,1 1 0,-1-1 0,1 1 0,0-1-1,-1 1 1,1-1 0,0 2 0,-1-1 0,1-1 0,0 1 0,0-1 0,-1 1 0,1 0-1,0 0 1,1 1 6,0 0 0,0 0 0,0 0-1,0 0 1,0 0 0,0 0 0,1 0-1,2 2 1,2 2 9,4 4 30,0-1 1,1 0-1,0-1 0,1-1 0,19 11 1,-17-10-26,3 1 41,1 0 0,0-1 1,0-2-1,1 1 1,0-2-1,30 5 0,34-4-1404,7-8-3854,-24-1-6131</inkml:trace>
  <inkml:trace contextRef="#ctx0" brushRef="#br0" timeOffset="861.14">1300 360 22527,'0'36'0,"0"-9"0,-4 49 0,4-75 0,0 0 0,0 0 0,0 0 0,-1 0 0,1 0 0,0 0 0,-1 0 0,1 0 0,-1 0 0,1 1 0,-1-2 0,1 1 0,-1 0 0,0 0 0,1 0 0,-2 0 0,1-1 0,1 1 0,-1-1 0,1 0 0,-1 0 0,1 0 0,-1 0 0,1 0 0,-1 1 0,1-1 0,-1 0 0,1 0 0,-1 0 0,0 0 0,1-1 0,-1 1 0,1 0 0,-1 0 0,1 0 0,-1 0 0,0-1 0,-2-1 0,-1 0 0,1-1 0,0 1 0,1 0 0,-1-1 0,-3-3 0,3 3 0,-2-2 0,-2-2 0,-1 0 0,0 0 0,-1 1 0,-16-11 0,21 16 0,0 0 0,0-1 0,0 2 0,0-1 0,1 0 0,-1 1 0,0 0 0,0-1 0,0 2 0,0-1 0,0 0 0,0 1 0,0 0 0,0 0 0,-6 2 0,-1 2-23,-1 1 0,1 0-1,0 0 1,1 1 0,-1 0-1,1 1 1,1 1 0,-1-1-1,2 2 1,0-1 0,0 2-1,0-1 1,1 1 0,0-1-1,0 2 1,2 0 0,-1-1-1,1 2 1,1 0 0,0-1-1,1 1 1,0 0 0,1-1-1,0 2 1,1-1 0,0 0-1,1 0 1,0 1 0,1-2-1,1 2 1,5 21 0,-4-26 20,0 0 0,1-1 0,1 1 0,-1-1 0,1 1 0,1-2 0,-1 0 0,9 10 0,58 52 8,-53-53-5,16 11 0,1-2 0,0-1 0,68 29 0,-54-27 0,62 41 0,-106-63 4,0 2 0,0-1 0,0 0 0,-1 2-1,0-2 1,0 1 0,0 0 0,-1 1 0,0 0-1,0 1 1,-1-2 0,1 1 0,-2 1 0,1 0-1,-1-1 1,0 1 0,0 0 0,-1 0 0,0 0 0,0-1-1,-1 2 1,0-1 0,0 0 0,-1 0 0,0 1-1,-1-2 1,-4 16 0,4-12 13,-1-1-1,0 0 1,-1 0-1,0 0 1,0-1 0,-1 1-1,0-1 1,-1 1-1,0-2 1,0 1 0,-1-2-1,0 2 1,0-2-1,-1 0 1,0 0-1,0-1 1,-11 8 0,2-5 29,-1 0 0,0-2 1,0 0-1,-1 0 0,-37 5 0,48-10-22,1 0 0,-1-2-1,1 1 1,-1-1-1,0 0 1,1-1-1,-1-1 1,0 1-1,1-1 1,0 0 0,-1 0-1,1-1 1,0 1-1,0-2 1,0 0-1,1 0 1,-1 0-1,-7-7 1,7 4-12,0 0 0,0-2 0,1 1 0,0-1-1,0 1 1,1-2 0,0 1 0,0-1 0,1 1 0,1-1 0,-1 0 0,-3-21 0,5 18 0,1-1 0,0-1 0,1 1 1,0 1-1,1-2 0,1 1 0,0 0 1,0 1-1,8-23 0,-1 5-12,2 2 0,1 0 0,0 1 0,2 0 0,2 1 0,0 1 0,1 0 0,23-25 0,230-276 256,-264 318-245,0 0-1,-1-1 0,-1 1 1,1-1-1,-1 1 0,-1-2 1,0 2-1,0-2 1,2-19-1,-4 21-224,-1 2 1,0-1-1,0 0 1,-1 1-1,0-1 1,-2-9-1,1 11-385,0 0 0,0 0 0,0 1-1,-1-1 1,1 0 0,-1 1 0,-1 0 0,-5-7-1</inkml:trace>
  <inkml:trace contextRef="#ctx0" brushRef="#br0" timeOffset="2527.75">1795 1475 22271,'0'0'0,"-3"31"0,1-17 128,-1-1-128,3-8 128,0-2-128,0-11 0,3-2-640,2-1 0,3 0-128,-2 4 0</inkml:trace>
  <inkml:trace contextRef="#ctx0" brushRef="#br0" timeOffset="3294.53">2115 1056 19967,'14'-13'49,"-1"-1"0,-1 0-1,20-30 1,-2 4 34,-19 26-9,-2-1 0,13-27 0,4-7 66,-25 47-133,102-184 498,-81 143-343,2 1 0,47-64 0,-15 25 120,-23 20-4,-39 125 78,5-52-328,0 9 19,-1 10 8,-1 0 1,-10 47-1,-73 384 242,32 5-74,32-262-210,19-174-126,3-26-459,3-16-535,11-40-1432,-4 20-468,0-2-7830</inkml:trace>
  <inkml:trace contextRef="#ctx0" brushRef="#br0" timeOffset="6259.87">3064 456 21503,'-6'25'13,"1"0"0,2 2-1,0-1 1,1-1 0,1 29-1,15 131 116,-6-114-97,12 160 97,11 107 43,-22-282-86,3 0 0,35 104 1,-45-155-61,7 20 30,-8-24-48,-1 0 1,1 0-1,-1 0 0,1 0 1,-1 0-1,1 0 1,0 0-1,-1 0 0,1-1 1,0 1-1,0 0 1,0-1-1,0 1 0,-1 0 1,1-1-1,0 1 1,2 1-1,-2-2-2,0-2 0,0 1 0,-1 1 1,1-1-1,0 1 0,0-1 0,-1 0 0,1 0 0,-1 1 0,1-1 1,0 0-1,-1 0 0,1 0 0,-1 0 0,0 1 0,1-1 0,-1 0 1,0 0-1,0 0 0,1-1 0,0-4 15,8-22 23,-1-1 0,-1 1 1,2-33-1,5-18 40,12-59-23,31-125 29,-38 192-89,60-204 0,-65 233 0,3 1 0,27-45 0,-24 48 0,-19 37-59,0-1-1,0 0 0,0 0 0,0 0 1,0 0-1,1 0 0,-1 1 0,1-1 1,-1 1-1,1 0 0,-1-1 1,1 1-1,0 0 0,-1 0 0,1 0 1,0 0-1,0 0 0,0 1 0,0-1 1,0 0-1,0 1 0,0-2 0,0 2 1,0 0-1,0 0 0,0 0 1,0 0-1,0 0 0,0 0 0,0 2 1,0-2-1,0 1 0,0-1 0,0 1 1,0 0-1,0-1 0,-1 1 1,1 0-1,0 0 0,0 1 0,-1-1 1,1 0-1,-1 0 0,3 3 0,-3 0-224,1-2-1,-1 1 0,0 0 0,0 0 1,0 0-1,0-1 0,0 2 1,-1-1-1,1 0 0,-1 0 0,0 7 1,1-1-1505</inkml:trace>
  <inkml:trace contextRef="#ctx0" brushRef="#br0" timeOffset="7269.25">3875 628 22015,'-3'34'24,"-1"2"0,-1-1 0,-2 0 0,-21 62 0,13-45 6,-35 120 130,-51 190 192,92-322-293,4-15 1,-1-3 1,0 1 0,-1-1 0,-17 35-1,24-57-60,0 0 0,0 0 0,-1 0 0,1 0 0,0 0 0,0 0 0,0 0 0,0 0 0,0 0 0,0 0 0,0 0 0,-1 0 0,1 0 0,0 0 0,0 0 0,0 0 0,0 0 0,0 0 0,0 0 0,0 0 0,0 0 0,-1 0 0,1-1 0,0 1 0,0 0 0,0 0 0,0 0 0,0 0 0,0 0 0,0 0 0,0 0 0,0 0 0,0-1 0,0 1 0,0 0 0,0 0 0,0 0 0,0 0 0,0 0 0,0 0 0,0 0 0,0-1 0,0 1 0,0 0 0,0 0 0,0 0 0,0 0 0,0 0 0,0 0 0,0 0 0,0-1 0,0 1 0,0 0 0,0 0 0,0 0 0,0 0 0,0 0 0,0 0 0,0 0 0,0 0 0,1-1 0,-1-11 0,4-10-86,1-1 0,14-35-1,6-26-187,64-507-857,-87 570 1131,2-19 0,1 0 0,3 1 0,16-56 0,-12 60 9,32-78 578,-46 122-377,-6 29 8,8 7-120,2 0-1,2-1 1,13 69-1,-3-21 4,58 376 198,-29-161-43,-41-292-217,2 0 0,-1 0 0,2-1 0,0 0 0,11 24 0,-13-14-788,-2-14-11,1-14 51,3-29-3835</inkml:trace>
  <inkml:trace contextRef="#ctx0" brushRef="#br0" timeOffset="7595.71">3716 1228 23039,'0'0'0,"41"-5"-128,-16 3 128,2-2-512,2 4 0,0 0-2176,1 6 0,3 2 1409,-8 5-1,0 0-8448</inkml:trace>
  <inkml:trace contextRef="#ctx0" brushRef="#br0" timeOffset="8324.53">4577 906 23551,'0'0'256,"-28"15"-256,14-7 0,-2-4-128,7 2 128,1 0-1280,5-1 128,6 1-384,0 2 0</inkml:trace>
  <inkml:trace contextRef="#ctx0" brushRef="#br0" timeOffset="9744.14">5603 605 22015,'-16'10'0,"0"-2"0,-1 1 0,-20 6 0,-11-1 0,0 4 0,0 2 0,1 2 0,-48 33 0,62-34 0,1 3 0,0 1 0,2 1 0,2 2 0,-1 0 0,-23 34 0,43-49-6,1 0 1,0-1-1,0 2 0,2 0 0,-1 0 0,2-1 0,0 2 0,0 0 1,-4 26-1,8-30 0,0-1 0,0 0 1,1 0-1,0 1 0,0-1 1,1 1-1,1-1 0,0 1 1,0-1-1,1 0 0,0 0 1,0 0-1,1-1 0,1 1 1,6 11-1,-7-16-7,0 1 0,1-1 1,-1-1-1,1 1 0,0 0 0,1-1 0,-1 0 1,1-1-1,-1 0 0,1 0 0,0 1 0,0-1 1,1-1-1,-1 0 0,0 0 0,1-1 0,-1 0 1,8 0-1,13 1-60,1-1 1,54-6 0,-61 3 41,-9 1-54,0-1 0,0 0-1,-1 0 1,1-1 0,-1-2-1,0 1 1,0 0 0,0-1-1,0-2 1,-1 1 0,18-14-1,-26 18-273,0 0-1,0-1 1,0 0-1,0 0 0,-1 1 1,1-1-1,-1 0 1,0 1-1,1-1 0,-1-1 1,0 1-1,-1 0 0,2-5 1</inkml:trace>
  <inkml:trace contextRef="#ctx0" brushRef="#br0" timeOffset="10387.63">5886 974 20479,'-2'0'0,"1"0"0,-1 0 0,0 0 0,1 0 0,-1 0 0,0-1 0,1 1 0,-1-2 0,0 2 0,1-1 0,-1 0 0,1 1 0,-1-1 0,1 0 0,0 0 0,-1 0 0,1 0 0,0 0 0,-1 0 0,1 0 0,0-1 0,0 1 0,0 0 0,0-1 0,0 1 0,0-2 0,1 2 0,-1-1 0,0 1 0,1-1 0,-1 0 0,1 1 0,-1-4 0,0 3 0,0-1 0,0 1 1,0 0-1,-1 0 0,1 0 0,-1 0 0,0 0 0,1 0 0,-1 0 0,0 1 0,0-2 0,0 2 0,0 0 0,0-1 0,0 1 0,-1 0 0,1 0 0,0 0 0,-3 0 1,-9-3-4,1-1 0,-18 0 0,16 2-11,10 3-4,0-1 0,0 1 0,1 0 0,-1 0 0,0 1 0,0-1 0,0 1 0,0 0-1,0 1 1,1-1 0,-1 1 0,1 1 0,-1-1 0,1 0 0,0 1 0,-1-1 0,1 1 0,1 0 0,-7 7 0,4-4 5,1-1 1,0 2-1,0-1 1,1 0-1,-1 2 0,1-2 1,1 2-1,-1-1 1,1 0-1,1 1 1,-4 15-1,3-3-6,1 0-1,2 1 0,0-1 1,0 1-1,2-1 1,1 0-1,0 0 1,1 0-1,1 0 1,1-1-1,12 30 0,-16-46 29,-1-1 0,0 1-1,1 1 1,-1-2-1,1 1 1,0 0-1,0-1 1,0 0-1,0 0 1,1 1 0,-1 0-1,0-2 1,1 1-1,0 0 1,-1 0-1,1-1 1,0 0-1,0 1 1,0-1 0,0 0-1,0-1 1,0 1-1,0 0 1,0-1-1,0 0 1,0 1 0,0-1-1,0-1 1,0 1-1,0 0 1,0-1-1,0 1 1,0-1-1,0 0 1,0 0 0,0 0-1,3-2 1,2-1 23,-1 0 1,1-2-1,-1 1 0,0 0 1,0-1-1,0 0 1,-1 0-1,0-1 0,0 0 1,-1 0-1,0-1 1,6-11-1,41-101 259,-47 107-283,0 0 37,-1-2-1,0 0 1,4-26 0,-7 35-156,0-1 0,-1 0 0,0 1 0,0-1 0,0 1 0,-1-1 0,0 0 0,0 1 1,0 0-1,-1-1 0,-2-5 0,2 9-97,1 2 0,0-1 0,0 1 0,-1-1 0,1 1 0,-1-1 0,1 1 0,-1 0 0,1 0 0,-1 0 0,0 0 0,0 0 0,0 0 0,1 0 0,-1 1 0,0-1 0,0-1 0,0 2 0,-4-1 0</inkml:trace>
  <inkml:trace contextRef="#ctx0" brushRef="#br0" timeOffset="11003.19">6302 964 23295,'-5'-4'-106,"-6"-4"81,-1 1 0,1 1 1,-1 0-1,0 1 0,0 0 0,0 1 1,-1 0-1,0 0 0,-13 0 1,19 3 3,0 1 0,0-1 1,0 2-1,0-1 0,1 1 0,-1 0 1,0 0-1,0 0 0,1 1 0,-1 1 1,1 0-1,-1-1 0,1 1 1,0 1-1,0-1 0,0 2 0,1-1 1,-1 0-1,-7 10 0,10-12-10,1 1-1,0-1 1,0 1-1,0 0 1,0 1 0,0-1-1,1 0 1,0 0-1,-1 0 1,1 0-1,0 1 1,0 0-1,1-1 1,-1 0-1,1 1 1,-1 0-1,1-1 1,0 1-1,0-1 1,1 1 0,-1-1-1,1 1 1,0 0-1,0-1 1,0 0-1,0 0 1,0 2-1,1-2 1,-1 0-1,1 0 1,0-1-1,0 1 1,0 0-1,0 0 1,0 0 0,1-1-1,-1 1 1,1-1-1,4 3 1,10 3-52,-1-2 0,1-1 1,1 1-1,-1-3 0,0 1 1,1-2-1,21 0 0,-36-1 97,1-1-1,-1 1 0,1-1 1,-1 1-1,1 0 0,-1 2 1,0-2-1,0 1 0,1-1 1,-1 1-1,4 3 0,-6-4-6,0 0 0,0 0 0,0 0 0,0 0-1,0 1 1,0-1 0,-1 0 0,1 0-1,0 0 1,-1 0 0,1 1 0,-1-1 0,1 0-1,-1 0 1,1 1 0,-1-1 0,0 0 0,0 1-1,0-1 1,0 1 0,0 0 0,0-1-1,0 1 1,0-1 0,0 0 0,-1 1 0,1-1-1,0 0 1,-1 0 0,1 1 0,-1-1 0,-1 2-1,-4 8 51,0 0-1,-1-2 1,0 1 0,-1-1-1,0 1 1,-1-2-1,-16 14 1,-6-1 139,-38 22 1,41-27-1993,0 2-1,-27 22 0</inkml:trace>
  <inkml:trace contextRef="#ctx0" brushRef="#br0" timeOffset="11725.48">6760 0 22143,'-20'21'52,"9"-9"31,1-2 0,1 3 0,-14 20 0,9-11 64,-1-1-1,-1 0 1,-30 30-1,33-38-92,3-1-35,1 1 0,0-1-1,1 2 1,0-1 0,1 1-1,1 0 1,0 1 0,1 0-1,0-1 1,1 1 0,-2 16-1,-2 19 36,2 2-1,1 51 0,7 41 11,33 251 0,-22-312-60,4-2-1,3 0 1,3-1-1,3-2 1,50 104 0,-67-162 22,1 0 0,0-1 0,1-1 0,2 0 0,0-1 0,0-1 0,2 1 0,31 27 0,-42-42-188,0 1 0,0-1 0,1-1 0,-1 1-1,1 0 1,-1-1 0,1 0 0,7 1 0,-7-2-605,0 2 1,0-1-1,0 1 1,0-1-1,5 3 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59.32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165 580 17791,'-4'2'-106,"-31"16"103,14-6 125,-1-1 0,-45 16-1,66-26-59,0-1 0,0 0 0,-1 1-1,1 0 1,0-1 0,0 1 0,0 0-1,0-1 1,0 1 0,0 0-1,0 0 1,-2 2 0,4 0 382,9-6-411,-3 1 60,0 1-1,0-1 0,1 1 0,-1 0 0,1 1 1,-1 0-1,0 0 0,1 1 0,11 2 0,21 0 138,1-2-57,-24 0-64,0 0 0,0-2 0,1 0 0,-1 0 0,0-2 0,0 0 1,19-6-1,-35 8-95,0 1 0,0-1 0,0 1 1,1-1-1,-1 1 0,0-1 0,1 1 0,-1 0 1,0 0-1,1 0 0,-1 0 0,0 0 1,1 0-1,-1 0 0,1 0 0,-1 0 0,2 1 1,-1-1 70,1-2-170,-1 1-128,0 1 0,0-1 1,0 1-1,0 0 0,0 0 0,0-1 1,0 1-1,0 0 0,1 1 1,-1-1-1,3 1 0,4 0-2695</inkml:trace>
  <inkml:trace contextRef="#ctx0" brushRef="#br0" timeOffset="933.98">877 139 18687,'1'18'40,"-1"-18"-39,0 0 1,0 0 0,0 0 0,0 1-1,0-1 1,0 0 0,0 0-1,0 0 1,0 0 0,0 0-1,0 0 1,0 0 0,0 0-1,0 0 1,0 0 0,0 1 0,0-1-1,0 0 1,0 0 0,0 0-1,0 0 1,0 0 0,0 0-1,0 0 1,0 0 0,0 0-1,0 0 1,1 0 0,-1 0 0,0 0-1,0 0 1,0 1 0,0-1-1,0 0 1,0 0 0,0 0-1,0 0 1,0 0 0,0 0-1,1 0 1,-1 0 0,0 0 0,0 0-1,0 0 1,0 0 0,0 0-1,0 0 1,0 0 0,0 0-1,0 0 1,0 0 0,1 0-1,-1 0 1,0-1 0,0 1 0,0 0-1,0 0 1,0 0 0,0 0-1,8-14 291,-7 12-191,-5 14 292,1 0 0,-2 0 0,-7 15 1,5-13-351,1 1 1,0-1 0,1 1 0,-4 24 0,4-11 84,-1 0 0,-15 45 0,18-65-81,1 1 0,0 0-1,0 0 1,1 0 0,0 0 0,0 0 0,1 0 0,0 0 0,3 16 0,11-44-21,-2 6-31,-11 11-1,0 0-1,1 0 0,-1 1 1,1-1-1,0 1 0,-1-1 1,1 1-1,0 0 0,0 0 1,-1-1-1,1 1 0,0 1 1,0-1-1,0 0 0,1 0 1,-1 1-1,0-1 0,0 1 1,0 0-1,0-1 0,0 1 1,1 0-1,-1 0 0,0 1 1,0-1-1,0 0 0,4 2 1,-2-1-10,0 0 0,0 0 1,0 1-1,0-1 1,0 1-1,0 0 0,-1 0 1,1 0-1,-1 1 0,1-1 1,-1 1-1,0 0 1,4 5-1,-1 0 0,-1 1-1,0-1 1,-1 1 0,1 1-1,-2-1 1,1 0 0,-1 1-1,-1 0 1,0 0 0,0 0-1,-1-1 1,0 2 0,-1-1-1,0 0 1,-2 12 0,-2 3-30,-1 0 0,-1 0 0,-1 0 0,-17 40 0,20-58 61,0 0-1,0-1 0,0 1 1,-1-1-1,0 1 1,0-2-1,-1 1 0,1 0 1,-1-1-1,-1 0 0,1 0 1,-13 6-1,4-3 22,0-1 1,0 0-1,-1-1 1,0-1-1,-18 4 1,32-9-65,1 1 1,-1-1-1,0 1 1,1-1-1,-1 0 1,0 0-1,0 0 1,1 0-1,-1 0 1,0 0-1,0 0 1,1 0-1,-1-1 1,0 1-1,1-1 1,-1 1-1,0-1 0,1 0 1,-1 0-1,1 1 1,-1-1-1,1 0 1,-1 0-1,1-1 1,0 1-1,-2-1 1,2 0-128,0-1 0,0 1 0,1 0 0,-1 0 1,1-1-1,-1 1 0,1 0 0,0-1 0,-1 1 0,1 0 0,1-1 1,-1 1-1,0 0 0,0-1 0,1 1 0,0 0 0,-1 0 1,1-1-1,1-1 0,9-25-2746,2-2-6891</inkml:trace>
  <inkml:trace contextRef="#ctx0" brushRef="#br0" timeOffset="1453.56">751 256 19839,'14'-14'19,"0"-1"0,14-18 0,-22 23-1,1 1 0,1 0 0,0 1 1,0-1-1,0 2 0,1-1 0,0 1 0,1 1 0,0-1 0,14-6 0,1 4 155,0 1 1,1 1-1,34-4 0,83-4 517,-80 9-281,-55 5-340,0 0 0,0 1 0,0 0-1,0 0 1,0 1 0,0 0 0,0 0-1,8 3 1,-14-3-125,0-1-1,0 0 1,0 0-1,0 0 1,0 0-1,0 0 1,0 0-1,0 0 1,0-1 0,0 1-1,0-1 1,-1 0-1,1 1 1,2-2-1,-2 1-390,0 0 0,0 0 1,0 0-1,0 1 0,0-1 0,0 1 0,0-1 0,0 1 0,0 0 0,0 0 0,0 0 0,0 0 0,4 0 0</inkml:trace>
  <inkml:trace contextRef="#ctx0" brushRef="#br0" timeOffset="2187.39">1558 1 17791,'0'0'1387,"5"2"-1238,6 3-102,0 0-1,1-1 1,0-1-1,-1 1 1,1-2-1,0 0 0,22 1 1,92-6 328,-102 1-226,-23 2-135,0 0-1,-1 0 0,1 0 1,0 0-1,0 0 0,0 0 0,-1 0 1,1 0-1,0 0 0,0 0 1,0 0-1,-1 1 0,1-1 0,0 0 1,-1 1-1,1-1 0,0 0 1,0 1-1,-1-1 0,1 1 0,-1-1 1,1 1-1,0-1 0,-1 1 1,1 0-1,-1-1 0,1 1 1,-1 0-1,0-1 0,1 1 0,-1 0 1,1-1-1,-1 1 0,0 0 1,0 0-1,0 0 0,1-1 0,-1 1 1,0 1-1,0 1 18,-1 0 0,1 0 1,0 0-1,-1 0 0,0-1 0,1 1 0,-1 0 0,0 0 1,-1-1-1,-1 4 0,-44 83 202,-17 29-189,29-55-44,4 1 0,2 2 0,-22 79 0,22-54 0,-20 55 0,32-101 0,-17 43-128,33-87 72,1 1-1,-1-1 0,1 0 1,-1 1-1,0-1 0,1 0 1,-1 0-1,0 0 0,0 0 1,0 0-1,0 0 0,0 0 1,-2 1-1,1-5-994,2-11 207,3-5-2078</inkml:trace>
  <inkml:trace contextRef="#ctx0" brushRef="#br0" timeOffset="2515.77">1446 570 20863,'17'-16'0,"39"-29"0,-47 40 0,0-1 0,1 1 0,-1 1 0,1-1 0,1 2 0,-1-1 0,11-1 0,67-7-1033,-57 9-1458,54-12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8:21.7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1406 20479,'0'0'640,"18"-39"-6783</inkml:trace>
  <inkml:trace contextRef="#ctx0" brushRef="#br0" timeOffset="1791.75">687 454 18943,'0'0'768,"-5"-2"-640,-1 0-72,0-1 0,0 1 0,0-1 0,-1 2 0,1-1 0,-1 1-1,1 0 1,-1 1 0,0 0 0,1 0 0,0 0 0,0 1 0,-1 0 0,1 0-1,-1 0 1,1 1 0,-1 1 0,1 0 0,0-1 0,-8 6 0,-18 7 136,28-14-166,1 1 1,0-1-1,0 0 1,0 0-1,0 1 0,0-1 1,0 1-1,0 0 1,1 0-1,-1 0 0,0 1 1,1-1-1,0 0 1,0 1-1,-1-1 0,1 1 1,1 1-1,-1-1 1,0-1-1,-1 6 0,-4 15-26,1-1 0,1 1 0,2-1 0,0 1 0,1 0 0,0 0 0,4 37 0,-1-55-20,0 1-1,1-2 0,0 1 1,0 1-1,-1-2 0,1 1 1,1 0-1,-1-1 0,1 0 1,0 0-1,1 1 1,-1-2-1,1 1 0,-1-1 1,6 5-1,23 28-139,-7 9-39,-20-34 115,1 1 1,1-1-1,8 11 0,51 59-940,-56-68 925,-4-7 60,-1 1 0,1 0 0,-1 0 0,-1 0-1,1 2 1,-1-2 0,-1 2 0,1-2 0,2 12 0,-5-17 35,0 2 3,0-1 0,0 1 0,-1-1 0,1 1 0,-1-1-1,0 1 1,1-1 0,-1 0 0,-1 1 0,1 0 0,0-1 0,-1 0 0,0 0 0,0 1 0,-1 3-1,2-6 2,0 0 0,-1 1 0,1-1 0,0 1 0,0-1 0,0 0 0,1 0 0,-1 0 0,0 1 0,0-1 0,1 0 0,-1 0 0,0 0 0,1 0 0,-1 0 0,1 0 0,0 0 0,0 2 0,0-2 0,0 1 0,0-1 0,-1 0 0,1 1 0,-1-1 0,1 0 0,-1 1 0,1-1 0,-1 2 0,0-2 0,1 1 0,-1-1 0,0 4 0,-2 3 0,-1-2 0,1 1 0,-1 0 0,0 0 0,-1 0 0,-5 8 0,-10 22 0,16-30-3,0 1-1,-1-1 1,0 1-1,0-1 1,0 0-1,-1 0 1,0 0-1,-9 9 1,10-13 30,1 0 1,-1 0 0,0 0 0,-1-1-1,1 2 1,0-2 0,-1 0-1,1 0 1,-1 0 0,0-1 0,1 0-1,-1 0 1,0 0 0,-9 1-1,10-2 45,-1-2 0,1 1 0,0 0 0,0-1 0,-1 1 0,1-1 0,0 0 0,1 0 0,-1 0 0,0-1 0,0 0 0,1 1 0,0-1 0,-5-6 0,-4-3 158,1-1 1,-13-21-1,17 23-86,0-1 0,0 2 0,2-2 0,-1 0-1,-7-24 1,12 30-112,-1-2 0,1 1 0,0-1 0,0 2 1,1-2-1,0 1 0,0-1 0,1 2 0,0-2 0,0 1 0,0 0 0,4-9 0,0 0 5,1 1 0,1-1 0,0 1-1,1 0 1,0 1 0,2 0 0,-2 0 0,2 1 0,1 1-1,17-16 1,-14 12-9,-1 0 0,0 0 0,13-24 0,-17 26-4,1-1 0,1 0 0,0 1 0,1 0 0,16-15 0,-20 21 1,1-1 0,-1 1 0,-1-2 0,0-1 0,0 2 0,10-21 0,-13 20 7,1 1 0,1-1-1,0 0 1,0 2-1,1-1 1,-1 2-1,2-2 1,-1 2-1,14-10 1,-11 11 8,-6 4-15,0 0 0,-1 0 0,1 0 0,-1-1-1,6-4 1,-9 6-23,1 1 0,-1-1 0,1 1 0,-1-1 0,0 1 0,0-1 1,1 1-1,-1-1 0,0 0 0,0 1 0,1-1 0,-1 1 0,0-1 0,0 0 0,0 1 0,0-1 0,0 1 0,0-1 0,0 0 0,0 1 0,0-1 0,0 1 0,0-1 0,0-1 0,-1 2 0,1-1 0,0 1 1,0-1-1,-1 1 0,1-1 0,0 1 0,-1-1 0,1 1 0,-1-1 0,1 1 0,0-1 0,-1 1 0,1-1 0,-1 1 0,1 0 0,-1-1 0,0 1 0,-15-18-1383,7-7-3744</inkml:trace>
  <inkml:trace contextRef="#ctx0" brushRef="#br0" timeOffset="2676.66">1230 412 17151,'0'0'1024,"-4"-3"-896,-15-5 5,-23-10 247,39 17-350,0 0 0,-1 0 0,1 1 0,0-2 1,-1 2-1,1 0 0,0 0 0,0 0 0,0 0 1,0 2-1,-6 0 0,8-2-26,-1 1 1,1 0-1,0 0 0,-1 0 0,1 0 1,0 0-1,0 0 0,0 0 0,0 0 1,0 1-1,0-1 0,0 1 0,0 0 1,0-1-1,0 0 0,1 1 0,-1-1 1,1 1-1,-1 2 0,-7 39 83,5-23-110,2-13 23,-1-2-1,2 0 0,-1 1 1,0-1-1,1 0 0,0 2 0,1-2 1,-1 0-1,1 1 0,1 4 0,-2-7 6,1-1-1,0-1 0,0 1 0,0-1 0,0 1 0,0-1 0,0 1 0,0-1 1,0 0-1,1 0 0,-1 2 0,0-2 0,1 0 0,-1 0 0,1 0 0,-1 0 0,1-1 1,-1 1-1,1 0 0,0-1 0,-1 1 0,1-1 0,0 0 0,0 1 0,-1-1 1,1 0-1,0 0 0,0 0 0,0 0 0,-1 0 0,1-1 0,1 1 0,2-1 26,-1 0 0,1 0-1,-1 0 1,0 0-1,1-1 1,-1 1-1,0-2 1,0 1-1,0 0 1,0-1-1,0 1 1,-1-1 0,1-1-1,3-2 1,1-4 167,-1 0 0,0 0 0,0 0 0,6-15 1,-12 23-159,-1 1 0,1 0 0,0 0 0,-1-1 1,1 0-1,-1 1 0,1-1 0,-1 1 0,0 0 1,0-1-1,1 1 0,-1-1 0,0 1 0,0 0 1,0-1-1,-1-3 0,1 5-44,-1-1-1,1 1 1,-1-1 0,1 1-1,-1 0 1,1-1 0,-1 1-1,1-1 1,-1 1 0,1 0-1,-1-1 1,0 1 0,1 0-1,-1 0 1,1 0 0,-1-1-1,0 1 1,1 0 0,-1 0 0,0 0-1,1 0 1,-1 0 0,0 0-1,1 0 1,-1 0 0,0 0-1,1 1 1,-1-1 0,0 0-1,1 0 1,-1 0 0,1 1-1,-1-1 1,1 0 0,-1 1-1,0 0 1,1-1-83,-1 0 1,1 0-1,-1 0 1,1 0-1,0 1 1,-1-1-1,1 0 1,0 0-1,-1 0 0,1 1 1,0-1-1,-1 0 1,1 1-1,0-1 1,0 0-1,-1 1 1,1-1-1,0 0 1,0 1-1,0-1 0,0 0 1,-1 2-1,1-2 1,0 1-1,0-1 1,0 0-1,0 1 1,0-1-1,0 1 0,0-1 1,0 0-1,0 1 1,0-1-1,0 1 1,0-1-1,0 0 1,1 1-1,-1-1 0,0 1 1,0-1-1,0 0 1,0 1-1,1-1 1,-1 1-1,2 4-2094</inkml:trace>
  <inkml:trace contextRef="#ctx0" brushRef="#br0" timeOffset="3561.88">1425 1 16639,'0'0'2966,"0"4"-2753,26 164 726,-22-146-802,13 37 1,-12-42-26,0 0 1,-2 1-1,5 34 1,-5 6 218,-9 105-1,5-136-275,1-1-1,1 2 1,6 38-1,-3-41-20,-2 0-1,0 1 0,-2-2 0,-2 30 0,-14 42-33,-2-3 0,-5 1 0,-41 106 0,34-127 0,-2 0 0,-68 112 0,89-168 36,-1-1 0,-1 0 0,-1 0-1,0-1 1,-1-1 0,-30 23 0,31-25-31,6-7-402,1 2 0,-1-1-1,2 1 1,-1 0 0,1 1-1,0-1 1,-6 11 0,11-18 225,1 1 1,0-1-1,0 1 1,-1-1-1,1 0 1,0 1-1,0-1 1,0 1-1,0-1 1,0 1-1,0-1 1,-1 2-1,1-2 1,0 1-1,1-1 1,-1 1-1,0-1 0,0 1 1,0-1-1,0 1 1,0-1-1,0 1 1,1-1-1,-1 1 1</inkml:trace>
  <inkml:trace contextRef="#ctx0" brushRef="#br0" timeOffset="4595.95">1873 1235 19327,'0'0'2560,"4"-1"-2432,20-8 43,-1 3 0,1 0-1,0 2 1,0 1 0,24 0-1,-8-3-2275,-35 4 1272,1 1 0,-1 0 1,1 0-1,0 1 0,-1 0 0,1 0 0,7 1 1</inkml:trace>
  <inkml:trace contextRef="#ctx0" brushRef="#br0" timeOffset="5039.46">2011 903 20607,'0'0'2283,"7"5"-2176,7 7-143,7 5-1695,0-1 1,45 25 0,-24-19-10152</inkml:trace>
  <inkml:trace contextRef="#ctx0" brushRef="#br0" timeOffset="72303.17">2618 1080 16767,'2'-10'11,"-1"9"-3,-1 0 1,1-1-1,-1 1 0,1-1 1,-1 0-1,0 1 1,0-1-1,0 1 0,0-2 1,0 2-1,0-1 1,0 0-1,-1-1 0,1 3-1,0-1 0,0 1 0,0 0 0,0 0 0,-1 0-1,1 0 1,0-1 0,0 1 0,0 0 0,0 0 0,-1 0-1,1 0 1,0 0 0,0 0 0,0 0 0,0 0-1,-1 0 1,1-1 0,0 1 0,0 0 0,0 0 0,-1 0-1,1 0 1,0 0 0,0 0 0,0 0 0,-1 0-1,1 0 1,0 1 0,0-1 0,0 0 0,-1 0 0,1 0-1,0 0 1,0 0 0,0 0 0,0 0 0,-1 0 0,1 0-1,0 1 1,0-1 0,-10 9 344,5-1 97,13-13 130,0-2-464,0 1 0,-1-2 0,0 1 0,-1-1-1,1 0 1,-1-1 0,-1 1 0,6-10-1,3-7 184,1 2 0,27-35 0,-20 31-49,20-33 0,-4 2 93,71-80 1,-93 116-251,-2 0 1,0-1 0,-1 0-1,16-39 1,10-20 90,-24 51-87,-10 20-23,1 0 0,0 0 0,12-16 1,-15 23-89,3-2 395,-5 13 163,-2 7-466,1 56 25,-3 1 1,-3-2-1,-16 79 0,4-55-69,4 1 0,4 0 0,2 108 0,8-184-32,0-1 0,-4 23 0,3-34 0,0 1 0,-1-2 0,0 1 0,0 1 0,0-2 0,-1 1 0,0 0 0,0-1 0,-5 8 0,-2-2 0,9-11 0,0 1 0,0 0 0,0 0 0,0-1 0,0 1 0,0 0 0,1 0 0,-1 0 0,0 0 0,1 0 0,-1 0 0,0 0 0,1 1 0,-1-1 0,1 0 0,0 0 0,-1 1 0,1-1 0,0 0 0,0 0 0,0 0 0,0 0 0,0 1 0,0 2 0,3 14-9,-2-7-14,1 0-1,1 0 1,-1-1 0,2 1-1,6 17 1,15 26-724,-25-54 477,1 0 0,1 1-1,-1-1 1,1 0 0,-1 0 0,0 0-1,1 0 1,-1 0 0,1 0-1,-1-1 1,0 1 0,1 0 0,-1-1-1,0 1 1,1-1 0,1 0-1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37.4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344 50 14080,'0'0'8191,"-2"4"-8084,-7 8-93,5-7 13,-1 1 0,1-1 0,0 1 0,1 0 0,0 0-1,0 0 1,0 0 0,-3 11 0,6-16-10,0 0-12,0 0 1,0-1-1,0 1 0,0 0 1,1 0-1,-1 0 0,0 0 1,0 0-1,1-1 0,-1 1 0,1 0 1,-1 0-1,0-1 0,1 1 1,-1 0-1,1-1 0,0 1 0,-1 0 1,1-1-1,0 1 0,-1-1 1,1 1-1,0-1 0,0 1 0,-1-1 1,1 1-1,0-1 0,1 1 1,0-1 100,-3 2 1,0 1-68,-1 0 0,0 0 0,0 0 0,0 0 0,0 0 0,0 0 0,-1-1 0,1 1 0,-1-1 0,1 1 1,-1-1-1,0 0 0,0 0 0,0 0 0,0-1 0,-4 2 0,-14 11 108,18-12-136,0 0 0,1 1 0,-1-1 0,1 1 1,0 0-1,0 0 0,0-1 0,0 2 1,1-1-1,-1 0 0,1 0 0,0 0 0,0 1 1,0-1-1,0 0 0,0 1 0,1-1 1,0 1-1,-1 5 0,-2 19 149,-10 16-54,0-36-106,6-4 0,15-4 0,9-2 0,-6 4 0,-11-1 0,1-1 0,-1 0 0,1 0 0,0 1 0,-1-1 0,1 0 0,0 0 0,-1 0 0,1 0 0,0 0 0,-1 0 0,1 0 0,0 0 0,-1 0 0,1 0 0,0 0 0,-1 0 0,1 0 0,0-1 0,0 1 0,4-2 0,-1 1 0,1 0 0,0 0 0,0 1 0,0-1 0,0 1 0,-1 0 0,1 0 0,0 1 0,0 0 0,0 0 0,-1 0 0,1 0 0,0 0 0,5 4 0,-4-2 0,0 0 0,0 0 0,0 0 0,-1 1 0,1 0 0,-1 0 0,0 0 0,-1 1 0,1 0 0,7 10 0,-9-10 0,83 115 0,-80-112 0,0 0 0,-1 0 0,1 0 0,-2 1 0,1 0 0,-1 0 0,-1 0 0,5 16 0,-7-20 0,0 1 0,0-1 0,-1 1 0,0-1 0,0 0 0,0 1 0,-1-1 0,1 1 0,-1-1 0,-1 0 0,1 1 0,-1-1 0,0 0 0,0 0 0,0 0 0,-1 0 0,-3 5 0,-32 49 0,26-38 0,-1-1 0,-1 0 0,0-1 0,-2 0 0,-27 25 0,23-28 0,0-1 0,-1-1 0,0-1 0,-1-1 0,0 0 0,-1-2 0,0-1 0,-1-1 0,-28 6 0,48-13-30,-1 0 0,0 0 0,1-1 0,-1 1 0,0-1-1,1 0 1,-1-1 0,1 1 0,-1-1 0,0 0 0,1 0 0,-1 0-1,-4-3 1,7 3-90,0 0 1,0-1-1,0 1 0,0 0 0,0-1 1,1 1-1,-1-1 0,1 0 0,-1 0 0,1 1 1,-1-1-1,1 0 0,0 0 0,0 0 1,0 0-1,0-1 0,1 1 0,-1 0 0,0 0 1,1 0-1,0-1 0,-1 1 0,1 0 0,0-1 1,0 1-1,0 0 0,1-5 0,1-2-633,0 0-1,0 1 0,1-1 0,0 0 1,7-13-1,5-9-10019</inkml:trace>
  <inkml:trace contextRef="#ctx0" brushRef="#br0" timeOffset="631.4">484 61 19711,'0'0'3200,"5"-3"-3093,9-3-61,0 0 0,0 1 1,0 0-1,0 1 0,1 1 0,0 0 1,0 1-1,0 1 0,-1 0 0,1 1 0,19 3 1,-23-2-19,-1 2 1,1 0-1,14 5 1,29 8-37,-51-15 6,1-1 0,0 1 1,-1-1-1,1 0 1,-1 0-1,1-1 0,0 1 1,-1-1-1,1 1 1,-1-1-1,1 0 1,4-3-1,-7 4-11,-1 0-1,0-1 1,1 1-1,-1 0 1,0 0-1,1-1 1,-1 1 0,0 0-1,1 0 1,-1-1-1,0 1 1,0 0-1,1-1 1,-1 1 0,0-1-1,0 1 1,0 0-1,0-1 1,1 1-1,-1-1 1,0 1 0,0 0-1,0-1 1,0 1-1,0-1 1,0 1 0,0 0-1,0-1 1,0 1-1,0-1 1,0 1-1,-1-1 1,1 1 0,0 0-1,0-1 1,0 1-1,0 0 1,-1-1-1,1 1 1,-1-1 0,1 0-54,0 1 1,0-1 0,-1 1-1,1-1 1,0 0 0,0 0-1,-1 1 1,1-1-1,0 0 1,0 1 0,0-1-1,0 0 1,0 0 0,0 1-1,0-1 1,0 0 0,1 1-1,-1-1 1,0-1 0,18-18-4585</inkml:trace>
  <inkml:trace contextRef="#ctx0" brushRef="#br0" timeOffset="1766.25">850 876 21631,'-4'-1'128,"-3"0"-92,5 0-12,-1 0 0,1 0-1,0 1 1,-1-1 0,1 1 0,0 0 0,-1 0 0,1 0-1,0 0 1,-1 0 0,1 0 0,-1 0 0,1 1-1,0 0 1,-1-1 0,1 1 0,0 0 0,0 0 0,-3 1-1,-2 4 58,0 0 21,-1 0 0,1 0 0,0 1 0,1-1 0,-1 2-1,2-1 1,-7 10 0,15-24-122,0 1 0,1 0 0,0 0-1,0 1 1,0-1 0,1 1 0,0 0-1,0 0 1,8-6 0,-7 6-686,0 1 0,1 0 0,0 0 1,0 0-1,11-3 0,12-3-12136</inkml:trace>
  <inkml:trace contextRef="#ctx0" brushRef="#br0" timeOffset="2676.74">1429 188 19455,'-13'-4'9,"-19"-10"88,31 13-62,-1 0 0,1 1 0,0-1 0,0 0 0,0 0 0,0 0 0,0 0 0,0-1 0,1 1 0,-1 0 0,0 0 0,1 0 0,-1-1 0,0 1-1,1 0 1,0-1 0,-1 1 0,1-1 0,0 1 0,-1 0 0,1-3 0,0 3-10,0 0 0,0 0 0,0 1 0,0-1 0,-1 0 0,1 0 0,0 1 1,0-1-1,-1 0 0,1 1 0,-1-1 0,1 0 0,-1 1 0,1-1 0,-1 1 0,1-1 0,-1 1 0,1-1 0,-1 1 0,1-1 0,-1 1 0,0-1 0,1 1 0,-1 0 0,0-1 1,0 1-1,1 0 0,-1 0 0,0 0 0,0-1 0,1 1 0,-1 0 0,0 0 0,0 0 0,1 0 0,-1 0 0,0 0 0,0 1 0,-1-1 0,-37 8 183,31-6-117,0 0-58,0 1 1,1-1-1,-1 2 0,1-1 0,0 1 0,0 0 0,0 0 0,0 0 0,-11 11 1,9-5-10,-1 0 0,1 1 1,1 0-1,0 0 0,-8 14 1,-2 11 36,2 0 0,-22 75 1,29-80-29,2 0 1,0 1-1,2-1 1,2 1-1,1 0 1,3 45-1,-1-72-33,1 1 0,-1-1 0,2 1 0,-1-1 0,0 0 0,1 1 0,0-1 0,0 0 0,1 0 0,-1 0 0,1 0 0,0-1 0,1 1 0,-1-1 0,6 5 0,-6-6 0,1 0 0,0 0 0,0 0 0,0-1 0,0 1 0,1-1 0,-1 0 0,0-1 0,1 1 0,0-1 0,-1 0 0,1 0 0,0 0 0,0-1 0,-1 1 0,1-1 0,8-1 0,-7 0 0,0-1 0,-1 0 0,0 0 0,1 0 0,-1 0 0,0-1 0,0 0 0,-1 0 0,1 0 0,0 0 0,5-7 0,8-7 0,17-21 0,-35 38 0,14-18 36,-1-2 0,-1 1 0,-1-2-1,-1 0 1,12-33 0,-12 27 5,-2 9 29,-2-1 0,0 0 0,-1-1 0,-1 1-1,-1-1 1,-1 1 0,-1-1 0,0 0 0,-1 0-1,-5-25 1,-25-115 293,30 159-369,0 0 1,-1 0-1,1-1 1,0 1-1,0 0 1,1 0-1,-1 0 1,0-1-1,0 1 1,1 0-1,-1 0 1,0 0-1,1-1 1,0 0-1,1-1-624,-5 11-1068,-6 13-1608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2.62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0 18047,'0'0'2198,"1"5"-1985,3 13-120,0 1 139,0 1 1,-1 0 0,1 33 0,-8 23 411,-1 54 248,2 156-337,5-119-385,-2 27 129,-7-131 0,28-85-43,-1-4-234,-2-1 0,-1 0 1,15-33-1,6-9-5,-27 52-17,1 1 0,22-24 0,11-14 0,-7-1 0,-26 35 0,2-1 0,0 2 0,1 0 0,1 1 0,34-30 0,-49 47 0,0 1 0,-1-1 0,1 1 0,0-1 0,-1 1 0,1-1 0,0 1 0,-1 0 0,1-1 0,0 1 0,0 0 0,0 0 0,-1 0 0,1 0 0,0-1 0,0 1 0,0 0 0,-1 0 0,1 0 0,0 1 0,0-1 0,0 0 0,-1 0 0,1 0 0,0 1 0,0-1 0,0 0 0,-1 1 0,2 0 0,0 0 0,-1 1 0,1-1 0,-1 1 0,1 0 0,-1 0 0,0 0 0,0 0 0,0 0 0,0 0 0,1 4 0,2 6 0,-1 0 0,4 25 0,-4 3 0,-1 1 0,-4 50 0,-15 83 0,4-67 0,8-64 0,2-28 0,1 0 0,0 1 0,2-1 0,1 24 0,-1-38 0,0-1 0,0 0 0,0 0 0,0 0 0,0 0 0,0 0 0,0 0 0,0 0 0,0 0 0,0 1 0,0-1 0,0 0 0,0 0 0,0 0 0,0 0 0,0 0 0,0 0 0,0 0 0,0 0 0,0 0 0,1 0 0,-1 0 0,0 0 0,0 1 0,0-1 0,0 0 0,0 0 0,0 0 0,0 0 0,0 0 0,0 0 0,0 0 0,1 0 0,-1 0 0,0 0 0,0 0 0,0 0 0,0 0 0,0 0 0,0 0 0,0 0 0,0 0 0,1 0 0,-1 0 0,0 0 0,0 0 0,0 0 0,0 0 0,0 0 0,0 0 0,0-1 0,0 1 0,0 0 0,0 0 0,1 0 0,-1 0 0,0 0 0,7-8 0,8-13 0,-14 20 0,74-132 71,-17 28 8,57-94 134,-75 134-132,3 1-1,98-110 1,-78 99-24,-35 39-40,-1-1 1,-2-1 0,-2-1 0,-1-1-1,22-59 1,-42 96-18,-1 4 0,-1 12 0,-4 20 0,-4-3-913,-1-1 1,-1 0-1,-17 34 0,4-9-2134,-19 48-9326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4.0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1 191 20223,'0'0'1024,"6"0"-917,161-2 239,128 1 375,414 6 153,-273-28-649,193-6 190,-533 28-323,72-1 182,189-27 0,457-67 516,-776 91-738,29-3 66,-62 8-113,-1 0 0,0 0 0,0 1 0,0-1 0,1 1 0,-1 0 0,0 0-1,0 0 1,0 0 0,0 1 0,0 0 0,4 2 0,-8-4-15,0 0 1,1 0-1,-1 1 0,0-1 0,0 0 0,0 0 1,1 0-1,-1 0 0,0 0 0,0 0 0,0 1 0,0-1 1,1 0-1,-1 0 0,0 0 0,0 1 0,0-1 1,0 0-1,0 0 0,1 0 0,-1 1 0,0-1 0,0 0 1,0 0-1,0 0 0,0 1 0,0-1 0,0 0 1,0 0-1,0 1 0,0-1 0,0 0 0,0 0 1,0 1-1,0-1 0,-9 4-815,-12-4-834,-12-3-1584,-17-1-9876</inkml:trace>
  <inkml:trace contextRef="#ctx0" brushRef="#br0" timeOffset="850.05">367 574 21503,'29'-5'22,"4"-3"99,0 1 0,1 3 0,0 0-1,0 2 1,37 3 0,230 9 269,-2-25-41,-112 5-64,278-23 292,286-7 403,-45 63-212,-572-12-647,33 1 14,-63-11-2,142 9 268,-186-7-186,-46-3-89,-14 0-153,0 0 0,0 0 1,0 0-1,0 0 0,0 0 0,0 0 1,1 0-1,-1 0 0,0 0 0,0 0 1,0 0-1,0 0 0,0 0 0,0 0 1,0 0-1,1 0 0,-1 0 0,0 0 1,0 0-1,0 1 0,0-1 0,0 0 0,0 0 1,0 0-1,0 0 0,0 0 0,0 0 1,0 0-1,0 1 0,0-1 0,1 0 1,-1 0-1,0 0 0,0 0 0,0 0 1,0 0-1,0 1 0,0-1 0,0 0 1,0 0-1,0 0 0,0 0 0,-1 0 1,1 0-1,0 0 0,0 1 0,0-1 1,0 0-1,0 0 0,0 0 0,0 0 1,0 0-1,0 0 0,0 0 0,0 0 1,0 1-1,-1-1 0,1 0 0,0 0 1,0 0-1,0 0 0,-6 8-1267,5-8 1111,-10 13-3529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0:14.2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976 95 2048,'39'36'-128,"-39"-36"125,0 0 0,0 0 0,0 0 0,0 0 0,0 0-1,0 0 1,0 0 0,0 0 0,0 0 0,0 0 0,0 0 0,0 0 0,0 0 0,0 0 0,0 0 0,1 0 0,-1 0-1,0 0 1,0 0 0,0 0 0,0 0 0,0 0 0,0-1 0,0 1 0,0 0 0,0 0 0,0 0 0,0 0 0,0 0 0,0 0-1,0 0 1,0 0 0,0 0 0,0 0 0,0 0 0,0 0 0,0 0 0,0 0 0,0 0 0,0 0 0,1 0 0,-1 0-1,0 0 1,0 0 0,0 0 0,0 0 0,0 0 0,0 0 0,0 0 0,0 1 0,0-1 0,0 0 0,0 0 0,0 0-1,0 0 1,-3-7-56,-7-14 14,1 10 724,0 2 0,0 0 0,-1-1 0,0 1 0,-20-13 0,0-10 11801,1 89-11044,20-39-1215,0 0-1,1-2 0,1 4 1,-6 21-1,-5 58 348,11-53-252,-3-1-1,-25 77 1,16-63-179,2 2-1,3 0 1,-9 92-1,0-2-127,13-77 117,-2 122 0,4-23-16,5-34-110,3-25 0,-45 297 22,30-185 80,12-136-98,5 80-4,2-49 0,-5 4 0,7 194 0,-4-286 16,-2 0 0,0 1 0,-3 0 0,-1-1 0,-1 0 0,-1 0 0,-16 48 0,19-73-16,0 3 0,1-4 0,0 6 0,1-4 0,0 1 0,1 3 0,0-4 0,0 0 0,1 2 0,1-2 0,3 17 0,9 41 0,-3 3 0,3 78 0,-9-49 0,0 43 0,-2-84 0,10 61 0,-6-62 0,1 61 0,-17 107 0,8-182 0,2-3 0,7 57 0,-3-50 0,-1 69 0,-9-70 0,-1 4 0,-20 66 0,13-60 0,-8 70 0,7 101-12,7-82 259,-3-61-221,1 19-31,-1 101 5,10-191 0,-1 0 0,-1 1 0,0-3 0,-1 3 0,0-3 0,-1 1 0,0 0 0,-10 21 0,12-31 1,-4 9 65,0 1 0,-6 16 0,10-25-50,1 1-1,0-1 0,0 2 1,1-3-1,-1 4 1,1-2-1,0 0 1,0-2-1,0 3 0,1-1 1,1 8-1,15 45-15,-17-57-1,0 1-1,0 0 0,1-1 0,-1 0 0,0 1 1,1 0-1,-1 0 0,0-1 0,1 1 1,-1 0-1,1-1 0,-1 1 0,1-1 1,-1 2-1,1-2 0,0 1 0,-1-1 1,1 1-1,0-1 0,-1 1 0,1-1 1,0 0-1,-1 2 0,2-2 0,26 5-129,0 1-78</inkml:trace>
  <inkml:trace contextRef="#ctx0" brushRef="#br0" timeOffset="1759.49">0 5731 19839,'10'34'189,"22"86"753,-29-111-900,1 1-1,0 1 1,1 0 0,-1-2-1,2-1 1,0 2 0,7 9-1,20 35 287,-2 24 47,-20-51-178,23 49-1,34 25-6,-45-69-118,-2 0 0,18 37 0,-35-63-56,-1 2 1,1-2 0,0 2 0,0 0-1,0-3 1,1 3 0,0-2 0,1-1-1,-1-1 1,1 1 0,0 1 0,1 0 0,7 4-1,-14-10-15,0 0-1,1 0 1,-1 0-1,0 0 1,0 0-1,0 0 1,1 0-1,-1 0 0,0 1 1,0-1-1,0 0 1,1 0-1,-1 0 1,0 0-1,0 0 1,0 0-1,0 0 1,1 0-1,-1 0 1,0-1-1,0 1 0,0 0 1,1 0-1,-1 0 1,0 0-1,0 0 1,0 0-1,0 0 1,1 0-1,-1 0 1,0-1-1,0 1 1,0 0-1,0 0 0,0 0 1,1 0-1,-1 0 1,0-1-1,0 1 1,0 0-1,0 0 1,0-1-1,2-13 44,-4-13 20,2 27-64,-6-41-12,3 30-32,1-1-1,1-3 1,0 1-1,1-17 1,2-20-260,-2 1-1,-2 0 1,-10-62 0,-42-149-143,46 227 436,-1 3 0,-21-48 0,24 66 23,0 2 0,-1 0 0,0 1-1,-1-4 1,0 3 0,-1 3 0,0-3-1,-1 2 1,-13-12 0,29 26 14,0-2 1,0-2-1,0 2 0,0-1 0,0 1 1,0-1-1,13 1 0,54 5 400,-54-6-379,82 4 388,160-15 0,-245 8-431,55 3 103,-70-2-106,-1 0-1,0 0 1,0 0-1,1 0 1,-1 0 0,0 0-1,0 1 1,0-1-1,1 0 1,-1 0-1,0 0 1,0 0 0,1 0-1,-1 0 1,0 0-1,0 1 1,0-1 0,1 0-1,-1 0 1,0 0-1,0 0 1,0 2 0,0-2-1,0 0 1,1 0-1,-1 0 1,0 1 0,0-1-1,0 0 1,0 0-1,0 1 1,0-1-1,0 0 1,0 0 0,0 2-1,-2 8 6,-8 17-12,-3-6 6,-24 29 0,22-32 0,0 3 0,-12 22 0,-65 152 0,-53 99 0,128-267 0,-6 12 0,-40 53 0,59-90 0,4-9 0,4-4 0,12-23 3,34-82-27,41-143-83,-67 192 125,-6 19 19,-2 2 0,16-77-1,-33 117-36,-2 8 0,-10 18 0,-12 29 0,9-6 31,12-31-15,-1 0 0,0 2 1,-1-3-1,0 0 0,-9 16 0,15-27-16,0 0 0,0 0 0,0 0 0,0 0 0,0 0 0,0-1 0,0 1 0,0 0 0,0 0 0,0 0 0,0 0 0,0-1 0,0 1 0,0 0 0,0 0 0,0 0 0,-1 0 0,1 0 0,0 0 0,0-1 0,0 1 0,0 0 0,0 0 0,0 0 0,0 0 0,-1 0 0,1 0 0,0 0 0,0 0 0,0 0 0,0-1 0,0 1 0,-1 0 0,1 0 0,0 0 0,0 0 0,0 0 0,0 0 0,0 0 0,-1 0 0,1 0 0,0 0 0,0 0 0,0 0 0,0 0 0,-1 0 0,1 0 0,0 0 0,0 1 0,0-1 0,0 0 0,0 0 0,-1 0 0,1 0 0,0 0 0,0 0 0,0 0 0,0 0 0,0 0 0,0 1 0,0-1 0,-1 0 0,1 0 0,0 0 0,0 0 0,0-11 0,2-8 0,1-1 0,-2-1 0,0 0 0,-1-1 0,-3-24 0,3 45 4,0 1-1,0-1 1,0 0-1,0 1 1,0-1-1,0 1 1,0-2-1,-1 1 1,1 1-1,0-1 1,0 1-1,-1-1 1,1 1 0,0-1-1,-1 1 1,1-1-1,-1 1 1,0-2-1,-7 5 160,-11 25 222,11-18-274,-5 9-46,-19 36 1,21-34 28,-24 33 1,21-37-33,11-14-49,0-1 1,0 0-1,0 1 0,1 1 0,-1 0 1,1 0-1,0-2 0,0 1 0,0 0 1,0 2-1,1-2 0,-2 6 0,3-9-11,0 0 0,1 0 0,-1 0 0,0 0 0,0 0 0,1 0-1,-1 0 1,0 0 0,0 0 0,0 0 0,1 0 0,-1 0 0,0 0 0,0 0-1,1 0 1,-1 0 0,0 0 0,0 0 0,0 0 0,1-1 0,-1 1 0,0 0 0,0 0-1,0 0 1,0 0 0,1-2 0,-1 2 0,0 0 0,0 0 0,0 0 0,0-1-1,0 1 1,0 0 0,1 0 0,-1 0 0,0-2 0,0 2 0,0 0 0,0-1 0,8-8-56,14-27 1363,1 3-3331,11-12-9792,50-55 0,-62 75 11814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33.97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3 534 22271,'0'0'128,"4"1"0,10 3-24,0-1 0,0 0-1,0-1 1,25 0-1,65-5 275,-23 0-228,-59 3-166,14 1 54,0-3 1,43-6-1,-69 7-264,0-1 0,-1-1 0,1 1 0,-1-2 1,1 1-1,-1-1 0,0-1 0,-1 0 0,1 0 0,-1 0 0,0-1 0,13-13 0,-1-3-3059</inkml:trace>
  <inkml:trace contextRef="#ctx0" brushRef="#br0" timeOffset="265.5">1 157 24191,'0'0'0,"30"37"0,1-16 0,14 0 0,15-5 0,12-6 0,11-12 0,9-11-1024,10-35 128,8-27 0,101-49-14207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23.4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388 0 17023,'0'0'256,"-3"4"-106,-5 7 6,1 0 1,1 0-1,0 1 1,0 0-1,1 0 0,1 0 1,0 0-1,-3 20 1,-18 148 1635,-7 38-523,2-25-640,-30 289 374,56-459-960,0-1-1,-1 1 1,-2-1 0,0 0-1,-1-1 1,-1 1 0,-1-2-1,-1 1 1,-27 36 0,-30 28 191,68-85-234,0 0 0,0 0 0,0 1 0,0-1 0,0 0 0,0 0 0,0 1 0,0-1 0,-1 0 0,1 0 0,0 0 0,0 1 0,0-1 0,0 0 0,-1 0 1,1 0-1,0 1 0,0-1 0,0 0 0,-1 0 0,1 0 0,0 0 0,0 0 0,-1 0 0,1 0 0,0 0 0,0 0 0,-1 1 0,1-1 0,0 0 0,0 0 0,-1 0 0,1 0 0,0-1 0,0 1 0,-1 0 0,1 0 0,0 0 0,0 0 0,-1 0 0,1 0 0,0 0 0,0 0 0,0 0 0,-1-1 0,1 1 0,0 0 0,0 0 0,0 0 0,-1 0 0,1-1 0,0 1 0,0 0 0,0 0 0,0 0 0,0-1 0,-1 1 0,1 0 0,0 0 0,0-1 0,0 1 0,0 0 0,-2-20-267,1 18 171,2-28-900,0 1 1,2 0 0,7-31-1,0-2-2553,-2 4-7373</inkml:trace>
  <inkml:trace contextRef="#ctx0" brushRef="#br0" timeOffset="546.07">142 89 19967,'-2'90'0,"8"-105"19,-3 5 8,0 0 1,1 0-1,8-16 0,-7 21 25,0 0 0,0 0 0,0 0 0,1 1 0,0-1 0,0 2 0,0-1 0,0 0 0,1 1 0,-1 1 0,1-1 0,0 1 0,0 0 0,0 0 0,0 1 0,0 0 0,0 0 0,0 1 0,9 0 0,6 1 26,0 0 0,0 2 0,0 1 0,41 12 0,-11 3 85,-1 2 1,78 43-1,-87-38-70,-1 1-1,70 61 1,-100-79-43,-1 1 1,0 0-1,-1 1 1,0 0-1,14 22 1,-21-29-30,1 1 0,-1-1 0,0 0 0,0 1 0,-1-1 0,0 1 1,1 0-1,-1-1 0,-1 1 0,1 0 0,-1 0 0,0 0 0,0-1 0,0 1 1,-1 0-1,1 0 0,-1-1 0,0 1 0,-1 0 0,-3 8 0,-4 2 7,0-1-1,-1 0 1,0-1-1,-1 0 1,-1-1-1,0 0 1,0 0-1,-1-2 1,-24 16-1,-11 4 81,-81 36 0,66-36-174,-86 38 247,127-60-396,0 0 0,0-2 0,-1-1 0,-43 5 0,65-10 113,0 0-1,0 1 1,0-1-1,0 0 1,0 0-1,0 0 1,0-1-1,0 1 1,0 0 0,0 0-1,0 0 1,0-1-1,1 1 1,-1-1-1,0 1 1,-1-1-1,1 0 62,1 1 0,0 0 0,0-1 0,0 1 0,-1 0 0,1-1 1,0 1-1,0-1 0,0 1 0,0-1 0,0 1 0,0 0 0,0-1 0,0 1 0,0-1 0,0 1 0,0-1 0,0 1 0,0 0 0,0-1 0,0 1 0,1-1 0,-1 1 0,0 0 0,0-1 0,4-5-393,-1 1 1,1 0-1,0 0 1,5-6-1,1 0-1353,10-14-8901</inkml:trace>
  <inkml:trace contextRef="#ctx0" brushRef="#br0" timeOffset="1449.32">964 1071 20735,'0'0'128,"0"5"0,-25 98 573,14-66-475,-10 68-1,19-67-122,5 68-1,0-6 56,-4-89-146,-1-1 0,0 0 1,0 1-1,-1-1 0,0 0 0,-1 0 0,0-1 0,-1 1 1,0-1-1,0 0 0,-11 13 0,7-8-9,1 4-306,8-16 205,-1 0-1,0 0 1,1 0-1,-1 0 1,0 0-1,0 0 1,-1-1-1,1 1 1,0 0-1,-3 2 1,3-3-434,1-1 494,0 0 0,0 0 1,0 0-1,-1 0 0,1 0 0,0 0 0,0 0 0,0 0 0,0 0 0,0 0 0,0 0 0,0 0 0,-1 0 0,1 0 0,0 0 0,0 0 0,0 0 0,0-1 0,0 1 0,0 0 0,-1-1-569,0-8-362,2-11-64,-1 20 1024,14-73-4001,-5 36-4822</inkml:trace>
  <inkml:trace contextRef="#ctx0" brushRef="#br0" timeOffset="2162.95">903 1095 16639,'-2'46'0,"0"-45"0,-1-7 0,-3-9 0,6 7 63,0 1 0,0-1 0,1 0 0,0 1 0,0-1-1,0 1 1,1 0 0,1-1 0,2-6 0,7-29 332,-11 41-327,-1-1 0,1 0 0,0 1 1,0-1-1,0 1 0,0-1 0,0 1 0,1-1 0,-1 1 0,1 0 0,0 0 0,-1 0 0,1 0 0,0 0 0,0 0 0,0 0 0,1 0 0,-1 1 0,0-1 0,1 1 0,-1 0 0,0 0 0,1 0 0,0 0 0,-1 0 0,1 0 0,0 1 0,-1-1 0,1 1 0,4 0 0,9-1 33,-1 2-1,1 0 1,0 0 0,20 6-1,-1-1 211,-24-4-238,1 0 0,0 1-1,-1 0 1,0 1 0,0 0-1,0 1 1,0 1 0,19 12 0,-24-14-21,0 0-1,-1 0 1,0 1 0,0 0 0,0 0 0,0 0 0,-1 0-1,0 1 1,0 0 0,0 0 0,-1 0 0,0 0 0,0 1-1,0-1 1,-1 1 0,3 12 0,-5-13-4,0 0-1,0 1 1,0-1-1,-1 0 1,0 0-1,0 1 1,-1-1-1,-3 10 1,-23 45 292,21-49-297,0-1 1,-1 0-1,0 0 0,0-1 1,-1 0-1,-14 11 0,-66 46 166,50-41-198,-56 24-1,94-49-10,1-1-1,-1 0 1,0 0-1,0 1 0,1-1 1,-1 1-1,0-1 1,1 0-1,-1 1 0,0-1 1,1 1-1,-1 0 1,1-1-1,-1 1 0,1-1 1,-1 1-1,1 0 1,-1-1-1,0 3 0,2-3-1,-1 0-1,0 1 1,0-1-1,0 1 0,1-1 1,-1 0-1,0 1 1,1-1-1,-1 0 0,0 1 1,1-1-1,-1 0 1,0 1-1,1-1 0,-1 0 1,1 0-1,-1 0 1,1 1-1,-1-1 0,0 0 1,1 0-1,-1 0 1,1 0-1,0 0 0,37 5-144,-34-5 137,216 22-235,-155-14 212,32 10-39,-16-1 16,-80-17 56,0 0 0,0 0 0,0 0 0,0 0 0,0 0 0,0 0 0,0 0 0,0 0 0,0 1 0,0-1 0,0 1 0,-1-1 0,1 0 0,0 1 0,0-1 0,0 1 0,0 0 0,-1-1 0,1 1 0,0 0 0,-1-1 0,1 1 0,0 0 0,0 1 0,-2-2 0,1 1 0,-1 0 0,0 0 0,0 0 0,1 0 0,-1-1 0,0 1 0,0 0 0,0-1 0,0 1 0,1-1 0,-1 1 0,0-1 0,0 1 0,0-1 0,0 0 0,0 1 0,0-1 0,-1 0 0,1 0 0,0 0 0,0 0 0,0 0 0,-1 0 0,-51 9 23,1 2 0,1 2-1,-88 35 1,111-36-16,0 1 1,1 2-1,0 1 0,2 1 1,0 1-1,0 1 0,-41 43 1,53-48-33,6-7-185,-1 1 0,2 0 0,-1 1 1,1-1-1,0 1 0,-8 18 0,14-26 104,-1 0 1,1 0-1,-1 0 0,1 0 0,0 0 0,-1 0 0,1 0 1,0 0-1,0 0 0,0 0 0,0 0 0,0 0 0,0 0 1,0 0-1,0 0 0,1 0 0,-1 0 0,0 0 0,1 0 0,0 1 1,-1-1 39,1-1 0,-1 1-1,1 0 1,0-1 0,0 0 0,-1 1 0,1-1 0,0 1 0,0-1 0,-1 0 0,1 1 0,0-1 0,0 0 0,0 0 0,-1 0 0,1 0 0,0 0 0,0 0 0,1 0-1,2 0-394,1-1 1,-1 1-1,1-1 0,-1 0 0,1-1 0,-1 1 0,7-4 0,17-11-9011</inkml:trace>
  <inkml:trace contextRef="#ctx0" brushRef="#br0" timeOffset="2776.77">1750 881 22271,'-25'34'0,"21"-6"363,-5-6-250,2 1 0,1 0 0,1 1 0,1-1 0,-1 34 0,6 120 349,-1-171-450,9 426 265,-10-370-1898</inkml:trace>
  <inkml:trace contextRef="#ctx0" brushRef="#br0" timeOffset="3102.16">2062 1444 22143,'0'0'0,"0"31"0,3-3 0,0 5 0,-1-5 0,1-6 0,-2-5 0,-1-1-128,0-4 128,0-4-1408,11-6 0,3-7 0,4-17 1</inkml:trace>
  <inkml:trace contextRef="#ctx0" brushRef="#br0" timeOffset="3311.29">2112 859 22783,'3'29'0,"2"18"0,-2-36 0,-2-23-640,-1 4 0,0-1-1792,13-2 128,7 1 1281,13-10-9473</inkml:trace>
  <inkml:trace contextRef="#ctx0" brushRef="#br0" timeOffset="3927.91">2347 1398 23551,'0'155'-277,"-11"-63"21,12-87 124,1-5 87,2-5 9,0-8-10,0 0 0,3-21 1,-4 20 5,0 0 0,8-23 1,0 13 9,1 0 0,1 1 0,2 0 0,25-32 0,-35 50 30,0-1 0,0 1 0,0 0 0,1 0 0,0 0 0,0 1 0,0 0 0,0 0 0,1 0 0,0 1 0,-1 0 0,1 0 0,9-2 0,-11 5 0,-1-1 0,0 0 0,0 1 0,1 0 0,-1 0 0,0 0 0,0 1 0,1 0 0,-1-1 0,0 1 0,0 1 0,0-1 0,0 1 0,0-1 0,0 1 0,-1 0 0,1 0 0,0 1 0,-1-1 0,0 1 0,1 0 0,-1 0 0,0 0 0,3 4 0,5 9 6,1 0-1,-2 1 1,0 1-1,-1-1 1,-1 1-1,9 31 1,-4-1 92,12 71 0,-24-109-91,0 0 0,0 0-1,-1 0 1,-1 15 0,1-21-44,-1 1 1,0-1-1,0 1 0,0-1 1,-1 1-1,0-1 1,0 0-1,0 0 0,0 0 1,0 0-1,-6 7 1,8-11 4,-1 0-1,1 1 1,0-1 0,0 0 0,0 0 0,-1 1 0,1-1 0,0 0 0,0 1-1,-1-1 1,1 0 0,0 0 0,-1 0 0,1 1 0,0-1 0,0 0 0,-1 0-1,1 0 1,-1 0 0,1 0 0,0 0 0,-1 0 0,1 0 0,0 1 0,-1-1 0,1 0-1,0 0 1,-1-1 0,1 1 0,0 0 0,-1 0 0,1 0 0,0 0 0,-1 0-1,1 0 1,-1-1 0,-6-13-806,2-24-221,5 37 1009,-3-48-2958,1-1-7829</inkml:trace>
  <inkml:trace contextRef="#ctx0" brushRef="#br0" timeOffset="4714.63">3034 1553 21887,'-12'-9'27,"9"7"-13,1 1-1,-1-1 0,1 0 0,-1 0 0,1 0 0,-1 0 1,1 0-1,0-1 0,0 1 0,0 0 0,0-1 0,1 0 1,-1 1-1,1-1 0,0 0 0,-1 0 0,1 0 0,-1-6 1,2 5 1,0 0 1,-1 1 0,0-1-1,1 0 1,-1 0 0,0 1-1,-1-1 1,1 0-1,-1 1 1,0-1 0,1 1-1,-2 0 1,1-1 0,-3-2-1,4 6-15,0-1 0,0 1 0,0 0 0,0 0 0,0-1 0,0 1 0,0 0 0,0 0 0,0 0 0,0 0 0,0 0 0,0 1 0,0-1 0,0 0 0,1 0 0,-1 1 0,0-1 0,0 0 0,0 1 0,0-1 0,0 1 0,0-1 0,0 1 0,0 0 0,-22 17 0,18-13 0,1 1 0,-1 0 0,2 0 0,-1 0 0,0 0 0,1 0 0,0 1 0,1-1 0,-1 1 0,1 0 0,1 0 0,-1 0 0,1 0 0,0 0 0,1 0 0,0 0 0,0 0 0,0 0 0,1 0 0,0 0 0,0 0 0,1 0 0,0 0 0,4 9 0,-5-14 2,-1 0-1,1-1 0,0 1 0,0 0 0,0-1 1,0 1-1,0-1 0,0 0 0,1 1 1,-1-1-1,0 0 0,1 0 0,-1 1 1,1-1-1,-1 0 0,1-1 0,0 1 0,-1 0 1,1 0-1,0-1 0,2 1 0,-1 0 8,0-1-1,0 0 1,0 0-1,-1-1 1,1 1-1,0-1 1,0 1-1,0-1 1,0 0-1,0 0 1,-1 0-1,4-2 1,5-4 36,1 0 0,-1-1 0,-1 0 0,17-16 0,-10 6-21,-1 0 1,-1-1-1,-1-1 0,22-39 1,35-93 112,-44 90-119,42-109 20,-59 141-21,-2 0 0,-1 0 1,5-61-1,-10 61 26,1 7 42,-2 0 0,-3-38 1,-2 54-52,-1 14 1,-3 16 2,-2 46-37,3 1 0,3 123 0,4-74 22,-2-26-22,-5 1 0,-3-1 0,-27 107 0,36-197-813,3-10 250,4-14-2883,1-10-9161</inkml:trace>
  <inkml:trace contextRef="#ctx0" brushRef="#br0" timeOffset="5809.99">3700 657 22271,'-12'34'44,"-5"24"190,10 22-165,3 0 0,8 104 0,-1-80-42,1 15-60,0 170-318,-4-282 192,-1 7-494,1 1 1,3 16-1,-2-26-278,0 0 1,0 0-1,0-1 0,1 1 1,4 8-1</inkml:trace>
  <inkml:trace contextRef="#ctx0" brushRef="#br0" timeOffset="6411.12">3836 1622 20095,'27'-6'6,"-1"-1"-1,1-1 0,-1-1 1,-1-1-1,0-2 0,47-29 1,-56 31-1,-1-2 1,-1 0 0,0 0 0,0-2 0,-1 1-1,-1-2 1,0 0 0,-1 0 0,0-1-1,-2 0 1,9-19 0,-15 28 13,1-1 1,-1 1-1,0-1 0,-1 0 1,0 0-1,0 0 0,-1 0 0,0 0 1,0 0-1,-1 0 0,0-1 1,-1 1-1,0 0 0,0 0 1,0 0-1,-1 0 0,0 0 0,-1 0 1,0 1-1,-4-9 0,5 13-3,0 0-1,0 0 1,-1 0-1,1 1 1,-1-1-1,0 0 1,0 1-1,0 0 1,0 0-1,0 0 1,-1 0-1,1 0 1,0 0-1,-1 1 1,-6-2-1,-7-2 19,0 2-1,-19-3 1,33 5-20,-6 0-3,1 1 0,-1-1-1,1 1 1,-1 1 0,1-1 0,-1 1-1,1 1 1,0 0 0,0 0 0,-1 0 0,1 1-1,-15 8 1,14-5-9,0 0 1,0 1-1,0 0 0,1 0 0,0 1 0,0 0 1,1 0-1,0 1 0,-6 9 0,2 1-3,0 1 0,2 0-1,0 0 1,1 1 0,1 0 0,1 1-1,1-1 1,1 1 0,-1 31-1,3-24 2,2 32 0,1-52 0,0 1 0,0-1 0,1 0 0,1 0 0,-1-1 0,1 1 0,7 14 0,-3-10 0,1 0 0,0-1 0,1 1 0,0-2 0,1 1 0,12 11 0,-17-19 0,0 0 0,1 0 0,-1 0 0,1-1 0,0 1 0,0-1 0,0-1 0,0 1 0,0-1 0,1 0 0,-1-1 0,1 1 0,-1-1 0,1-1 0,0 1 0,8-1 0,-5-1-33,1-1 0,-1 0-1,1 0 1,-1-1 0,0 0-1,0-1 1,0 0 0,-1-1-1,1 0 1,-1 0 0,0-1-1,-1 0 1,1-1 0,12-12-1,3-8-1257,0 0 0,37-60 0,-58 83 1099,22-33-11114</inkml:trace>
  <inkml:trace contextRef="#ctx0" brushRef="#br0" timeOffset="6673.08">4464 1378 22911,'0'0'0,"12"33"0,-7-16 0,3-1-128,-4-4 128,1 1-640,-2-4 0,0-1-1408,7-8 128,2-5 129,1-14 127</inkml:trace>
  <inkml:trace contextRef="#ctx0" brushRef="#br0" timeOffset="6862.55">4636 677 18303,'3'-25'0,"3"-17"128,-3 11 0,0 4 128,-6 7 128,0 4 0,-1 7 0,-4 6 0,1 21 0,-4 12-256,2 3 0,0 1-512,6 2 128,7-4-768,-1-6 128</inkml:trace>
  <inkml:trace contextRef="#ctx0" brushRef="#br0" timeOffset="7394.25">5138 1176 19967,'-2'0'0,"0"-1"0,-1 1 0,1 0 0,-1 0 0,1 0 0,-1 0 0,1 0 0,-1 1 0,1-1 0,-1 1 0,1-1 0,0 1 0,-4 2 0,1 0 0,1-1 0,0 2 0,0-1 0,1 0 0,-7 8 0,-4 4 29,0 0-1,-2 0 1,1-2-1,-2 0 1,0 0-1,-1-2 1,0 0-1,-21 9 0,38-20-28,0 0 0,1 0 0,-1 0 0,1 1 0,-1-1 0,1 0 0,-1 0 0,1 1 0,0-1 0,-1 0 0,1 0 0,-1 1 0,1-1 0,-1 1 0,1-1 0,0 0 0,-1 1 0,1-1 0,0 1 0,0-1 0,-1 1 0,1-1 0,0 1 0,0-1 0,0 1 0,-1-1 0,1 1 0,0-1 0,0 1 0,0-1 0,0 1 0,0 0 0,0-1 0,0 1 0,0-1 0,1 2 0,0 0 0,0 0 0,0-1 0,0 1 0,0 0 0,1 0 0,-1 0 0,1-1 0,-1 1 0,4 2 0,6 4 0,0 0 0,14 7 0,-2-3 7,-8-4-9,0 0 0,-1 0 0,0 2 0,22 18 0,-33-25 8,1 1 1,-1-1 0,0 1 0,-1 0 0,1 0 0,-1 0 0,1 0 0,-1 0 0,0 0 0,-1 1 0,1-1 0,-1 1 0,0 0 0,0-1 0,0 1 0,-1 0 0,0-1 0,1 1 0,-2 0 0,1-1 0,-2 10 0,-2-3 52,0-1 0,-1 1 0,0-1 0,-1 1 0,0-1 0,0-1 0,-1 1 1,-16 15-1,9-8 49,1 0-60,-42 45 558,49-56-738,1-1 0,-2 0 0,1 0 0,0 0 0,-1-1 0,0 0 0,0-1 0,-9 4 0,3-6-1183</inkml:trace>
  <inkml:trace contextRef="#ctx0" brushRef="#br0" timeOffset="7754.87">5597 414 22399,'-24'22'3,"15"-14"18,0-1 0,0 0-1,-1 0 1,-13 7 0,21-12-7,0-1 0,0 1 0,0 0 0,1 0-1,-1-1 1,1 1 0,-1 0 0,1 1 0,0-1 0,0 0 0,0 0 0,0 0 0,0 1-1,0 2 1,-12 45 56,9-29-49,-21 78 12,-32 141 94,45-174-90,-7 114 0,28 255-37,-9-427-325,1 0 0,1-1-1,-1 1 1,1 0 0,5 13-1,-7-20 271,1 0 0,-1 0-1,1 0 1,-1 0 0,1 0-1,-1-1 1,1 1 0,0 0-1,-1 0 1,1 0 0,0 0-1,0-1 1,0 1 0,-1 0-1,1-1 1,0 1 0,0-1-1,0 1 1,0-1 0,0 1-1,0-1 1,0 0 0,0 1-1,1-1 1,-1 0 0,0 0-1,0 0 1,0 0 0,0 0-1,0 0 1,0 0 0,0 0-1,0 0 1,0 0 0,0-1-1,1 1 1,-1 0 0,0-1-1,0 1 1,0-1 0,-1 1-1,1-1 1,0 0 0,0 1-1,0-1 1,0 0 0,1-1-1,13-13-3122</inkml:trace>
  <inkml:trace contextRef="#ctx0" brushRef="#br0" timeOffset="7942.92">5436 1167 19839,'0'0'0,"22"37"0,-5-12 0,3 3 0,-2-6 0,2-1-512,0-6 0,-1-7-512,22 14-11519</inkml:trace>
  <inkml:trace contextRef="#ctx0" brushRef="#br0" timeOffset="8504.23">5888 1137 21759,'-4'25'0,"1"0"0,1 0 0,1 0 0,4 36 0,-1-24 0,-4 41 0,1-54 0,1 1 0,1 0 0,2-1 0,0 1 0,1-1 0,2 0 0,9 27 0,-15-51 0,0 1 1,0 0-1,0-1 0,0 1 0,0-1 0,1 1 0,-1 0 0,0-1 0,1 1 0,-1-1 1,0 1-1,1-1 0,-1 1 0,1-1 0,-1 1 0,0-1 0,1 1 0,-1-1 0,1 0 0,-1 1 1,1-1-1,0 0 0,0 1 0,-1-1 0,1 0 0,0 0 0,-1-1 0,1 1 1,-1 0-1,1 0 0,-1-1 0,1 1 0,-1 0 0,1 0 0,-1-1 0,1 1 1,-1 0-1,1-1 0,-1 1 0,0-1 0,1 1 0,-1-1 0,0 1 1,1-1-1,15-31-24,-16 31 21,72-147-198,-10 22 61,81-174-138,-138 291 278,0 0 0,0 1 0,1 0 0,9-10 0,-14 16 0,1 0 0,-1 1 0,1-1 0,0 1 0,-1-1 0,1 1 0,0 0 0,0 0 0,0-1 0,0 1 0,0 1 0,0-1 0,0 0 0,0 0 0,0 1 0,0-1 0,0 1 0,1 0 0,-1 0 0,0 0 0,0 0 0,1 0 0,-1 0 0,0 0 0,3 1 0,-4 0 2,0 0 0,0-1-1,1 1 1,-1 0 0,0 0 0,0 0-1,0 0 1,0 0 0,0 0-1,0 0 1,-1 0 0,1 0-1,0 0 1,0 0 0,-1 1 0,1-1-1,-1 0 1,1 1 0,-1-1-1,1 0 1,-1 1 0,0-1-1,0 0 1,0 1 0,0-1 0,0 2-1,-5 42 82,3-33-62,-99 576 597,100-575-684,1 0-526</inkml:trace>
  <inkml:trace contextRef="#ctx0" brushRef="#br0" timeOffset="9121.13">6594 1167 22143,'1'7'107,"1"5"-79,0-1 1,1 0-1,0 0 1,1 0-1,6 13 1,-8-17 1,1 0 1,-1 0-1,-1 0 0,1 0 1,-1 0-1,0 1 1,-1-1-1,0 9 1,3 21 57,0 6-88,-3-43 0,0 1 0,1 0 0,-1-1 0,1 1 0,-1 0 0,1-1 0,-1 1 0,1-1 0,-1 1 0,1-1 0,0 1 0,-1-1 0,1 0 0,0 1 0,-1-1 0,1 0 0,0 1 0,-1-1 0,1 0 0,0 0 0,0 0 0,-1 1 0,1-1 0,0 0 0,0 0 0,-1 0 0,2-1 0,-1 2 0,1-1 0,-1 0 0,0 0 0,0 0 0,0 0 0,1 0 0,-1-1 0,0 1 0,0 0 0,0 0 0,1-1 0,-1 1 0,0-1 0,0 1 0,0-1 0,0 1 0,0-1 0,2-1 0,0-5-21,0 0-1,0 1 0,-1-1 0,0-1 1,3-13-1,5-17-104,28-63-311,70-129 0,-104 223 433,0 0 1,0 1 0,0-1-1,1 1 1,0 0 0,1 0-1,10-9 1,-14 13 3,0 1 0,0-1 1,1 1-1,-1 0 0,1 0 0,-1 0 0,1 0 1,-1 0-1,1 0 0,0 0 0,-1 1 0,1 0 1,0-1-1,0 1 0,-1 0 0,1 0 0,0 1 1,0-1-1,-1 0 0,1 1 0,0 0 0,-1-1 1,1 1-1,-1 0 0,1 1 0,2 0 0,2 3 0,1 0 0,-1 1 0,-1 0 0,1 0 0,-1 0 0,0 1 0,0 0 0,-1 0 0,0 0 0,0 1 0,-1 0 0,6 13 0,2 11 0,17 63 0,-28-90 0,22 84-138,11 104-1,-33-181-106,-1-10 130,0 0 0,0 0 1,0 0-1,0 0 0,1 1 1,-1-1-1,1 0 0,-1 0 1,1-1-1,0 1 0,2 4 1,-3-6 90,0 0 0,0 0 1,0 0-1,0 0 0,0 0 0,0 0 1,0 1-1,0-1 0,0 0 0,0 0 1,0 0-1,0 0 0,1 0 0,-1 0 1,0 0-1,0 0 0,0 0 0,0 0 1,0 0-1,0 0 0,0 0 0,0 1 1,1-1-1,-1 0 0,0 0 1,0 0-1,0 0 0,0 0 0,0 0 1,0 0-1,1 0 0,-1 0 0,0 0 1,0-1-1,0 1 0,0 0 0,0 0 1,0 0-1,0 0 0,1 0 0,-1 0 1,0 0-1,0 0 0,0 0 0,0 0 1,0 0-1,0 0 0,0 0 0,0-1 1,0 1-1,0 0 0,0 0 1,1 0-1,-1 0 0,0 0 0,0 0 1,0 0-1,0 0 0,0-1 0,0 1 1,0 0-1,0 0 0,0 0 0,0 0 1,0 0-1,0 0 0,0-1 0,1-8-2756</inkml:trace>
  <inkml:trace contextRef="#ctx0" brushRef="#br0" timeOffset="9842.64">7795 931 22399,'-50'31'22,"50"-31"-21,-1 0 0,1 1 0,-1-1 0,1 0 0,0 1 1,-1-1-1,1 0 0,-1 1 0,1-1 0,-1 0 0,1 0 1,-1 0-1,1 0 0,-1 1 0,0-1 0,1 0 0,-1 0 1,1 0-1,-1 0 0,1 0 0,-1 0 0,1 0 0,-1-1 0,1 1 1,-1 0-1,1 0 0,-1 0 0,1 0 0,-1-1 0,1 1 1,-1 0-1,1 0 0,-1-1 0,1 1 0,-1 0 0,1-1 1,0 1-1,-1-1 0,1 1 0,0-1 0,-1 1 0,1 0 1,0-1-1,0 1 0,-1-1 0,1 1 0,0-1 0,0 1 0,-1-2 1,2-28 41,0 22-38,-1 7-5,-1 0 0,1 0 0,-1 0 0,1 0 0,-1 0 0,1 0 0,-1 0 0,1 0 0,-1 0 0,0 0 0,1 0 0,-1 0 0,0 1 0,0-1 0,0 0 0,0 1 0,0-1 0,0 1 0,0-1 0,0 1 0,-2-1 0,-26-10 0,22 9 0,-7-3 3,7 1 5,0 1 0,-1 1 0,1-1 0,-1 1 0,0 1 0,1-1 0,-1 1 0,0 1 0,0-1 0,0 1 0,0 1 0,-7 1 0,4 1 5,1 0 0,0 1 0,0 1 0,1 0-1,-1 0 1,1 1 0,0 0 0,1 0 0,-1 1 0,1 0 0,-7 9 0,12-12-9,-1-1 1,1 2 0,0-1 0,0 0-1,1 1 1,-1-1 0,1 1-1,0 0 1,0-1 0,1 1 0,-1 0-1,1 0 1,0 0 0,1 0-1,-1 1 1,1-1 0,0 0 0,0 0-1,1 0 1,-1 0 0,1 0-1,0 0 1,1 0 0,-1 0 0,3 6-1,5 5-17,-1 0 1,2-1-1,0-1 0,1 0 0,0 0 1,1-1-1,0-1 0,1 0 0,21 15 0,-29-24 13,0 1 0,1-1 0,-1-1 0,1 1 0,-1-1 0,1 0 0,0 0 0,0-1 0,0 1 0,0-1 0,0-1 0,12 1 0,-14-1 0,0-1 0,0 0 0,0 1 0,0-1 0,0-1 0,0 1 0,0-1 0,0 1 0,-1-1 0,1 0 0,-1 0 0,1-1 0,-1 1 0,0-1 0,0 1 0,0-1 0,0 0 0,0-1 0,4-5 0,7-10 123,-9 13-30,-9 13-31,-42 74 151,9-22-1,-52 116 0,64-118 30,-4-1 1,-60 91 0,81-138-255,1 0 0,-1-1 0,0 0 0,-1 0 0,1-1 0,-18 11 1,19-14-544,0 0 0,0-1 0,-1 1 0,1-2 0,-1 1 0,-9 1 0,-4-5-3605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47.2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861 212 18175,'0'0'662,"-4"-5"-406,-14-17 337,-19-34 0,-13-17 397,47 69-902,0 1 1,0 0 0,-1 0-1,1 0 1,-1 0 0,0 0-1,0 1 1,0 0 0,0 0 0,0 0-1,-1 0 1,1 1 0,-7-2-1,-4 0-20,-1 0 0,-25 0 0,21 2 1,9 1-38,0 1-1,1 0 1,-1 0-1,1 1 1,0 0-1,-1 1 1,1 0-1,-15 7 1,-5 4 34,-40 26 1,28-14 47,2 2 1,-70 64 0,97-78-87,0 1 0,1 1 0,1 0 0,0 0 0,1 1 0,1 1 0,1-1 1,-10 32-1,0 11 64,-14 84 1,-6 128-23,34-217-57,2 1 1,12 106-1,9-52-12,-16-98 0,1-1 0,0 1 0,0-1 0,1 0 0,0 0 0,1-1 0,8 12 0,-12-20 0,0-1 0,0 1 0,0 0 0,1-1 0,-1 1 0,0-1 0,1 0 0,-1 0 0,1 0 0,-1 0 0,1 0 0,2 0 0,36 6 0,-31-6 0,-3 0 0,0 0 0,0-1 0,0 0 0,0-1 0,0 1 0,0-1 0,0-1 0,8-1 0,3-4 0,29-14 0,-27 12 0,6-3 12,0-2 0,-1 0-1,0-2 1,-2 0-1,0-2 1,0-1 0,-2 0-1,-1-2 1,0 0 0,16-24-1,45-83-16,-68 104 12,-1-1-1,0-1 1,10-37 0,-10 15 74,-1-1 0,-3 0 1,3-59-1,-10 71-32,-1 1 0,-2-1 0,-2 1-1,-1 0 1,-10-38 0,7 45-31,-30-103 199,27 110-432,11 22 130,0 0 0,-1-1 0,1 1 0,0 0 0,0 0 0,-1-1 0,1 1 0,0 0 0,0 0 0,-1 0 1,1-1-1,0 1 0,-1 0 0,1 0 0,0 0 0,-1 0 0,1 0 0,0 0 0,-1 0 0,1-1 0,0 1 0,-1 0 0,1 0 0,0 0 0,-1 0 0,1 0 0,0 1 0,-1-1 0,1 0 0,0 0 1,-1 0-1,1 0 0,0 0 0,-1 0 0,1 0 0,0 1 0,0-1 0,-1 0 0,1 0 0,0 1 0,-1-1 0,1 0 0,0 0 0,0 1 0,0-1 0,-1 0 0,1 0 0,0 1 0,0-1 1,0 0-1,0 1 0,0-1 0,-1 0 0,1 1 0,0-1 0,0 0 0,0 1 0,0-1 0,0 1 0</inkml:trace>
  <inkml:trace contextRef="#ctx0" brushRef="#br0" timeOffset="1072.51">520 656 19455,'37'0'0,"-37"-2"39,-8 5 50,3 3-13,-1-1 0,1 1 0,0 0-1,1 0 1,-1 1 0,1 0 0,1-1-1,-1 1 1,1 1 0,0-1-1,1 0 1,0 1 0,0-1 0,0 1-1,1-1 1,0 1 0,1 0 0,0 0-1,1 13 1,-1-19-47,1 0 0,0 1 0,0-1 0,0 0 0,0-1 0,0 1 0,0 0 0,0 0 0,0 0 0,1-1 0,-1 1 0,1 0 0,-1-1 0,1 0 1,0 1-1,-1-1 0,4 2 0,39 16 319,-13-6-174,-4 3-32,0 1-1,-1 1 1,30 27-1,64 72 63,-13-12 178,-78-80-284,-1 0 47,-1 0 1,41 51-1,-22-20 44,-33-41-146,0 0 0,0 1 0,-2 0 0,0 1 0,-1 0 0,11 25 0,-19-32 21,0-1-679,-2-9 581,0 0-1,0 0 0,0 0 1,1 0-1,-1 0 1,0 0-1,0 0 0,0 0 1,0 0-1,1 0 0,-1 0 1,0 0-1,0 0 1,0 0-1,0 0 0,1 0 1,-1 0-1,0 0 0,0 0 1,0 0-1,0-1 1,1 1-1,-1 0 0,0 0 1,0 0-1,0 0 0,0 0 1,0 0-1,0 0 1,1-1-1,-1 1 0,0 0 1,0 0-1,0 0 0,0 0 1,0 0-1,0-1 0,0 1 1,0 0-1,0 0 1,0-1-1,2-1-179,-1-1-1,1 0 1,-1 0-1,0 0 1,0 0 0,0 0-1,-1 0 1,1 0-1,-1 0 1,1 0-1,-1 0 1,0 0 0,-1-5-1,1 3-730,0-32-11662</inkml:trace>
  <inkml:trace contextRef="#ctx0" brushRef="#br0" timeOffset="2470.55">1708 1 20991,'-15'7'-64,"12"-5"58,0 0 1,0-1 0,0 1-1,-1-1 1,1 0 0,0 0 0,0 0-1,-1 0 1,1-1 0,-1 1 0,-3-1-1,7 0 8,0 0 0,0 0 0,-1 0 0,1 0 0,0 0 0,-1 0 0,1 1 0,0-1 0,-1 0 0,1 0 0,0 0 0,0 0 0,-1 1 0,1-1 0,0 0 0,0 0 0,-1 0 0,1 1 0,0-1 0,0 0 0,0 0 0,0 1 0,-1-1 0,1 0 0,0 1 0,0-1 0,0 0 0,0 0 0,0 1 0,0 0 0,-1 15 143,8 21 145,-6-34-275,10 38 166,6 36 150,-12-58-216,0 0 0,1-1 0,18 36 0,0 2 44,81 266 160,-88-254-198,-3 1 0,9 128 1,-18-149-41,-3-34-37,-1 1-1,0-1 0,-1 1 0,0-1 1,-4 21-1,4-34-37,0 1 1,0-1-1,-1 1 1,1-1-1,0 1 1,1-1-1,-1 1 1,0-1-1,0 0 1,1 1-1,-1-1 1,1 1-1,-1-1 1,2 3-1,-1-2 0,0 0 0,0 0 0,-1 0 0,1 0-1,-1 0 1,1 1 0,-1-1 0,1 4-1,-1-2-5,0-1 0,1 1 0,0 0 0,0 0 0,0-1 0,0 1 0,1 0 0,-1-1 0,1 0 0,0 1 0,0-1 0,0 0 0,0 0 0,1 0 0,-1 0 0,1 0 0,0-1 0,6 5 0,-5-5 11,0-1-1,0 0 0,0-1 0,0 1 1,0-1-1,1 0 0,-1 1 1,0-2-1,8 0 0,7 0 37,21 1 57,158-7 176,-173 4-280,0 1 0,0 2 0,0 1 0,0 0 0,0 2 0,24 6 0,-12-8-2601,-18-1-580,9 0-9106</inkml:trace>
  <inkml:trace contextRef="#ctx0" brushRef="#br0" timeOffset="3320.03">1733 26 18047,'0'0'512,"5"0"-384,41 6 502,68 16-1,-86-16-439,0-1-1,1-2 1,-1-1 0,44-2-1,-34-1 233,67 8 0,-26 8-49,-44-7-113,0-2-1,63 2 1,-89-8-250,-5 0 8,1-1-1,-1 1 1,0 0-1,0 1 1,0-1-1,1 1 1,-1-1 0,0 1-1,0 1 1,0-1-1,0 0 1,0 1-1,4 3 1,-8-5-15,1 0 0,-1 0 0,0 0 0,1 0 0,-1 1 0,1-1 0,-1 0 0,0 0 0,1 0 1,-1 0-1,1 0 0,-1 0 0,1 0 0,-1 0 0,0 0 0,1 0 0,-1 0 0,1-1 0,-1 1 0,0 0 0,1 0 0,-1 0 0,0 0 0,1-1 0,-1 1 1,0 0-1,1 0 0,-1-1 0,0 1 0,1 0 0,-1 0 0,1-1 0,12-15-431,-1 3-1229,-7 12 1136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05.23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0 287 12928,'0'0'2304,"4"0"-2048,5 0-99,21 0 293,-28 0-404,-1 0 0,0 0 0,1 1 0,-1-1-1,1 0 1,-1 0 0,0 1 0,1-1 0,-1 1 0,0-1-1,0 1 1,1 0 0,-1 0 0,0-1 0,0 1-1,2 2 1,-3-1 6,-1 0 1,1 0-1,0 0 0,-1 0 0,1 0 0,-1 0 1,0 0-1,0 0 0,0 0 0,0 0 1,0 0-1,0-1 0,0 1 0,-1 0 0,1-1 1,-3 3-1,-6 12 233,7-9-203,2 0 0,-1 0 0,1 1-1,0-1 1,0 0 0,1 1 0,0-1-1,1 10 1,12 65 256,-6-43-153,23 97 243,-17-81-237,9 69 1,-15-43-85,-3-25 14,2 1-1,15 57 1,-18-97-84,-2-14-21,-1-1 1,0 1-1,1 0 0,0-1 1,-1 1-1,1 0 0,0-1 1,1 1-1,-1-1 1,0 0-1,1 1 0,-1-1 1,1 0-1,0 0 0,3 4 1,-5-6-11,0 0 1,1 0 0,-1 1 0,0-1 0,1 0-1,-1 0 1,0 0 0,1 1 0,-1-1 0,1 0-1,-1 0 1,1 0 0,-1 0 0,0 0 0,1 0-1,-1 0 1,1 0 0,-1 0 0,1 0 0,-1 0-1,0 0 1,1 0 0,-1 0 0,1 0 0,-1-1-1,1 1 1,-1 0 0,0 0 0,1 0 0,-1-1-1,0 1 1,1-1 0,10-15 141,0-24-16,-10 36-124,9-41 173,21-57 0,-18 62-150,-2 0 0,8-57 0,-13 61 5,1 0-1,2 1 1,19-50-1,-18 63-4,62-160 343,-60 149-240,1 0-1,2 1 0,29-47 1,-20 46-1,-22 31-126,-1 0-1,1 0 1,-1 0 0,1 1 0,0-1-1,-1 1 1,1-1 0,0 1 0,0 0 0,0-1-1,0 1 1,0 0 0,1 0 0,2 0-1,-3 1-152,0 1-1,1-1 0,-1 1 1,0 0-1,0 0 0,0 0 1,0 0-1,0 0 0,0 1 1,0-1-1,2 3 0,19 18-5132</inkml:trace>
  <inkml:trace contextRef="#ctx0" brushRef="#br0" timeOffset="1353.47">952 276 17791,'0'0'128,"-1"-5"64,0-4 368,-1 0 0,0 1 0,-7-18 0,9 26-546,0 0-1,-1 0 1,1 0-1,0 0 1,0-1-1,0 1 1,0 0-1,0 0 0,-1 0 1,1 0-1,0 0 1,0-1-1,0 1 1,-1 0-1,1 0 1,0 0-1,0 0 0,0 0 1,-1 0-1,1 0 1,0 0-1,0 0 1,-1 0-1,1 0 1,0 0-1,0 0 0,0 0 1,-1 0-1,1 0 1,0 0-1,0 0 1,0 0-1,-1 0 1,1 1-1,0-1 0,0 0 1,0 0-1,-1 0 1,1 0-1,0 0 1,0 1-1,0-1 1,0 0-1,0 0 0,-1 0 1,1 0-1,0 1 1,0-1-1,0 0 1,0 0-1,0 0 1,0 1-1,0-1 1,0 0-1,0 0 0,0 0 1,0 1-1,0-1 1,0 0-1,0 1 1,-6 13 171,5-14-145,-10 32 242,2 2 0,0-1 1,-6 66-1,3 106-163,8-90 41,-22 124 71,23-220-228,-1 29-3,2 65 0,3-71 0,-1-39 15,0-1 0,0 1-1,0-1 1,0 1 0,-1-1-1,1 1 1,-1-1 0,1 1-1,-1-1 1,0 1 0,0-1-1,0 0 1,0 1 0,0-1-1,-4 4 1,5-39 134,5 1-167,2 0-1,1 0 0,13-34 1,-8 25-190,11-53 0,6-119-580,-1 4 274,-18 154 370,-1 1 107,-2 1 0,2-64-1,-10 113 75,0-1-1,-1 1 1,1 0 0,-1 0-1,0 0 1,1-1-1,-2 1 1,1 0-1,0 0 1,-1 0 0,0 1-1,0-1 1,-3-5-1,4 9-21,1 0 0,0 0 0,0 0-1,0 0 1,0 0 0,0 0 0,0 0-1,0 0 1,0 0 0,0 0 0,0 0 0,0 0-1,0 0 1,0 0 0,-1 0 0,1 0-1,0 0 1,0 0 0,0 0 0,0 0-1,0 0 1,0 0 0,0 0 0,0 0 0,0 0-1,-1 0 1,1 0 0,0 0 0,0 0-1,0 0 1,0 0 0,0 0 0,0 0-1,0 0 1,0 0 0,0 0 0,0 0-1,0 0 1,-1 0 0,1 0 0,0 0 0,0 0-1,0 0 1,0 0 0,0 1 0,0-1-1,0 0 1,0 0 0,0 0 0,0 0-1,0 0 1,0 0 0,0 0 0,0 0 0,0 0-1,0 0 1,0 1 0,0-1 0,0 0-1,0 0 1,0 0 0,0 0 0,0 0-1,0 0 1,0 0 0,0 0 0,0 0-1,0 0 1,0 1 0,-1 13 306,1-9-309,0-1 1,1 1-1,-1 0 1,1 0-1,2 5 1,2 0 29,0 0 1,12 16 0,5 8 42,13 37-72,33 98 0,-11-23-18,7-3 93,33 79 80,-92-209-134,-1 0-1,-1 1 1,0-1-1,-1 1 1,0 0-1,-1 26 1,-1-39-34,0 1 0,0-1 0,0 0 0,0 0 0,1 0 0,-1 0 0,0 1 0,1-1 0,-1 0 0,1 0 0,-1 0 0,1 0 0,-1 0 0,1 0 0,-1 0 0,1 0 0,0 0 0,0 0 0,0-1 0,-1 1 0,1 0 0,0 0 0,0-1 0,0 1 0,0 0 0,0-1 0,0 1 0,1-1 0,-1 0 0,0 1 0,2-1 0,-2 0-171,7-7-2858,-5 4 2623,0-1 1,0 0-1,0-1 1,3-7-1,4-7-2579</inkml:trace>
  <inkml:trace contextRef="#ctx0" brushRef="#br0" timeOffset="1854.28">922 806 19327,'0'0'1430,"5"-2"-1217,35-17 135,0 2 1,53-15-1,-83 30-306,-1 0-1,0 1 0,0 0 1,1 0-1,-1 1 0,1 0 1,16 3-1,3 2 92,31 11 1,-56-15-328,1 1 0,-1 0 0,0 0 0,-1 0 1,1 1-1,0-1 0,-1 1 0,1 0 0,-1 0 0,0 0 1,0 1-1,0-1 0,-1 1 0,4 4 0,8 11-2424,9 8-8709</inkml:trace>
  <inkml:trace contextRef="#ctx0" brushRef="#br0" timeOffset="2545.5">1657 201 21119,'-5'43'198,"3"0"1,1 0-1,2 0 0,3 0 0,1-1 0,15 63 0,64 273 79,-66-263-277,-15-91 0,-3-23 0,7 31-98,-7-30 90,0-1-1,0 1 1,1-1 0,-1 1-1,1-1 1,-1 0 0,1 1 0,0-1-1,0 0 1,0 1 0,-1-1-1,1 0 1,0 0 0,0 0-1,1 0 1,-1 0 0,0 0 0,2 1-1,-3-2-3,1 0-1,-1 0 0,1 0 1,-1 0-1,1 0 0,-1-1 0,0 1 1,1 0-1,-1 0 0,1-1 1,-1 1-1,1 0 0,-1 0 1,0-1-1,1 1 0,-1 0 0,0-1 1,1 1-1,-1-1 0,0 1 1,1-1-1,-1 1 0,0 0 1,0-1-1,0 1 0,1-1 0,-1 1 1,0-1-1,0 1 0,0-1 1,0 1-1,0-1 0,0 1 1,0-2-1,3-24-445,-2 21 315,34-270-9009,-29 217 1046</inkml:trace>
  <inkml:trace contextRef="#ctx0" brushRef="#br0" timeOffset="3869.33">1686 317 14720,'11'27'26,"-9"-17"20,-2-10-45,0 0 1,0 0-1,0 0 1,0 0-1,0 0 1,0 0-1,0-1 1,0 1-1,0 0 1,0 0 0,0 0-1,0 0 1,0 0-1,0 0 1,0 0-1,0 0 1,0 0-1,-1 0 1,1 0-1,0 0 1,0 0 0,0 0-1,0 0 1,0 0-1,0 0 1,0 0-1,0 0 1,0 0-1,0 0 1,0 0-1,0 0 1,0 0 0,0 0-1,0 0 1,-1 0-1,1 0 1,0 0-1,0 0 1,0 0-1,0 0 1,0 0 0,0 0-1,0 0 1,0 0-1,0 0 1,0 0-1,0 0 1,0 0-1,0 0 1,-87-119 2686,86 119-2652,1-1-1,0 1 1,-1 0 0,1-1 0,0 1-1,0 0 1,-1-1 0,1 1 0,0 0-1,0-1 1,-1 1 0,1-1 0,0 1 0,0 0-1,0-1 1,0 1 0,0-1 0,-1 1-1,1-1 1,0 1 0,0-1 0,0 1-1,0 0 1,0-1 0,1 1 0,-1-1-1,0 1 1,0-1 0,0 1 0,0-1-1,0 1 1,1 0 0,-1-1 0,0 1 0,0-1-1,1 1 1,-1 0 0,0-1 0,0 1-1,1 0 1,-1-1 0,1 1 0,20-9 1279,-12 6-1267,0-1 30,0 1 0,0 0 1,0 0-1,0 1 0,1 0 0,-1 1 1,0 0-1,1 0 0,-1 1 0,1 0 0,-1 1 1,1 0-1,-1 0 0,15 5 0,128 46 464,-128-42-475,-2 1-1,0 1 1,0 1-1,26 21 1,-44-31-59,-1 0-1,0 0 1,0 0-1,-1 1 1,1-1 0,-1 1-1,1-1 1,-1 1-1,0 0 1,-1 0 0,1 0-1,-1 0 1,1 0-1,-1 1 1,-1-1 0,1 0-1,0 7 1,-1 5 25,0 0 1,-2 0 0,-4 22 0,4-22-29,0-8 11,1-1-1,-1 1 0,-1-1 1,1 0-1,-1 1 0,-1-1 1,-4 7-1,6-10-5,0-1 1,-1 0-1,1 1 0,-1-1 1,0 0-1,0-1 0,0 1 0,0 0 1,0-1-1,0 0 0,-1 1 1,0-1-1,1-1 0,-8 4 1,7-5-3,0 1 0,-1-1 0,1 0 0,0-1 0,0 1 0,0 0 0,-1-1 0,1 0 0,-6-2 0,-22-3 18,31 6-26,0 1 0,1-1 0,-1 0 0,0 1 0,0-1 0,1 1 0,-1-1 0,0 1 0,1-1 0,-1 1 0,1 0 0,-1-1 0,1 1 0,-1 0 0,1 0 0,-1-1 0,1 1 0,-1 0 0,1 0 0,0-1 0,-1 2 0,1-1 0,-2 1 0,0 0 0,0 0 0,0-1 0,0 1 0,-1 0 0,1-1 0,0 0 0,-1 1 0,1-1 0,-1 0 0,0 0 0,1-1 0,-1 1 0,0 0 0,0-1 0,1 0 0,-1 1 0,0-1 0,-4-1 0,2 1 0,1 0 0,-1 1 0,0 0 0,1-1 0,-8 4 0,-27 0-256,44 5 256,-5-9 0,0 1 0,1 0 0,-1-1 0,0 1 0,1 0 0,-1-1 0,0 1 0,1-1 0,-1 1 0,1-1 0,-1 1 0,1-1 0,-1 1 0,1-1 0,-1 1 0,1-1 0,0 0 0,-1 1 0,1-1 0,0 0 0,-1 0 0,1 1 0,0-1 0,-1 0 0,1 0 0,0 0 0,-1 0 0,1 0 0,0 0 0,5 2 8,-1-1 0,-1 1 0,1 1 0,0-1 0,0 0 0,-1 1 0,0 0 0,1 0 0,-1 1 0,0-1 0,-1 1 0,6 6-1,14 12 18,46 32 38,29 28 138,-87-71-184,0 0 0,-1 1 1,-1 0-1,0 0 0,-1 1 0,10 20 0,8 19 52,11 24 140,15 36 25,-52-110-230,1 0 0,0-1-1,-1 1 1,1-1 0,0 1-1,0-1 1,1 1 0,-1-1-1,0 1 1,0-1-1,1 0 1,-1 0 0,0 0-1,1 0 1,-1 0 0,1 0-1,0 0 1,-1 0 0,1-1-1,0 1 1,-1-1 0,1 1-1,0-1 1,-1 1 0,1-1-1,0 0 1,0 0 0,0 0-1,-1 0 1,1 0 0,0-1-1,0 1 1,0 0 0,1-1-1,-1-1-411,0 1-1,0 0 1,0-1-1,0 1 1,0-1-1,0 0 1,0 1-1,-1-1 1,1 0-1,-1 0 1,3-4-1</inkml:trace>
  <inkml:trace contextRef="#ctx0" brushRef="#br0" timeOffset="5513.77">2147 1 20351,'0'0'128,"5"3"0,9 3-42,-1 0-1,1-1 0,1 0 1,-1-1-1,29 4 0,29 1 157,-46-4-147,0-2-1,1-1 0,32-1 0,155-11 546,-209 10-599,-1 1 0,1 0 0,-1 0 0,1 0 0,-1 0 0,7 4 0,-9-5-29,-1 0-4,-1 0 0,1 0 1,-1 0-1,1 1 1,-1-1-1,0 0 1,1 0-1,-1 0 0,1 0 1,-1 1-1,0-1 1,1 0-1,-1 0 1,1 0-1,-1 1 0,0-1 1,1 0-1,-1 1 1,0-1-1,0 0 1,1 1-1,-1-1 1,0 1-1,0-1 0,1 0 1,-1 1-1,0-1 1,0 1-1,0-1 1,0 1-1,-12 9 221,12-8-229,0-1 0,0 0 0,0 0 0,1 1 0,-1-1 0,0 0 0,1 0 0,-1 0 0,1 1-1,0-1 1,-1 0 0,1 0 0,0 0 0,-1 0 0,1 0 0,0 0 0,1 1 0,2 4 23,-3-2-9,0 1 0,-1-1 1,0 1-1,0-1 1,0 0-1,0 1 0,-1-1 1,1 0-1,-3 7 1,-1 11 54,3-14-63,-4 41 130,2 82-1,20 363-113,-16-471-6,1 28 29,12 59 0,-8-67 119,-2 1-1,-1 56 1,1-82-141,-4-17-23,1 0 0,-1 1 0,1-1 0,-1 0 0,1 0 0,-1 1-1,0-1 1,0 0 0,0 1 0,0-1 0,0 1 0,0-1 0,0 0 0,0 1 0,0-1 0,-1 0 0,1 1-1,-1-1 1,0 2 0,-2 4 0,0 0 0,0 1 0,1-1 0,-1 1 0,2 0 0,-1 0 0,1 0 0,0 0 0,1 0 0,0 0 0,0 0 0,1-1 0,0 1 0,4 15 0,-4-5 0,-2-16 0,1 0 0,0 0 0,0-1 0,0 1 0,0 0 0,1 0 0,-1 0 0,1-1 0,-1 1 0,1 0 0,0 2 0,0-2 0,0-1 0,-1 1 0,1-1 0,0 0 0,0 1 0,0-1 0,0 0 0,0 0 0,0 0 0,0 1 0,0-1 0,0 0 0,0 0 0,2 0 0,1 1 0,-2-1 0,-6 0 0,-1 1 0,2-1 0,3-1 0,0 0 0,0 1 0,0-1 0,0 0 0,0 0 0,0 0 0,0 0 0,0 1 0,-1-1 0,1 0 0,0 0 0,0 0 0,0 0 0,0 0 0,0 1 0,0-1 0,0 0 0,-1 0 0,1 0 0,0 0 0,0 0 0,0 0 0,0 0 0,0 1 0,-1-1 0,1 0 0,0 0 0,0 0 0,0 0 0,0 0 0,-1 0 0,1 0 0,0 0 0,0 0 0,0 0 0,-1 0 0,1 0 0,0 0 0,0 0 0,0 0 0,0 0 0,-1 0 0,1 0 0,0 0 0,0 0 0,0-1 0,0 1 0,-1 0 0,1 0 0,0 0 0,0 0 0,0 0 0,0 0 0,0 0 0,0-1 0,-1 1 0,1 0 0,0 0 0,-11-5 0,-19 22 22,-78-9 84,45-5-141,0 4-1,-77 17 1,115-18-15,12-3-631,0 0-1,1 1 1,0 0 0,-17 9 0,16-7-2562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20.00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21 296 20479,'0'0'-362,"8"0"191,59 1 332,97-2 446,-135-1-528,0 2 1,1 0-1,-1 2 0,0 1 0,0 2 0,47 12 1,-67-14-40,-8-3-33,1 0 0,-1 0 0,0 1 0,1-1 0,-1 1 0,0-1 0,1 1 0,-1-1-1,0 1 1,0 0 0,1 0 0,-1-1 0,0 1 0,0 0 0,0 0 0,0 0 0,0 0 0,0 1 0,-1-1 0,1 0 0,0 0 0,0 0 0,-1 1 0,1-1 0,-1 0-1,1 1 1,-1 1 0,1 1-113,19-14-1964,-7 0-873</inkml:trace>
  <inkml:trace contextRef="#ctx0" brushRef="#br0" timeOffset="515.29">1 65 17023,'0'0'-128,"3"-4"22,4-6 113,-1 2 82,-1-1 0,1 0 0,6-14-1,-12 23-74,0-1-1,0 1 1,0 0-1,1 0 1,-1 0-1,0 0 1,0 0-1,0 0 1,0 0-1,0 0 1,1 0-1,-1 0 1,0 0-1,0 0 1,0 0-1,0 0 1,1 0-1,-1 0 1,0 0-1,0 0 1,0 0-1,0 0 1,1 0-1,-1 0 1,0 0-1,0 0 1,0 0-1,0 0 1,1 0-1,-1 0 1,0 0-1,0 1 1,0-1-1,0 0 1,0 0-1,0 0 1,0 0-1,1 0 0,-1 0 1,0 1-1,0-1 1,0 0-1,0 0 1,0 0-1,0 0 1,0 0-1,0 1 1,0-1-1,0 0 1,0 0-1,0 0 1,0 1-1,5 8 275,-3-4-178,1 0 0,-1 0 0,1 0-1,0 0 1,0 0 0,1 0 0,-1-1 0,1 0-1,0 1 1,0-2 0,1 1 0,-1 0 0,1-1-1,8 5 1,6 2 266,1 0-1,33 9 0,-25-9-161,-16-7-136,0 0-1,0-1 1,1 0 0,-1-1 0,0-1 0,1 0-1,-1-1 1,1 0 0,-1-1 0,14-3 0,40-3 4,-11 2-641,-27 1-2466,20-5-9582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35.76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930 970 21759,'0'0'384,"-7"0"-256,-83-1 226,-152 4 594,226-1-894,0 0 0,0 2 0,1 1 0,-1-1 0,1 2 0,0 0 0,0 1 0,1 1 0,0 0 0,-21 15 0,11-3-2,0 1-1,1 2 1,1 0 0,-27 38 0,44-54-42,0 2 0,0-2 0,1 1 0,0 1-1,1-1 1,-1 1 0,2-1 0,-1 1 0,1 0 0,0-1 0,1 2 0,0-1 0,0-1 0,1 2-1,0-1 1,1 1 0,0-2 0,0 1 0,1 1 0,0-2 0,1 2 0,0-3 0,0 1 0,0 1 0,1-1-1,0 1 1,10 12 0,4 2-10,1-2 0,1-2 0,1 1 0,1-1 0,0-1 0,1 0 0,1-3 0,1-1 0,0 0 0,33 12 0,-17-11 14,-22-9 5,-1 0 0,1 1 1,-2 1-1,1 1 1,-1 1-1,22 15 1,-37-22-3,1 0 0,0 0 0,-1 1 0,1 0 0,-1-1 0,0 1 0,0 0 0,0 0 0,-1-1 0,1 2 0,-1-1 0,0 0 0,0 0 0,0 0 0,-1 2 0,1-2 0,-1 0 0,0 0 0,0 0 0,-1 1 0,1-1 0,-1 0 0,0 1 0,-3 6 0,0 2 13,0 0 1,-2 0 0,0 0 0,0 0-1,-1-1 1,-12 15 0,-29 33 114,-2-3 0,-2-2 0,-3-4 0,-82 62 0,110-93-188,-2-1 1,0-1-1,-1-1 0,-1-1 1,0-3-1,-1-2 0,0 0 1,-1-1-1,-34 3 0,57-13-962,8-5 1,12-12-1985,-4 9 670</inkml:trace>
  <inkml:trace contextRef="#ctx0" brushRef="#br0" timeOffset="466.33">1625 1617 25087,'-28'3'0,"-15"1"0,46 8 0,21 2 0,-4 17 0,5 11 0,-9-10 0,-7 1 0,-4-2 0,-6-1-128,-3-8 0,1-7-1536,10-4 0,2-8 384,3-8 128</inkml:trace>
  <inkml:trace contextRef="#ctx0" brushRef="#br0" timeOffset="1349.84">3004 1422 22399,'-37'15'22,"36"-15"-18,0 1-1,1-1 1,-1 0 0,0 0 0,0 0 0,0 0 0,1 0 0,-1 0 0,0 0 0,0 0 0,0 0-1,1 0 1,-1 0 0,0 0 0,0-1 0,1 1 0,-1 0 0,0 0 0,0-1 0,1 1 0,-1-1 0,0 1-1,1-1 1,-1 0 0,-10-17 37,10 16-31,1 0 0,-1 0 0,0 0-1,0 0 1,0-1 0,0 2 0,-1-1-1,1 0 1,0 1 0,-1-1 0,-2 0 0,-5-3 21,-2-1 1,1 2 0,0 0 0,-1 0 0,0 1 0,-18-2-1,5 0 23,-1 3 0,-26 1 0,29 3-7,0 1 0,0 2-1,0 0 1,1 0 0,0 2 0,0 2 0,0-2 0,1 4 0,-36 22 0,54-32-46,0 0 0,0 1 1,0-1-1,0 0 0,1 2 0,-1-1 1,0-1-1,1 1 0,-1 0 1,1 0-1,-1 0 0,1 0 0,0 0 1,0 0-1,0 0 0,-1 5 0,1-5 0,1 0-1,0 0 0,0 0 1,0 0-1,0 0 0,1 0 1,-1 0-1,0 1 0,1-1 1,-1-1-1,1 1 0,0 0 1,0 0-1,0-1 0,2 4 1,2 2-2,0-1 0,0 0 1,1 0-1,0 1 1,1-2-1,-1 0 0,1 0 1,7 4-1,103 50 1,-10-4 0,-90-46 0,-1 3 0,0-2 0,-1 3 0,15 13 0,-25-21 13,-1 0 0,0 0 0,0 0-1,0 0 1,-1 2 0,1-2 0,-1 1 0,-1 0-1,1 0 1,-1 0 0,0 1 0,0-1 0,-1 1-1,0-1 1,0-1 0,0 3 0,-1-2 0,0 1-1,0 0 1,-1-1 0,0 1 0,0-1 0,0 1-1,-1-1 1,0 0 0,0 1 0,0-1 0,-1 0-1,-4 9 1,-14 13 94,-1 1 0,-1 0-1,-1-3 1,-2-1 0,-53 42-1,53-47-33,0-2 1,-1-1-1,-1-2 0,-1 0 0,0-3 0,-61 20 0,86-30-173,0-1-1,0-1 1,-1 1-1,1 0 1,0-1 0,0 0-1,-1 0 1,1-1-1,0 1 1,-1-1-1,-6-2 1,9 2-87,0 0 0,0 0 0,1 0 0,-1 0 0,0 0 0,1 0 0,-1-2 0,1 2 0,0-1 0,-1 1-1,1-1 1,0 1 0,0-1 0,0 0 0,0 0 0,0 1 0,1-1 0,-1 0 0,0-1 0,1 1 0,-1 0 0,1 0 0,0 0 0,0 0 0,0 0 0,0 0 0,0-2 0</inkml:trace>
  <inkml:trace contextRef="#ctx0" brushRef="#br0" timeOffset="1711.4">3464 1832 24191,'-12'18'25,"1"2"0,0-2 0,2 3 0,0 0 0,-11 36 0,12-32 56,3-13-75,1 0 0,1 1 1,-3 17-1,5-25 16,-2 26-283,3-31 241,0 1 0,0-1 0,0 0 0,0 1 0,0-1 0,1 0 0,-1 1 0,0-1 0,0 0 1,0 1-1,0-1 0,0 0 0,0 1 0,1-1 0,-1 0 0,0 1 0,0-1 0,1 0 0,-1 1 1,0-1-1,0 0 0,1 0 0,-1 1 0,0-1 0,1 0 0,-1 0 0,0 0 0,1 0 1,-1 1-1,0-1 0,1 0 0,-1 0 0,0 0 0,1 0 0,-1 0 0,0 0 0,1 0 0,-1 0 1,1 0-1,-1 0 0,0 0 0,1 0 0,-1 0 0,0 0 0,1 0 0,-1-1 0,0 1 0,1 0 1,-1 0-1,0 0 0,1 0 0,-1-1 0,0 1 0,1 0 0,-1 0 0,0-1 0,0 1 0,1 0 1,-1 0-1,0-1 0,0 1 0,1-1 0,3-3-261,0-1 0,0 0 0,-1 0 0,1 1 0,-1-1 0,0-1 0,0 0 0,-1 1 0,1-1 0,1-7 0,3-5-489,17-48-2366,17-70 0,-19 49-5333</inkml:trace>
  <inkml:trace contextRef="#ctx0" brushRef="#br0" timeOffset="1914.21">3602 1053 16128,'-2'-37'614,"0"-1"1,7-55 0,-1-6 1892,-6 83-1627,-4 22-135,-6 29-36,10-29-781,-4 12-36,1-2 0,1 3 1,-2 23-1,1 31-3941,3-15-8324</inkml:trace>
  <inkml:trace contextRef="#ctx0" brushRef="#br0" timeOffset="2486.17">3889 1659 24063,'8'30'0,"-2"0"0,0-1 0,-2 2 0,-1 0 0,-2-1 0,0 1 0,-5 41 0,3-64 0,4-7 0,2-6 0,-4 4 0,6-9 0,-1-2 0,10-20 0,8-18 0,22-43 0,-37 71 0,2-1 0,0 1 0,1 0 0,21-26 0,38-32 0,-63 73 0,-1 0 0,2 0 0,-1 1 0,1 1 0,0 0 0,0-1 0,18-6 0,-23 11 0,0 0 0,-1 1 0,1-1 0,0 1 0,-1 0 0,1 0 0,0 1 0,-1-1 0,1 1 0,-1 0 0,1-1 0,0 2 0,-1-1 0,0 0 0,1 1 0,-1-1 0,0 1 0,0 0 0,0 0 0,0 2 0,0-2 0,0 0 0,-1 1 0,1 0 0,4 4 0,3 8 0,1 1 0,-2 0 0,15 32 0,-8-12-49,-2 3 0,-1 0 0,-2 0 0,-1 1 0,-2-1 0,-2 2 0,-1 1 0,-3-2 0,-4 79 0,1-108-961,-1-11 363,-4-16-811,3 4-483,-10-21-10688</inkml:trace>
  <inkml:trace contextRef="#ctx0" brushRef="#br0" timeOffset="3153.87">5494 475 21759,'-25'34'0,"23"-32"21,1-1-1,-1 0 0,1 1 0,-1-1 1,0 0-1,0 0 0,0 0 1,1 1-1,-1-1 0,0-1 0,0 1 1,-3 0-1,-16 7 207,-12 13-115,0 1 1,1 2-1,2 0 1,0 3-1,1 2 0,2 0 1,1 0-1,1 3 0,-30 50 1,25-29 41,4-1 0,1 4 0,3-2 0,2 3 0,-24 107 0,28-86-23,3-2 1,3 2 0,4 1-1,3-1 1,11 131-1,0-144-94,1-2-1,4-1 1,2 1 0,3-3-1,2 1 1,40 83-1,-45-119-30,0 0 1,2-1-1,0-1 0,1-1 0,2 0 0,32 28 0,4-5-273,84 55 1,-129-93-167,-1 0 1,1-1-1,1 0 1,-1-2-1,16 7 1,-22-10 157,-1 0-1,0-1 1,0 1-1,1-1 1,-1 1-1,0-2 1,0 1-1,1 0 1,-1-1-1,0 0 1,0 1-1,0-2 0,1 1 1,-1 0-1,0-1 1,-1-1-1,1 1 1,6-4-1</inkml:trace>
  <inkml:trace contextRef="#ctx0" brushRef="#br0" timeOffset="4084.71">6109 707 18175,'-1'3'-1,"-1"0"-1,1 0 1,-1 1-1,0-1 0,0-1 1,0 0-1,-3 3 0,5-5 3,0 1 0,-1-1 0,1 0 0,0 0 0,-1 1 0,1-1 0,0 0-1,-1 0 1,1 0 0,-1 0 0,1 0 0,0 1 0,-1-1 0,1 0 0,-1 0 0,1 0-1,-1 0 1,1 0 0,0 0 0,-1 0 0,1 0 0,-1 0 0,1-1 0,-1 1-1,0-1 10,0 1-1,0-1 1,0 0-1,1 0 0,-1 1 1,0-1-1,1 0 0,-1 0 1,0 0-1,1 0 0,-1 1 1,1-1-1,-1 0 0,1-2 1,-5-13 168,5 14-85,0 1 0,0 0-1,-1-1 1,1 0 0,0 0-1,-1 1 1,1 0-1,-1 0 1,0-1 0,1 1-1,-1 0 1,-1-1 0,1 1-57,0 1 0,0 0 0,1 0 0,-1-1 0,0 1 0,0 0 0,0 0 0,0 0 0,0 0 0,0 0 0,0 0 0,0 0 0,1 0 0,-1 1 0,0-1-1,0 0 1,0 1 0,0-1 0,0 0 0,1 1 0,-1-1 0,0 1 0,0-1 0,-1 2 0,-8 5 81,0 1 0,0 0 0,1 2 0,-1-3-1,2 2 1,0 2 0,0-1 0,0 1 0,1-1 0,1 2-1,-6 13 1,-2 5 39,1 3 1,2 0-1,-7 34 0,1 12 64,3 0 1,-5 110-1,18-146-169,1-1 1,2 0-1,2 1 0,13 61 0,-14-93-51,0-2 0,0 2 0,1-1 0,1 1 0,0-2 0,0 2 0,1-2 0,0-1 0,0 2 0,1-2 0,13 13 0,-15-17 0,-1 1 0,1-1 0,0-1 0,0 1 0,1-1 0,-1-1 0,1 1 0,-1 0 0,1-1 0,0 0 0,0 0 0,0-1 0,0 0 0,0 0 0,0-1 0,0 1 0,0-1 0,0-1 0,0 1 0,0-1 0,10-3 0,-1 0 0,-1-3 0,0 1 0,0-1 0,-1-1 0,0 1 0,0-1 0,-1-2 0,0 0 0,-1-1 0,0 1 0,17-23 0,4-10 0,-2-3 0,26-50 0,-21 33 0,-2 5 15,-2-1 0,-3-2-1,21-68 1,-37 91-2,-1 0 0,-2-2 0,-2 2 0,-2-3 0,-1 2 0,-1-64 0,-4 92 29,0 0 1,-1 0 0,0 1-1,-4-16 1,5 26-40,1-1-1,0 1 1,0-1 0,-1 0-1,1 1 1,0-1 0,-1 1-1,1-1 1,0 1 0,-1 0 0,1-1-1,-1 1 1,1-2 0,-1 2-1,1 0 1,-1-1 0,1 1-1,-1 0 1,1 0 0,-1-1-1,1 1 1,-1 0 0,0 0 0,1 0-1,-1 0 1,1 0 0,-2-1-1,-20 7 48,-17 16-4,26-11-4,0 1 1,1-2 0,0 3 0,1 0 0,-18 28-1,9-7 22,-26 54 0,28-44-27,2 1 0,-21 90 0,-2 98 65,22-101-25,2 169 1,16-223-48,3 1 1,4 0 0,25 114-1,-29-178-191,-1-1 0,2-1 0,0-1 0,1 1 0,0 0 0,0 0 0,2-1 1,-1 0-1,1-1 0,18 18 0,-11-15-641,0 0 1,1-2-1,0 0 1,0-2-1,1 1 1,34 13-1,-22-12-11144</inkml:trace>
  <inkml:trace contextRef="#ctx0" brushRef="#br0" timeOffset="4713.89">6756 131 23167,'54'18'0,"-55"-18"3,1 1-1,-1-1 1,1 1-1,-1-1 1,1 1 0,0 0-1,-1-1 1,1 1-1,0-1 1,0 1-1,-1 0 1,1-1-1,0 1 1,0 0 0,0-1-1,0 1 1,0-1-1,0 1 1,0 0-1,0-1 1,0 1-1,0 1 1,2 21 88,2-12-61,1-2 0,0 1 0,0 0 0,1 0 1,0-2-1,14 16 0,6 9 15,39 64 13,-5 4 1,-3 0 0,43 113-1,-41-75 121,76 277 0,-121-352-95,-2 2 1,4 93 0,-14-110-58,-3-1 0,-2 1 0,-1-2 0,-13 54 0,1-35 48,-2-1 0,-3 0 1,-3-2-1,-56 108 0,56-129-308,-2 0-1,-1-3 0,-2 0 0,-2 0 1,-1-3-1,-2-2 0,-48 40 1,76-70-200,-16 10-642,22-13 893,-1-1 0,0 0 0,0 1 0,0-1 0,0 0 0,0 0 0,0 0 0,1 0 0,-1 0 0,0 0 0,0 0 0,0 0 0,0 0 0,0 0 0,0-1 0,1 1-1,-1 0 1,0-1 0,0 1 0,0 0 0,1-1 0,-1 1 0,0-1 0,-1 0 0</inkml:trace>
  <inkml:trace contextRef="#ctx0" brushRef="#br0" timeOffset="5262.71">7833 1727 24319,'44'6'1,"1"3"-1,-1 1 0,0 3 1,46 19-1,65 18-23,-134-44-10,1 0-530,30 4 1,-45-9-67,-1 0 0,0-1 1,0 0-1,0-1 0,1 1 1,-1-1-1,0-1 0,0 0 1,11-3-1</inkml:trace>
  <inkml:trace contextRef="#ctx0" brushRef="#br0" timeOffset="5510.81">7826 1230 24831,'0'0'0,"49"37"0,-11-17 128,10 0-128,5 1 128,4 1-128,4-1 0,0 1-512,1-6 128,3-8-640,-12-8 0,-1 0-14847</inkml:trace>
  <inkml:trace contextRef="#ctx0" brushRef="#br0" timeOffset="7165.25">8766 754 23679,'13'-8'0,"1"0"0,0 1 0,0 1 0,0 1 0,1 0 0,0 1 0,0 0 0,0 1 0,1 1 0,-1 1 0,29 0 0,-4 4 0,-1 1 0,1 2 0,54 16 0,-67-14 0,-1 1 0,0 1 0,0 2 0,31 18 0,-46-22 0,1-1 0,-1 1 0,-1 1 0,1-1 0,-1 2 0,-1-1 0,1 1 0,-2 2 0,0-2 0,0 2 0,7 13 0,-11-14 0,0-1 0,-1 2 0,0-1 0,-1 1 0,0-1 0,0 1 0,-1 0 0,-1 0 0,0-1 0,0 2 0,-1-3 0,-1 2 0,0-1 0,-5 19 0,-4 4 0,-1 0 0,-1-1 0,-25 44 0,1-13 0,-85 110 0,60-92 0,-28 41 0,-111 161 0,195-275 5,0 2-1,1-2 1,1 0 0,-1 2-1,2-1 1,-1 1-1,1 0 1,1 0-1,0 0 1,1 1 0,-1-1-1,2 0 1,0 12-1,1-15 0,0 2 0,1-2 0,0 2-1,0-2 1,1 0 0,0 1 0,0-1-1,1 0 1,0 0 0,0 0 0,1-2-1,0 2 1,0-1 0,1-1 0,-1 2 0,10 6-1,0-1-25,1-2 0,0 0 0,0-1 1,1 0-1,1-1 0,-1-2 0,1 0 0,33 9 0,-26-11-91,1-1 0,0-1 0,0-1 0,0-1 1,50-5-1,-63 2-735,1-1 1,-1 0 0,1-1 0,-1-1 0,0 0-1,17-11 1,30-10-10395</inkml:trace>
  <inkml:trace contextRef="#ctx0" brushRef="#br0" timeOffset="7929.02">10094 747 23423,'-8'4'0,"1"0"0,0 0 0,0 1 0,-1-2 0,1 0 0,-1 0 0,0-1 0,0 0 0,0 0 0,-9 0 0,1-1-17,0 1 0,1 2 0,-1 0 0,1 0-1,0 1 1,0 0 0,1 2 0,-25 14 0,13-6-41,1 3 1,0 1 0,-33 33-1,48-43 20,2-1 1,0 2-1,0 0 0,0 1 0,1-1 0,1 2 0,0-2 1,0 2-1,1 0 0,1 0 0,0-1 0,-4 21 0,7-25 26,0 1-1,0 0 1,1 0-1,0-1 1,0 1-1,1 0 1,0-1-1,1 1 1,-1-2-1,1 2 0,1 0 1,-1-1-1,1-1 1,0 2-1,1-1 1,0-1-1,0 1 1,0-1-1,1 0 0,-1 0 1,12 10-1,-1-3 13,1-2 0,0 1 0,1-2 0,0 1 0,0-3 0,1 0 0,0 0 0,22 5 0,158 30 0,-165-36 0,4-1 0,1-1 0,-1 2 0,59 22 0,-92-28 7,0 1 1,1 0-1,-1 0 0,0 0 0,0 0 0,0 1 0,-1 0 0,1 0 0,-1 0 0,1 0 1,-1 0-1,0 1 0,0-1 0,0 2 0,-1-1 0,1 0 0,-1-1 0,0 1 0,0 0 1,0 1-1,-1-1 0,1 1 0,-1-1 0,0 2 0,0-2 0,-1 1 0,0-1 0,1 1 1,-1 0-1,-1 0 0,1 0 0,-2 7 0,-1 3 12,-1 1-1,-1-2 1,0 0 0,-1 1-1,-10 18 1,-46 66 95,47-77-84,-7 8 29,-1 1 0,-2-2 1,0-2-1,-2-1 0,-1 0 1,-1-1-1,-1-3 0,-36 21 0,62-41-46,-1 1 0,1-1-1,-1 0 1,1 0 0,-1-1-1,0 1 1,0-1-1,0 0 1,0 0 0,0-1-1,0 0 1,0 1 0,0-2-1,0 1 1,0 0 0,0-1-1,1 0 1,-1 0 0,0-1-1,0 1 1,0-1 0,1 0-1,-1 0 1,1-1 0,-5-4-1,3 3-2,0 0 0,1-1 1,-1 0-1,1-2 0,0 2 0,0-1 0,1-1 0,0 0 0,0 1 0,0-1 0,1-1 1,0 2-1,0-1 0,1-2 0,-3-12 0,2 1 9,1-1-1,1 0 1,1 1-1,1-1 1,1 1-1,0 0 1,2-1 0,0 0-1,11-29 1,8-13 49,51-95 0,-34 78-6,182-433-39,-177 402-25,-34 87 152,6-19-1054,-7 9-2523</inkml:trace>
  <inkml:trace contextRef="#ctx0" brushRef="#br0" timeOffset="8325.34">10463 2146 25343,'0'0'0</inkml:trace>
  <inkml:trace contextRef="#ctx0" brushRef="#br0" timeOffset="9032.17">10690 1319 23551,'5'-8'107,"50"-84"-60,-33 52 58,36-50-1,188-262 278,-117 162-231,-117 173-151,2 0 0,18-16 0,-16 16 0,-15 17 0,-1-1 0,1 0 0,-1 0 0,1 1 0,0-1 0,-1 0 0,1 1 0,0-1 0,0 1 0,0-1 0,-1 1 0,1-1 0,0 1 0,0-2 0,0 2 0,0 0 0,0 0 0,0-1 0,1 1 0,-1 1 0,0-1 0,0 2 0,-1-1 0,1 0 0,-1-1 0,1 1 0,-1 0 0,1 0 0,-1 0 0,1 0 0,-1 0 0,0-1 0,1 1 0,-1 0 0,0 0 0,0 0 0,1 0 0,-1 0 0,0 2 0,1 11 0,0 0 0,-1-2 0,0 2 0,-1-1 0,-3 18 0,-17 67 0,7-40 0,-60 464 86,34-193-44,31-269-44,-39 238-422,43-334-3754,5 20 1849,-3-19-9681</inkml:trace>
  <inkml:trace contextRef="#ctx0" brushRef="#br0" timeOffset="9739.54">11623 592 24831,'8'51'-35,"3"0"0,24 76 0,10 39 12,-29-59 27,4 165-1,-18-215 12,4 82 73,14 180 336,-15-298-313,-4-21-108,-1 0-1,0 0 0,0 1 1,0-1-1,1 0 0,-1 0 1,0 0-1,0 0 0,0 0 0,1 0 1,-1 0-1,0 0 0,0 0 1,0 0-1,1 0 0,-1 0 1,0 0-1,0 0 0,0 0 0,1 0 1,-1 0-1,0-1 0,0 1 1,0 0-1,1 0 0,-1 0 1,0 0-1,0 0 0,0 0 1,0 0-1,0-1 0,1 1 0,-1 0 1,0 0-1,0 0 0,0 0 1,0-1-1,0 1 0,0 0 1,0 0-1,0 0 0,1-1 0,-1 1 1,0 0-1,14-41 124,13-58-79,49-159 55,91-263-102,-97 346 43,-10 28 21,-53 125-53,18-47 78,2 1-1,54-97 1,-76 159-121,-3 10-80,-4 10-448,-23 73-5200,9-27-7359</inkml:trace>
  <inkml:trace contextRef="#ctx0" brushRef="#br0" timeOffset="10978.12">12549 391 23551,'-6'22'13,"0"0"-1,-1-1 0,-1 1 1,-14 25-1,-5 16 33,-9 33 147,-40 163 0,21-2-9,-48 191 61,50-232-10,107-439-2154,-26 126 990,37-124-380,52-229 744,-7 19 706,-107 424-111,28-83 376,-27 80-290,1 2 0,0-2-1,0 2 1,0 0 0,1-1-1,13-12 1,-18 20-102,-1 1-1,1-1 1,-1 1 0,1-1 0,-1 1-1,1-1 1,-1 1 0,1-1-1,-1 1 1,1 0 0,0-1-1,-1 1 1,1 0 0,0-1-1,-1 1 1,1 0 0,0 0 0,-1 0-1,1 0 1,0-1 0,0 1-1,-1 0 1,1 0 0,0 1-1,-1-1 1,1 0 0,0 0 0,-1 0-1,1 0 1,0 0 0,-1 1-1,1-1 1,0 0 0,-1 1-1,1-1 1,-1 0 0,1 1 0,0-1-1,-1 1 1,1-1 0,-1 1-1,1-1 1,-1 1 0,0-1-1,1 1 1,-1 0 0,0-1 0,1 1-1,-1 1 1,3 3 55,-1-1 1,-1 1-1,1 0 1,-1 1-1,1 7 0,9 99 429,-3 115 0,-1 10-104,54 707 268,-59-786-438,-3-100-190,3-42-33,-24-85-1621,1-9-3840,7 14-6400</inkml:trace>
  <inkml:trace contextRef="#ctx0" brushRef="#br0" timeOffset="11253.68">12182 1160 23551,'0'0'128,"19"29"0,0-20 128,3 1-128,3-2 0,4 0-128,4 1 128,2 0-128,4 0 0,3-1-256,-1-3 128,-2-1-1792,2 0 0,-4-8 896,40 4-12159</inkml:trace>
  <inkml:trace contextRef="#ctx0" brushRef="#br0" timeOffset="11742.76">13128 1215 26495,'0'0'0</inkml:trace>
  <inkml:trace contextRef="#ctx0" brushRef="#br0" timeOffset="12643.79">13990 747 22271,'-8'2'0,"0"1"0,1 0 0,-1 0 0,0 1 0,1 0 0,-1 1 0,-7 5 0,-44 43 0,19-17 0,12-13 3,3-2-13,0 1 0,-30 35-1,50-51-13,0 0 1,-1 2-1,2-1 0,-1 0 1,1 1-1,0-1 0,1 1 0,0 1 1,0-3-1,0 3 0,1-1 0,1 1 1,-1 0-1,0 12 0,2-18 6,1 0 0,-1 0 0,1 1 0,-1-1 0,1 1 0,0-1 0,0 0 0,1 0 0,-1 0 0,0 0 0,1-1 0,0 2 0,0-1 0,0-1-1,0 1 1,0-2 0,4 5 0,4 3-49,0-1 0,1-1-1,13 8 1,-16-11 43,15 9 18,0-3 0,1 1 1,44 10-1,-36-13 7,40 19-1,-70-26 16,0 0 0,0 0 0,1 0 0,-1 0 0,0 1-1,0 0 1,-1-1 0,1 0 0,0 1 0,0 0 0,-1-1-1,1 1 1,-1 0 0,1 0 0,-1 0 0,0 0 0,0 1-1,0-1 1,0 1 0,0-1 0,0 0 0,0 0 0,-1 1-1,1 5 1,-1-6 20,-1 1 0,1 0 0,-1 0 0,1 0 0,-1-1 0,0 1 0,0 1 0,0-2 0,-1 1 0,1-1 0,-1 0 0,1 0 0,-1 0 0,0 0 0,0 1 0,0 0 0,0-1 0,0-1 0,0 1 0,-5 3 0,-27 14 201,0 0 0,-1-4-1,-41 16 1,10-6-138,-81 38-355,124-50-285</inkml:trace>
  <inkml:trace contextRef="#ctx0" brushRef="#br0" timeOffset="12903.67">14297 1011 24191,'0'0'0,"-12"32"0,-4-5 0,-4 11 0,3-8 0,-4 0 0,7-8 0,2-5 0,-4-5 0,2-7-640,1 1 0,1-3-512,15-15 0</inkml:trace>
  <inkml:trace contextRef="#ctx0" brushRef="#br0" timeOffset="13121.48">14319 110 24831,'0'0'0</inkml:trace>
  <inkml:trace contextRef="#ctx0" brushRef="#br0" timeOffset="13722.65">14506 910 25087,'3'15'0,"-1"1"0,0-2 0,-1 1 0,-1 1 0,0-1 0,-3 21 0,2-12 0,1 30 0,4 32 0,-4-86 0,0 0 0,0 0 0,0 1 0,0-1 0,0 0 0,0 0 0,0 0 0,0 0 0,0 0 0,0 1 0,0-1 0,0 0 0,0 0 0,0 0 0,0 0 0,0 0 0,0 1 0,0-1 0,0 0 0,0 0 0,0 0 0,0 0 0,0 0 0,0 2 0,0-2 0,0 0 0,1 0 0,-1 0 0,0 0 0,0 0 0,0 0 0,0 0 0,0 0 0,0 1 0,1-1 0,-1 0 0,0 0 0,0 0 0,0 0 0,0 0 0,0 0 0,1 0 0,-1 0 0,0 0 0,0 0 0,0 0 0,1 0 0,5-9 0,10-21 0,-12 21 0,30-62-20,-14 29-7,1-1 0,2 3 0,31-42 0,-48 73 27,2 1 0,-1 1 0,1-1 0,0 1 0,1 1 0,-1-1 0,14-5 0,-19 10 0,0 0 0,0 1 0,0 0 0,0-1 0,0 1 0,1-1 0,-1 2 0,0-1 0,1 1 0,-1-1 0,0 1 0,1 0 0,-1 0 0,0 0 0,1 1 0,-1-1 0,1 1 0,-1 1 0,0-1 0,0 0 0,0 0 0,1 0 0,-1 1 0,-1 0 0,1-1 0,4 4 0,2 6 7,0-2-1,0 2 1,-1 0-1,-1 1 1,0-1-1,0 2 1,-1-1-1,5 18 1,4 9 38,11 56 1,-20-65 33,-1-1 1,-1 3 0,1 55 0,-6-68-112,0-2 0,-1 2 0,0 0 0,-2-1 0,0 1 0,-1-1 0,-10 22 1,15-38-35,-1 0 1,0-1 0,1 0 0,-1 0 0,0-1 0,1 1 0,-1 0 0,0 0 0,0 0-1,0 0 1,0-1 0,0 1 0,1 0 0,-1-1 0,-1 1 0,1-1 0,0 1 0,0-1-1,0 0 1,0 1 0,0-1 0,0 0 0,0 0 0,-1 0 0,1 0 0,0 0 0,0 0-1,0 0 1,0 0 0,0 0 0,-1 0 0,0-1 0,-5 0-1413</inkml:trace>
  <inkml:trace contextRef="#ctx0" brushRef="#br0" timeOffset="14438.55">15461 1 24831,'-12'5'6,"0"2"-1,1-1 0,0 0 1,0 1-1,0 2 0,1-1 1,0 0-1,1 1 0,0 0 1,-14 21-1,4-3 18,2 1-1,0 0 1,-13 37 0,17-34 5,3 0 1,0 1 0,2 0 0,1 0 0,2 1-1,1 1 1,1-3 0,2 3 0,4 46 0,8 29 3,37 159 1,-39-222-24,73 283 9,-70-294 9,2 0 0,1 0 0,1-3 1,2 2-1,1-2 0,2 0 0,26 29 0,1-9 186,3-2 1,110 85-1,-158-133-248,43 28 273,-43-28-300,-1-1 0,1 0-1,0 0 1,-1 0 0,1 0 0,0 0 0,0-1 0,-1 1 0,1-1-1,0 0 1,0 0 0,0 0 0,-1 0 0,1 0 0,0 0 0,4-2 0,-6 1-90,1 0 0,-1 0 0,0 0 1,1 0-1,-1 0 0,0 0 1,0 0-1,0-1 0,0 1 1,0 0-1,0-2 0,0 2 1,0-1-1,0-2 0,4-5-2287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55.5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104 997 17663,'0'0'1536,"-5"4"-1152,-19 17 40,9-10 78,2 0 0,0 2 0,-14 15 0,27-28-481,-1 1-1,1-1 1,-1 1-1,1-1 1,-1 1 0,1-1-1,-1 1 1,1-1-1,0 1 1,-1 0-1,1-1 1,0 1-1,0 0 1,-1-1-1,1 1 1,0 0-1,0-1 1,0 1 0,0 0-1,0-1 1,0 1-1,0 0 1,0 0-1,0-1 1,0 1-1,0 0 1,0-1-1,1 1 1,-1 1-1,2-1 34,-1-1 0,0 1 0,1 0 0,-1-1 0,0 1 0,1-1 0,-1 1 0,1-1 0,-1 1 0,3-1 0,14 5-5,17 9 97,47 13 0,-64-22-76,0-1-1,1-1 1,-1-1-1,33 0 1,-21-3 48,0 2 1,-1 1-1,1 2 1,0 1 0,-1 1-1,0 1 1,-1 2-1,31 13 1,-58-22-113,0 0 1,0 1-1,0-1 0,-1 0 1,1 1-1,0-1 1,0 0-1,0 1 1,-1-1-1,1 1 1,0-1-1,-1 1 1,1 0-1,0-1 1,-1 1-1,1 0 0,-1-1 1,1 1-1,-1 0 1,1 0-1,-1-1 1,1 1-1,-1 0 1,0 0-1,1 0 1,-1 0-1,0 0 1,0 0-1,0-1 1,0 1-1,0 0 0,0 1 1,-4 6-1552,7-14 445,18-13-3359</inkml:trace>
  <inkml:trace contextRef="#ctx0" brushRef="#br0" timeOffset="837.24">1076 548 21887,'-6'24'22,"0"-7"256,0 0 1,-11 22-1,8-22-242,2 1 1,0-1-1,-5 21 1,5 5 14,-2 47 1,-2 12-6,8-81-40,-3 8 35,2 0-1,0 58 1,4-86-41,0 0 0,0-1 0,0 1 0,0 0 0,0-1 0,0 1 0,0-1 0,0 1 0,0 0 0,1-1 0,-1 1 0,0 0 0,0-1 0,1 1 0,-1-1 0,0 1 0,1 0 0,-1-1 0,0 1 0,1-1 0,-1 1 0,1-1 0,-1 0 0,2 2 0,-2-2 0,1 0 0,0 0 0,0 0 0,-1 0 0,1-1 0,0 1 0,-1 0 0,1 0 0,0 0 0,-1-1 0,1 1 0,0 0 0,-1 0 0,1-1 0,0 1 0,-1-1 0,1 1 0,0-1 0,25-28 0,-25 28 0,10-14 0,0 2 0,1-1 0,21-17 0,-28 27 0,0 0 0,1 1 0,-1-1 0,1 1 0,0 1 0,-1-1 0,1 1 0,0 0 0,1 0 0,-1 1 0,0 0 0,0 0 0,12 0 0,-5 2 0,0 0 0,0 0-1,-1 2 1,1-1 0,-1 2-1,0 0 1,0 0 0,0 1-1,0 0 1,-1 1 0,0 1 0,0 0-1,0 0 1,-1 1 0,0 0-1,10 12 1,-12-12 1,-1 0 1,0 1-1,0-1 0,-1 1 1,-1 1-1,1-1 0,-1 1 1,-1 0-1,0 1 0,0-1 1,-1 0-1,0 1 0,-1 0 1,-1 0-1,1 0 0,-2 0 1,1 0-1,-1 0 0,-3 14 1,2-19 19,0 0 1,0 0 0,-1-1 0,0 1 0,0-1-1,0 1 1,-1-1 0,0 1 0,0-1-1,0 0 1,-7 7 0,7-9-9,0 0-1,0-1 1,-1 1 0,1-1 0,-1 1-1,1-1 1,-1 0 0,0 0 0,0-1-1,0 1 1,0-1 0,0 0 0,0 0-1,0 0 1,0-1 0,0 1 0,-6-1-1,-6 0-131,0-1 1,0 0-1,0-2 0,0 0 0,0 0 0,-30-12 0,39 12 35,-1 0 0,1-1 0,0 0 0,0-1 0,0 1 0,0-1 0,1-1 0,0 1 0,0-1 0,1 0 0,-1 0 0,1-1 0,0 0 0,1 0 0,-7-14 0,-7-25-3222,-1-1-9131</inkml:trace>
  <inkml:trace contextRef="#ctx0" brushRef="#br0" timeOffset="1219.03">1056 515 23295,'7'37'0,"-7"-33"0,49-22 0,-33 9 0,1 2 0,0 0 0,0 1 0,1 1 0,27-5 0,-10 5 0,68 0 0,34-2 45,-18-1-1626,-86 7-1282,48-10 1,-80 11 2742,29-5-10546</inkml:trace>
  <inkml:trace contextRef="#ctx0" brushRef="#br0" timeOffset="1844.72">1940 490 22911,'51'-12'-39,"-1"-1"-1,48-21 0,-28 10 31,-69 24 9,6-3 0,1 1 0,-1 0 0,1 0 0,0 1 0,0-1 0,13 1 0,-21 1 1,1 0 0,-1 0-1,0 0 1,1 0-1,-1 0 1,0 0 0,1 0-1,-1 0 1,0 1-1,1-1 1,-1 0 0,0 0-1,0 0 1,1 0-1,-1 0 1,0 0 0,1 1-1,-1-1 1,0 0 0,0 0-1,1 0 1,-1 1-1,0-1 1,0 0 0,0 0-1,1 1 1,-1-1-1,0 0 1,0 1 0,0-1-1,0 0 1,0 0-1,0 1 1,1-1 0,-1 0-1,0 1 1,0-1 0,0 0-1,0 1 1,0-1-1,0 0 1,0 1 0,0-1-1,0 0 1,-1 1-1,1-1 1,0 0 0,0 1-1,0-1 1,0 0-1,0 0 1,0 1 0,-1-1-1,1 0 1,0 0 0,0 1-1,0-1 1,-1 0-1,1 0 1,-1 1 0,-13 17 68,-15 15 16,1 2 1,1 0-1,2 2 0,-37 74 1,33-46-29,3 2 1,-29 112 0,-1 6 3,35-129-61,-47 148 0,64-186-31,1-1-1,1 1 1,0 30-1,2-27-97,-5 30 0,0-33-1742,6-35-1051,0-5 313,-1-8-8036</inkml:trace>
  <inkml:trace contextRef="#ctx0" brushRef="#br0" timeOffset="2094.42">1826 970 22527,'0'0'0,"30"14"0,-10-3 0,5-2 0,5-1 0,4-3-256,-5 6 0,-6-2-1024,2-1 0,3-3 256,24 7-11775</inkml:trace>
  <inkml:trace contextRef="#ctx0" brushRef="#br0" timeOffset="2379.46">2365 1547 23679,'0'0'0,"9"-37"-2944,-4 13 640,-1-1 1280,0 3 1</inkml:trace>
  <inkml:trace contextRef="#ctx0" brushRef="#br0" timeOffset="3194.98">2877 469 23679,'-33'39'0,"32"-38"0,1-1 0,0 1 0,-1-1 0,1 1 0,-1 0 0,1-1 0,-1 1 0,1-1 0,-1 0 0,1 1 0,-1-1 0,1 1 0,-1-1 0,1 0 0,-1 1 0,0-1 0,1 0 0,-1 0 0,0 1 0,1-1 0,-1 0 0,0 0 0,1 0 0,-1 0 0,0 0 0,1 0 0,-1 0 0,0 0 0,0 0 0,1 0 0,-1 0 0,0-1 0,1 1 0,-1 0 0,1 0 0,-1-1 0,0 1 0,1 0 0,-1-1 0,1 1 0,-1 0 0,1-1 0,-1 1 0,1-1 0,-1 1 0,1-1 0,-1-1 0,0 2 0,1-1 0,-1 1 0,1-1 0,0 1 0,-1-1 0,1 1 0,-1 0 0,1-1 0,-1 1 0,1-1 0,-1 1 0,1 0 0,-1-1 0,0 1 0,1 0 0,-1 0 0,0 0 0,1-1 0,-1 1 0,1 0 0,-1 0 0,0 0 0,1 0 0,-1 0 0,0 0 0,-1 1 0,-5 2-17,0 0 0,0 1 0,0 1-1,0-1 1,0 1 0,1 0-1,0 0 1,0 1 0,0 0 0,1 0-1,0 0 1,0 1 0,0-1 0,1 1-1,0 1 1,-5 11 0,4-5-19,0-1 0,1 1 0,0 0-1,1 0 1,1 1 0,0-1 0,0 1 0,2 20 0,2-17-6,0-1 1,1 1-1,1 0 0,1-1 1,0 0-1,2 0 1,0-1-1,0 1 1,1-1-1,1-1 1,1 0-1,0 0 1,1-1-1,1 0 1,0-1-1,1 0 0,0-1 1,25 17-1,-36-28 40,26 18-62,-1 0 1,0 2 0,35 37-1,-51-46 64,-1 0 0,0 0 0,-1 2 0,9 15 0,-16-25 0,0 0 0,0 0 0,-1 1 0,1-1 0,-1 0 0,0 1 0,-1-1 0,1 0 0,-1 1 0,0-1 0,0 1 0,0-1 0,0 1 0,-1-1 0,0 0 0,0 1 0,0-1 0,0 0 0,-4 8 0,-5 6 47,0 0-1,-1 0 0,-1-1 0,0 0 0,-19 18 1,29-33-37,0 0 0,0 0 0,-1-1 0,1 1 0,-1 0 0,1-1-1,-1 1 1,1-1 0,-1 0 0,0 0 0,0 0 0,1 0 0,-1-1 0,0 1 0,0-1 0,0 1 0,-5-1 0,3-1 0,0 0 1,0 0-1,1 0 0,-1 0 0,0-1 1,0 1-1,1-1 0,-1-1 0,1 1 0,-4-3 1,0-1 18,0 0 1,1 0 0,-1 0-1,1-1 1,1 0 0,0-1 0,0 1-1,0-1 1,1 0 0,-8-15-1,7 7-1,1-1 1,0 1-1,1-1 0,1 0 0,0 0 0,1 0 0,1 0 0,1-1 0,0 1 1,1 0-1,1 0 0,1 0 0,0 0 0,2 0 0,-1 1 0,2 0 0,0 0 0,1 0 1,1 0-1,0 1 0,17-22 0,105-144-4,-87 119-27,-36 52 3,0 0 0,0 0 0,-1-1 0,-1 0 0,0 0 0,0 0 0,-1-1 0,-1 1 0,0-1 0,2-14 0,-2-36 16,-3 56-26,-1 0 0,1 0 0,-1-1 0,0 1 0,-1 0 0,0 0 0,-4-11 0,5 15-28,0 1 0,0-1 0,0 1 0,0-1 0,0 1 0,0 0 0,-1 0 0,1 0 0,0 0 0,-1-1 0,1 2 0,0-1 0,-1 0 0,1 0 0,-1 0 0,0 1 0,1-1 0,-1 1 0,1-1 0,-1 1 0,0 0 0,1-1 0,-1 1 0,0 0 0,0 0 0,1 0 0,-3 1 0,-3 0-613,0 0 0,1 1 0,-1 0 0,1 0 0,-8 5 0,-21 8-11978</inkml:trace>
  <inkml:trace contextRef="#ctx0" brushRef="#br0" timeOffset="4113.34">3595 490 22143,'0'-5'9,"0"0"-1,0 1 0,-1-1 1,0 0-1,0 1 1,0-1-1,-1 1 0,0-1 1,1 1-1,-1 0 1,-1 0-1,1 0 0,-1 0 1,1 0-1,-1 0 0,0 0 1,-1 1-1,1 0 1,-1 0-1,1 0 0,-1 0 1,0 0-1,0 1 0,0-1 1,0 1-1,-1 0 1,-6-2-1,2 1 7,1 0 0,-1 1-1,1 0 1,-1 1 0,1-1 0,-1 2 0,0-1-1,0 1 1,0 1 0,1-1 0,-1 1 0,0 1 0,1 0-1,-1 0 1,1 1 0,0 0 0,-1 0 0,1 1-1,1 0 1,-12 7 0,13-6-21,-1 0-1,1 0 1,-1 1-1,1-1 1,1 1 0,-1 1-1,1-1 1,0 1 0,1 0-1,0 0 1,0 0-1,0 1 1,1 0 0,0-1-1,1 1 1,-1 0 0,1 0-1,1 0 1,0 1-1,0-1 1,1 12 0,0-7-29,1-1 1,1 0-1,0 0 1,0-1 0,1 1-1,1 0 1,0-1-1,7 14 1,-9-21 30,0 0 1,1-1-1,-1 1 1,0-1-1,1 0 1,0 1-1,0-1 1,0 0-1,0-1 0,1 1 1,-1 0-1,1-1 1,-1 0-1,1 0 1,0 0-1,0 0 1,0-1-1,0 0 1,0 1-1,0-2 1,1 1-1,-1 0 0,0-1 1,0 1-1,1-1 1,6-1-1,-2-1 4,0 0 0,1-1 0,-1 1 0,-1-2 0,1 1 0,0-1 0,-1-1 0,0 0 0,0 0 0,0 0 0,12-11 0,-3-1 0,1 0 0,-2-1 0,20-28 0,-23 26-58,0 0 1,-1-1-1,-2 0 0,0-1 0,-1 0 0,11-45 0,-19 64-103,0 0-1,-1 0 1,1-1-1,-1 1 1,0 0 0,0 0-1,0-1 1,-1-2-1,1 5 62,0 1-1,-1-1 0,1 1 0,0-1 0,0 1 1,0-1-1,-1 1 0,1-1 0,0 1 0,-1-1 1,1 1-1,-1-1 0,1 1 0,0-1 0,-1 1 1,1 0-1,-1-1 0,1 1 0,-1 0 0,1 0 1,-1-1-1,0 1 0,1 0 0,-1 0 0,1 0 1,-1-1-1,1 1 0,-1 0 0,0 0 0,1 0 1,-1 0-1,1 0 0,-1 0 0,1 0 0,-1 1 1,0-1-1,1 0 0,-1 0 0,1 0 0,-1 1 1,1-1-1,-1 0 0,0 1 0</inkml:trace>
  <inkml:trace contextRef="#ctx0" brushRef="#br0" timeOffset="4892.8">3753 0 21503,'-6'39'0,"-1"-26"48,7-13-44,0 1 0,0-1 0,-1 0 0,1 0 0,0 0 0,0 0 0,-1 0 0,1 0 0,0 0 0,-1 0 0,1 0 0,0 0 0,-1 0 0,1 0 0,0 0 0,0 0 0,-1 0 0,1 0 0,0 0 0,0 0 0,-1-1 0,1 1 0,0 0 0,-1 0 0,1 0 0,0 0 0,0-1 0,-2 0 12,2 0 0,-1 0 0,0 0 0,0 0 0,0 0 0,0 0 0,1-1 0,-1 1 0,0 0 0,1 0 0,-1-1 0,1 1 0,-1-2 0,1 3-9,0 0 0,0 0-1,0-1 1,1 1 0,-1 0-1,0 0 1,0 0 0,0 0-1,0 0 1,0 0 0,0 0-1,0 0 1,0 0 0,0-1-1,0 1 1,0 0 0,0 0-1,0 0 1,1 0 0,-1 0-1,0 0 1,0 0 0,0 0-1,0 0 1,0 0 0,0 0-1,0 0 1,0 0 0,1 0-1,-1 0 1,0 0 0,0 0-1,0 0 1,0 0 0,0 0-1,0 0 1,0 0 0,0 0-1,1 0 1,-1 0 0,0 0-1,0 0 1,0 0 0,0 0-1,0 0 1,0 0 0,0 0-1,0 0 1,0 0 0,1 1-1,-1-1 1,0 0 0,0 0-1,0 0 1,0 0 0,0 0-1,0 0 1,0 0 0,0 0-1,0 0 1,0 1-1,0-1 1,0 0 0,0 0-1,0 0 1,0 0 0,0 0-1,0 0 1,0 0 0,12 13 134,13 21 19,81 161 480,-84-157-539,-1 2-1,-2 1 0,-1 1 0,16 64 1,-16-32 21,16 141 1,-28-147-68,-3 0 0,-7 88 1,0-113-8,-2-1-1,-2 1 1,-2-2 0,-28 77 0,22-78-11,-2-1-1,-2-1 0,-1-1 0,-2-1 1,-1-1-1,-2-1 0,-1-2 0,-2 0 1,-61 52-1,-37 7-1140,6-5-5045,44-29-5264</inkml:trace>
  <inkml:trace contextRef="#ctx0" brushRef="#br0" timeOffset="5594.41">4663 1308 22143,'47'15'179,"1"-3"0,51 8 0,15 3-54,118 27-893,-201-47-1111,-16-3-1895</inkml:trace>
  <inkml:trace contextRef="#ctx0" brushRef="#br0" timeOffset="5825.46">4823 889 22911,'0'0'640,"22"28"-384,1-6 0,9 9 0,4 3 0,6 4-128,6-1 0,7 4-1152,-2-3 128,-3-1-256,-12-13 128,-2-3-13823</inkml:trace>
  <inkml:trace contextRef="#ctx0" brushRef="#br0" timeOffset="43192.3">6016 1140 18815,'0'0'1814,"6"5"-1601,38 23 31,67 31 0,-83-46-78,1-1 0,0-2 0,60 13 0,114 8 517,-199-31-670,0 1 1,0-1 0,0 1 0,-1 0 0,1 1-1,0-1 1,-1 1 0,1-1 0,-1 1 0,1 0-1,-1 0 1,0 1 0,0-1 0,0 1 0,0-1 0,3 4-1,-6-5-205</inkml:trace>
  <inkml:trace contextRef="#ctx0" brushRef="#br0" timeOffset="44058.6">7052 640 18687,'0'0'1174,"6"-1"-961,7 0-150,1 1 0,-1 0 0,1 1 0,-1 0-1,0 1 1,1 1 0,-1 0 0,0 1 0,0 0 0,-1 1 0,0 0 0,1 1-1,-2 1 1,1-1 0,-1 2 0,0 0 0,0 0 0,11 13 0,-3-3-10,-1 0 1,-1 1-1,20 29 1,-30-38-37,-1 0 0,-1 0 0,0 1 0,0 0 0,-1 0 0,-1 0 0,0 1 0,0-1 0,1 21 0,-3-15 22,-1 0-1,-1 0 1,-1 0 0,-1 0 0,0 0 0,-1-1 0,0 1 0,-11 22 0,-5 6 148,-42 69 1,56-104-153,-2 1 0,1-1 0,-1-1 0,0 0 0,-1 0-1,0 0 1,-1-1 0,0 0 0,0-1 0,-13 7 0,19-11-27,-1 0-1,1 0 1,-1 0-1,1 1 1,0 0-1,0 0 1,0 0-1,1 0 1,0 1 0,0 0-1,-4 7 1,6-10-7,0 0 1,0-1 0,1 1-1,-1 0 1,1 0 0,-1 0-1,1 0 1,0 0 0,0 0-1,0 0 1,0 0 0,0 0-1,0 0 1,1 0 0,-1 0-1,0 0 1,1 0 0,0 0-1,-1-1 1,1 1 0,0 0 0,0 0-1,0-1 1,0 1 0,1 0-1,-1-1 1,0 1 0,1-1-1,-1 0 1,1 1 0,-1-1-1,1 0 1,-1 0 0,4 2-1,9 5 56,1 0-1,0-2 0,1 1 0,-1-2 1,1 0-1,0-1 0,1 0 0,-1-1 0,1-1 1,22 0-1,36 4 250,-41-3-790,52 0-1,-76-4-94,-1 1-1,1-2 0,-1 1 0,0-1 1,0-1-1,0 1 0,0-2 0,0 1 1,-1-1-1,11-6 0,10-9-10534</inkml:trace>
  <inkml:trace contextRef="#ctx0" brushRef="#br0" timeOffset="44929.13">7735 696 22143,'46'-48'0,"-44"47"0,0 0 0,0-1 0,0 1 0,0 0 0,0 0 0,1 1 0,-1-1 0,0 0 0,0 1 0,1-1 0,-1 1 0,0 0 0,4-1 0,34 4 0,-11 0 0,-6-2 25,-1 1 0,0 1 0,1 1-1,31 9 1,86 37 186,-94-32-162,-38-15-13,1 0 21,1 1 0,16 9-1,-24-12-48,0 1 0,0-1 0,-1 0 0,1 1-1,0-1 1,-1 1 0,1-1 0,-1 1 0,1 0 0,-1-1-1,0 1 1,1 0 0,-1 0 0,0 0 0,-1 0 0,1 0-1,0 0 1,0 0 0,0 3 0,-1 1 7,0 0 1,0 1-1,-1-1 1,0 0-1,0 0 1,0 0 0,0 0-1,-1-1 1,0 1-1,-1 0 1,1-1-1,-1 1 1,0-1-1,0 0 1,-7 9-1,-5 3 55,0-1 1,-36 28-1,27-24-17,16-13-33,0 0-1,-1 0 1,0-1 0,0 0-1,0-1 1,-1 0 0,0 0-1,0-1 1,0-1 0,0 1 0,-1-2-1,-19 4 1,22-6 14,-9 2 117,17 0-86,8 2-38,40 13 2,59 24 70,-55-16-99,-1 2 0,-1 2 0,60 48 0,-107-75 0,0 0 0,0 1 0,-1-1 0,1 1 0,-1-1 0,1 1 0,-1 0 0,0 0 0,0 0 0,0 1 0,0-1 0,-1 0 0,3 7 0,-4-7 0,0-1 0,0 1 0,0-1 0,-1 1 0,1 0 0,0-1 0,-1 1 0,0-1 0,1 1 0,-1-1 0,0 1 0,-1-1 0,1 0 0,0 1 0,-1-1 0,1 0 0,-1 0 0,1 0 0,-1 0 0,0 0 0,-2 2 0,-17 15 9,0 0 1,-2-2-1,1 0 0,-2-2 0,0 0 0,-31 13 0,35-19-2,-1-1 0,0-1 1,0-1-1,-1 0 0,1-2 0,-1-1 0,0 0 0,-33-1 0,54-2-19,0 0 1,-1 0-1,1 0 0,0 0 0,-1 0 0,1 0 0,0 0 1,-1 0-1,1-1 0,0 1 0,0-1 0,-1 1 1,1-1-1,0 1 0,0-1 0,0 0 0,0 1 0,-1-1 1,1 0-1,0 0 0,0 0 0,1 0 0,-1 0 0,0 0 1,0 0-1,0 0 0,1 0 0,-1 0 0,0 0 0,1-1 1,-1 1-1,1 0 0,0 0 0,-1-1 0,1 1 1,0 0-1,0-1 0,0 1 0,0 0 0,0-1 0,0 1 1,0 0-1,0-1 0,0 1 0,1-2 0,1-3-74,0 1-1,0 0 1,0-1 0,0 1-1,1 0 1,0 1-1,0-1 1,0 0 0,6-6-1,21-17-3113</inkml:trace>
  <inkml:trace contextRef="#ctx0" brushRef="#br0" timeOffset="46978.51">8729 1423 22783,'0'0'0,"-3"46"0,3-26 0,3-3 0,-1-1 0,4-7 0,-4-4 128,1-2-128,-6-11 128,1-9-128,-1 2 0,3 0-896,3 0 0,2 2-384,-1 4 128</inkml:trace>
  <inkml:trace contextRef="#ctx0" brushRef="#br0" timeOffset="48072.64">9753 499 22015,'-76'58'0,"75"-57"0,-1 0 0,0 0 0,1 0 0,-1 0 0,0-1 0,0 1 0,0-1 0,0 0 0,0 1 0,0-1 0,0 0 0,0 0 0,0 0 0,1 0 0,-1 0 0,0-1 0,0 1 0,0-1 0,0 1 0,0-1 0,0 0 0,1 1 0,-1-1 0,0 0 0,1 0 0,-1 0 0,0 0 0,1-1 0,-1 1 0,-2-3 0,2 2 0,0 0 0,-1 0 0,1 0 0,-1 0 0,0 1 0,0 0 0,0-1 0,1 1 0,-6-1 0,-20 0 0,1 1 0,0 1 0,0 2 0,0 1 0,0 0 0,-39 12 0,33-6 64,-52 19 0,72-23-45,1 1-1,-1 1 0,1-1 0,0 2 1,1 0-1,-18 16 0,27-24-18,1 1 0,0 0 0,0 0 0,0 0 0,0 0 0,0 0 0,0 1 0,0-1 0,0 0 0,0 0 0,1 1 0,-1-1 0,1 0 0,-1 1 0,0-1 0,1 0 0,0 1 0,-1-1 0,1 1 0,0-1 0,0 3 0,1-2 0,0 0 0,1 1 0,-1-1 0,1-1 0,-1 1 0,1 0 0,0 0 0,0-1 0,0 1 0,0-1 0,2 2 0,2 2 0,5 2 0,0-1 0,0-1 0,0 1 0,1-2 0,0 0-1,0 0 1,0-1 0,0 0 0,19 1 0,-8-1 11,35 11 1,-25 0 52,-1 0-1,-1 2 1,0 2 0,39 29 0,-61-41-42,-2-1-12,0 0-1,0 1 1,-1 0-1,0 0 1,0 0-1,0 1 1,-1 0-1,0 0 1,0 0 0,0 0-1,-1 1 1,0 0-1,-1 0 1,0 0-1,0 1 1,-1-1 0,0 0-1,0 1 1,-1 0-1,0-1 1,-1 1-1,0 0 1,0-1-1,-1 1 1,0 0 0,0-1-1,-1 1 1,-4 10-1,2-8 16,-1-1-1,-1 0 0,0 0 0,0-1 0,-1 1 1,0-1-1,0-1 0,-1 1 0,0-2 0,-1 1 1,0-1-1,-17 11 0,8-7 25,-1-1 1,0 0 0,0-2-1,-1 0 1,0-1-1,-24 5 1,36-11-1,0 1 1,0-1 0,0 0 0,0-1-1,-1 0 1,1 0 0,-9-2 0,14 1-24,-1 0 0,1 0 0,-1 0 0,1 0 1,-1 0-1,1-1 0,0 0 0,0 1 0,-1-1 1,1-1-1,1 1 0,-1 0 0,0-1 1,1 1-1,-1-1 0,1 0 0,0 0 0,-3-4 1,1 0-25,1 1 1,0-1 0,0 0 0,1 0-1,0-1 1,0 1 0,0-1 0,1 1-1,0-1 1,1 1 0,0-1 0,0 1 0,1-1-1,-1 1 1,2-1 0,-1 1 0,1 0-1,0-1 1,0 1 0,1 0 0,6-11-1,7-9 7,0 1 0,2 1-1,1 1 1,22-24-1,-8 10-5,-30 34-3,42-49 11,56-53 0,-99 104-9,70-69 66,-62 60-62,-1 0 0,-1 0 0,0-1 0,-1 0 0,7-15 0,12-32-1461,0 1-3874,-14 30-6830</inkml:trace>
  <inkml:trace contextRef="#ctx0" brushRef="#br0" timeOffset="48961.53">10237 379 22527,'-26'8'0,"-21"4"0,45-11 0,0 0 0,0 0 0,0 0 0,0 0 0,0 0 0,1 1 0,-1-1 0,0 1 0,1-1 0,-1 1 0,1 0 0,0 0 0,-1-1 0,1 1 0,0 0 0,0 0 0,0 0 0,-1 3 0,0 1 0,-2 4 34,0 0 1,1 0-1,1 0 0,-1 0 0,2 1 0,-1 0 0,2-1 0,-1 1 0,1-1 0,2 13 1,-2 28 80,0 0 27,12 95 1,0 4-1,-16 55-14,4-198-109,1 1 0,0-1 1,0 0-1,1 0 0,0 0 1,0 1-1,6 11 1,-2-6 38,-6-12-57,0-1-1,0 1 1,0-1-1,1 1 1,-1 0-1,0-1 1,1 1 0,-1-1-1,1 1 1,-1 0-1,0-1 1,1 1-1,-1-1 1,1 1 0,-1-1-1,1 0 1,0 1-1,-1-1 1,1 0 0,-1 1-1,1-1 1,0 0-1,-1 0 1,1 1-1,0-1 1,-1 0 0,2 0-1,-1 0 2,1 0-1,-1-1 1,1 1-1,-1 0 1,0-1-1,1 1 1,-1-1-1,0 0 1,1 1-1,-1-1 1,0 0-1,2-1 1,2-3 16,1 0 0,-1-1 1,0 1-1,6-11 1,143-246 80,-27 41-49,-65 117-32,30-48 48,-74 126-49,1 1-1,1 1 0,37-35 1,-53 56-4,0-1 0,0 1 1,0 0-1,1 0 0,-1 1 1,1-1-1,8-2 0,-13 5-13,0 0-1,0 0 1,0 0 0,0 0-1,0 0 1,0 0-1,0 0 1,0 0-1,1 0 1,-1 0-1,0 0 1,0 0 0,0 1-1,0-1 1,0 0-1,0 0 1,0 0-1,0 0 1,0 0-1,0 0 1,0 0 0,0 0-1,0 1 1,0-1-1,0 0 1,0 0-1,0 0 1,1 0 0,-1 0-1,0 0 1,-1 0-1,1 0 1,0 1-1,0-1 1,0 0-1,0 0 1,0 0 0,0 0-1,0 0 1,0 0-1,0 0 1,0 1-1,0-1 1,0 0-1,0 0 1,0 0 0,0 0-1,0 0 1,0 0-1,0 0 1,-1 0-1,1 0 1,0 0 0,0 0-1,0 0 1,0 1-1,0-1 1,0 0-1,0 0 1,0 0-1,-1 0 1,1 0 0,0 0-1,0 0 1,0 0-1,-7 8-76,-2 3-142,1 0 1,0 0 0,1 1 0,0 0 0,1 0 0,-8 21 0,-3 15-3119,1-5-9996</inkml:trace>
  <inkml:trace contextRef="#ctx0" brushRef="#br0" timeOffset="50257.77">11078 294 22911,'0'0'128,"-7"5"-21,-7 8-64,-1 1-1,2 1 1,0 0 0,1 0-1,-13 22 1,-50 77 109,40-63-143,-43 83 1,-16 85 200,65-149-164,-86 230 295,102-272-263,13-28-77,0 0 0,-1 0 0,1 0 1,0 0-1,0 0 0,0 0 0,0 0 1,0 0-1,0 0 0,0 0 0,0 0 1,0 0-1,0 0 0,0 0 0,0 0 1,0 0-1,0 0 0,-1 0 0,1 0 1,0 0-1,0 0 0,0 0 0,0 0 1,0 0-1,0 0 0,0 0 0,0 0 1,0 0-1,0 0 0,0 0 0,0 0 1,0 0-1,0 0 0,0 0 0,-1 0 1,1 0-1,0 0 0,0 0 0,0 0 1,0 0-1,0 1 0,0-1 0,0 0 1,0 0-1,0 0 0,0 0 0,0 0 1,0 0-1,0 0 0,5-17 8,29-73-184,3 2 0,5 2 0,3 1 1,76-106-1,-50 101 151,5-7 26,13-39-2,-83 126 30,0 0-1,-1-1 0,-1 1 1,0-1-1,0 0 0,-1 0 1,3-18-1,-2 15 69,-3 17 82,-3 24 75,-4 30 128,3 88-1,2-28-229,1 247 209,0-282-338,-1-53 4,1-1-1,6 52 1,-3-76-824,1-9 225,1-10-601,-2-2 27,-1-1 0,-1 0 0,-3-34 0,1-7-205,2 27 1089,1 3-15,-1-1 0,-2 1 0,-7-51 0,5 66 295,-1-6 156,0 0 1,-1 1-1,-1-1 0,-10-19 0,16 38-122,-1 0 0,0 0 0,1 0 0,-1-1 0,0 1 0,0 0 0,0 0 0,0 0 0,0 0 0,0 0 0,0 1 0,0-1-1,-1 0 1,1 0 0,0 1 0,0-1 0,-1 1 0,1-1 0,0 1 0,-1 0 0,1-1 0,-2 1 0,-1 0 80,1 0 1,-1 0 0,0 0-1,1 1 1,-1 0 0,1-1 0,-1 1-1,-5 3 1,1 0 102,0-1 1,0 2-1,1-1 0,0 1 0,-1 0 1,-10 12-1,-1 2 188,8-9-199,1 1-1,1 0 1,-12 17 0,21-28-213,0 1 0,-1-1 0,1 1 0,0-1 0,0 0 1,-1 1-1,1-1 0,0 1 0,0-1 0,0 1 0,0-1 1,0 1-1,0-1 0,0 1 0,0-1 0,0 1 0,0-1 1,0 1-1,0-1 0,0 1 0,0-1 0,1 1 0,-1-1 1,0 1-1,0-1 0,0 0 0,1 1 0,-1-1 0,1 1 1,15 8 240,22-3-18,108 10-832,-143-16 345,1 0 1,-1 0-1,0 0 1,0 0-1,0 0 1,0-1-1,0 1 1,0-1-1,0 0 1,0 0-1,0 0 1,0 0-1,0-1 1,0 1-1,-1-1 1,1 0-1,-1 1 1,5-5-1</inkml:trace>
  <inkml:trace contextRef="#ctx0" brushRef="#br0" timeOffset="50724.1">11394 455 22271,'0'0'256,"-1"9"-149,-15 117 162,-40 377 251,54-484-520,0-3 0,1 1 0,1-1 0,2 20 0,-2-36-12,0 0 0,0 0 0,0 0 0,0 0 0,0 1 0,0-1 0,0 0 0,0 0 0,0 0 0,0 0 0,0 1 0,0-1 0,0 0 0,0 0 0,0 0 0,0 0 0,0 1 0,0-1 0,0 0 0,0 0 0,0 0 0,0 0 0,1 0 0,-1 1 0,0-1 0,0 0 0,0 0 0,0 0 0,0 0 0,0 0 0,1 0 0,-1 0 0,0 0-1,0 0 1,0 1 0,0-1 0,0 0 0,1 0 0,-1 0 0,0 0 0,0 0 0,0 0 0,0 0 0,1 0 0,-1 0 0,0 0 0,0 0 0,0 0 0,0 0 0,1 0 0,-1 0 0,0 0 0,0-1 0,9-9-811,5-16-606,22-60-3861,-16 41-4822</inkml:trace>
  <inkml:trace contextRef="#ctx0" brushRef="#br0" timeOffset="51239.43">11577 499 16639,'0'0'150,"-1"-6"127,0 2-275,-14-58 1646,13 56-1431,0 0 0,0 0 0,0 1-1,-1-1 1,0 1 0,0-1 0,0 1 0,-1 0 0,-4-5 0,3 7-117,-1 1 0,1-1 0,0 1 0,-1 1 0,1-1 0,-1 1 0,0 0 0,0 0 0,1 0 0,-7 1 0,-8-2 208,20 2-302,0 0 0,0 0 0,-1 0 0,1 0 1,0 0-1,0 0 0,0 0 0,0 0 0,0 0 0,0 0 1,0 0-1,-1 0 0,1 0 0,0 0 0,0 0 0,0 0 1,0 0-1,0 0 0,0 0 0,0 0 0,-1 0 1,1 0-1,0-1 0,0 1 0,0 0 0,0 0 0,0 0 1,0 0-1,0 0 0,0 0 0,0 0 0,0 0 1,0 0-1,-1 0 0,1-1 0,0 1 0,0 0 0,0 0 1,0 0-1,0 0 0,0 0 0,0 0 0,0 0 0,0-1 1,0 1-1,0 0 0,0 0 0,0 0 0,0 0 1,0 0-1,0 0 0,0 0 0,0-1 0,0 1 0,0 0 1,1 0-1,-1 0 0,0 0 0,0 0 0,0 0 0,0 0 1,0-1-1,7-2 95,-1 3-35,0 0-1,0 0 0,-1 1 1,1 0-1,0 0 1,0 0-1,-1 1 0,1 0 1,0 0-1,-1 0 0,0 1 1,6 3-1,7 6 59,-1 0-1,17 16 1,-2-1-43,-21-18-50,-1 0 0,-1 0 0,1 1 0,-2 0 0,1 1 0,-2 0 0,1 0 0,-2 1 1,1 0-1,-1 0 0,7 24 0,-10-27-9,0 0 0,-1 1 0,-1 0 0,1-1 0,-2 1-1,1 0 1,-1 0 0,-1-1 0,0 1 0,0 0 0,-1-1 0,0 1 0,0-1 0,-1 1 0,-1-1 0,1 0 0,-6 9 0,1-5 55,0 0 1,-1-1 0,0 0 0,-14 15 0,18-23-45,0 0 0,0 0 0,0 0 0,0 0 0,0-1 1,-1 0-1,0 0 0,1 0 0,-1-1 0,0 0 0,0 0 1,-1 0-1,-7 0 0,0 0 22,-1-1-1,1 0 1,-1-1 0,-16-3 0,26 3-191,0-1 1,0 0 0,1-1-1,-1 1 1,1-1 0,-1 0-1,1 0 1,0 0 0,0 0-1,0-1 1,0 0 0,0 0 0,0 0-1,1 0 1,0-1 0,-5-5-1,4 3-383,-2-2-115</inkml:trace>
  <inkml:trace contextRef="#ctx0" brushRef="#br0" timeOffset="52159.59">11527 900 20351,'0'0'2198,"-4"2"-1985,-1 1-170,0 1-1,0-1 1,1 1 0,-1 0-1,1 0 1,0 1 0,0 0-1,0-1 1,1 1 0,0 0-1,0 1 1,0-1 0,1 0-1,-1 1 1,1 0 0,1-1-1,-1 1 1,1 0 0,0 0-1,0 0 1,0 0 0,1 0-1,0 0 1,1 0 0,-1 0-1,3 9 1,0 4 46,1 0-1,1-1 1,1 0 0,1 0-1,0 0 1,15 23 0,-15-28-89,0-2-1,1 1 1,1-1 0,0 0 0,0-1-1,1 0 1,0-1 0,1 0 0,18 12 0,-26-19-130,0-1 1,0 1 0,0-1 0,0 1-1,0-1 1,0 0 0,0 0-1,0-1 1,0 1 0,0-1 0,1 1-1,-1-1 1,6-1 0,18-2-3160,16-4-9745</inkml:trace>
  <inkml:trace contextRef="#ctx0" brushRef="#br0" timeOffset="54604.38">5809 2054 19583,'0'0'1558,"8"1"-1345,13 4-106,0 1-1,-1 1 1,1 1 0,29 16-1,-24-10-39,1-1 0,1 0 0,1-2 0,-1-2 0,1 0 0,32 4 1,186 17 416,-212-27-435,298 10 244,-23-1 75,-33-10-33,0-21-33,-31 1-149,720-27 359,-637 8-322,-72 4-39,-226 31-139,101-10 110,140-29 0,-111 11 27,164-10 1,-185 19-13,-101 13-86,0 2 0,1 1 0,62 2 0,-96 3-49,61 5 47,1-3 0,121-12 0,-182 9-25,0 0-1,0 1 1,0 0-1,0 0 1,0 0-1,0 1 0,0 0 1,0 0-1,12 4 1,-14-3-22,1-2 1,-1 1-1,1-1 1,-1 0-1,1 0 1,-1 0-1,0-1 1,9-1-1,25-2-3,-25 5 39,-1-1-1,1 0 0,16-2 1,10 4 69,-36-1-94,0 0 0,0-1 0,0 1 0,0-1 0,-1 0 0,1 0 0,0 0 0,0 0 0,0-1 0,0 0 0,0 0 0,-1 0 0,1 0 0,0 0 0,-1-1 0,1 1 0,3-3 0,-6 3-12,1 0 1,-1 0-1,1 0 0,-1 0 1,1 0-1,-1 1 0,1-1 1,-1 0-1,1 1 1,0-1-1,0 1 0,-1 0 1,1 0-1,0-1 0,-1 1 1,1 0-1,2 1 1,28 9-10,-27-8 48,-1-1 0,1 1 0,0 0 1,0-1-1,0 0 0,9 1 1,12-5 70,-23 2-112,1 0 1,0 1 0,0-1-1,0 1 1,0 0 0,-1 0-1,1 0 1,0 1 0,0-1-1,0 1 1,0 0 0,4 1-1,-6-1 1,0 0 0,-1-1 0,1 1 0,0-1 0,0 0 0,0 0 0,0 1 0,0-1 0,0 0 0,0-1 0,0 1 0,-1 0 0,1 0 0,0-1 0,0 1 0,0-1 0,0 0 0,2-1 0,17-3 0,3 1 84,-22 3-71,1 0 0,0 0 0,-1 1 0,1-1 0,0 1 0,-1 0 0,1 0 0,0 0 0,0 0 0,-1 0 1,1 1-1,0-1 0,-1 1 0,1-1 0,-1 1 0,1 0 0,-1 0 0,1 0 0,-1 1 0,1-1 0,-1 1 0,3 2 0,1-3 46,-9-8 31,8 6 124,3-1-143,-3 1-17,-3 8-30,-2-7-24,0 0 0,0 0 0,0 0 0,0 0 0,0 0 0,0 0 0,0 0 0,0 0 0,0 0 0,0 0 0,0 0 0,0 0 0,1 0 0,-1 0 0,0 0 0,0 0 0,0 0 0,0 0 0,0 0 0,0 0 0,0 0 0,0 0 0,0 0 0,0 0 0,0 0 0,0 0 0,0 0 0,0 0 0,0 0 0,0 0 0,0 0 0,0 0 0,1 0 0,-1 1 0,0-1 0,0 0 0,0 0 0,0 0 0,0 0 0,0 0 0,0 0 0,0 0 0,0 0 0,0 0 0,0 0 0,0 0 0,0 0 0,0 0 0,0 0 0,0 0 0,0 1 0,0-1 0,0 0 0,0 0 0,0 0 0,0 0 0,0 0 0,0 0 0,1 0 0,-6-2 0,2 0 192,11 0 0,-6 3-181,4 0 59,-6-1-69,0 0 0,0 1 0,0-1 0,1 0 0,-1 0 0,0 0 0,0 0 0,0 0-1,0 1 1,0-1 0,0 0 0,0 0 0,0 0 0,0 0 0,0 0 0,0 1 0,0-1 0,0 0 0,0 0 0,0 0 0,0 0-1,-1 0 1,1 1 0,0-1 0,0 0 0,0 0 0,0 0 0,0 0 0,0 0 0,0 0 0,0 0 0,0 1 0,-1-1-1,1 0 1,0 0 0,0 0 0,0 0 0,0 0 0,0 0 0,0 0 0,-1 0 0,1 0 0,0 0 0,0 0 0,0 0 0,0 0-1,0 0 1,-1 0 0,1 0 0,0 0 0,-4 0-1,7-2 0,0 2 0,-6 4 0,6-6 0,5-2 0,-7 0 0,-3 5 0,2-1 0,0 1 0,0-1 0,0 0 0,0 0 0,-1 0 0,1 0 0,0 0 0,0 0 0,0 1 0,0-1 0,0 0 0,0 0 0,0 0 0,0 0 0,0 0 0,0 1 0,0-1 0,0 0 0,0 0 0,0 0 0,0 0 0,0 1 0,0-1 0,0 0 0,0 0 0,0 0 0,0 0 0,0 0 0,0 1 0,0-1 0,0 0 0,0 0 0,1 0 0,-1 0 0,0 0 0,0 0 0,0 1 0,0-1 0,0 0 0,0 0 0,0 0 0,1 0 0,-1 0 0,0 0 0,0 0 0,0 0 0,0 0 0,0 0 0,1 0 0,-1 0 0,0 0 0,0 0 0,0 0 0,0 0 0,0 0 0,1 0 0,-1 0 0,0 0 0,0 0 0,4-2 0,-2-4-191,0 0 0,0 0 0,0 0 0,-1 0 0,0 0 0,0 0 0,-1-7 0,3-13-862,9-63-4110,-8 42-9236</inkml:trace>
  <inkml:trace contextRef="#ctx0" brushRef="#br0" timeOffset="56300.66">5927 2548 20479,'0'0'2432,"5"0"-2325,134 13 192,-33-4-114,71 2 248,87-26-37,-50 0-173,223 0 76,-186 19-86,-20 0-42,79 10 137,13 0-19,-266-16-249,26-1 132,95 7 0,230 16-23,-124-42-56,4-1 177,-66 7-157,-90 2-77,-29 15-9,-76 1-7,1-2 0,0-1 0,30-4 0,49-13 32,-37 8-4,103-29 1,-121 26 39,1 2 0,104-8 0,-6 2 53,-102 13-40,-38 4-74,1-1 0,-1 0 0,0 0-1,18-6 1,-19 4-24,100-28 263,-97 29-228,0 0-1,1 1 1,-1 0 0,1 1 0,-1 1 0,21 3-1,51 5 188,-42-5-215,-37-4 0,1 0 0,0 0 0,0 0 0,-1-1 0,1 0 0,-1 0 0,1 0 0,-1-1 0,7-3 0,7-3-2092,31-20 0,-46 25 1218,54-31-15199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02.90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5582 28 19071,'-20'-16'8,"20"16"-7,1 0-1,-1 0 0,0 0 1,0 0-1,0 0 0,0 0 1,0 0-1,0 0 1,0 0-1,0 0 0,0 0 1,0 0-1,1 0 0,-1 0 1,0 0-1,0 0 0,0 0 1,0 0-1,0 0 0,0 0 1,0 0-1,0 0 0,0 0 1,1 0-1,-1 0 0,0 0 1,0 0-1,0 0 0,0 0 1,0 0-1,0 0 0,0 0 1,0 0-1,0-1 0,0 1 1,0 0-1,0 0 0,0 0 1,0 0-1,0 0 1,0 0-1,0 0 0,0 0 1,0 0-1,0 0 0,0-1 1,1 1-1,-2 0 0,1 0 1,0 0-1,0 0 0,0 0 1,0 0-1,0 0 0,0 0 1,0 0-1,0-1 0,0 1 1,0 0-1,0 0 0,0 0 1,0 0-1,0 0 0,0 0 1,0 0-1,0 0 0,0 0 1,0 0-1,-1 0 0,15 3 96,-4-5 334,-16-2 384,-2-1-522,7 5-285,1 0 1,0 0-1,-1 0 0,1 0 0,-1 0 0,1 0 0,0 0 0,-1 0 0,1 0 0,0 0 0,-1 0 0,1 0 0,-1 0 0,1 1 1,0-1-1,-1 0 0,1 0 0,0 0 0,-1 0 0,1 1 0,0-1 0,0 0 0,-1 0 0,1 1 0,0-1 0,-1 0 1,1 1-1,0-1 0,0 0 0,0 1 0,0-1 0,-1 0 0,1 1 0,0-1 0,0 0 0,0 1 0,0-1 0,0 1 0,0-1 1,0 0-1,0 1 0,0-1 0,0 0 0,0 1 0,0-1 0,0 1 0,-1 23 66,10 7 95,-7-28-143,0 1-1,-1-1 1,1 1 0,-1 0 0,0 1-1,1 5 1,-2 31 39,0-4 1,-7 41-1,-1 23 20,-30 367 231,-34-8 32,19-223-241,7-37-84,4 31 112,-31 154 94,54-318-189,11-45-9,2 2 0,-8 46-1,-11 84-29,15-106 0,2 1 0,-4 84 0,12-128 0,5 149-38,-3-129 24,1-2 1,1 2-1,2-2 0,9 28 1,-12-41-179,1 5-602</inkml:trace>
  <inkml:trace contextRef="#ctx0" brushRef="#br0" timeOffset="2916.52">1 1393 18943,'36'1'0,"-36"-1"0,0 0 0,1 1 0,-1-1 0,0 0 0,0 0 0,1 0 0,-1 0 0,0 0 0,0 0 0,1 0 0,-1 0 0,0 1 0,0-1 0,1 0 0,-1 0 0,0 0 0,0 0 0,1 2 0,-1-2 0,0 0 0,0 0 0,0 1 0,0-1 0,0 0 0,1 0 0,-1 1 0,0-1 0,0 0 0,0 0 0,0 1 0,0-1 0,0 0 0,0 1 0,0-1 0,0 0 0,0 0 0,0 1 0,0-1 0,0 0 0,0 1 0,0-1 0,0 0 0,0 0 0,0 1 0,0-1 0,-1 0 0,-7 17 0,5-11 0,1-1 0,0-1 0,1 0 0,-1-1 0,1 1 0,0 0 0,0 0 0,0 7 0,1-10 0,0 0 0,1 3 0,-1-3 0,0 0 0,1 0 0,-1 0 0,1 0 0,-1 0 0,1-1 0,-1 1 0,1 0 0,0 1 0,0-1 0,0 0 0,-1 0 0,1 0 0,0 0 0,0 0 0,0 0 0,0-1 0,1 1 0,-1 0 0,0-1 0,0 1 0,0-1 0,0 1 0,2 1 0,82 37 529,23 9 329,-25-17-581,157 33 1,-111-54-98,-58-6-104,56 1 35,58 6-9,-73 5-91,143 2-1,-173-19-11,125 5 130,449-1 511,-511-21-515,-9 1-122,-83 14 6,414-46 110,-287 21-76,4 10 0,226 6-1,-197 16-4,163 9 52,178 88 45,-493-87-120,130 17 71,-87-13-66,-56-9-20,0-5 0,58 1 0,-62-6 0,111 2 0,-40 13 43,154 6 149,18-35-4,-91 1-77,-89 8-38,418 3 238,-390 20-256,70 2-4,-93-18-51,231 8 0,-292-6 0,-1-3 0,95-13 0,-104 7 0,24-6 0,70-3 0,418 18 0,-383 7 0,248 20 0,-241-9 28,236 21 72,-279-47-100,-4 1 0,-64 6 0,0-4 0,132-20 0,-142 15 0,0 2 0,57 3 0,19 1 0,-13-13 0,29-1 0,-75 10 0,-41 2 0,1 1 0,38 3 0,15 1 0,-58-3 0,43 5 0,-31 0 0,2-2 0,-1-1 0,0-3 0,47-7 0,-69 8 0,1 1 0,-1 0 0,0 2 0,32 6 0,-26-4 0,-3-2 0,39 3 0,-58-6 0,13 0 12,-1-1 0,1 2 0,-1 2 0,1-1 0,-1 1-1,0 0 1,0 1 0,23 9 0,5 8 51,-28-13-20,2 2-1,-1-3 1,-1 1 0,2-1 0,0-2 0,0 0-1,29 2 1,-18-8 77,43-6 0,-52 5-104,-16 3-17,-1-1 2,-1 1 0,0 0 0,0 0 0,1-1 0,-1 1 0,0 0 0,1 0 0,-1 0 0,0 1 0,1-1 0,-1 0 0,0 0 0,1 1 0,-1-1 0,0 1 0,0-1 0,1 1 0,-1-1 0,0 1 0,0 0 0,0 0 0,2 1 0,-2-2 84,16 1-60,-17-1-26,1 0 0,-1 0 0,1 0-1,-1 0 1,1 1 0,-1-1 0,1 0 0,0 0 0,-1 0 0,1 0-1,-1 0 1,1 0 0,-1-1 0,1 1 0,-1 0 0,1 0 0,-1 0-1,1 0 1,-1-1 0,1 1 0,0-1 0,-1 1-106</inkml:trace>
  <inkml:trace contextRef="#ctx0" brushRef="#br0" timeOffset="4512.69">13019 1651 19455,'0'0'128,"-1"3"0,0 2-112,-48 200 485,40-159-332,3 0 0,-3 78 0,8 3 215,3-159-384,8-40 0,0 2 0,-5 6 0,24-315 0,-29 365 0,4-31 0,-4 45 0,0 0 0,0 0 0,0 0 0,0 0 0,0 0 0,1 0 0,-1 0 0,0 0 0,0 0 0,0 0 0,0 0 0,0 0 0,1 0 0,-1 0 0,0 0 0,0 0 0,0 0 0,0 0 0,1 0 0,-1 0 0,0 0 0,0 0 0,0 0 0,0 0 0,0 0 0,0 0 0,1 0 0,-1 0 0,0 0 0,0 2 0,0-2 0,0 0 0,0 0 0,0 0 0,0 0 0,1 0 0,-1 0 0,0 1 0,0-1 0,0 0 0,0 0 0,0 0 0,0 0 0,0 0 0,0 1 0,0-1 0,0 0 0,0 0 0,0 0 0,0 0 0,0 1 0,7 11 0,-7-11 0,8 14 8,-3-5 17,0 0 0,0-1 0,1 2-1,1-1 1,0-1 0,0 1 0,0-1 0,1 0 0,17 11-1,115 66 232,-99-68-108,-30-14-105,0 2 0,17 8 1,0 7 59,-9-11-10,0 5 1,30 25 0,-33-28-4,-14-11-88,0 0 1,0 0-1,-1 0 0,1 0 0,0 0 0,-1 2 0,1-2 0,-1 0 0,2 3 0,-2-3 2,-1 0-1,0-1 0,0 2 0,0-1 0,0 0 0,0-1 1,0 1-1,0 0 0,0 0 0,0-1 0,0 1 1,-1 0-1,1 0 0,0-1 0,0 1 0,-1 0 0,1-1 1,0 1-1,-1 0 0,1-1 0,-1 1 0,1-1 0,-1 2 1,1-1-1,-1-1 0,1 1 0,-1-1 0,0 0 0,1 0 1,-1 0-1,-1 1 0,-18 16 54,-1-2 0,-30 16 1,-4 1 26,-401 307-194,423-314-143,-11 5-1202,26-20-1122,-29 23-9774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12.28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1464 14592,'0'0'3839,"1"-5"-3732,3-26 0,2 0-1,11-38 0,-13 58-74,0-1 0,1 0 1,0 0-1,0 2 0,1-1 0,0 0 0,1 2 0,0-1 0,11-11 0,13-6 25,-20 16-39,0 1 1,0 1-1,-1-3 1,18-22-1,-14 14 30,1-1 0,2 2 0,-1 1 0,2 1 0,0 0 0,37-25 0,43-41 235,-76 61-183,0-1-1,32-47 1,-41 52-43,1 2 1,16-17 0,-17 19-11,0 0 1,-1 0-1,19-29 0,-21 25-30,0 2 0,1-2-1,1 4 1,1-2-1,0 2 1,1-1 0,0 2-1,21-15 1,42-41 93,-63 55-81,0 0 0,0 2 0,1-1 0,1 3 0,0-2-1,0 2 1,25-10 0,24-3-7,-29 12-22,-1-2 0,40-21-1,-29 6 16,-25 15 4,1 0 0,0 1 0,0 3 0,1-1-1,46-11 1,-44 15-19,0-1-1,33-16 1,-38 15 6,0 0-1,0 2 1,42-7 0,-1 5 58,-34 3-22,-1 2 1,0 1 0,50 4-1,127 22-42,-192-22 0,-1 1 0,0 1 0,20 10 0,-7-3 0,-19-10 0,18 10 0,40 10 0,-35-12 32,0 0 0,48 27 0,-16-8 0,-23-8-32,64 42 0,-56-35 0,10 10 0,99 58 0,52 8 107,-192-97-82,0 2 0,0-1 1,-1 2-1,0 1 0,-1 0 0,0 0 0,0 0 1,-1 2-1,0 0 0,13 21 0,42 72-25,-49-82 0,0 1 0,2-1 0,0-1 0,24 19 0,-15-14 0,32 44 0,-51-61 2,14 18 23,-2 1 0,-2 1 1,0 0-1,14 34 0,-26-50 2,1-1 0,0 0 0,2 0 0,0-2 0,0 1 0,17 17 0,16 21 40,-13-6-67,-19-29 0,-1 0 0,20 23 0,-14-22 3,9 7 18,-1 2 0,-1 1-1,-1 2 1,-1 1 0,20 36 0,-27-39-21,2-2 0,28 35 0,-7-8 0,-14-21 53,40 39-1,-36-41 13,28 39 0,-15-10-44,-4-5-21,53 62 0,-64-89 0,-1 2 0,-1 3 0,27 44 0,-31-41 0,1-3 0,1 0 0,2-2 0,1 0 0,1-1 0,51 44 0,-71-68 0,89 72 64,145 89 0,-184-128-64,-34-22 0,1-1 0,1-1 0,0-2 0,25 11 0,41 4 29,109 42 70,-91-13-99,-86-40 0,2-2 0,0 0 0,0-2 0,0-1 0,1-1 0,27 5 0,-17-7 32,61 0 0,-83-6-25,0-1-1,0 0 0,0 0 1,0-1-1,0-1 1,0 0-1,-1-1 0,0 1 1,14-9-1,58-49 160,-28 19-76,74-57-26,-111 83-51,-1 0 0,0-1 0,-1-2-1,25-38 1,-12 10 19,1 0 0,3 2 0,59-64 0,-29 46-32,-3-5 0,65-92 0,-89 111 0,-18 27 0,-1-1 0,-1 0 0,18-40 0,54-175 178,10-24 28,-86 237-206,1 2 0,1 1 0,23-34 0,-35 55-49,-1 1-1,0-1 1,1 0-1,-1 1 0,0-1 1,1 1-1,-1-1 1,1 0-1,-1 1 1,1-1-1,-1 1 1,1 0-1,-1-1 1,1 1-1,0-1 0,-1 1 1,1 0-1,0-1 1,-1 1-1,1 0 1,0 0-1,-1-1 1,2 1-1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23.43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78 87 14080,'0'34'-150,"-1"-30"65,-6 0 58,2 2 33,-7 27 356,2 0 1,0 1 0,3 1-1,1-1 1,-3 53 0,10-77-60,3-9 115,-4-2-388,1 0 0,-1 1 0,1-1 1,-1 0-1,0 0 0,1 0 0,-1 0 0,0 0 0,1 1 0,-1-1 0,0 0 0,0 0 1,0 0-1,0-2 0,2-38 200,2-1 1,1 1-1,2 1 0,25-79 1,-21 76-119,6-17-118,-31 95 32,2 0 0,1 1-1,2 1 1,-7 55-1,12-56 24,-12 104 393,15-128-392,0 5 34,1-16-72,0-1 1,0 0-1,0 1 1,0-1-1,0 0 1,0 1-1,0-1 1,0 0-1,-1 1 1,1-1-1,0 0 1,0 1-1,0-1 1,-1 0-1,1 1 1,0-1-1,0 0 1,-1 0-1,1 1 1,0-1-1,0 0 1,-1 0-1,1 0 1,0 1-1,-1-1 0,1 0 1,0 0-1,-1 0 1,1 0-1,0 0 1,-1 0-1,-4 3 111,4-3-30,2-8-53,18-45-40,3-136 0,0 4 0,-19 176 0,-3 22 0,-2 26 0,-3 9 47,3 50 0,1-21-13,-1-5 25,-11 142 288,11-201-290,2-12-45,-1 1 1,1 0-1,-1 0 0,1 0 1,0 0-1,0 0 1,0 0-1,0 0 1,0 0-1,1-1 1,-1 1-1,0 0 0,1 0 1,-1 0-1,2 2 1,1 10 56,-4-24-32,16-333 91,-14 292-128,1 68-37,3 30-54,-11 66-437,-3 157-2016,9-212-186,0-3-7339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30.29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9271 1749 13696,'0'0'1664,"-4"2"-1536,-6 6 45,1-2 0,0 1 1,0 2-1,0-1 0,1 0 0,0 1 1,-10 15-1,-27 40 723,21-31-652,18-26-177,0 2 0,0-1 0,-8 16 0,8-11-46,0 3 30,-1 0 1,-1-2-1,0 0 0,-19 24 0,15-24-41,5-5 10,-1 1 0,0-2-1,-1 2 1,0-3 0,-10 8-1,10-8-19,1 0 0,-1 1 0,1 0 0,-13 17 0,12-14 0,-1 1 0,-13 12 0,-64 41 0,61-48 0,2 1 0,0 1 0,1 2 0,-25 28 0,27-26 0,0 1 0,-1-1 0,-43 31 0,35-30 0,-53 56 0,14-12 0,44-46 0,0 0 0,-2-2 0,0-1 0,-1-1 0,-46 20 0,-40 17 0,77-33 134,-20 10 138,13-13-152,-17 10 96,-2-4 0,-100 26 0,110-42-112,36-6-100,0 0 0,0 0 0,1 1 0,-1 1 0,-25 12 0,28-8 64,-8 3 7,0 1 1,-1-3 0,-1 0-1,0-2 1,0 0-1,-38 6 1,40-10 18,0 1 0,-38 14 0,38-12-46,-1 1 0,-32 5 1,-85 11 358,38-5 444,73-14-757,-2-1 0,1-2 0,0-1 0,-53-5 0,51 0-66,12 1 29,0 0 0,1 0 0,0-1 0,-1-1 0,1-2-1,-26-12 1,27 11-57,1 0 0,-1 1 0,-1 1 0,-21-4 0,-18-5 0,49 11 49,0 0 0,0-1 0,0 1 0,-15-14-1,-14-7 114,20 16-59,14 8-60,-1-1 0,1 0 0,-1-1-1,1 1 1,0-2 0,0 2 0,0-2 0,0 1 0,1-1 0,-1 1 0,-3-6 0,-2-2-43,-1-1 0,0 1 0,-1 2 0,-16-14 0,-18-17 0,-13-19 0,-98-105 0,145 150 0,1-1 0,-13-24 0,16 26 0,-1 0 0,0 0 0,-1 1 0,-13-16 0,-12-4-81,18 17-5,0 0 0,1-1 0,0-1 0,-17-26-1,-1-8 23,17 29 0,2-3 0,-19-36 0,12 2 82,-9-19-111,26 71 83,-1-1-1,1 0 0,-1 1 1,0-1-1,-1 1 1,-11-12-1,-11-6-10,2-2-1,1-1 1,1 0 0,-27-46-1,40 59 21,-1 1 0,0-1-1,-23-19 1,23 22 5,0 1 1,1-1-1,1-1 1,-1 0-1,-13-25 1,-15-26 8,27 44-20,0 1 0,1-1 0,1 0 0,-10-29 0,-10-38 7,18 54 0,0 0 0,3-1 0,-10-51 0,19 73 0,-2 1 0,1-1 0,-2 0 0,1 2 0,-1-2 0,-1 2 0,0-1 0,-8-14 0,-5-2 0,-40-44 0,38 48 0,-35-51 0,45 62-25,-1-1 0,0 1 0,-1 1 0,0-1 0,-20-15 0,14 13-17,1 0-1,-16-20 1,9 9 63,0 0 1,-2 2-1,0 1 0,-1 2 1,-1 0-1,-31-15 0,50 28-12,-1 0 0,1 1-1,0-1 1,1-1 0,0 1-1,0-1 1,-6-10 0,6 9-4,0 1 0,0-1 1,0 1-1,-1 1 0,-1-1 1,-15-12-1,-50-18-3,-1 4 0,-83-28 0,-1 2 13,142 52-15,0-1 0,1-1 0,0-2 0,-16-14 0,16 14 0,0-1 0,-1 1 0,-23-11 0,-50-16-53,-183-56 0,179 74 46,-1 3-1,-123-7 1,152 23 57,9 0 117,-80-12 0,-52-10 198,157 21-111,-23-3-230,-58-4-27,-25 8 27,-188 7 102,126-4 307,100-3-1194,-1 5-3669,74-3-314,-19 4-9839,40-1 14583</inkml:trace>
  <inkml:trace contextRef="#ctx0" brushRef="#br0" timeOffset="1398.23">4093 1428 16256,'0'0'2709,"-5"-1"-2453,-20-3 195,-29-6 220,-93-5-1,133 15-652,-56 0 485,-88 12 0,-31 0 68,123-11-502,-91 2-13,-142 9 136,240-5-163,1 1-1,0 4 1,-62 21-1,-90 23 67,102-29-62,4 7-33,67-21 0,0-1 0,-47 8 0,-162 2 154,58-7-52,-51-9-100,3-1-25,-550 110-852,706-96-1445,40-7-5757,-42 21 0,24-7 4600,-21 13 5717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0.7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47 197 11648,'0'0'6911,"-2"4"-6804,-6 29 12,2 1 0,2-1 1,-1 66-1,1-5-63,-13 95 478,17-177-483,0 1 0,0-1 0,2 0 1,-1-1-1,2 1 0,-1-1 0,2 2 0,-1-2 1,10 19-1,-7-12-4,1 1 0,-2-1-1,-2 0 1,1 2 0,0 35 0,-8 99 184,1-91-97,-15 137 94,9-157-44,6-30-75,0 1-1,1 0 1,-1 18 0,9-94 888,-2 38-962,0-36 0,-9-129 26,1-51-16,2 22-45,0 107 0,15-162 0,-2 99 0,2 24 0,-27 319 6,8-117-20,-1 101 1,12-39-34,8 117-13,-3-119 60,16 223 0,-25-1 0,-3-273 0,1-27 0,0 0 0,-13 62 0,13-94 15,1 0-19,0 0 1,-1 0 0,1 0 0,-1 0-1,0 0 1,0 0 0,0 0 0,0 0-1,0-1 1,-1 3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8.20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101 27 12544,'0'0'2560,"-2"5"-2326,-6 34 8,1 0-1,2 1 1,1 0-1,1 46 1,-6 73 342,-2-42-159,-10 64 195,9-99-298,-2 97 0,13-169-304,-2 91 344,2-99-361,8 11 20,2-44 107,1-4-16,-3-2 0,5-41 0,-1 0 21,7-34-31,-4-1 1,-5-1-1,-5 0 1,-18-223-1,6 276 47,8 61-149,0 0 0,0 0 0,0-1 0,1 1 0,-1 0 0,0 0 0,0-2 0,0 2 0,0 0 0,0 0 0,0-1 0,0 1 0,0 0 0,0 0 0,0-1 0,-1 1 0,1 0 0,0 0 0,0 0 0,0-1 0,0 1 0,0 0 0,0 0 0,0 0 0,-1-1 0,1 1 0,0 0 0,0 0 0,0 0 0,0-1 0,-1 1 0,1 0 0,0 0 0,0 0 0,0 0 0,-1 0 0,1 0 0,0-1 0,-1 1 0,1 0 0,0 0 0,-1 0 0,1 0 0,0 0 0,0 0 0,-1 0 0,1 0 0,0 0 0,-1 0 0,1 0 0,0 0 0,-1 0 0,1 0 0,0 0 0,-1 0 0,1 0 0,0 0 0,-1 0 0,1 0 0,0 1 0,0-1 0,-1 0 0,1 0 0,0 0 0,-1 1 0,1-1 0,0 0 0,0 0 0,0 0 0,-1 1 0,1-1 0,0 0 0,0 1 0,0-1 0,0 0 0,-1 0 0,1 1 0,0-1 0,0 0 0,0 1 0,0-1 0,0 2 0,-3 12 0,1 67 0,12 131 0,0-4 0,-11-50-2,1 108 154,-2-170-26,-15 115 0,17-209-122,-1 16 35,2 1 0,-1-1 0,2 0 0,0 1 0,6 18 0,-6-25-39,-2-3 0,0-20 0,6-43-277,-3 0-1,-4-93 1,0-22-683,9 61-4074,-5 79-4523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15.32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5002 1 17535,'-26'16'22,"23"-12"116,11-5-6,10-3 216,-17 4-301,-1-1 0,1 1 0,0 0 0,0-1 0,-1 1 0,1 0 0,0 0 0,0-1 0,-1 1 0,1 0 0,0 0 0,0 0 0,-1 0 0,1 0 0,0 0 0,0 0 0,0 0 0,1 1 0,-2 0-27,0 0 0,1-1 1,-1 1-1,1 0 1,-1 0-1,0 0 0,0 0 1,1 0-1,-1-1 1,0 1-1,0 0 0,0 0 1,0 0-1,0 0 1,0 0-1,0 0 1,-1 0-1,1 1 0,-6 136 497,1-9-287,0 107 42,18 4 96,-7-157-240,15 181 197,5 98 148,-22-245-286,-12 125 1,-4-112-45,-7 163 226,23-171-257,0-49-21,-3 1 0,-10 84-1,9-130-351,0-28 190,0 2 0,0-2 0,0 1-1,0-1 1,0 1 0,0-1 0,0 0 0,0 1 0,0-1 0,0 0-1,1 1 1,-1-1 0,0 1 0,0-1 0,0 0 0,1 1 0,-1-1-1,0 0 1,0 1 0,1-1 0,-1 0 0,0 0 0,1 1 0,-1-1 0,0 0-1,1 0 1,-1 0 0,0 1 0,1-1 0,-1 0 0,1 0 0,-1 0-1,0 0 1,1 0 0,-1 0 0,1 0 0,-1 0 0,0 0 0,1 0-1,-1 0 1,1 0 0,-1 0 0,0 0 0,1 0 0,-1 0 0,1 0-1,-1 0 1,0-1 0,1 1 0,-1 0 0,0 0 0,1 0 0,-1-1-1,0 1 1,1 0 0,-1-1 0,0 1 0,1-1 0</inkml:trace>
  <inkml:trace contextRef="#ctx0" brushRef="#br0" timeOffset="2216.69">0 1024 17663,'57'6'79,"-19"-2"-8,116 26 803,49 1-340,-99-19-52,70 5 145,19-4-244,116 7 258,-7 19-148,-99-8-218,335 45 109,292 30 149,116-28-29,-407-32-261,-92-21 77,0-37-107,-392 7-213,54-3 0,154-34 0,38-26 0,50-13 0,-249 57 64,107-10 0,-144 29-21,0 2 0,123 11-1,10 24-42,-109-16 0,49 0 0,41 10 0,393 78 0,-527-97 0,277 61 0,-176-19 44,-26-8 19,-27-17-54,2-3 0,161 11 0,193-31-15,3-46 6,-275 25 0,34-18 0,20-2 0,133 25 0,-201 11 0,145 16 309,-188-3-234,-23-7-75,104-14 0,-42 3 0,-114 2 154,-39 5-116,1-1-1,0 2 0,-1 0 1,1 0-1,0 1 1,0 0-1,-1 0 0,10 2 1,14 6 410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20.65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72 90 16511,'14'-28'171,"-9"18"106,0 0 1,-1 0-1,4-11 0,-8 20-257,0 1 0,0 0-1,0 0 1,0-1 0,0 1-1,0 0 1,1 0-1,-1-1 1,0 1 0,0 0-1,0-1 1,0 1 0,0 0-1,0-1 1,0 1-1,0 0 1,0 0 0,0-1-1,0 1 1,-1 0 0,1-1-1,0 1 1,0 0-1,0 0 1,0-1 0,0 1-1,0 0 1,-1 0 0,1-1-1,0 1 1,0 0-1,0 0 1,-1 0 0,1-1-1,0 1 1,0 0-1,-1 0 1,1 0 0,0 0-1,-1-1 1,-13 5 403,-13 15 13,25-15-409,0 1-1,1-1 1,-1 1-1,1 0 0,0 0 1,0 0-1,0-1 1,1 1-1,0 0 0,0 0 1,0 0-1,2 9 1,-1 5 13,5 100 114,0 11 55,-1 115 196,-5-249-405,-3-66 0,2 58 0,-1 1 0,0 0 0,-1 0 0,0 0 0,0 1 0,-7-14 0,2 9 0,0 0 0,1-1 0,1 0 0,-5-21 0,10 30 0,-1 0 0,1 0 0,1 0 0,0 0 0,0 0 0,0 1 0,1-1 0,0 0 0,0 0 0,0 0 0,1 0 0,0 0 0,5-8 0,-1 2 0,52-125 0,-57 137 1,0-1 1,-1 1-1,1 0 0,0-1 0,0 1 0,0 0 0,0 0 0,0 0 0,0 0 0,1 0 0,-1 0 0,0 0 1,1 0-1,-1 0 0,0 0 0,1 1 0,-1-1 0,1 1 0,-1-1 0,1 1 0,-1-1 0,1 1 0,-1 0 1,1 0-1,0 0 0,-1 0 0,1 0 0,-1 0 0,1 0 0,2 1 0,6 1 16,1 0-1,0 0 0,12 6 1,-18-7-10,78 25 140,-20-8 60,-1 3 0,115 57 0,-175-77-186,0 0-1,1 1 1,-1-1-1,0 1 1,0-1 0,0 1-1,0 0 1,0 0-1,0 0 1,0 0 0,-1 0-1,1 0 1,-1 1-1,0-1 1,1 0 0,0 4-1,-2-4 1,0 0 0,1 0 0,-1 0 0,0 0 0,-1 0 0,1 1 0,0-1 0,-1 0 0,1 0-1,-1 0 1,1 0 0,-1 0 0,0 0 0,0 0 0,0 0 0,0 0 0,0-1 0,0 1 0,-1 0 0,1 0 0,-2 1 0,-10 11 24,-1 0 0,0-1 1,0-1-1,-1 0 0,-1-1 1,0-1-1,-21 11 0,-89 38 231,58-29-222,-95 59 0,156-86-266,5-5-100,7-8-1566,-2 6 376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38.67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124 95 10368,'0'0'-128,"-26"-8"-3144,17 4 3824,-1 1 1,1-1 0,-1 1 0,1 1-1,-1 1 1,-16-1 0,12 6 2269,24-7 1332,9 6-3664,34-1 161,-35-1-546,-1 0 0,1-1 1,0 0-1,0-2 0,-1 0 0,22-6 0,-36 7-91,-1 0 1,1-1-1,-1 1 0,1 0 0,-1-1 0,1-2 1,-1 3-1,0-2 0,0 1 0,0 1 1,-1-1-1,1 0 0,0 0 0,-1-1 0,1-1 1,-1 1-1,0 1 0,0-1 0,0 0 1,1-3-1,-2 5 5,1 1-1,-1-1 1,1 1 0,-1-3 0,1 3 0,-1-1 0,1 1 0,-1 0-1,1-1 1,0 1 0,-1 0 0,1-1 0,-1 1 0,1 0 0,0 0 0,-1-1-1,1 1 1,0 0 0,0 0 0,-1 0 0,1 0 0,0 0 0,-1 0-1,1 0 1,0 0 0,-1 0 0,2 1 0,18-4 306,-18 2-315,-1 0 0,1 1 0,-1-1 0,1 1 1,-1 0-1,1-1 0,0 1 0,-1 0 0,1 0 0,-1 0 0,1 0 0,3 1 0,3-1 8,-7 1-18,-2 1 0,0 1 0,0-1 0,0 2 0,1-1 0,-1-2 0,1 2 0,-1-1 0,1 1 0,0-1 0,0 1 0,0-1 0,1 3 0,-1-3 0,0 1 0,1-2 0,0 1 0,-1 0 0,1 0 0,2 6 0,-2-7 0,0 0 0,0 1 0,1-1 0,-1 0 0,0 0 0,1 0 0,-1 0 0,1 0 0,-1 0 0,1 0 0,-1 0 0,1 0 0,-1-1 0,1 1 0,0 0 0,0-1 0,-1 0 0,1 1 0,0-1 0,2 0 0,43 0 0,-30 0 0,38 2 0,-28 1 0,31-6 0,-19 3 0,0 0 0,45 10 0,40-1 0,-105-10 0,-1 2 0,0 0 0,1 2 0,-1 0 0,0 1 0,24 6 0,8 9 0,0-2 0,1-1 0,1-6 0,71 10 0,-112-19 0,-1 0 0,0 0 0,0 1 0,0 0 0,0 2 0,-1-1 0,1 1 0,-1 0 0,0 1 0,0 1 0,14 9 0,-8-3 0,0-4 0,19 10 0,-23-14 0,0 1 0,0 2 0,0-1 0,-1 1 0,0 2 0,11 7 0,-4 6 0,-15-16 0,0-3 0,1 0 0,-1 1 0,1-1 0,-1-1 0,1 1 0,0 0 0,0 0 0,0-1 0,1 0 0,-1 0 0,1 0 0,-1 0 0,7 1 0,35 11 0,-44-13 0,1 0 0,0 0 0,0-1 0,0 1 0,-1 1 0,1-1 0,0 0 0,-1 0 0,1 2 0,-1-1 0,3 2 0,-2-2 0,0 0 0,0 0 0,0 0 0,0 0 0,0-1 0,0 0 0,0 1 0,5 3 0,6-1 0,-8-2 0,1 0 0,-1-1 0,0 1 0,0 0 0,0 2 0,0 0 0,0-1 0,-1-1 0,1 1 0,5 8 0,-6-7 0,-1-1 0,1 1 0,0-1 0,0-2 0,7 6 0,-8-6 0,1 2 0,-1-1 0,1 1 0,-1-1 0,0 1 0,0-1 0,0 1 0,4 6 0,1 10 0,-8-17 0,1 0 0,-1 0 0,1-1 0,-1 0 0,1 1 0,0-1 0,0 1 0,0-1 0,0 1 0,0 0 0,0 0 0,1 0 0,0 0 0,23 25 0,-22-23 0,0 0 0,-1 1 0,1 0 0,-1-4 0,0 4 0,0-1 0,0 2 0,0-1 0,0 6 0,-1-6 0,0 0 0,0-2 0,0 1 0,0 0 0,1-1 0,-1 2 0,1-2 0,0 1 0,0-1 0,0 0 0,0 0 0,1 1 0,-1-1 0,1 0 0,4 2 0,1-1 0,-6-3 0,1 0 0,-1 0 0,1 0 0,-1 1 0,0 0 0,1-1 0,-1 2 0,0-2 0,0 1 0,0 0 0,0-1 0,0 1 0,1 3 0,-3-5 0,0 1 0,0-1 0,0 0 0,0 0 0,-1 0 0,1 2 0,0-2 0,0 1 0,-1-1 0,1 0 0,0 1 0,-1-1 0,1 0 0,0 1 0,-1-1 0,1 0 0,-1 0 0,1 1 0,0-1 0,-1 0 0,1 0 0,-1 0 0,1 0 0,-1 2 0,1-2 0,-1 0 0,1 0 0,-1 0 0,1 0 0,0 0 0,-1 0 0,1 0 0,0 0 0,0 0 0,-1 0 0,1 0 0,0 0 0,0 0 0,-1 0 0,1 0 0,0 0 0,0 0 0,-1 0 0,1 0 0,0 1 0,0-1 0,0 0 0,-1 0 0,1 0 0,0 0 0,0 0 0,0 1 0,0-1 0,-1 0 0,1 0 0,0 0 0,0 1 0,0-1 0,0 0 0,0 0 0,0 1 0,0-1 0,0 0 0,-1 0 0,1 0 0,0 1 0,0-1 0,0 1 0,2 1 0,0 0 0,0 1 0,1 0 0,-1-1 0,0 0 0,1 1 0,-1-1 0,1-2 0,-1 2 0,1-1 0,5 2 0,-3-1 0,-1 0 0,0 2 0,0-3 0,0 3 0,6 4 0,-9-7 0,1 0 0,-1 0 0,1 1 0,-1 0 0,0 0 0,0 0 0,1-1 0,-1 2 0,0-1 0,-1 0 0,1 0 0,0 0 0,-1 0 0,1 0 0,-1 1 0,1-1 0,-1-1 0,0 2 0,0-1 0,0 0 0,0 0 0,0 0 0,0 0 0,-1-1 0,1 1 0,-1 1 0,1-1 0,-1 0 0,0 1 0,-1 1 0,0 3 0,0 0 0,0 1 0,1 0 0,0-1 0,1 2 0,-1-1 0,1 1 0,1-3 0,1 14 0,1-8 0,1 2 0,0 1 0,1-1 0,7 14 0,-8-17 0,0 2 0,0 0 0,-1-2 0,-1 3 0,0-1 0,0 13 0,-1-9 0,2 2 0,4 17 0,-5-30 0,0-1 0,0 0 0,1 0 0,-1 0 0,1-1 0,0 0 0,7 10 0,-6-10 0,0 1 0,-1 0 0,1 0 0,-1 2 0,5 9 0,2 8 0,-5-12 0,0 1 0,-1-1 0,-1 1 0,0-1 0,0 2 0,1 22 0,-2 5 0,2-1 0,10 46 0,-2-8 0,2 6 0,4 48 0,-16-109 0,0 1 0,2-2 0,0 0 0,2-1 0,0 2 0,2-2 0,0 0 0,1 1 0,1-4 0,0 2 0,15 20 0,29 39-4,-40-56 10,1 0 1,2-2-1,29 32 1,-17-27 14,1 0 0,1 0 1,1-5-1,51 29 0,-69-42-21,0 2 0,-1-1 0,0 2 0,18 18 0,-16-15 0,0-1 0,26 20 0,-25-23 0,25 25 0,-31-26 0,0 1 0,0-3 0,1 0 0,0 2 0,20 6 0,6 2 32,1-3 0,0-3 0,70 11 0,-54-12-34,-6-2 78,49 0 0,-44-1 25,-40-4-68,1-2 1,0 0-1,23-1 0,19-8 44,-1-3 0,-1-4 0,0 2 0,54-27-1,-74 24 1,-2 1-1,40-27 1,57-48 184,-86 55-237,-27 22-25,2 1 0,34-23 0,-13 18 23,-23 9 6,-1 1 1,19-11-1,192-131 121,-32 1-21,-183 138-128,-1-1 0,0 1 0,9-15 0,-9 11 0,0 3 0,18-21 0,2 5 0,0 1 0,2 2 0,1 1 0,41-22 0,-37 23 0,-30 17 0,0-1 0,1 2 0,-1 0 0,9-4 0,-4 4 0,-2-1 0,1 1 0,0-3 0,-1 0 0,0 1 0,0-1 0,-1 0 0,0 0 0,0-2 0,13-15 0,-20 21 0,-2 3 0,1-2 0,-1 2 0,0-1 0,1 1 0,-1-1 0,1 1 0,-1 0 0,1 0 0,-1-1 0,1 1 0,0-1 0,-1 1 0,1 0 0,-1 0 0,1-1 0,0 1 0,-1 0 0,1 0 0,0-1 0,-1 1 0,1 0 0,0 0 0,-1 0 0,1 0 0,0 0 0,0 0 0,-1 0 0,2 1 0,6-20 0,-3 6 0,23-49-5,-22 46 12,1 1 0,0-1-1,17-25 1,-19 36 43,1-3 4,-8-13-73,2 19-38,-1 0-75,1 1 1,0 0-1,-1-1 1,1 0 0,0-1-1,0 2 1,0-1-1,0 0 1,0 1-1,1-5 1,8-8-3721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42.42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4851 45 14208,'0'0'-128,"-3"6"234,-44 84 300,46-89-294,0 0 1,0 0 0,0 0-1,-1 0 1,1-1 0,0 1-1,-1 0 1,1 0 0,0-1-1,-1 1 1,-2 0 0,-2 3 736,8-2-469,0-1 4,-32-7 1130,21 6-1451,1-1-1,-1 1 0,0 1 0,1-1 1,-1 2-1,1 0 0,0 0 0,-17 5 0,14-3 6,0-1-1,0 0 0,0 0 0,-17 0 0,12-3 7,10 0-13,1 0-1,0 0 1,0 0-1,0 0 1,0-1-1,0 0 1,0 0 0,-7-4-1,-1 1 72,0 0 0,-22-2 1,26 5-90,0 0 1,0-1-1,0-1 1,0 0 0,0 0-1,1 0 1,-1-1 0,-11-7-1,12 4-28,-2 2 0,1-1 0,-1 0 0,1 1 0,-1 1 0,-1 0 0,1 1 0,-1 0 0,-21-4 0,-165-19 710,39 10-64,149 16-648,1 0 0,-1 1-1,1 0 1,0 0 0,0 1-1,-1 1 1,-11 4 0,-13 4 13,3-1-26,-50 23 0,52-19 0,0-2 0,-42 12 0,29-15 0,-1 3 0,-66 30 0,62-26 0,37-14 0,0 0 0,0 1 0,1 0 0,-1 2 0,-13 6 0,9 0 0,0 1 0,-11 13 0,-8 8 0,13-13 0,1 0 0,-28 45 0,9-13 0,20-31 0,0-2 0,-39 35 0,48-48 0,-1 3 0,1-2 0,0 1 0,1 1 0,0 0 0,0 1 0,1-1 0,0 0 0,1 2 0,0-2 0,-7 20 0,7-13 2,-2 0-1,0-1 0,-17 28 1,15-27-9,1-2 0,0 2 1,-10 29-1,-57 197-100,72-231 107,-1 0 0,0 0 0,0-1 0,-1 1 0,-1-1 0,0-1 0,0 1 0,-11 12 0,6-9 0,1 1 0,0-1 0,1 1 0,0 2 0,-11 24 0,-26 89 0,30-80 0,-81 212 0,91-246 0,-1-1 0,-1 1 0,0-2 0,-1 1 0,0 0 0,-1-2 0,0 1 0,-1-2 0,-1 1 0,-18 14 0,-5 1 0,2 3 0,0 0 0,-35 47 0,-9 25 0,70-94 0,0 0 0,0 0 0,-1-1 0,0 1 0,-12 6 0,9-5 0,0-1 0,-15 17 0,15-10 0,0-1 0,-14 28 0,15-24 0,-19 25 0,25-38 0,-1 1 0,1-1 0,-2-1 0,1 2 0,0-2 0,-1 0 0,0 0 0,-7 4 0,-19 5 0,-1-1 0,0-2 0,-1-2 0,0-1 0,-40 3 0,-67 1 0,50-6 0,48-2 0,0-1 0,-1-2 0,-48-8 0,38-4 0,0-1 0,1-3 0,-95-45 0,113 43 44,1-3 1,0-1-1,-54-48 0,24 18 14,36 33 6,0 2 0,-1 1 0,0 2 0,-61-20 1,50 20-2,16 4-133,-2 2 0,1 1 0,-1 1 0,0 1-1,0 2 1,-46 0 0,63 4-419,0 0 1,0 1-1,0 0 0,1 0 0,-17 9 0,18-8-1015</inkml:trace>
  <inkml:trace contextRef="#ctx0" brushRef="#br0" timeOffset="2777.2">4103 14 12544,'0'0'5013,"-1"9"-4800,-10 81 120,-16 158 401,-17 33-24,27-193-546,-37 131 89,2-11 134,15 47 275,29-188-300,6-81 10,2-18-253,18-76 67,-10 72-141,6-69 1,-17-197 232,1 272-265,-2-38 34,-23-124-1,21 167-46,3 15 0,0-2 0,0 1 0,1-1 0,1 1 0,0-1 0,0 1 0,2-21 0,1 29 0,3 1 0,-5 2 0,0-1 0,1 1 0,-1 0 0,1 0-1,-1 0 1,0 0 0,1 0 0,-1 0 0,0 0-1,1 0 1,-1 0 0,0 0 0,1 0 0,-1 0-1,1 0 1,-1 0 0,0 0 0,1 1 0,-1-1-1,0 0 1,1 0 0,-1 0 0,0 0 0,1 1-1,-1-1 1,0 0 0,0 0 0,1 1 0,-1-1-1,0 0 1,0 0 0,1 1 0,-1-1 0,0 0-1,0 1 1,0-1 0,0 0 0,0 1 0,1-1-1,-1 1 1,0-1 0,0 0 0,0 1 0,0-1-1,0 0 1,0 1 0,0-1 0,0 0 0,0 2-1,0-2 1,0 1 0,-1-1 0,1 0 0,0 1-1,0-1 1,0 0 0,0 1 0,-1-1 0,1 1-10,0 38-103,-1-1-520,2-2 0,1 2 0,11 57 0,7-14-2311,2 3-8597</inkml:trace>
  <inkml:trace contextRef="#ctx0" brushRef="#br0" timeOffset="4663.22">5681 266 15104,'0'0'4245,"2"10"-4032,3 13-64,-1 0 0,-1 0-1,-1 0 1,-1 28 0,-11 102 387,6-68-380,10 140 1,-2-161-86,2 29 5,-1-40 6,-2-1 1,-3 2-1,-9 85 0,-3-27 116,7-62-118,5-50-77,0 2 1,0-2 0,0 0 0,1 0-1,-1 0 1,0 1 0,0-1 0,0 0 0,0 0-1,0 1 1,0-1 0,0 0 0,0 0-1,0 0 1,0 1 0,-1-1 0,1 0-1,0 0 1,0 0 0,0 1 0,0-1 0,0 0-1,0 0 1,0 0 0,0 0 0,-1 1-1,1-1 1,0 0 0,0 0 0,0 0-1,0 0 1,-1 0 0,1 0 0,0 1 0,0-1-1,0 0 1,0 0 0,-1 0 0,1 0-1,0 0 1,0 0 0,0 0 0,-1 0-1,1 0 1,0 0 0,0 0 0,0 0-1,-1 0 1,1 0 0,0 0 0,0 0 0,-1 0-1,1 0 1,0 0 0,0 0 0,0 0-1,0 0 1,-1-1 0,1 1 0,0 0-1,0 0 1,-10-13 125,1-5-43,0 0 1,2-2-1,0 1 0,1-1 0,-4-22 0,-11-104 144,16 104-213,1 7 11,0 1-1,3-2 1,4-68 0,4 55-3,20-241 227,-9 32-191,1-18 6,-22 242-67,2 27 0,0 0 0,1-2 0,0-12 0,0 21 0,0 0 0,0 0 0,0-1 0,0 1 0,0 0 0,0 0 0,0-1 0,0 1 0,0 0 0,0 0 0,0-1 0,0 1 0,0 0 0,0 0 0,0-1 0,0 1 0,1 0 0,-1 0 0,0-1 0,0 1 0,0 0 0,0 0 0,0-1 0,1 1 0,-1 0 0,0 0 0,0 0 0,0 0 0,1-1 0,-1 1 0,0 0 0,0 0 0,0 0 0,1 0 0,-1 0 0,0 0 0,0 0 0,1-1 0,-1 1 0,0 0 0,0 0 0,1 0 0,-1 0 0,0 0 0,0 0 0,1 0 0,-1 0 0,0 0 0,1 1 0,-1-1 0,0 0 0,0 0 0,0 0 0,1 0 0,-1 0 0,0 0 0,1 1 0,-1-1 0,1 1 0,0-1 0,-1 1 0,1-1 0,-1 1 0,1-1 0,-1 1 0,1 0 0,-1-1 0,0 1 0,1 0 0,-1 0 0,0-1 0,1 1 0,-1 1 0,0 0 0,11 150 0,-4-70 0,-2-25 0,-1-5 0,-1 0 0,-4 53 0,-14 16 0,-1 21 0,13-87 0,-14 160 0,12-174 0,-3 0 0,-1 0 0,-16 44 0,-8 5-512,33-90 417,-2 7-230</inkml:trace>
  <inkml:trace contextRef="#ctx0" brushRef="#br0" timeOffset="6179.41">3866 196 18431,'0'0'640,"7"-7"-533,6-6-88,0 1-1,-1-3 1,-1 2 0,0-3-1,-1 1 1,0-1 0,7-18-1,-17 33-18,2-7 0,-1 7 0,-1 1 0,1 0 0,0 0 0,0-1 0,-1 1 0,1 0 0,0 0 0,0 0 0,-1 0 0,1 0 0,0 0 0,0 0 0,-1 0 0,1 0 0,0 1 0,-1-1 0,1 0 0,0 0 0,0 1 0,-1-1 0,1 0 0,0 1 0,-1-1 0,1 1 0,0 0 0,0-1 0,1 2 2,-1-1-1,1 1 1,0-1-1,0 1 1,-1 1-1,1-1 1,-1 0 0,0 0-1,0 0 1,1 0-1,-1 0 1,-1 0-1,1 0 1,0 0-1,0 0 1,0 5-1,5 44 106,-5-39-90,9 141 530,-6-1 1,-17 174-1,8-197-261,4-80 19,-11 93 0,12-142-292,0 1-1,0-1 0,0 1 1,0 0-1,0-1 0,-1 1 1,1-1-1,0 1 0,0-1 1,0 1-1,0-1 0,-1 1 0,1-1 1,0 1-1,-1-1 0,1 1 1,0-1-1,-1 1 0,1-1 1,-1 1-1,1-1 0,-1 0 1,0 1-1,-7-8 203,-5-23-64,10 18-128,1 1-1,0-1 1,0 1 0,1-2 0,0-13 0,6-64 157,-1 40-135,10-404 83,-13 442-128,-4 34 0,-24 98-54,-13 72-190,-23 308-2064,57-406 927,4 1 1,5 0 0,17 126 0,3-74-8796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15.36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842 826 18815,'0'0'256,"-6"1"-128,-78 19 418,-54 14-1,117-28-477,0 3-1,0-2 1,0 3 0,-24 15 0,24-8-13,0 0 1,-37 40-1,-7 5 141,-67 38 17,23-20-20,100-74-183,0 2-1,1 0 1,0 1 0,1-1 0,-1 1 0,-10 16 0,17-22-9,-1 0 0,1 0 0,0-1 1,-1 1-1,1-1 0,1 1 0,-1 1 0,0-2 0,1 1 0,-1 0 0,1 0 1,0 0-1,0 0 0,0 0 0,0 0 0,0 0 0,1 0 0,-1-1 1,1 2-1,0-1 0,0-1 0,0 1 0,0-1 0,0 0 0,0 2 0,1-2 1,-1 0-1,1 1 0,0-1 0,0 0 0,0 0 0,2 3 0,1-1-1,0 0 0,0-1 0,0 0 0,0 1 0,1-1 0,-1 0 0,1-1 0,0 0 0,0 0 0,0 1 0,0-2 0,0 0 0,0 0 0,0-1 0,0 1 0,1-1 0,11-2 0,6-3 0,0 0 0,-1-1 0,29-12 0,-27 9 0,98-43 353,-32 12-66,-90 40-263,0-1-2,0 1 1,0 0 0,0-1-1,0 1 1,0-1-1,0 1 1,0-2 0,0 2-1,0-1 1,0 0 0,-1 0-1,1 1 1,0-1-1,0-1 1,-16-3-1280,3 1-2777</inkml:trace>
  <inkml:trace contextRef="#ctx0" brushRef="#br0" timeOffset="748.77">1154 1021 21247,'0'0'128,"-4"-4"-21,-6-7-96,3 4-8,-1-1 0,-1 1 0,1 1 0,-13-9 1,17 13-5,0-1 1,1 2 0,-1-1-1,0 1 1,0 0 0,0 0-1,0 0 1,0 0 0,0 1-1,0 0 1,0 0 0,-1 0 0,1 0-1,0 1 1,0-1 0,-5 3-1,-4 3 1,-1 0 0,1 1 0,0 1 0,0-1 0,0 2 0,1 0 0,1 2 0,0 0 0,0-1 0,0 2 0,2 0 0,-1-1 0,2 2 0,-1 0 0,2 1 0,-1-1 0,-7 22 0,14-31 0,0-2 0,0 1 0,1 0 0,-1-1 0,1 1 0,0 1 0,-1-2 0,1 1 0,1 0 0,-1-1 0,0 1 0,0 1 0,1-2 0,0 1 0,-1 0 0,1-1 0,0 1 0,0 0 0,1 0 0,-1-1 0,0 0 0,1 1 0,-1-1 0,1 0 0,0 1 0,0-1 0,0 0 0,0-1 0,0 1 0,0-1 0,0 0 0,1 1 0,-1-1 0,1 0 0,-1 0 0,1 1 0,3 0 0,3 1 0,1 0 0,-1-1 0,1 0 0,-1-1 0,1 0 0,-1-1 0,1 1 0,-1-2 0,15-2 0,-13 1 11,0 0 0,0-1-1,-1-1 1,-1-1 0,18-7-1,-22 9-5,-1 0-1,1 0 1,-1 0 0,0-1-1,0 0 1,0 0-1,0 0 1,0 0-1,-1-1 1,0 0 0,0 1-1,0-1 1,3-8-1,2-10-9,1 3-47,-2-1-1,8-35 0,-13 49 22,-1 2-1,-1-1 0,1-1 0,-1 1 0,0-1 1,-1 1-1,1 1 0,-1-2 0,0 1 0,0 1 1,-1-1-1,0 0 0,0 1 0,-4-9 0,6 13-128,-1 0 0,1 1 0,-1-1-1,0 0 1,1 1 0,-1-1 0,1 1-1,-1-1 1,0 1 0,1-2 0,-1 2-1,0-1 1,0 1 0,1 0 0,-1-1-1,0 1 1,0 0 0,0 0 0,1 0-1,-1-1 1,0 1 0,0 0 0,0 0 0,0 0-1,0 0 1,-1 1 0</inkml:trace>
  <inkml:trace contextRef="#ctx0" brushRef="#br0" timeOffset="1410.16">1609 813 20991,'0'0'640,"-4"0"-533,-17 4-105,1 1 1,0 1-1,0 1 0,1 1 1,-1 0-1,1 2 1,1 0-1,-33 24 0,45-27-15,0-1-1,0 0 0,1 2 0,0-2 0,0 2 1,0 0-1,1 0 0,0 0 0,0 0 1,1-1-1,-4 17 0,5-19 5,1 0 1,0-1-1,1 2 1,-1-1-1,1 0 1,0 1-1,0-2 0,0 1 1,1 0-1,-1 1 1,1-2-1,0 0 0,1 2 1,-1-2-1,1 1 1,0-1-1,0 1 1,0-1-1,1 0 0,0 0 1,-1 1-1,6 4 1,0-1-25,0-2 0,1 0 1,0 1-1,0-3 1,-1 1-1,2 1 0,16 4 1,29 17 15,-53-26 18,-1 0 0,1 0-1,-1 0 1,1 0 0,-1 0-1,0 0 1,1 0 0,-1 1-1,0 0 1,0-1 0,0 1-1,0-1 1,0 1 0,0-1-1,-1 1 1,1 0 0,0-1-1,-1 1 1,1 1 0,-1-2-1,0 1 1,1 0 0,-1-1-1,0 1 1,0-1 0,0 1-1,0-1 1,0 1 0,-1 1 0,1-1-1,-1-1 1,1 1 0,-2 2-1,-2 6 14,0-1 0,-1 1-1,-1-2 1,-11 18 0,4-8 22,-11 18 111,-42 49 0,52-69-149,0-1-1,-1-2 0,0 0 0,-2 0 0,-23 15 1,34-25-118,1 0 0,-1 0 0,0-1 0,1 1 0,-1-1 0,0-1 0,0 0 0,-8 1 0,10-2-188,1 0-1,-1 0 1,1-1-1,-1 1 1,1-1-1,0 0 1,-1 0-1,1 0 1,0 0-1,0-1 1,0 0-1,0 0 0,0 0 1,0 1-1,-5-6 1</inkml:trace>
  <inkml:trace contextRef="#ctx0" brushRef="#br0" timeOffset="3061.39">2193 248 20223,'1'8'24,"-2"0"-1,1-1 0,-1 0 0,0 1 0,0-1 0,-4 10 0,3-11 19,0-2 0,0 0-1,-1 1 1,0 0-1,0-1 1,0-1 0,0 1-1,0 0 1,-1 0-1,1-1 1,-5 3 0,-74 56 427,40-31-341,0 0 0,-63 66 0,96-85-122,0 1 1,0 0-1,1 0 1,1 0-1,0 1 1,0 1-1,3-1 0,-2 1 1,2 0-1,0-1 1,-2 19-1,0 15 54,1 2-1,3 58 1,3-68-23,2 0 1,2-1-1,18 74 0,44 110-42,-30-111 10,15 61-2159,-47-159 1333,0-1 0,0-1 1,10 15-1,-5-8-1656,3 5-7016</inkml:trace>
  <inkml:trace contextRef="#ctx0" brushRef="#br0" timeOffset="3898.71">2793 386 21503,'-19'37'-5,"23"-40"10,-4 2 4,-1 2 4,1-2-7,1 0 1,0 0 0,-1-1-1,1 1 1,-1-1 0,0 1-1,1 0 1,-1 0 0,0 0-1,1 0 1,-1-1 0,0 1-1,0 0 1,0 0 0,0-3-1,2 136 42,-1 81 132,-3-162-135,-2 0 0,-13 59 0,5-59 8,-2 1 1,-3-1-1,-1-2 0,-3 1 1,-1-2-1,-3 0 0,-44 64 1,59-97-16,0-1 0,-1 0-1,-1 0 1,0-1 0,0-3 0,-1 2 0,-1-2 0,-28 19 0,39-27-37,-1-1 0,0 1 0,1 0 1,-1-1-1,0 0 0,1 0 0,-1 0 0,0-1 0,0 0 1,0 0-1,0 0 0,0 0 0,1 0 0,-1-1 0,0 1 1,0-1-1,-4-3 0,3 2-1,0-1 0,0 1 0,0-1 0,1-1 0,-1 0 0,1 0 0,-1 1 1,1-1-1,0-1 0,-5-7 0,-1-3-22,0-2 1,1 0 0,1 0-1,1-1 1,0 1-1,-5-23 1,10 30-19,0-1 0,1 1 0,0-1 0,1 0-1,0 0 1,1 0 0,0 0 0,0 0 0,1 0 0,0 0 0,1 2 0,0-2 0,1 1-1,0 0 1,1-1 0,0 2 0,0-1 0,1 1 0,0 0 0,0 2 0,1-2 0,0 1 0,0 0-1,12-9 1,-15 15 31,0-1 0,0 0 0,1 1 0,-1 0 0,1 0 0,-1-1 0,1 2 0,0 0 0,-1 0 0,1 0 0,0 0 0,0 1-1,0-1 1,7 2 0,-4 0-15,-1 0 0,1 1 0,0 0 0,-1 1 0,1 0 0,-1 0 0,0 0 0,8 7 0,6 5-33,0 1-1,-2-1 1,0 4-1,25 28 0,-24-24 64,0 2-1,-1 1 0,24 40 1,-32-46 82,0-1 0,2-1 1,1 1-1,0-2 1,1 0-1,18 16 0,-24-23 131,-7-8-283,1 0-1,-1 0 0,0 0 0,1 0 0,-1 0 1,1 0-1,0 1 0,4 0 0,-5-2 0,-1-1 1,0 0-1,1 0 0,-1 0 0,0-1 1,1 1-1,-1 0 0,0 0 0,1-1 1,-1 1-1,0 0 0,1-1 0,-1 0 1,0 1-1,0-2 0,0 1 0,0 1 0,0-1 1,0 0-1,0 0 0,0 0 0,0 0 1,0 0-1,0 0 0,1-1 0,13-23-2985</inkml:trace>
  <inkml:trace contextRef="#ctx0" brushRef="#br0" timeOffset="4729.26">3037 67 18815,'0'0'2304,"2"5"-2069,17 54 247,28 58-1,-23-62-322,27 91-1,-33-64-44,-2 0-1,-4 1 1,3 144 0,-16-107-81,-5-2 0,-22 123 1,15-171 5,-3 0 0,-3 0 0,-3-2 0,-3 0 0,-35 69 0,43-107-441,0-1 0,-2-2-1,-2 1 1,0-3 0,-2 1 0,-37 31-1,57-54 105,0 1-1,0-2 0,0 0 1,0 0-1,0 1 0,-1-2 1,1 1-1,-1 0 0,1-1 1,-1 1-1,0 0 0,0-1 1,1-1-1,-9 2 1,-17-1-10582</inkml:trace>
  <inkml:trace contextRef="#ctx0" brushRef="#br0" timeOffset="5539.42">3714 1140 18175,'0'0'1430,"6"0"-961,19 4-144,0-1 1,0-1-1,28-3 0,-46 1-295,0 1-1,1-1 1,-1 1-1,0 1 0,0-1 1,0 0-1,0 1 1,-1 1-1,1 1 1,10 4-1,16 8 31,71 20-1414,4-7-3393</inkml:trace>
  <inkml:trace contextRef="#ctx0" brushRef="#br0" timeOffset="5893.53">3950 661 22271,'0'0'512,"28"-4"-512,-6-5 128,8-4-128,7 4 0,5-4-896,1 1 128,-1 2-256,-2 1 128,-1 2-12927</inkml:trace>
  <inkml:trace contextRef="#ctx0" brushRef="#br0" timeOffset="7041.11">4862 879 23423,'-75'33'-1,"13"-7"-9,-105 65 0,159-86-4,-1 1-1,1 1 1,0-1-1,0 1 1,1 1 0,0-1-1,-9 14 1,14-17 14,-1 0 1,1 0-1,0 1 1,0-1-1,0 0 1,1 0-1,0 2 0,0-2 1,0 1-1,0-1 1,0 2-1,1-2 0,0 0 1,0 1-1,0 0 1,1-1-1,-1 1 0,1 0 1,2 4-1,-1-1 0,1 0 0,0 0 0,1-1 0,-1-1 0,2 2 0,-1-3 0,0 3 0,1-2 0,0-1 0,1 2 0,-1-2 0,1 0 0,0 1 0,1-1 0,-1-1 0,1 0 0,0 0 0,0 0 0,0-1 0,11 3 0,2 1 0,1-2 0,-1-2 0,0 2 0,1-3 0,0-1 0,27-1 0,-44 0-27,-1 0-1,1-1 0,0 1 1,-1-1-1,1 0 0,-1-1 1,0 1-1,1 0 0,-1-1 1,0 1-1,1 0 0,-1-1 1,0 0-1,0 0 0,-1 0 1,1-2-1,0 2 1,4-6-1,-3 0-805,1 1 0,-1-2 0,0 2-1,-1-2 1,0 1 0,4-15 0</inkml:trace>
  <inkml:trace contextRef="#ctx0" brushRef="#br0" timeOffset="7602.34">5303 1031 23679,'-49'6'0,"47"-6"-12,0 0 1,0 0-1,0-1 0,0 1 0,0-1 0,0 1 1,0-1-1,0 0 0,0 1 0,0-1 0,0 0 1,0 0-1,0-1 0,1 0 0,-1 1 0,0-1 1,1 1-1,-1-1 0,1 1 0,0-1 0,-1 1 1,1-1-1,0 0 0,0-1 0,0 1 0,-1-4 1,1 4-11,0 0 1,0-1-1,-1 0 1,1 1-1,-1 0 1,1 0 0,-1 1-1,0-1 1,0 0-1,0 0 1,0 1 0,0-2-1,0 2 1,-4-3-1,3 3-192,-1 0 0,0 0 0,0 0 0,1 0 0,-1 1 0,0-1 0,0 1 0,0 0-1,0 0 1,0 0 0,0 1 0,1 0 0,-1-1 0,0 1 0,-7 3 0,5-1 14,1 1 0,-1-1 0,1 1 1,0-2-1,0 2 0,1 1 0,-1 0 0,1-1 0,-5 8 1,0 2 79,0-1 1,2 2 0,-1-2-1,2 3 1,-1-1 0,2 1-1,-5 19 1,7-24 124,1 0 0,0 2 0,1-1 0,1-1 0,-1 2 0,2-1 0,0 0-1,3 19 1,-3-26 27,0-2-1,0 0 0,0 1 1,0-1-1,0 1 0,1-1 1,-1 0-1,1 0 0,0 0 1,0 1-1,0-2 0,0 1 1,0 0-1,1-2 0,-1 1 0,1 0 1,0 1-1,-1-1 0,1 0 1,0 0-1,0-1 0,0 1 1,0-1-1,0 0 0,0 0 1,0 0-1,1 0 0,-1-1 1,0 1-1,1-1 0,-1 0 1,1 0-1,3 0 0,-1-1 39,1 0 1,-1-1-1,1 0 0,-1 0 0,1 0 0,-1-1 1,0-1-1,0 1 0,0 0 0,-1 0 1,1-1-1,-1-1 0,7-6 0,7-9-174,33-44 1,-36 43-246,-1-1-910,-1 1 1,-1 1-1,13-30 0,-9 14-7423</inkml:trace>
  <inkml:trace contextRef="#ctx0" brushRef="#br0" timeOffset="8259.07">5787 741 20607,'-7'-1'0,"1"0"-8,0-1 0,0 2 1,0 0-1,0 0 1,-1 0-1,1 2 1,0-1-1,0 0 1,0 1-1,0-1 0,1 1 1,-1 1-1,-6 2 1,-28 26-843,0 1 0,-66 71 1,101-97 838,-9 8-96,0 1 1,2 0-1,-11 18 1,19-28 98,1 1 0,0 0 1,0 0-1,0 0 0,1 0 1,0 1-1,0-1 0,1 0 1,-1 2-1,1-3 0,1 1 1,-1 1-1,1 9 0,1-7 8,0 0 0,0 0 0,1 0 0,3 11 0,-4-17 0,1 0 0,-1 0 0,0 0 0,1-1 0,-1 1 0,1-1 0,0 0 0,0 2 0,0-2 0,0 0 0,0 0 0,0 0 0,0-1 0,0 1 0,1 0 0,3 2 0,5 1-44,-2-1 108,0 0-1,-1 1 1,1 0 0,10 9 0,-17-12-15,0-1-1,-1 0 1,1 1-1,-1-1 1,1 0-1,-1 1 1,0 0-1,0 1 1,0-1-1,0-1 1,0 1-1,0 0 1,0 0-1,-1 1 1,1-1-1,-1 1 1,1-1-1,-1 0 1,0 0-1,0 0 1,0 1-1,0-1 1,0 1-1,0-1 1,-1 3-1,-4 11 158,-1-1-1,0 0 0,0 0 1,-2-1-1,0 0 0,0 0 1,-13 15-1,16-23-163,-1 2-1,-1-2 0,1 0 1,0 1-1,-1-2 1,-1 1-1,1-1 1,-12 6-1,-10 3-48,-32 9 0,19-7-181,5 1-12,-8 4-3440</inkml:trace>
  <inkml:trace contextRef="#ctx0" brushRef="#br0" timeOffset="8957.19">6199 0 19071,'0'0'128,"-1"5"0,-1 2-52,-1-1-1,0 0 1,0 1-1,0-2 0,-1 0 1,1 1-1,-1-1 0,-1-1 1,1 2-1,-1-2 1,0 1-1,0-1 0,0 0 1,-7 4-1,-5 5 126,9-8-105,-1 1 0,1 0 1,1 1-1,-1-1 0,1 1 0,0 1 0,0 0 0,-9 16 1,-7 14-19,2 2 0,2 1 0,2 0 1,1 1-1,-13 53 0,6 23 45,-9 129 0,8 123 58,17-65 37,9-237-199,3 0 1,19 100 0,-24-167-95,0 0 1,0 1 0,1-1-1,-1 1 1,0-1-1,0 0 1,1 1-1,-1-1 1,1 0-1,-1 0 1,1 0-1,0 0 1,0 0-1,-1 0 1,1 0-1,0 0 1,0-1-1,0 1 1,0 0-1,0 1 1,0-2 0,0 1-1,0 0 1,0-1-1,0 1 1,0-1-1,1 1 1,-1-1-1,0 0 1,0 1-1,0-1 1,2 0-1,8 3-2544</inkml:trace>
  <inkml:trace contextRef="#ctx0" brushRef="#br0" timeOffset="9328.94">6281 931 22399</inkml:trace>
  <inkml:trace contextRef="#ctx0" brushRef="#br0" timeOffset="9457.11">6281 931 22399,'0'0'0,"52"-17"0,-22 10 0,-1-3 0,0 1 0,-4 0-128,-3 3 128,-2 1-768,-3-1 0,0 5-1408,4 1 1,-1 1 767,-6 2 0</inkml:trace>
  <inkml:trace contextRef="#ctx0" brushRef="#br0" timeOffset="10359.91">6828 300 21503,'2'18'42,"-1"0"0,-1 29 0,-1-29 9,1 1-1,3 23 1,5 8 22,-3 0 0,-2 2 0,-1-2 0,-3 1 0,-2 0 1,-17 92-1,3-71 5,-4-2 0,-2-1 0,-3-1 1,-3-1-1,-49 87 0,61-127-39,-2 0-1,0-1 1,-25 26 0,31-38-22,-1-2 1,0 1-1,0-2 1,-1-1-1,0 1 1,-30 13-1,43-22-24,0-2 0,-1 1 0,1-1 0,0 1 0,-1-1 0,1 0 0,0 0 0,-1 0 0,1 0 0,-1-1 0,1 1 0,0 0 0,0-1 0,-1-1 0,1 1-1,0 1 1,0-1 0,0 0 0,-1-1 0,1 1 0,1 0 0,-1-1 0,0 1 0,0-1 0,0 1 0,1-1 0,-1-1 0,1 1 0,-1 0 0,-1-2 0,-1-2-25,1-1 1,-1 1-1,1-1 1,0 1-1,1 0 1,-1-2-1,1 2 1,0-2-1,-1-9 1,3 8-32,0 0 1,1 1-1,-1-1 1,2 2-1,-1-2 0,1 1 1,0-1-1,1 2 1,0-2-1,0 1 0,0 0 1,1 1-1,0 0 1,1-1-1,0 2 0,0-1 1,0 1-1,8-8 0,-2 3-108,0 1 0,1 0 0,0 1 0,0 0 0,1 2-1,0-1 1,0 1 0,0 1 0,21-6 0,-28 10 150,0 1 0,0 0 0,0 1 0,0-1 0,0 1 0,0 1 0,0-1 0,0 1 0,0 0 0,0 0 0,0 1 0,0-1 0,-1 1 0,1 1 0,-1 0 0,1 0 0,-1 0 0,0 0 0,0 0 0,6 7 0,-3-4 48,-1 2-1,0 0 1,0 1-1,0-1 1,0 2-1,-1-1 1,-1 1-1,1-1 0,-2 2 1,7 15-1,6 23 190,-7-21 125,0 1-1,7 38 1,-17-63-326,0-1 0,0 1 0,0 0 0,0 0 0,-1-1 0,1 1 0,-2 4 0,0 3-71,2-11 45,0 0 0,0 0 0,0 2 1,0-2-1,0 0 0,0 0 1,0 1-1,0-1 0,0 0 0,-1 0 1,2 0-1,-1 1 0,0-1 0,0 0 1,0 0-1,0 1 0,0-1 0,0 0 1,0 0-1,0 0 0,0 1 0,0-1 1,0 0-1,0 0 0,1 0 0,-1 1 1,0-1-1,0 0 0,0 0 0,0 0 1,1 0-1,-1 0 0,0 1 0,0-1 1,0 0-1,1 0 0,-1 0 1,0 0-1,0 0 0,0 0 0,1 0 1,-1 0-1,0 0 0,0 0 0,0 0 1,1 0-1,-1 0 0,0 0 0,0 0 1,1 0-1,-1 0 0,0 0 0,0 0 1,0 0-1,1 0 0,-1 0 0,13-6-720,-13 6 731,4-5-601,1 2 0,-1-1 0,0 1 0,0-2 0,6-8 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33.21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120 0 20479,'-3'32'-8,"2"-15"138,-1 0 0,-1-2 0,-6 26 0,7-34-57,0 0 0,0 2 0,1-2 0,0 1 0,0-1 0,1 2 0,0-2 0,2 13 0,2 7 30,10 30-1,1 15 82,-7-23-119,3 0 0,1 0 1,25 56-1,75 131 164,-87-185-203,-3 0 0,-1 1-1,-3 1 1,14 75-1,-24-79 1,-2 0 0,-3-1-1,-2 1 1,-5 56-1,0-65 8,-3-1-1,-17 59 0,5-16-1,-65 193 57,30-111-48,-71 224 216,81-287-1417,6-29-3011,-2 3-7774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9:53.808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149 184 17791,'0'0'662,"1"5"-449,3 24 123,-1-1 0,-1 0 0,-2 0 0,-5 56 0,-30 118 815,-3 34-526,29-157-401,-23 97-1,16-98-137,7-24-59,-4 99-1,12-66-3897,16-132-11425,-5 13 13163</inkml:trace>
  <inkml:trace contextRef="#ctx0" brushRef="#br0" timeOffset="656.61">238 19 18431,'-3'52'150,"4"-45"-1,4-14 141,1-17 913,-5 23-1200,-1-1-1,0 1 0,0 0 0,1 0 0,-1 0 1,1 0-1,-1-1 0,1 1 0,0-1 1,-1 1-1,1 0 0,0 0 0,0 0 0,0 1 1,0-1-1,-1 0 0,1 0 0,0 0 1,0 1-1,1-1 0,-1 1 0,0-1 0,0 1 1,2-1-1,31-11 79,-30 12-90,13-4 21,0 1-1,1 1 0,0 1 1,-1 1-1,1 0 0,0 1 1,0 1-1,20 5 0,-24-3 22,-1 0-1,0 0 0,-1 1 1,1 0-1,-1 2 1,0 0-1,0 0 0,0 1 1,-1 0-1,-1 1 1,13 12-1,-9-5 3,0 0 0,-1 0-1,21 37 1,-29-42-17,1 0 0,-2 0-1,1 2 1,-2-2 0,1 2 0,-2-2-1,1 2 1,0 16 0,-1 0 72,-2 2 1,-1-2 0,-1 0-1,-10 52 1,8-66-53,0 0 1,-1 0-1,0 0 0,-1-1 1,0 0-1,-1-1 0,-1 1 0,0 0 1,-1-2-1,-19 21 0,8-13-31,-2 1 1,0-2-1,-2-1 0,0 0 0,0-3 0,-2 0 0,0-1 0,0-2 0,-1 0 0,0-3 1,-43 11-1,54-19 888,-9-3-8876,-9-38-5882</inkml:trace>
  <inkml:trace contextRef="#ctx0" brushRef="#br0" timeOffset="1558.87">1044 974 22271,'-4'7'-2,"1"0"1,-1 0-1,0-1 0,-1 0 0,-5 8 0,7-12 11,1 0-1,-1 0 1,1 0 0,-1 0 0,0 0-1,0-1 1,1 1 0,-1 0-1,-1-1 1,1 0 0,0 0 0,0 0-1,0-1 1,0 1 0,-4-1-1,1 1-41,0 0-1,0 0 0,0 0 0,0 1 0,0 0 1,1 0-1,-1 0 0,1 1 0,-1 1 0,1-1 1,0 0-1,0 0 0,0 1 0,1 0 0,-8 10 1,-3 4-468,2 0 1,0 1-1,-10 23 1,-8 11 248,26-46 236,-7 13 5,12-19 12,0-1-1,0 1 0,0-1 0,0 1 0,0 0 0,0-1 0,0 1 1,0-1-1,0 1 0,0-1 0,0 1 0,0 0 0,0-1 0,0 1 1,1-1-1,-1 1 0,0-1 0,0 1 0,1-1 0,-1 1 0,0-1 1,1 1-1,-1-1 0,1 1 0,-1-1 0,1 0 0,-1 1 1,0-1-1,1 0 0,-1 1 0,1-1 0,0 0 0,0 1 0,8 4 0,1-1 0,0-1 0,0 0 0,0 0 0,0-1 0,12 2 0,68 1 0,-68-4 0,58-3 123,-47 1 93,54 4 0,-85-3-163,-1 0 1,1 0-1,-1 0 1,1 1-1,-1-1 0,1 0 1,-1 1-1,0-1 0,1 1 1,-1-1-1,0 1 0,1 0 1,-1 0-1,0 0 1,0 0-1,0 0 0,1 0 1,-1 0-1,1 1 0,-2-1-14,1 0-1,-1 2 1,0-2 0,1 0-1,-1 0 1,0 0-1,0 1 1,0-1-1,0 0 1,0 0-1,0 0 1,0 1-1,0-1 1,0 0-1,-1 0 1,1 0-1,0 1 1,-1 0-1,-3 7 57,0-1 0,-1 0 0,0-1-1,0 0 1,-7 8 0,-9 10-50,-2-2 1,0 0-1,-1-2 1,-1 0-1,-1-2 0,-36 20 1,12-14-4015,-1-4-4113,24-11-983,11-2 7485,1 1 1580</inkml:trace>
  <inkml:trace contextRef="#ctx0" brushRef="#br0" timeOffset="1968.94">1469 1293 18943,'-96'25'-106,"92"-24"114,-1 0 0,1 0 0,0 1 0,0 0 0,0 0 1,-5 3-1,-9 6 41,14-9-44,1-1 0,0 1 0,0 0 0,0 0-1,1 1 1,-1 0 0,0-1 0,1 1 0,0 0-1,0-1 1,-1 1 0,1 0 0,1 0 0,-1 1-1,0 0 1,1-1 0,0 0 0,0 0 0,-1 7-1,0-5 8,1 0-1,0 0 1,1 1-1,-1-1 1,1 0-1,0 0 0,0 0 1,1 1-1,-1-1 1,1 0-1,0 0 1,1 1-1,2 6 0,-1-5-11,1 2 0,0-2 0,1 0 0,0 1 0,0-1 0,0 0 0,1 0 0,-1-1 0,2 0 0,-1-1 0,1 1 0,0-1 0,0 0 0,0-1 0,0 1 0,1-1 0,0-1 0,0 0 0,0 0 0,0-1 0,10 2 0,-3-1-474,1-1-1,-1 0 0,19-1 0,-21-2-1328,0 0 0,-1-1-1,1-1 1,1 0-1,-1 0 1,-1-1 0,21-10-1,14-15-941,-6-5 2745</inkml:trace>
  <inkml:trace contextRef="#ctx0" brushRef="#br0" timeOffset="2859.84">2074 509 19967,'-13'144'488,"9"-80"79,-16 83 0,-91 292 243,105-418-810,3-9 0,-1-1 0,1 2 0,-2 21 0,5-32 0,0 1 0,0 0 0,0 0 0,0-1 0,0 1 0,1-1 0,-1 1 0,1-1 0,0 1 0,-1-1 0,1 1 0,0 0 0,1-1 0,-1 0 0,0 0 0,1 0 0,-1 0 0,1 0 0,-1 0 0,1 0 0,0 0 0,4 3 0,-6-4 0,1-1 0,0 1 0,0-1 0,0 1 0,0-1 0,-1 1 0,1-1 0,0 0 0,0 1 0,0-1 0,0 0 0,0 0 0,0 0 0,0 0 0,0 0 0,0 0 0,0 0 0,0 0 0,0 0 0,0 0 0,0-1 0,0 1 0,0 0 0,0 0 0,0-1 0,0 1 0,-1-1 0,1 1 0,0-1 0,0 1 0,0-1 0,-1 0 0,1 1 0,1-2 0,1-4 0,0 2 0,0 0 0,0-1 0,0-1 0,1-4 0,0 3 0,17-40-41,-8 17 73,28-47 0,-36 70-109,0-1-1,1 1 0,0 1 0,0-2 1,0 2-1,0 1 0,1-1 1,0 0-1,1 1 0,12-7 0,-17 11 75,-1 1 0,0-2-1,0 2 1,0-1 0,1 1 0,-1-1-1,0 1 1,0 0 0,1 0-1,-1 0 1,0 1 0,0-1-1,1 0 1,-1 1 0,0-1-1,0 2 1,0-1 0,1 0 0,-1 0-1,0 0 1,0 0 0,-1 0-1,4 3 1,4 3 6,-1 2 1,0-2-1,11 18 0,-10-13-1,1 0 1,-1 1 0,0 0 0,-1 2 0,-1-1 0,0 0 0,6 21 0,20 93 46,-27-98-36,1-1 0,1-1 1,1 1-1,1 0 0,16 27 1,-25-54-6,0-1 0,0 1 0,0 0 1,0 0-1,0 0 0,0-1 0,1 1 1,-1-1-1,0 0 0,1 1 0,-1-1 1,1 0-1,0 0 0,-1 0 0,1 0 0,0 0 1,-1-1-1,1 1 0,3 0 0,-2-1-2,-1 0 0,1 0-1,-1 0 1,0-1 0,1 1 0,0-1-1,-1 0 1,1 0 0,-1 0-1,0 0 1,0 0 0,0 0 0,0-1-1,0 1 1,3-3 0,5-5 12,-1 0 0,0-2 0,0 1 1,13-19-1,2-5-3,14-17 58,-2-2 1,-1-2-1,-4-1 0,-1-2 0,-3 0 0,36-119 0,-59 163-30,-1 1 0,2-21-1,-4 31-35,-1 1 0,1-1 0,-1 0-1,0 0 1,0-1 0,0 2-1,-1-1 1,1 0 0,-1 0 0,1 1-1,-1-1 1,0 0 0,0 0 0,0 0-1,-1 1 1,1-1 0,0 1 0,-3-3-1,3 4-6,-1 1 0,1-1 0,0 0 0,-1 1 0,1-1 0,-1 1 0,0 0 0,1-1 0,-1 1 0,1 0 0,-1 0 0,0 0 0,1 0 0,-1 0 0,1 1 0,-1-1 0,1 0 0,-1 1 0,-2 0 0,-31 14 0,29-13 0,-10 7-2,1 0 1,0 2-1,1-1 0,-1 1 0,2 1 0,0 1 0,0-1 0,1 2 1,1 1-1,0-2 0,1 3 0,0 1 0,2-2 0,-1 2 0,2 0 0,0-1 1,1 1-1,0 1 0,-4 30 0,7-30-2,0 1 0,2-1 0,0 1 1,1 0-1,0-1 0,2 1 0,0 0 0,8 29 0,-6-34 1,1 0 1,0 1-1,1-2 0,0 1 0,1-1 0,1 0 0,0 1 0,1-3 0,0 2 0,0-2 1,14 11-1,-17-16-74,0 0 0,1-1 0,-1 0 0,1 0 1,0-1-1,1 1 0,-1-2 0,1 0 0,0 0 1,0 0-1,0-1 0,0 0 0,0-1 0,0 0 1,0 0-1,1-1 0,-1 0 0,0 0 0,0-1 1,1 0-1,-1 0 0,0-1 0,0 0 0,12-6 1,10-4-1688,0-2 1,32-20-1,-23 11-8582</inkml:trace>
  <inkml:trace contextRef="#ctx0" brushRef="#br0" timeOffset="3106.58">3299 1430 21503,'0'0'0,"7"39"0,-2-17 128,0 4-128,-2-9 0,-3-2 0,0-9 0,0-12-384,5-17 128,2-13-1664,3-11 128,5-13 513,1-15-1,-1 2-8960</inkml:trace>
  <inkml:trace contextRef="#ctx0" brushRef="#br0" timeOffset="3255.32">3430 358 19839,'0'0'0,"0"59"128,0-51 0,0-16 384,-7 8-384,1 19 0,-7 11-128,3-4 128,0-3-768,2-3 128,4-3-768,-9 19-11775</inkml:trace>
  <inkml:trace contextRef="#ctx0" brushRef="#br0" timeOffset="3819.51">3691 1232 21631,'-24'-44'0,"25"46"6,1 1 7,0-1 0,0 1 0,-1 0-1,1 0 1,-1-1 0,1 1-1,-1 0 1,0 0 0,0 0-1,-1 1 1,1-2 0,-1 1-1,1 0 1,-1 0 0,0 0 0,0 0-1,-1 6 1,-4 9 4,0-1-1,1 1 1,0 0-1,2 0 1,0 0 0,0 0-1,2 1 1,3 35-1,-3-52-16,0-1 0,0 0 0,0 1 0,1-1 0,-1 0-1,0 0 1,0 0 0,1 0 0,-1 0 0,0 0 0,1 0 0,-1 0-1,1 0 1,-1 0 0,1 0 0,0 0 0,0 1 0,0-2 0,-1 0 0,1 0-1,-1 0 1,1 0 0,-1 0 0,1 0 0,-1 0 0,1 0 0,-1 0 0,1 0 0,-1 0 0,1 0-1,-1 0 1,1 0 0,-1 0 0,1 0 0,-1-1 0,0 1 0,1 0 0,-1 0 0,1 0-1,-1-1 1,0 1 0,1 0 0,-1-1 0,1 1 0,4-5 5,-1 0-1,0 0 1,0-1 0,4-6-1,-8 11 0,128-205 102,-123 197-106,0 0 0,1 1 0,1-1 0,-1 2 0,1 0 0,1-1 0,12-11 0,-19 19 0,0-1 0,0 0 0,0 1 0,0 0 0,1-1 0,-1 1 0,0-1 0,0 1 0,0 0 0,1 0 0,-1 0 0,0 0 0,0 0 0,0 0 0,1 0 0,-1 0 0,0 0 0,0 0 0,0 1 0,1-1 0,-1 1 0,0-1 0,0 1 0,0-1 0,0 1 0,0-1 0,0 1 0,0 2 0,0-2 0,0 0 0,0-1 0,0 1 0,-1 0 0,1 0 0,0 0 0,0 0 0,-1 0 0,1 0 0,-1 1 0,1 1 0,4 6 0,-2 0 0,1 0 0,-1 1 0,2 11 0,5 38 37,-2 0-1,-2 1 1,-3-1 0,-3 1-1,-2-2 1,-17 107-1,18-159-33,-2 14-255,0 1-1,1-2 1,1 1 0,2 28 0,2-35-596,1-21-2464</inkml:trace>
  <inkml:trace contextRef="#ctx0" brushRef="#br0" timeOffset="4238.96">4615 431 22143,'-14'9'0,"11"-7"0,0-1 0,0 2 0,0-1 0,0 0 0,0 0 0,0 1 0,1-1 0,-1 1 0,1-1 0,-1 1 0,1 1 0,0-1 0,0 0 0,1 0 0,-1 0 0,0 0 0,1 1 0,-2 5 0,3 3 8,-1 0 0,1-1 0,1 2 1,3 14-1,-2-13 8,-1-1 1,0 1-1,-1 14 1,-30 174 133,8-67-151,-43 423-233,45-454 123,7-41-2786</inkml:trace>
  <inkml:trace contextRef="#ctx0" brushRef="#br0" timeOffset="4704.59">4627 1631 17919,'-15'11'8,"15"-11"-7,0 0 0,-1 0-1,1 0 1,0 0 0,0 1-1,0-1 1,0 0 0,0 0-1,-1 0 1,1 1 0,0-1-1,0 0 1,0 0 0,0 0-1,0 1 1,0-1 0,0 0-1,0 0 1,0 1 0,0-1-1,0 0 1,0 0 0,0 1-1,0-1 1,0 0 0,0 0-1,0 0 1,0 1 0,0-1-1,1 0 1,-1 0 0,0 1-1,0-1 1,0 0 0,0 0-1,2 1 7,0 0 0,0 1 0,1-1 0,-1-1 0,0 1 0,0-1-1,0 1 1,0-1 0,1 0 0,-1 0 0,0 0 0,0 0 0,4-1-1,0 1 26,0 0 0,-1-1 0,1 1 0,0-1 0,-1-2 0,1 2 0,-1-1 0,1 0 0,-1 0 0,1-1 0,-1 1 0,-1-1 0,1 0 0,0-2 0,-1 2 0,1-1 0,-1 0 0,0 0 0,6-9 0,3-8 54,-1-1-1,-1-1 0,0 0 1,-2 0-1,-1-1 0,0 0 1,-2-1-1,5-32 0,-9 28 90,-1 0 0,0 0 0,-2 0 0,-9-54 0,9 80-165,1 1 0,-1-2-1,1 1 1,-1 1 0,0 0-1,0 0 1,0-1 0,0 1 0,-2-3-1,3 5-5,-1-1-1,1 1 1,-1-2-1,1 2 1,0 0-1,-1-1 0,1 1 1,-1 0-1,1-1 1,-1 1-1,1 0 1,-1 0-1,1 0 0,-1-1 1,0 1-1,1 0 1,-1 0-1,1 0 1,-1 0-1,1 0 1,-1 0-1,0 0 0,1 0 1,-1 0-1,0 1 1,-3 0 5,0 2 0,1 0 0,-1-1 0,1 1 0,0-1 0,0 1 0,0 0 0,0 0 0,-4 7 0,-3 4-9,0 1 0,1 0 0,0-1 0,1 2 0,-12 33 0,-19 89 0,33-108 40,1-2 0,1 1 0,0 35 0,4-48-15,1-2 0,0 1 0,0 0 0,2-1 0,0 1 0,0-1 0,2 1-1,6 16 1,-9-27-10,-1-1-1,1 0 1,0 0-1,0 0 1,0 0-1,0 0 1,2 0-1,-2 0 1,1-1-1,-1 1 1,1-1-1,0 0 0,0 0 1,0-1-1,0 1 1,4 1-1,-2 0-12,0-2 0,0 0 0,0 0 0,0-1 0,0 1 0,0-1 0,0 0 0,0-1 0,0 1-1,6-2 1,9-5-360,0 1 0,0-1 0,-1-2 0,26-15 0,-32 17-167,22-12-2717,1 0-7339</inkml:trace>
  <inkml:trace contextRef="#ctx0" brushRef="#br0" timeOffset="4935.99">5342 1496 21375,'0'0'0,"-35"14"0,35-6 0,13 3 0,-4-6 0,2 1 0,-6-3 0,-1-6-256,1-1-1280,3-14 256,1-10 256,2-12 1,-1 0-10497</inkml:trace>
  <inkml:trace contextRef="#ctx0" brushRef="#br0" timeOffset="5140.86">5434 606 21631,'0'0'0,"5"52"0,-2-18 0,0 9 0,-6-7 128,-2-2-128,0 1 0,-2-4-640,-1-2 0,3-2-512,2 2 0</inkml:trace>
  <inkml:trace contextRef="#ctx0" brushRef="#br0" timeOffset="5840.14">6064 996 22783,'-14'9'0,"9"-5"0,1-1 0,-1 1 0,0-1 0,0-1 0,0 0 0,-10 4 0,-9-13-277,19 7 177,0 0 0,-1 1-1,1 0 1,0 0 0,0 0 0,0 1-1,0 0 1,0 0 0,0 0 0,0 2-1,1-2 1,-1 1 0,1 0 0,0 0 0,0 1-1,0-1 1,-4 6 0,2-1-81,0-1 0,1 2-1,-1-1 1,1 1 0,1-1 0,0 1 0,0 1 0,-4 16-1,7-23 148,0 1 0,1 0 0,-1 1 0,1-1 0,0-1 0,1 1 0,-1 0 0,1 0 0,-1 1 0,1-2 0,0 1 0,0 0 0,1-1 0,-1 1 0,1 0 0,3 4 0,4 8-170,1-2-1,17 21 1,-6-10 115,-13-15 180,0 2 0,-1-1-1,0 1 1,-1-1 0,7 17-1,-12-23-46,1 0-1,-1-1 0,0 1 1,0 1-1,0-1 0,-1 0 0,1 0 1,-1 1-1,0-1 0,-1 0 1,1 0-1,-1 0 0,0 1 1,0-1-1,-1 0 0,-2 7 0,3-9-7,-6 13 250,0-1 0,-14 23 0,18-34-254,0 0 1,-1 0-1,0 1 0,1-1 0,-1-1 0,0 1 0,-1-1 1,1 0-1,0 1 0,-1-2 0,-8 5 0,6-5-257,-25 10 420,32-11-300,-1-1 0,0 0 1,1 0-1,-1 1 0,0-1 1,1 0-1,-1 0 0,0 0 1,1 0-1,-1 0 0,0 0 1,1 0-1,-1 0 0,0 0 0,1-1 1,-1 1-1,0 0 0,1 0 1,-1 0-1,0-1 0,1 1 1,-1 0-1,1-2 0,-1 2 1,1-1-1,-1 1 0,1 0 1,-1-1-1,1 1 0,-1-1 1,1 0-1,-1 1 0,1-1 1,0 1-1,-1-1 0,1 0 1</inkml:trace>
  <inkml:trace contextRef="#ctx0" brushRef="#br0" timeOffset="6356.92">6617 305 22015,'-89'67'0,"80"-59"0,3-3-5,12-3 10,-6-1-4,1 0 0,-1-1 0,0 1 0,0 0 0,0-1 1,0 1-1,0 0 0,0 0 0,0-1 0,0 1 0,0 0 1,0 0-1,0-1 0,0 1 0,0 0 0,-1-1 0,1 2 0,-1 0 1,-26 76 141,-17 49-30,2 57-63,-21 197-1,37-201-42,21-163 1,4-14-54,0 1 0,0 0-1,1-1 1,-1 1 0,1-1-1,-1 1 1,1 4 0,-7-266-1661,6 255 1699,1 0-1,0 0 1,0 0 0,0 0-1,0-2 1,1 2 0,-1 0-1,1 0 1,0 0 0,0 0-1,0 0 1,0 0 0,0 0-1,1 0 1,3-5 0,-3 7 3,0-1 0,0 1 0,0 0 0,0 0 1,0-1-1,0 1 0,1 0 0,-1 0 0,0 0 0,1 1 1,-1-1-1,1 1 0,-1 0 0,0 0 0,1 0 1,-1 0-1,1 0 0,-1 0 0,1 1 0,2 0 0,13 2-196,32 13 0,-32-10-248,36 8-1,-35-12-481,0 0-1,0-2 1,-1 0-1,1-1 0,25-4 1,-13-1-7922</inkml:trace>
  <inkml:trace contextRef="#ctx0" brushRef="#br0" timeOffset="7451.76">6671 1261 19583,'-1'11'128,"-1"14"-21,1 0 0,1 0-1,2 1 1,5 32 0,-7-56-104,0-1 0,1 1 0,-1 0 0,1-1 0,0 1 0,-1-1 0,1 0 0,0 1-1,0-1 1,0 2 0,0-2 0,0 0 0,0 0 0,0 0 0,1 0 0,-1 0 0,0 0 0,1 0 0,-1 0 0,0 0 0,1 0 0,-1-1 0,1 1 0,0-1 0,-1 1 0,1-1 0,-1 0 0,1 1 0,0-1 0,-1 0 0,1 0 0,-1 0 0,1 0 0,0-1 0,-1 1 0,1 0 0,-1-1 0,3 0 0,6-1-5,0-1 0,-1-1 0,1-1 0,13-7 0,8-7 2,-1-2 0,0-1 0,-2-1 0,0-1 0,33-39 0,75-77 0,-125 132 0,-11 8 0,0 0 0,0 0 0,0 0 0,0 0 0,0 0 0,1 0 0,-1 0 0,0 0 0,0 0 0,0 0 0,0 0 0,0 0 0,0 0 0,1 0 0,-1 0 0,0 0 0,0 0 0,0 0 0,0 0 0,0 1 0,0-1 0,0 0 0,0 0 0,0 0 0,1 0 0,-1 0 0,0 0 0,0 0 0,0 0 0,0 1 0,0-1 0,0 0 0,0 0 0,0 0 0,0 0 0,0 0 0,0 0 0,0 1 0,0-1 0,0 0 0,0 0 0,0 0 0,0 0 0,0 0 0,0 0 0,0 1 0,0-1 0,0 0 0,0 0 0,0 0 0,0 0 0,0 0 0,-1 0 0,1 0 0,0 1 0,0-1 0,0 0 0,0 0 0,0 0 0,0 0 0,0 0 0,0 0 0,-1 0 0,1 0 0,-5 17 0,2-9 0,-2 12 0,-45 185 0,48-197-1,2 2-1,-1-2 1,1 2-1,1 16 1,-1-24 6,1 1 1,-1-1-1,1 1 1,-1-1-1,1 1 1,0 0-1,0-1 0,0 1 1,0-1-1,0 0 1,0 0-1,1 1 1,-1-1-1,1 0 0,0 0 1,-1 0-1,1 0 1,0 0-1,0-1 1,4 3-1,-4-3-4,1 0 1,-1-1-1,1 0 0,-1 1 1,1-1-1,-1 0 0,1 0 1,-1 0-1,1 0 0,-1-1 1,1 1-1,-1-1 1,1 0-1,-1 1 0,0-1 1,1 0-1,-1 0 0,0-1 1,0 1-1,3-2 0,6-5 28,0-1 0,14-12-1,-22 18-14,28-29-1,49-65 0,2-2-18,-67 84 5,73-75 0,-74 78 0,1-1 0,0 3 0,0-2 0,26-10 0,-38 20 9,1 0-1,0 0 1,0 1-1,-1 0 0,1 0 1,0 0-1,0 0 0,0 1 1,0-1-1,1 1 1,-1 0-1,0 0 0,0 1 1,0-1-1,0 1 0,0 0 1,0 0-1,0 0 1,-1 0-1,1 1 0,0 0 1,0 0-1,-1 0 1,0 0-1,1 0 0,-1 2 1,4 2-1,23 23 127,-2 2 0,35 49 0,-52-69-37,-4-10 53,-6-3-127,1 0-1,-1 0 1,0 0 0,0 0 0,0 0 0,0 0-1,0 0 1,-1 0 0,2-4 0,-2 4-20,5-11 34,-2-2-1,0 0 1,0 2 0,-1-2-1,-1 1 1,0-1 0,-1-14 0,0 23-24,-1 1 1,1 0 0,-1 0-1,0 0 1,-1-1 0,1 1 0,-1 0-1,0 1 1,0-2 0,0 2-1,-1-1 1,0 1 0,0 0 0,0-1-1,0 1 1,0 0 0,-1 1-1,0-1 1,0 1 0,0-1 0,0 1-1,-9-4 1,9 5-14,0 1 0,-1 0 0,1 0 0,0 0 1,-1 1-1,1 0 0,-1-1 0,1 1 0,0 1 0,-1-1 0,1 1 0,0-1 0,-1 1 0,1 1 1,0-1-1,0 0 0,0 1 0,0 0 0,0 0 0,-5 5 0,-4 1-1,0 1-1,1 1 1,0 0 0,-17 20-1,15-14 1,1 2 0,0 0 0,1 0 0,1 0 0,1 2 0,0 0 0,2 1 0,-8 25 0,11-30 0,1-1 0,1 1 0,0 1 0,1-1 0,1 0 0,0 0 0,1 1 0,1-1 0,0 0 0,1 1 0,8 28 0,-8-38 0,0-1 0,1 1 0,0-1 0,0 0 0,0 1 0,1-2 0,0 1 0,0-1 0,0 1 0,0-1 0,9 7 0,-9-9 0,0 0 0,0 0 0,0-1 0,0 0 0,0 0 0,1 0 0,-1-1 0,1 0 0,-1 1 0,1-2 0,-1 1 0,1 0 0,-1-1 0,1 0 0,0 0 0,-1 0 0,8-2 0,8-2 7,-1-1 0,0-1 0,1-1 0,-2-1 0,30-16-1,83-64 62,-49 30-49,-68 53 12,-14 5-29,0 0 0,1 0 1,-1 0-1,0 0 0,0 1 0,0-1 0,0 0 1,1 0-1,-1 0 0,0 0 0,0 1 0,0-1 1,0 0-1,0 0 0,1 1 0,-1-1 1,0 0-1,0 0 0,0 0 0,0 1 0,0-1 1,0 0-1,0 0 0,0 1 0,0-1 0,0 0 1,0 0-1,0 2 0,0-2 0,0 0 0,0 1 1,-11 27 130,-152 239 150,-22-10-82,-13 20-280,107-141-2331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01.87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1823 23423,'5'-6'-149,"4"-3"84,0 1 0,0 0 0,1 0 0,0 2 0,0 1 0,0-2 0,1 2 0,-1 0 0,1 1 0,1-1 0,-1 2 0,0 0 0,1 1 0,0 0 0,-1 1 0,1 0 0,0 1 0,0 0 0,-1 1 0,19 4 0,124 38-2367,-143-39-470</inkml:trace>
  <inkml:trace contextRef="#ctx0" brushRef="#br0" timeOffset="262.64">55 1524 23295,'0'0'0,"49"25"0,-18-7 0,10 2 0,-2-5 0,3-1 0,-1-11 0,-2-8-640,8-11 128,6-8-896,47-15-13183</inkml:trace>
  <inkml:trace contextRef="#ctx0" brushRef="#br0" timeOffset="1614.21">1449 454 20479,'-61'20'0,"-65"13"0,106-28-64,0 0 0,1 2 0,0-1 0,0 3 0,0 0 0,1 1 0,0-1 0,1 3 0,-23 19 0,38-29 33,-1 0 0,1 1-1,-1-1 1,1 1-1,0-1 1,0 2 0,0-1-1,1 0 1,-1 0-1,1 0 1,-1 1-1,1-1 1,0 0 0,0 0-1,1 1 1,-2 4-1,2-3 2,0 1-1,0 0 1,1 0-1,0-1 1,0 2-1,0-2 1,1 1-1,-1 0 1,4 5-1,3 6-17,0-1-1,1-1 1,1 1-1,1-1 0,16 18 1,19 13 5,2 1 0,86 60 0,-44-37 22,-72-55 91,0 1 0,-1 1 0,0 0 0,-2 1 0,0 1-1,-1 1 1,0 0 0,-2 0 0,0 1 0,11 30-1,-20-38 28,0-1-1,0-1 1,-2 2-1,1 0 0,-1 0 1,-1-1-1,0 1 1,-1 1-1,-1-1 0,1-3 1,-2 3-1,0 0 1,0-1-1,-1 0 0,0 0 1,-10 17-1,3-9 23,0 1 0,-1-2 0,0 0 0,-2-1 0,0-2 0,-1 1 0,-1-1 0,-23 19 0,20-22-1,-1 0 1,0 0 0,-1-3-1,0 1 1,-35 11 0,13-9-657,-85 14 1,112-26-3516</inkml:trace>
  <inkml:trace contextRef="#ctx0" brushRef="#br0" timeOffset="2350.87">2410 354 22015,'-17'30'17,"1"-2"43,1 2 0,1-1-1,-18 59 1,19-28-66,2 1 0,-6 110 0,15 128-101,3-177 104,-7 362 3,5-456 0,0 11 0,0-1 0,10 74 0,-9-110 6,0-1-1,0 2 0,1 0 1,0-1-1,-1 1 0,1-1 1,0 0-1,0 0 0,0 0 1,0 1-1,0-1 0,1 0 1,-1 0-1,0 0 0,1-1 1,0 1-1,-1 0 0,1-1 1,0 0-1,0 2 0,0-2 1,3 2-1,-2-2 5,1 0-1,-1-1 1,0 0 0,0 1-1,0-1 1,0 0 0,0-1-1,1 1 1,-1-1 0,0 1-1,0-1 1,0 0 0,0 0-1,0 0 1,5-4 0,11-5 53,30-22 1,2-3 22,33-15-11,121-51-1,-149 80-262,14-9-1022,1 4 0,98-23 0,-147 45-1883</inkml:trace>
  <inkml:trace contextRef="#ctx0" brushRef="#br0" timeOffset="2693.88">2410 301 24319,'0'0'0,"45"27"0,-18-10 0,3-1 0,3-3 0,1-4 0,7-1 0,1-3 0,5-1 0,3-4-128,0 0 128,-1-4-384,5 2 0,8-1-1024,-8 3 128,-2 3-640,-5 3 0,1-1-9855</inkml:trace>
  <inkml:trace contextRef="#ctx0" brushRef="#br0" timeOffset="3282.86">3396 313 23295,'-1'2'0,"-4"13"0,0 0 0,0-2 0,2 2 0,-5 28 0,6 19 69,7 106 1,21 61-81,25 315 11,-50-520 0,0-9 0,-1-1 0,2-1 0,5 23 0,-7-32 0,1 0 0,1-1 0,-1 0 0,0 0 0,1 1 0,0-1 0,-1 0 0,1 0 0,0-1 0,0 1 0,1 1 0,-1-2 0,1 0 0,-1 0 0,1 0 0,0 0 0,0-1 0,0 1 0,2 2 0,-4-4 0,0 1 0,0-1 0,-1 0 0,1 0 0,0 0 0,0 0 0,0 0 0,0 0 0,0 0 0,0-1 0,-1 1 0,1 0 0,0 0 0,0-1 0,0 1 0,-1 0 0,1-2 0,0 2 0,0-1 0,-1 1 0,1-1 0,0 0 0,-1 1 0,1 0 0,0 0 0,-1-1 0,1 0 0,-1 0 0,1 1 0,-1-1 0,0 0 0,1 0 0,-1 0 0,1-1 0,12-39 0,-11 32 0,48-180 0,28-93 0,102-222 0,-119 368 0,-53 120 0,1 1 0,1 0 0,0 1 0,0 1 0,1 0 0,16-16 0,-25 27 1,1 0 0,-1 0 0,1 1 0,-1-1 0,1 0 0,0 0 0,-1 1 0,1 0 0,0-1 0,0 2 0,0-1 0,0 0 0,0 1 0,4-1 0,-6 1-9,1 0 0,-1 1 1,1-1-1,-1 1 0,0-1 0,0 1 1,1-1-1,-1 1 0,0 0 0,0-1 0,0 1 1,0 0-1,1 1 0,-1-1 0,-1 0 0,1 0 1,0 0-1,0 0 0,0 1 0,0-1 0,-1 0 1,1 0-1,-1 1 0,1-1 0,-1 0 0,1 2 1,-1-2-1,0 0 0,1 1 0,-1-1 0,0 2 1,6 49-3705,-1 85 0,-5-92-6933</inkml:trace>
  <inkml:trace contextRef="#ctx0" brushRef="#br0" timeOffset="4144.19">4516 292 22783,'-3'4'0,"-4"5"3,1 1 0,0-1-1,0 2 1,1-1 0,1 0-1,-1 0 1,-4 20 0,6-18 31,-1-1 1,0-1 0,-1 1 0,0-1-1,-10 16 1,-8 18 13,-6 29-15,4 0 1,-23 110 0,3-13 78,19-81-54,-62 198 161,81-269-219,3-12 0,2-9 0,0-8 0,2 11 0,-1-28-40,2 3 0,0-2 0,7-37 0,23-83-237,-10 56 181,33-238-137,-15 81 103,-26 152 166,-10 61 2,2 0 0,15-56 0,-13 76 89,-5 29-20,0-1-85,4 15 77,16 46 0,-13-45-27,10 46-1,151 673 699,-57-293-473,-107-428-266,0-5 13,-1 0 0,-1 1 1,-1 0-1,-1 0 0,0 1 1,-3 27-1,-1-54-180,0 1 0,0 0 1,1 0-1,-1 0 0,0 0 0,1 0 1,-1-1-1,1 0 0,0 0 0,-2-3 1,-44-134-5817,27 84-5781</inkml:trace>
  <inkml:trace contextRef="#ctx0" brushRef="#br0" timeOffset="4429.21">4145 1096 19199,'17'9'8,"-13"-6"39,1-1 0,-1 1 0,1-1 0,0-1 0,-1 2 0,1-2 0,10 2 0,-14-3-2,0-1-1,-1 1 1,1-1-1,0 0 1,0 1 0,0-1-1,-1-1 1,1 2-1,0-1 1,-1 0-1,1 0 1,-1 0-1,1 1 1,-1-1-1,1 0 1,-1 0-1,0 0 1,1 0-1,-1-1 1,1 0-4,-1 1 1,1-1-1,0-1 0,0 2 1,0-1-1,0 0 0,0 1 1,0 0-1,0-1 0,1 1 1,1-2-1,3-1 29,-1 2 0,1 1 0,0-1-1,-1 1 1,1 0 0,0 0 0,0 1 0,9 0-1,52 6 261,-43-3-243,73 13 263,-3 0-1755,-31-11-3342</inkml:trace>
  <inkml:trace contextRef="#ctx0" brushRef="#br0" timeOffset="5464.82">4795 1 22015,'0'0'384,"5"2"-277,24 13 2,2-1 0,56 13 0,-6 0-9,-6 3-7,-39-15-10,1 0 1,0-4 0,1-1 0,61 11 0,-62-20-67,-1-1 1,1-2 0,-1-3 0,0 0 0,58-17-1,-91 22-10,0-1 1,0 0-1,0 1 0,0 0 0,0 0 0,1 0 0,-1 0 0,5 1 0,-7-1-5,0 0-1,-1 0 1,1 1-1,-1-1 1,1 0-1,0 1 0,-1-1 1,1 0-1,-1 1 1,1-1-1,-1 0 1,1 1-1,-1-1 1,1 1-1,-1-1 1,0 1-1,1-1 0,-1 1 1,0 0-1,1-1 1,-1 1-1,0-1 1,0 1-1,1 0 1,-1-1-1,0 1 1,0 0-1,0-1 0,0 2 1,0-1-1,0-1 1,0 1-1,0-1 1,0 1-1,0 0 1,0-1-1,0 1 1,-1 0-1,1-1 0,0 1 1,0 0-1,-1-1 1,0 1-1,-50 122 234,36-72-162,1 0-1,3 2 1,-8 85 0,5 167 56,13-233-144,-4 624 15,5-662 0,4 167 0,-9 213 0,5-402 5,0-7 5,0-1-1,-1 0 0,1 0 0,-1 1 0,0-1 0,0-1 0,-1 6 0,1-7-2,0-1-1,1-1 0,-1 1 0,0 0 0,1 0 0,-1 0 0,0-1 0,0 1 0,0 0 0,0-1 0,0 1 0,0 0 0,0-1 0,0 1 0,0-1 0,0 0 0,0 1 0,0-1 0,0 0 0,0 0 0,0 0 0,0 0 0,0 1 0,0-1 0,0-1 0,0 1 0,0 0 0,-1 0 0,1 0 0,0-1 1,0 1-1,-1-1 0,-35-6 175,-42-4 0,9 3-74,35 2-58,-1 3 0,-64 1-1,86 3-278,0 0-1,0 1 1,0 1-1,0 1 1,0 0-1,0 0 1,1 1-1,0 2 1,0-1-1,-13 9 1,18-8-385,-1 1 1,2 0-1,-1 1 1,1-1 0,1 2-1,-1-1 1,2 1 0,-1 0-1,-4 12 1,-9 18-10543</inkml:trace>
  <inkml:trace contextRef="#ctx0" brushRef="#br0" timeOffset="6477.58">6375 1515 21887,'84'16'174,"-51"-9"6,42 4 0,-55-8-90,-1 1 0,1 1 0,-1 0 1,0 0-1,34 19 0,-36-16-45,0 1-1,1-3 1,-1 0-1,2 0 1,-1-2-1,35 3 1,-33-6-286,44-1 62,-58 0-686,-1-1-1,1 0 1,-1-1 0,0 1 0,8-4 0</inkml:trace>
  <inkml:trace contextRef="#ctx0" brushRef="#br0" timeOffset="6741.87">6395 1273 23423,'0'0'0,"30"14"0,-8-5 128,7-5-128,4 1 0,2 0 0,6-1 0,2-8-1280,3 4 128,4-2 128,-16-14 128,1-1-12799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30.6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0 858 20607,'43'-25'0,"-38"24"11,-7 3 18,-10 9 56,4-4-19,8-7-64,0 0 0,0 0 0,0 0 0,0 0 0,0 1 0,0-1 0,0 0 0,0 0 0,0 0 0,0 0 0,0 0 0,0 0 0,0 0 0,0 0 0,0 0 0,0 0 0,0 0 0,0 0 0,0 0 0,0 0 0,0 0 0,23-13 43,-1-1 1,-1-2-1,-1 0 0,23-23 1,65-80 130,-49 50-174,-20 30 90,2 2 0,76-54 0,5-3 272,52-64-102,-67 59-268,-99 91 6,0 1 0,0-1 0,1 2 0,14-10 0,-22 15 0,-1 1 0,0 0 0,1-1 0,-1 1 0,1 0 0,-1 0 0,0 0 0,1-1-1,-1 1 1,1 0 0,-1 0 0,1 0 0,-1 0 0,0 0 0,1 0 0,-1 0 0,1 0 0,-1 0 0,1 0-1,-1 0 1,1 0 0,-1 0 0,0 0 0,1 0 0,-1 0 0,1 1 0,-1-1 0,1 0 0,-1 0 0,0 0-1,1 1 1,-1-1 0,0 0 0,1 1 0,-1-1 0,0 0 0,1 1 0,-1-1 0,0 0 0,0 1-1,1-1 1,-1 1 0,0-1 0,0 0 0,0 1 0,0-1 0,1 1 0,-1-1 0,0 1 0,0-1 0,0 0-1,0 1 1,0-1 0,0 2 0,-1 29 16,0-26-5,-10 80 138,-4-1 1,-30 96 0,-68 153 41,66-195-102,-26 62 35,-57 67-159,99-206-165,23-48-446,-12 30-4298,16-29-1071</inkml:trace>
  <inkml:trace contextRef="#ctx0" brushRef="#br0" timeOffset="750.91">1607 389 22015,'0'30'0,"1"-12"0,-1 0 0,0-1 0,-2 1 0,0 0 0,-6 22 0,-11 16-3,-25 93 28,40-133 246,13-33-52,-3 7-220,0 0-1,1 1 0,0 0 1,0 0-1,1 1 0,0 0 1,1 0-1,0 1 1,0 0-1,0 0 0,1 1 1,15-7-1,-7 5-62,1 2-1,19-5 1,-32 10 60,0-1 1,0 2-1,0-1 1,0 1-1,0 0 1,0 0 0,0 0-1,0 1 1,0 0-1,0 0 1,6 3-1,5 2 4,0 1 0,-1 1 0,1 1 0,-2 0 0,1 1 0,-1 1 0,-1 0 0,16 15 0,-25-20 0,0 0 0,0 0 0,-1 1 0,0-1 0,0 1 0,0 0 0,-1 0 0,0 0 0,-1 0 0,3 11 0,-2-6 0,-2 1 0,1-1 0,-1 1 0,-1 0 0,-2 21 0,-4-2 0,0 0 0,-2-1 0,-1 0 0,-15 33 0,14-39 8,-50 109 177,53-121-166,-1 1 0,-1-2-1,0 1 1,-1-1-1,-1 0 1,1-1-1,-17 13 1,4-7-231,0 0 1,-36 18-1,48-30-147,1 0 1,-1 0-1,0-2 1,0 1-1,-1-1 1,1-1-1,-1 0 1,-19 1-1,28-3-612,0 0-1,0-1 0,0 1 0,0-1 0,0 1 0,0-1 0,0 0 0,0 0 0,1 0 0,-1-1 1,-4-2-1,4 2 366,-1-1 1,1 0 0,0 0 0,0 0 0,0 0 0,0 0 0,-2-5-1,-2-4 417,1 0 0,1 0 0,0 0 0,-4-15-1,-8-28-983</inkml:trace>
  <inkml:trace contextRef="#ctx0" brushRef="#br0" timeOffset="1064.97">1677 289 23039,'0'0'0,"39"-3"-128,-9 1 128,8-4 0,-2-6 128,0-7-128,6 0 0,7-1-256,-2 2 128,4-2-1152,-2 6 0,-2-2-8447,0 7-513,-2 3 10240,4 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42.21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4052 1733 13184,'9'-1'3,"19"-5"126,-27 6-50,0 0 1,1-1-1,-1 1 0,0-1 0,0 1 0,0 0 0,0-1 0,0 0 1,0 1-1,0-1 0,0-1 0,0 2 0,0-1 0,0 0 0,0 0 1,-1 0-1,2-2 0,-12 9 2481,8-5-2506,1 2 1,-1-1 0,0 0-1,1 1 1,0-1 0,-1 0-1,1 1 1,0 0-1,0-1 1,1 1 0,-1-1-1,0 0 1,1 2-1,-1-1 1,1-1 0,0 1-1,0-1 1,0 2 0,0-2-1,1 4 1,-1 8 120,-1-2 47,0 0-1,-1 1 0,0-1 1,-1 0-1,-5 15 0,3-14-105,1 0 0,1 1 0,-3 20 0,0 29-55,2-33-34,1 1 1,2 1-1,3 48 1,4-17-597,-2 1 0,-8 120 0,2-161-1205,1 0-1,1 0 1,2-1 0,3 24-1,8 11 856,0-16-148,0 0-4266</inkml:trace>
  <inkml:trace contextRef="#ctx0" brushRef="#br0" timeOffset="381.18">3598 2369 21375,'0'0'0,"25"14"0,-4-4 0,5 0 0,9-2 128,7-3-128,0-5 0,7-5 0,12 1 0,14-2-128,0-8 128,7-2-2432,8 6 128,4 0-4991,27 10 127,15 7 7040,121 1 896</inkml:trace>
  <inkml:trace contextRef="#ctx0" brushRef="#br0" timeOffset="-5631.95">0 1867 17023,'2'0'20,"0"0"0,0-1-1,0 1 1,-1 0 0,1 1-1,0-1 1,0 0 0,-1 0-1,1 1 1,0-1 0,0 1-1,-1-1 1,1 1 0,0 0-1,-1 0 1,1 0-1,-1 0 1,1 0 0,-1 0-1,0 1 1,1-1 0,-1 1-1,0-1 1,0 0 0,0 1-1,0-1 1,0 1 0,0 0-1,0 0 1,0 0 0,-1-1-1,1 1 1,-1 0 0,1 0-1,-1-2 1,0 2-1,1 3 1,128 601 2199,-117-534-2096,3 93 0,-10-93 53,17 89-1,-8-99-64,-6-32 224,-2 2 0,-1-1 0,3 54 0,-22-784-2,11 574-304,41-1138 227,-21 1071-219,19-171 145,-25 285-134,4 1 0,38-119 0,-49 183-44,1 1 1,1 1-1,0-1 1,0 2-1,11-16 1,-13 21-6,0-1 1,1 2-1,-1-1 1,1 1-1,0-1 1,0 1 0,0 0-1,1 0 1,-1 1-1,1 0 1,9-5-1,-10 8 1,1-1 0,0 1 0,0 0 0,-1 0 0,1 1 0,0 0 0,-1 1 0,1-1 0,10 4 0,8 3 0,29 1-3,-32-6 8,0 3 0,0-2 0,0 3 0,21 9 0,-8-2 177,0-4 0,1 1 1,36 5-1,15 6 70,-19-5-202,2-3-1,116 8 1,191-16 31,-116-4-34,597-33 310,-586 14-436,-123 15 4,157 20 0,198 14 182,-189 1-86,-196-20 15,75 11 78,98 18 220,-216-38-181,138-6 0,-194 0-80,0-1 0,-1-2 0,1 0 0,18-8 0,70-35-67,-73 31 34,0 0-1,65-16 1,-51 22-26,-25 7-49,0-1-1,-1-2 1,34-13-1,98-44-92,-133 58 147,-1-1-1,0 3 0,2 0 1,31 0-1,-28 1 18,128-1 114,143-28 212,-265 31-362,0 0 0,0 2 0,0 2 0,31 6 0,-50-7 0,133 13 0,-57-8 0,-47-5 0,1 0 0,-1-4 0,1-1 0,-1-2 0,41-11 0,18-15 0,-68 20 0,53-13 0,-77 23 0,23-5 0,1 1 0,36 0 0,-43 4 32,26 1 106,-47 0-131,0 1 1,-1-1 0,1 1 0,-1 0 0,1 0 0,0 0 0,-1 0 0,0 1-1,1 0 1,4 3 0,0 2-111,-5-4 65,-1 0 0,1-1 0,0 0 1,0 0-1,-1-1 0,1 1 0,5 3 1,-8-5-35,1 0 0,-1 0 0,1 0 0,-1 0 0,0 0 0,1 0 0,-1 0 0,1 0 1,-1 0-1,1 0 0,-1 0 0,0 0 0,1 0 0,-1-1 0,1 1 0,-1 0 0,0 0 0,1 0 1,-1-1-1,1 1 0,-1 0 0,0 0 0,1-1 0,-1 1 0,1-2 0,-1 1-280,1 0-1,0-1 0,-1 1 1,1-1-1,-1 1 0,1-1 1,-1 1-1,0-2 1,1 2-1,-1-1 0,0-2 1</inkml:trace>
  <inkml:trace contextRef="#ctx0" brushRef="#br0" timeOffset="-4380.88">2961 587 19839,'5'-5'128,"0"-2"-94,0 1-1,1 0 0,0 0 0,1 2 0,-1-2 0,1 1 1,0 1-1,0 0 0,0 0 0,1 1 0,-1 0 1,13-3-1,-13 5-13,-1-1-1,1 1 1,0 1 0,0-1 0,-1 1 0,1 0-1,0 1 1,0 0 0,-1 0 0,1 0 0,0 1-1,-1-1 1,1 2 0,-1-1 0,0 1 0,10 7-1,-5-2-4,0 1-1,-1 1 0,0 0 1,-1 0-1,0 2 0,0-1 0,-1 0 1,0 1-1,-1 0 0,-1 1 1,0 0-1,0 0 0,-1 1 1,-1 0-1,4 18 0,-3-11-9,-2 1 0,0 2 0,-1-2 0,-1 1-1,-1-2 1,-1 2 0,-1 1 0,-1-2 0,-6 22 0,-24 64 221,19-70-90,13-36-145,1-1-1,-1 0 0,1 0 1,-1 0-1,1 0 0,0 0 1,-1 0-1,1 0 0,0 0 1,0 0-1,-1 0 1,1 0-1,0 1 0,0-1 1,0 0-1,0 0 0,1 0 1,-1 0-1,0 0 0,0 0 1,1 0-1,-1 0 0,1 1 1,1-1-14,0-1 0,0 1 0,0-1 0,0 0 1,1 2-1,-1-2 0,0-2 0,0 2 0,0 0 1,0 0-1,3-1 0,-2 0 38,242-30 241,-225 30-196,0 0 0,0 2 0,0 0 0,22 6 0,78 23-3041,-99-25 1374,-21-5 1597,21 7-7769,33 12 0,-27-3 6622,-7 9 1157</inkml:trace>
  <inkml:trace contextRef="#ctx0" brushRef="#br0" timeOffset="15186.47">6118 1494 18559,'14'-9'53,"-11"8"-29,0-1 1,0 1 0,0-1-1,-1-1 1,1 1 0,-1 0-1,1 0 1,-1 0-1,4-7 1,-11 7 1112,4 1-1108,0 1-1,1 0 1,-1 0 0,1 0 0,-1 0 0,0 0-1,1 0 1,-1-1 0,0 1 0,1 0-1,-1-1 1,1 1 0,-1 0 0,1-1-1,-1 1 1,1 0 0,-1-1 0,1 1-1,-1-1 1,1 1 0,-1-1 0,1 1-1,0-2 1,-1 1 0,1 0-22,0 0 1,0 0-1,0 0 0,0 0 0,1 0 0,-1 0 1,0 1-1,0-1 0,1 0 0,-1 0 1,1 0-1,-1-1 0,1 1 0,-1 0 1,1 0-1,-1 1 0,1-1 0,0 0 1,-1 0-1,1 1 0,0-1 0,0 0 1,0 1-1,-1-1 0,1 1 0,0-1 0,0 1 1,0 0-1,0-1 0,2 0 0,2 0 28,1 1 0,-1-2-1,1 2 1,9 0 0,-2 0-6,19-1 162,0 2 0,0 2 1,57 11-1,-73-11-170,-1 0 1,0 2 0,-1 1-1,1 0 1,-1 2-1,0-1 1,0 2 0,-1-1-1,0 2 1,11 12-1,-19-18-11,-1 0-1,0 1 1,0 0-1,-1-1 0,1 2 1,-1-2-1,0 1 1,-1 1-1,1-1 1,-1 2-1,0-2 1,3 11-1,-5-12 1,1 2-1,-1 0 1,0 0 0,0-1-1,0 0 1,-1 1 0,0-2-1,0 1 1,0 1 0,0-1-1,-1-1 1,0 2 0,0-2-1,0-1 1,-4 10 0,-15 16 61,0-1 1,-1-1 0,-2-1 0,-48 42-1,-12 12-45,33-23-165,-75 104 0,124-160 112,1 1-1,0-1 0,0 1 1,0 0-1,0-1 0,1 1 1,-1 1-1,0-2 0,1 1 1,-1 0-1,1 0 0,-1 0 1,1-1-1,0 1 1,0 1-1,0-1 0,0 0 1,0 0-1,0-1 0,0 1 1,1 0-1,-1 1 0,1-1 1,0 2-1,1-1 34,0 0 0,1 1 0,-1-1 0,1 0 0,-1 0 0,1 1 0,0-2 0,0 0 1,0 1-1,0-1 0,5 1 0,29 11 634,-36-14-629,0 0 0,-1 2 0,1-2 1,-1 0-1,1 0 0,-1 1 0,1-1 0,-1 0 1,1 1-1,-1-1 0,1 0 0,-1 1 1,0-1-1,1 1 0,-1-1 0,0 1 1,1-1-1,-1 1 0,0-1 0,1 1 0,-1-1 1,0 1-1,0-1 0,1 2 0,9 17 199,-5-16-210,3-1-1,-1 1 0,1-1 0,0-1 0,8 3 0,13 2 28,-22-5 3,-1 0 0,1-1 0,-1 1 1,1-1-1,-1-1 0,1 1 1,12-4-1,6 1 112,162-21 40,-46 4-130,-71 6-52,-58 10 0,0 1 0,0 1 0,0 0 0,0 1 0,0 0 0,0 1 0,22 2 0,-17 0-2240,-1-1-4479,-47 8-6081</inkml:trace>
  <inkml:trace contextRef="#ctx0" brushRef="#br0" timeOffset="16102.43">7299 1357 21631,'-38'42'0,"41"-47"0,-1 0 0,0 2 0,0-1 0,0-1 0,1 2 0,-1 0 0,1-1 0,0 1 0,0-1 0,0 2 0,1-1 0,-1 0 0,1 1 0,6-5 0,-3 5 21,-1 0 0,1-1 0,-1-1 0,8-3-1,-12 6-8,1 0 0,-1-2 0,0 2 1,1-1-1,-1 1 0,1 0 0,-1 0 0,1 0 0,0 1 0,-1-1 0,1 0 0,0 1 0,0 0 0,-1 0 0,1 0 0,0 0 0,0 0 0,-1 0 0,1 1 0,0-1 0,0 1 1,-1 0-1,1 0 0,3 2 0,0 1 14,1-1 0,-1 0 0,-1 1 0,1 1 0,0 0 0,-1-1 0,0 2 0,0-1 0,-1 2 0,1-2 0,-1 1 0,0 1 0,0-1 0,-1 1 0,0 0 0,0 0 0,-1 0 0,3 8 0,-4-6 0,1-2-1,-1 2 0,-1 1 1,1-2-1,-1 1 0,-1-1 1,0 2-1,0-1 0,0-1 1,-1 1-1,0 0 0,-1-1 1,0 1-1,-8 13 0,2-1 55,-2-1 0,0 0 0,-1-1 0,-1-3 0,-1 2 0,0-2 0,-19 19 0,2-7 9,19-15-40,-1-4 0,0 3 0,-1-1 1,0-1-1,-24 11 0,10-8-49,48-13-13,20-1-149,0 2 0,0 2 0,69 15 0,-105-17 158,1 0 0,-1 1 0,0-1 1,0 1-1,0 0 0,0 0 0,0 1 0,0 0 0,-1-1 0,1 1 1,-1-1-1,0 2 0,0-1 0,0 1 0,0-1 0,0 2 0,2 3 1,-3-2 0,0-2 1,0 1 0,-1 1-1,0-1 1,0 0 0,0 1-1,0-1 1,-1 0 0,1 1-1,-1-1 1,-1 2 0,1-2-1,-1 0 1,0 1 0,-1 3-1,-3 13 3,-1 1 0,-1-3 0,-1 2 0,0-2 0,-2-1 0,0 2 0,-1-2 0,-1-1 0,0 1 0,-2-2 0,0-1 0,-31 30 0,6-13-376,-55 33 0,75-55 171,1 0 0,-1-2-1,0-1 1,-1-1 0,-37 10-1,56-17 41,1 1 1,-1-1-1,1 0 0,-1 0 0,1 0 0,-1 0 0,1 0 0,-1 0 0,1 0 0,-1 0 0,1-1 0,-1 1 0,1 0 0,-1 0 1,1 0-1,-1 0 0,1-2 0,-1 2 0,1 0 0,-1-1 0,1 1 0,0 0 0,-2-2-330</inkml:trace>
  <inkml:trace contextRef="#ctx0" brushRef="#br0" timeOffset="16434.4">7909 2358 24575,'-37'-9'0,"-23"-9"0,55 15 0,27 6-128,-6-3 128,4 4-640,-10-12 0,-2-6-1920,-4-4 128,-2-4 1536,6-18-10751</inkml:trace>
  <inkml:trace contextRef="#ctx0" brushRef="#br0" timeOffset="17263.25">8487 1215 22143,'-72'33'22,"102"-36"172,-29 3-189,0 0 0,0-1 0,0 1 0,-1 0 0,1-1 0,0 1 0,0 0 0,0-1 0,0 1 0,-1-1 0,1 1 0,0-1 0,0 0 0,-1 1 0,2-2 0,-2 1-1,0 1-1,0-2 1,0 2-1,0-1 1,0 1 0,0-1-1,0 0 1,0 1-1,0-1 1,0 1-1,-1-1 1,1 1-1,0-1 1,0 1-1,-1-1 1,1 1-1,0-1 1,-1 1-1,1-1 1,0 1-1,-1-1 1,1 1-1,-1 0 1,1-1 0,-1 1-1,1 0 1,-1-1-1,1 1 1,-1 0-1,0-2 1,-2 0 3,-1 0 1,0 1 0,0-1 0,0 1 0,1 0 0,-1 0 0,0 1-1,-1-1 1,1 1 0,0-1 0,0 1 0,0 0 0,0 0-1,0 1 1,0-1 0,-5 1 0,0 1 6,0 0 1,0 1-1,1 0 1,-1 2-1,1-1 1,-9 5-1,5-1-14,1 0 0,0 0 0,0 2 0,1 0 0,0 1 0,0-1 0,-10 15 0,16-19 0,0 1 0,0 0 0,1 0 0,0 0 0,1 1 0,-1-1 0,1 1 0,0 0 0,1-1 0,0 1 0,0 0 0,0 0 0,1-1 0,0 2 0,2 9 0,0-4-15,0-1-1,2 0 1,-1-1-1,1 1 1,1 0-1,0-2 0,0 0 1,10 15-1,-4-9-45,0-1-1,1 0 1,1-1-1,26 22 0,-2-7-50,1-2 0,1-2 0,65 31 0,-87-48 112,-3-3 0,0 2 0,23 15 0,-33-20 0,-1 1 0,1-1 0,-1 0 0,1 1 0,-1 0 0,0 0 0,-1 0 0,1-1 0,0 2 0,-1-1 0,0 0 0,0 1 0,2 8 0,-2-4 18,0 1-1,-1 0 0,0 0 0,-1 0 1,1 1-1,-2-2 0,0 1 0,0 0 1,0-1-1,-1 1 0,0 0 0,-1 0 1,0-1-1,-1 1 0,0 0 0,-5 8 1,3-7 9,-1-1 0,-1 1 0,0 0 0,0 0 0,-1-2 0,0 1 0,0-1 1,-1-1-1,0 1 0,-1-2 0,-15 9 0,22-13-22,1-1 1,-1-1-1,0 0 0,0 0 1,0 0-1,0 0 0,0-1 1,0 1-1,0-1 0,0 0 1,0 0-1,-1-1 0,1 1 1,0-1-1,0 0 0,0 0 1,1 0-1,-1-1 0,0 1 1,0-2-1,1 1 0,-1 0 1,1 0-1,-1-1 0,1 1 1,0-2-1,0 2 0,-3-5 1,-3-4 9,0 0 0,1 0 1,0 0-1,1-1 0,0-1 1,1 1-1,-6-16 0,5 4-15,0 2 0,1-2 0,2 2 0,0-2 0,1 0 0,1 0 0,2 0 0,0 0 0,1 1 0,6-34 0,-3 30 0,2 0 0,1 0 0,1 1 0,1 0 0,1 2 0,1-1 0,1-1 0,27-37 0,-13 29 0,2 3 0,0 1 0,53-40 0,-78 67 0,31-24-384,-52 32-2986,-18 11-513</inkml:trace>
  <inkml:trace contextRef="#ctx0" brushRef="#br0" timeOffset="18264.4">8864 1039 20095,'-4'31'-2,"4"-31"2,0 0 0,0 0 0,0 0 0,0 0-1,0-1 1,0 1 0,0 0 0,0 0 0,0 0 0,0 0 0,0 0 0,0 0 0,-1 0 0,1 0 0,0 0 0,0 0 0,0 0 0,0 0 0,0 0 0,0 0 0,0 0 0,0 0 0,0 0 0,0 0 0,0 0-1,-1 0 1,1 0 0,0 0 0,0 0 0,0 0 0,0 0 0,0 0 0,0 0 0,0 0 0,0 0 0,0 0 0,0 0 0,0 0 0,-1 0 0,1 0 0,0 0 0,0 0 0,0 0 0,0 0 0,0 0-1,0 0 1,0 1 0,0-1 0,0 0 0,0 0 0,0 0 0,0 0 0,0 0 0,0 0 0,-3-16 27,-2-66 954,5 81-974,0 0 0,0-1 0,0 1-1,1 0 1,-1-2 0,0 2 0,1 0 0,-1 0 0,1-1-1,0 1 1,-1 0 0,1 0 0,0 0 0,0 0 0,0 0-1,-1 0 1,1-1 0,0 1 0,1 0 0,-1 0 0,0 0-1,0 1 1,0-1 0,0 0 0,1 1 0,-1-1 0,0 1-1,0-1 1,1 1 0,-1 0 0,3-1 0,5 0 47,1 0-1,0 0 1,15 1 0,-6 0 45,-2 0-36,-1 1-1,0 0 0,1 1 0,28 9 1,66 26 30,-60-17-7,-42-17-70,0 0-1,-1 1 1,0 0-1,1 1 1,-1 0-1,-1 1 1,1-1-1,-1 2 1,0-1-1,9 11 1,-15-16-8,0 0 0,0 2 0,0-2 1,-1 1-1,1-1 0,-1 1 0,1 0 0,-1-1 1,1 1-1,-1-1 0,0 2 0,0-2 1,0 0-1,0 1 0,0 0 0,0-1 0,-1 1 1,1 0-1,0-1 0,-1 2 0,1-2 1,-1 1-1,-1 1 0,1 1 10,-1 1 1,0-1-1,-1-1 0,1 2 1,0-2-1,-1 1 1,0-1-1,-5 6 0,-15 9-18,-36 22 0,35-25 0,0 1 0,-23 22 0,38-29 0,3-5 0,2 0 0,-1 0 0,0 1 0,1-1 0,0 1 0,0 1 0,0-2 0,1 1 0,0 1 0,-4 8 0,7-13 0,0-1 1,0 1-1,-1 0 0,2 0 0,-1-1 0,0 1 0,0 0 0,0 0 1,0-1-1,0 1 0,1 0 0,-1 0 0,0-1 0,1 2 1,-1-1-1,0-1 0,1 1 0,-1 0 0,1-1 0,-1 1 0,1-1 1,-1 1-1,1-1 0,0 1 0,-1-1 0,1 1 0,-1-1 0,1 0 1,0 1-1,0-1 0,-1 0 0,1 1 0,0-1 0,0 0 0,0 0 1,32 6-22,-31-6 15,32 0-110,48-7 1,25 1-337,3 15-1334,-78-4-524,53 4-9785</inkml:trace>
  <inkml:trace contextRef="#ctx0" brushRef="#br0" timeOffset="19462.14">5646 1923 19839,'26'-5'111,"0"0"0,0-1-1,48-20 1,-29 9-42,-5 6 963,-34 10-1935,0 1-1,0-1 1,0 1 0,10 1 0,-13-1 233,0 0 1,0 1-1,0-1 0,0 1 1,-1 0-1,1 0 1,0 0-1,0 1 1,0-1-1,-1 1 1,1 0-1,-1 0 1,1 0-1,-1 0 0,0 0 1,0 0-1,0 0 1,0 2-1,0-2 1,0 1-1,-1-1 1,1 1-1,-1 1 1,2 2-1,3 19 670</inkml:trace>
  <inkml:trace contextRef="#ctx0" brushRef="#br0" timeOffset="20364.03">5427 1204 17791,'-1'33'0,"1"-32"9,0 0 0,0-1-1,0 1 1,0-1-1,0 1 1,0 0 0,-1-1-1,1 1 1,0-1 0,0 1-1,-1 0 1,1-1-1,0 1 1,-1-1 0,1 1-1,-1-1 1,1 1-1,-1-1 1,1 0 0,-1 2-1,1-2 1,-1 0-1,1 1 1,-1-1 0,1 0-1,-1 1 1,1-1-1,-1 0 1,0 0 0,1 0-1,-1 0 1,0 1-1,1-1 1,-2 0 0,-23-6 525,13 4-324,8 2-177,0 0 0,1 1 0,-1 0 0,0 0 1,1 1-1,-1-1 0,0 0 0,1 1 0,-1 0 0,1-1 0,0 1 1,0 0-1,0 2 0,0-2 0,0 1 0,0-1 0,0 1 0,1 1 1,-1-1-1,1 0 0,-4 7 0,-1 4 90,1 0 0,0 0 0,0 0 0,-4 22 0,5-18-95,2 2 1,0-2 0,1 1 0,0 1-1,2 26 1,14 97 345,-3-53-259,-4-33-49,26 108 0,31 48-130,-50-167-25,-5-19-20,119 334-4316,-104-308 1563,38 63 1,-39-81-227,1-1 1,43 48-1,34 21 2256,52 64 2539</inkml:trace>
  <inkml:trace contextRef="#ctx0" brushRef="#br0" timeOffset="21694.56">8517 811 14336,'40'34'-256,"-39"-33"231,0 0 0,-1 0 1,1-1-1,0 1 0,0 1 1,0-2-1,0 1 0,0-1 1,0 1-1,0-1 0,0 0 1,0 1-1,0-1 0,0 0 1,0 0-1,0 1 0,1-1 1,-1 0-1,0 0 0,0 0 1,0 0-1,0-1 0,0 1 1,0 0-1,0 0 0,0-1 1,1 0-1,-1 1 7,-1-1 1,0 1 0,0-2-1,1 2 1,-1-1-1,0 1 1,0-1 0,0 0-1,0 1 1,0-1-1,0 1 1,0-1 0,0 0-1,0 1 1,0-1-1,0 1 1,0-1 0,0 1-1,-1-1 1,1 0-1,0 1 1,0-1 0,-1 1-1,1-1 1,0 1 0,-1-2-1,1 2 1,0-1-1,-1 1 1,1 0 0,-1-1-1,1 1 1,0-1-1,-1 1 1,1 0 0,-1 0-1,0-1 1,1 1-1,-1-1 1,0 1 1,-5-4 46,0 0 0,1 0 0,-1 1-1,-8-3 1,13 5 16,1 1 0,-1 0-1,1-2 1,-1 2 0,0 0 0,0 0 0,1-1-1,-1 1 1,0 0 0,1 0 0,-1 0-1,0 0 1,1 0 0,-1 0 0,0 0 0,0 0-1,1 1 1,-1-1 0,0 0 0,1 0 0,-1 0-1,0 2 1,1-2 0,-1 0 0,0 1 0,1-1-1,-1 1 1,1-1 0,-1 1 0,1-1-1,-1 1 1,1-1 0,-1 1 0,1-1 0,0 1-1,-1-1 1,1 1 0,0 0 0,-1-1 0,1 1-1,0 0 1,0-1 0,-1 1 0,1 0 0,0 1-1,0-2 1,0 1 0,0 0 0,0-1-1,0 1 1,0 0 0,1 1 0,-1 2 209,-1-4-214,1 1-1,0-1 0,0 1 1,0-1-1,0 1 1,0-1-1,-1 2 1,1-2-1,0 1 0,0-1 1,0 1-1,0-1 1,1 1-1,-1-1 1,0 1-1,0-1 1,0 1-1,0-1 0,0 1 1,1-1-1,-1 1 1,0-1-1,0 0 1,1 1-1,-1-1 1,0 1-1,1-1 0,-1 0 1,0 1-1,1-1 1,-1 0-1,1 1 1,-1-1-1,1 0 0,-1 0 1,0 0-1,2 1 385,0 7-233,-1 0 0,1-1 0,1 1 0,-1-1 0,1 1 0,6 11 0,0 1 0,28 56 576,-16-43-475,-16-25-232,-1-2-1,1 0 1,-1 2 0,4 9 0,-2 4 75,0 0-1,-1 1 1,3 36-1,-4-29-11,10 39-1,123 458 133,-86-340-388,-23-85-848,-3-3 0,13 115 0,-28-91-2177,-2 2-6997</inkml:trace>
  <inkml:trace contextRef="#ctx0" brushRef="#br0" timeOffset="23363.62">7749 1 21503,'0'0'384,"5"0"-277,158 17 416,-92-7-363,181 43 214,-26-4-151,-26-17-155,146 19 145,-258-44-151,175-7 0,-21-17-62,-203 11 20,-1-3-1,0-1 0,65-26 0,-46 15 11,51-25 153,-30 13-89,-65 32 514,-9 1-172,-8 0-200,4 18 20,18 469-359,-2-176-199,-15-282 69,10 310-1054,-1-73-2548,5 110-9476</inkml:trace>
  <inkml:trace contextRef="#ctx0" brushRef="#br0" timeOffset="24164.25">10943 2478 20607,'92'18'421,"98"4"0,-100-13 54,111 25 0,-86-7-234,97 27-204,-199-48-313,1 0 1,18 13-1,-20-12-600,0 0-1,19 7 1,-16-14-2239</inkml:trace>
  <inkml:trace contextRef="#ctx0" brushRef="#br0" timeOffset="24428.9">11216 2239 22911,'0'0'0,"55"39"0,-37-29 128,0-6 0,5-1 0,4-6 0,21 11 0,12 5-128,21 11 128,19 5-512,15 12 0,16 10-128,-23-23 0,-1 2-15359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14.35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85 147 17791,'0'0'128,"5"0"0,5-3-22,1 0 0,-1-1 0,0 0 0,13-7-1,-11 5-18,1 0-1,0 0 1,18-4-1,-23 9-87,-1-2 40,0 1 1,1 1 0,-1-1 0,1 1-1,0 1 1,-1-1 0,1 1-1,-1 1 1,1-1 0,0 1 0,-1 1-1,1-1 1,13 6 0,-10-1 23,0 0 0,-1 1 1,0 0-1,0 1 0,-1 0 0,0 1 1,0 0-1,-1 0 0,0 1 0,8 12 1,-6-7 13,-1 0 0,-1 1 1,-1-1-1,0 2 0,-1-1 1,7 30-1,-11-30-54,0-1 0,-2 0 0,1 1 0,-2-1 0,0 0 0,-1 0 0,-1 1 0,0-1 0,-1-1 0,0 1 0,-1 0 0,-1-1 0,-1 0 0,-11 18 0,-8 10 30,-1-1-1,-3-2 0,-39 41 1,-174 168 331,236-242-359,0 0 0,-1-1 0,-10 6 0,11-8-18,1 1 0,0 0 0,-11 10 0,17-14-6,0 0 1,0 1-1,0-1 1,-1 0-1,1 1 1,0-1-1,1 0 1,-1 1-1,0-1 1,0 0-1,0 1 1,0-1-1,0 0 1,0 0-1,0 1 1,0-1-1,0 0 1,1 1-1,-1-1 1,0 0-1,0 0 1,0 1-1,1-1 1,-1 0 0,0 0-1,0 1 1,1-1-1,-1 0 1,0 0-1,1 0 1,-1 1-1,0-1 1,1 0-1,-1 0 1,0 0-1,0 0 1,1 0-1,-1 0 1,0 0-1,1 0 1,-1 0-1,1 0 1,18 7 39,-17-7-41,175 39 0,-120-29 0,-1 2 0,87 31 0,-85-21-160,108 26 0,-165-47 82,1-1 0,0 1 0,0-1 0,0 0-1,0 0 1,0 1 0,0-1 0,0-1 0,0 1 0,0 0-1,0 0 1,0-1 0,0 1 0,0-1 0,0 0 0,0 0-1,0 1 1,-1-1 0,1 0 0,3-3 0,-3 2-248,0-1 1,0 0-1,0 0 1,0 1 0,0-1-1,-1 0 1,1-1-1,-1 1 1,0 0 0,0 0-1,1-6 1</inkml:trace>
  <inkml:trace contextRef="#ctx0" brushRef="#br0" timeOffset="1046.97">1369 107 21375,'-25'32'0,"25"-32"0,0 1 0,0-1 0,0 0 0,0 0 0,0 0 0,0 0 0,0 1 0,0-1 0,0 0 0,0 0 0,0 0 0,0 0 0,-1 0 0,1 0 0,0 1 0,0-1 0,0 0 0,0 0 0,0 0 0,0 0 0,-1 0 0,1 0 0,0 0 0,0 0 0,0 0 0,0 0 0,-1 1 0,1-1 0,0 0 0,0 0 0,0 0 0,0 0 0,0 0 0,-1 0 0,1 0 0,0 0 0,0 0 0,0 0 0,0-1 0,-1 1 0,1 0 0,0 0 0,0 0 0,0 0 0,0 0 0,-1 0 0,1 0 0,0 0 0,0 0 0,0 0 0,0-1 0,0 1 0,0 0 0,0 0 0,-1 0 0,1 0 0,0 0 0,0 0 0,0-1 0,0 1 0,0 0 0,0 0 0,0 0 0,0 0 0,0-1 0,-2-15 0,1 6 22,0 9-16,0 0 0,-1 0 0,1 0 0,-1 0 0,1 0 0,-1 0 0,1 0 0,-1 0 0,0 0 0,1 1 0,-1-1 0,0 1 0,1-1 1,-1 1-1,0 0 0,0-1 0,0 1 0,1 0 0,-1 0 0,0 1 0,-3-1 0,-1 1 14,-1 0 1,1 0-1,-1 0 0,-10 5 0,6-1-26,0 1 0,0 0 0,0 1 0,1 1-1,0-1 1,0 2 0,1-1 0,-13 16 0,-7 12-29,-23 39 0,38-55 32,0 0 3,1 1 0,1 1 0,-17 42 0,26-56 0,0 1 0,1 0 0,0 0 0,0 0 0,1 0 0,0 0 0,1 0 0,0 1 0,1-1 0,-1 0 0,2 0 0,-1 0 0,5 14 0,-4-18 0,0 0 0,1 0 0,-1 0 0,1 0 0,0-1 0,0 1 0,1-1 0,-1 0 0,1 0 0,0 0 0,0 0 0,0-1 0,1 1 0,8 4 0,4 0 0,0 0 0,1-1 0,19 5 0,-19-6 0,0 0 0,28 14 0,-15-3 0,-16-9 0,0 1 0,0 0 0,15 12 0,-26-17 0,1 0 0,-1 1 0,0-1 0,0 1 0,-1 0 0,1 0 0,-1 0 0,0 0 0,-1 1 0,1-1 0,-1 1 0,0-1 0,1 7 0,-1-7-3,-1-1-1,0 0 0,0 1 1,0-1-1,-1 1 0,0-1 1,0 1-1,0-1 0,0 1 1,0-1-1,-1 0 0,0 1 1,0-1-1,0 0 0,-1 1 1,1-1-1,-1 0 0,0 0 0,0 0 1,-1 0-1,1-1 0,-1 1 1,0 0-1,0-1 0,0 0 1,0 0-1,0 0 0,-5 3 1,1-1-7,-16 14-121,0-1 0,-2-1 0,-34 18 0,52-33 131,0 0 0,0 0 0,0-1 0,-1 0 0,1 0 0,0 0 0,-1-1 0,1-1 0,-10 0 0,-5-1 0,17 2 0,0 0 0,0-1 0,0 1 0,0-1 0,0-1 0,0 1 0,1-1 0,-1 1 0,1-1 0,-1-1 0,-5-3 0,7 4 0,1 0 0,-1 0 0,1 0 0,0-1 0,-1 1 0,1-1 0,1 1 0,-1-1 0,0 0 0,0 0 0,1 0 0,0 0 0,0 0 0,0 0 0,0 0 0,0-1 0,0 1 0,0-6 0,1-5 0,1-1 0,0 0 0,0 1 0,2-1 0,0 1 0,0 0 0,2 0 0,-1 0 0,13-24 0,6-5 0,45-65 0,-39 68 43,2 2-1,2 1 0,37-34 0,118-88 183,-163 138-213,-1 4 56,-18 13-43,0-1-1,0 1 0,-1-1 0,0 0 0,7-8 0,-11 13-20,-1-1 0,0 1 0,1-1 1,-1 1-1,1-1 0,-1 1 0,0-1 0,0 1 0,1-1 0,-1 0 1,0 1-1,0-1 0,0 0 0,1 1 0,-1-1 0,0 0 0,0 1 1,0-1-1,0 0 0,0 1 0,0-1 0,0 0 0,-1 1 1,1-1-1,0 0 0,0 1 0,-1-2 0,0 1-1,0 0-1,0 0 0,0 1 1,0-1-1,0 0 1,0 0-1,0 0 1,0 1-1,0-1 1,0 0-1,-1 1 1,-1-1-1,-6-2-60,1 2-1,-1-1 1,-12 0 0,-76 0-725,53 4-2146,-1 1-9124</inkml:trace>
  <inkml:trace contextRef="#ctx0" brushRef="#br0" timeOffset="1572.07">1758 1047 23295,'0'0'0,"-14"-25"0,10 26 0,1 12 0,1-5 0,-1 2-640,0-5 0,15-35-4352,-4-2 4097,0-1-10497</inkml:trace>
  <inkml:trace contextRef="#ctx0" brushRef="#br0" timeOffset="2328.03">2078 757 21503,'0'50'-21,"0"-50"19,0 0 0,0 0 1,-1 0-1,1 1 0,0-1 0,0 0 0,0 0 0,0 1 1,0-1-1,0 0 0,0 0 0,0 1 0,0-1 0,0 0 1,0 0-1,0 1 0,0-1 0,0 0 0,0 0 0,0 1 1,0-1-1,1 0 0,-1 0 0,0 0 0,0 1 0,0-1 1,0 0-1,0 0 0,1 0 0,-1 1 0,0-1 0,0 0 1,0 0-1,0 0 0,1 0 0,-1 1 0,0-1 0,0 0 1,1 0-1,-1 0 0,0 0 0,0 0 0,0 0 0,1 0 1,-1 0-1,0 0 0,0 0 0,1 0 0,-1 0 1,0 0-1,0 0 0,1 0 0,-1 0 0,0 0 0,0 0 1,1 0-1,-1 0 0,0 0 0,0 0 0,1 0 0,-1-1 1,0 1-1,9-8 10,51-77-8,110-145 0,-102 147 128,4 4 0,3 3 0,110-87 0,-146 129-13,-26 23-53,0 0 0,0 1 0,19-11 0,-32 20-61,0 1-1,1 0 1,-1 0-1,0 0 1,1-1 0,-1 1-1,0 0 1,0 0 0,1 0-1,-1 0 1,0 0 0,1 0-1,-1 0 1,0-1-1,1 1 1,-1 0 0,0 0-1,1 0 1,-1 0 0,0 0-1,1 1 1,-1-1-1,0 0 1,1 0 0,-1 0-1,0 0 1,1 0 0,-1 0-1,0 0 1,1 1-1,-1-1 1,2 11 2,-9 15-5,-46 111 258,-53 220 0,27-42-256,37-176-640,41-139 596,1 1-1,-1 0 1,1-1-1,0 1 0,-1 0 1,1-1-1,0 1 1,0 0-1,0-1 0,0 1 1,-1 0-1,1 0 0,0-1 1,0 1-1,0 0 1,1 0-1,-1-1 0,0 1 1,0 0-1,0 0 1,0-1-1,1 1 0,-1 0 1,0-1-1,1 1 1,-1 0-1,0-1 0,1 1 1,-1-1-1,1 1 1,-1 0-1,1-1 0,-1 1 1,2-1-1,-1 0-29,0 0-1,0 0 1,1 0-1,-1 0 1,0 0-1,0-1 1,0 1-1,1 0 1,-1-1-1,0 1 1,0-1 0,0 0-1,0 1 1,0-1-1,0 0 1,0 1-1,0-1 1,0 0-1,2-2 1,18-28-3019,-1-3-7659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7.3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60 198 20479,'198'-88'768,"-160"68"-562,-18 9-103,0 1 0,2 1 1,32-10-1,1 7 31,1 2-1,71-2 1,109 6 20,292 41 336,94-3-189,-301-22-196,-69 1 68,356 19 123,-454-20-238,991 43 396,-570-87-145,-285 10-213,-154 20-2122,-240 2-3350,70-1-6421</inkml:trace>
  <inkml:trace contextRef="#ctx0" brushRef="#br0" timeOffset="965.53">1 589 22271,'21'-5'0,"0"-2"0,0 0 0,-1-2 0,31-17 0,-34 18 0,46-27 16,-33 18 57,1 1 0,58-21 0,-56 28-46,1 2-1,0 1 1,1 2 0,-1 1 0,1 1-1,68 7 1,205 47 205,-237-37-224,623 113 454,-318-61-434,344 28-40,-555-86 66,0-7 0,228-26 0,-155-20 31,-104 16-64,418-74 129,-114 61 191,-396 38-313,1 2 1,0 2-1,-1 2 1,1 1-1,70 17 1,-61-7 75,-14-5-92,46 18 0,-75-24 58,1 0 1,-1-1 0,19 3 0,16 2 264,-27-4 282,-31-4-4434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5.20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0 212 18687,'0'0'896,"4"9"-768,9 29 47,-1 0 0,-2 2 0,6 47 1,9 137 392,-22-198-535,13 225 342,-10-147-260,-6 35 78,-1-58-2,1-69-127,1 0 0,0 0 0,1 0 0,0 0 0,1-1 0,0 1 0,1-1 0,0 0 0,12 21 0,-16-32-60,-1 0-1,1-1 1,0 1-1,0 0 1,0 0-1,0-1 1,0 1-1,0 0 0,0 0 1,0 0-1,0-1 1,0 1-1,0 0 1,0 0-1,1 0 1,-1-1-1,0 1 1,0 0-1,0 0 1,0 0-1,0-1 0,0 1 1,0 0-1,1 0 1,-1 0-1,0 0 1,0-1-1,0 1 1,0 0-1,0 0 1,1 0-1,-1 0 1,0 0-1,0 0 0,0 0 1,1 0-1,-1-1 1,0 1-1,0 0 1,0 0-1,1 0 1,-1 0-1,0 0 1,0 0-1,1 0 1,-1 0-1,0 0 0,0 0 1,0 0-1,1 0 1,-1 1-1,0-1 1,0 0-1,0 0 1,1 0-1,-1 0 1,0 0-1,0 0 1,0 0-1,0 1 0,1-1 1,-1 0-1,0 0 1,0 0-1,0 0 1,0 0-1,0 1 1,1-1-1,2-24 106,-2 18-73,7-30 76,2-1 0,2 1 0,20-45 0,5-15-26,31-136 132,-44 142-91,3 0-1,57-124 0,-75 195-120,133-247-12,-148 276-632,1 1 1,1-1-1,0 1 0,0 0 1,1 0-1,0 0 1,1 0-1,-1 22 0,3-4-2348,0 1-7339</inkml:trace>
  <inkml:trace contextRef="#ctx0" brushRef="#br0" timeOffset="953.68">1223 112 20607,'-4'5'0,"0"-1"0,0 0 0,-1 0 0,1 0 0,-1-1 0,0 0 0,0 0 0,0 0 0,-7 2 0,7-2 12,1-1 0,0 1-1,0 0 1,0 0-1,0 0 1,1 0 0,-1 0-1,1 1 1,0 0-1,0 0 1,0 0 0,-2 5-1,-4 8 101,-12 31-1,19-44-101,-31 82 226,-34 81 296,-138 290 215,145-315-470,66-192-277,5 15-50,2 1 0,1 1 0,23-38 0,-2 1-27,-11 21 18,103-243-117,-92 188 176,27-72 0,-48 144 0,1 0 0,1 1 0,26-36 0,-42 67 0,2-4 0,1 0 0,-1 0 0,1 1 0,0-1 0,0 1 0,1 0 0,-1 0 0,1 0 0,0 0 0,-1 0 0,6-2 0,-8 5 0,-1 0 0,1 0 0,-1 0 0,1 0 0,-1 0 0,1 0 0,-1 0 0,1 0 0,-1 0 0,1 0 0,-1 0 0,1 0 0,-1 0 0,1 0 0,-1 0 0,0 1 0,1-1 0,-1 0 0,1 0 0,-1 1 0,1-1 0,-1 0 0,0 1 0,1-1 0,-1 0 0,0 1 0,1-1 0,-1 1 0,0-1 0,1 0 0,-1 1 0,0-1 0,0 1 0,0-1 0,1 1 0,-1-1 0,0 1 0,0-1 0,0 1 0,0-1 0,0 1 0,2 25 12,-2-22-2,2 79 167,-2-16 44,18 130-1,9-64 27,9 52 18,-33-165-241,41 244 305,-27-179-175,33 90 1,-44-155-98,-5-14-29,1-1 1,0 1-1,0 0 1,0-1-1,1 1 0,0-1 1,0 0-1,0 0 1,6 6-1,-9-10-30,0-1 0,0 0 0,0 0 1,1 0-1,-1 0 0,0 1 0,0-1 0,0 0 0,1 0 1,-1 0-1,0 0 0,0 0 0,1 0 0,-1 0 0,0 0 0,0 0 1,1 0-1,-1 0 0,0 0 0,0 0 0,1 0 0,-1 0 1,0 0-1,0 0 0,1 0 0,-1 0 0,0 0 0,0 0 1,1 0-1,-1-1 0,0 1 0,0 0 0,0 0 0,1 0 1,-1 0-1,0-1 0,0 1 0,0 0 0,1 0 0,-1 0 0,0-1 1,0 1-1,0 0 0,0 0 0,0-1 0,0 1 0,0 0 1,0 0-1,1 0 0,-1-1 0,0 1 0,0 0 0,0-1 1,0 1-1,0 0 0,0 0 0,-1-1 0,4-16-1013,-2 1 1,-1-1-1,0 0 0,-1 1 0,0-1 0,-8-30 0,2 14-10696</inkml:trace>
  <inkml:trace contextRef="#ctx0" brushRef="#br0" timeOffset="1214.78">1037 772 21119,'8'5'31,"34"15"834,-41-21-737,2 0-108,-1-1 0,1 1-1,0 0 1,0 0 0,-1 0-1,1 0 1,0 1-1,0-1 1,0 1 0,0-1-1,0 1 1,4 0 0,39 5-41,-27-1-475,0 0 0,0 2 0,32 15 0,17 11-5264,-43-19-4010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3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/>
  </sheetViews>
  <sheetFormatPr baseColWidth="10" defaultRowHeight="15" x14ac:dyDescent="0.25"/>
  <cols>
    <col min="2" max="2" width="12.5703125" customWidth="1"/>
    <col min="3" max="3" width="57" customWidth="1"/>
    <col min="5" max="5" width="57" customWidth="1"/>
    <col min="7" max="7" width="57" customWidth="1"/>
  </cols>
  <sheetData>
    <row r="2" spans="2:7" ht="21" x14ac:dyDescent="0.35">
      <c r="B2" s="69" t="s">
        <v>98</v>
      </c>
      <c r="D2" t="s">
        <v>874</v>
      </c>
      <c r="E2" s="71" t="s">
        <v>875</v>
      </c>
    </row>
    <row r="4" spans="2:7" x14ac:dyDescent="0.25">
      <c r="B4" s="90" t="s">
        <v>837</v>
      </c>
      <c r="D4" s="90" t="s">
        <v>839</v>
      </c>
      <c r="F4" s="90" t="s">
        <v>840</v>
      </c>
    </row>
    <row r="5" spans="2:7" x14ac:dyDescent="0.2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2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2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25">
      <c r="B8" s="70">
        <v>46196</v>
      </c>
      <c r="C8" s="71" t="str">
        <f>Sinus_Cosinus!$F$2</f>
        <v>Sinus / Cosinus / Tangens</v>
      </c>
      <c r="D8" s="70">
        <v>46177</v>
      </c>
      <c r="E8" s="71" t="str">
        <f>'Gemischte Schaltungen'!C2</f>
        <v>Gemischte Schaltungen</v>
      </c>
    </row>
    <row r="9" spans="2:7" x14ac:dyDescent="0.25">
      <c r="B9" s="70">
        <v>45772</v>
      </c>
      <c r="C9" s="71" t="s">
        <v>327</v>
      </c>
      <c r="D9" s="70">
        <v>46184</v>
      </c>
      <c r="E9" s="89" t="str">
        <f>'LCR-Glieder an Wechselspannung'!$C$2</f>
        <v>RCL-Glieder (Serieschaltung) an Wechselspannung</v>
      </c>
    </row>
    <row r="10" spans="2:7" x14ac:dyDescent="0.2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2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25">
      <c r="B12" s="70">
        <v>45873</v>
      </c>
      <c r="C12" s="71" t="str">
        <f>'Fläche eines Polygones'!$C$2</f>
        <v>Polygone-Fläche</v>
      </c>
    </row>
    <row r="13" spans="2:7" x14ac:dyDescent="0.25">
      <c r="B13" s="70">
        <v>46182</v>
      </c>
      <c r="C13" s="71" t="s">
        <v>959</v>
      </c>
    </row>
    <row r="14" spans="2:7" x14ac:dyDescent="0.25">
      <c r="B14" s="90"/>
    </row>
    <row r="15" spans="2:7" x14ac:dyDescent="0.2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2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25">
      <c r="B17" s="90" t="s">
        <v>838</v>
      </c>
      <c r="D17" s="70">
        <v>45939</v>
      </c>
      <c r="E17" s="71" t="str">
        <f>'3-Phasenstrom'!$C$2</f>
        <v>3-Phasenstrom (Verkettete Spannung)</v>
      </c>
    </row>
    <row r="18" spans="2:5" x14ac:dyDescent="0.2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25">
      <c r="B19" s="70">
        <v>45998</v>
      </c>
      <c r="C19" s="71" t="str">
        <f>'Kinematik_1 (Weg-Zeit)'!$C$2</f>
        <v>Weg-Zeit Diagramm (Kinematik I)</v>
      </c>
    </row>
    <row r="20" spans="2:5" x14ac:dyDescent="0.25">
      <c r="B20" s="70"/>
      <c r="C20" s="71"/>
    </row>
    <row r="21" spans="2:5" x14ac:dyDescent="0.25">
      <c r="B21" s="70">
        <v>46032</v>
      </c>
      <c r="C21" s="71" t="s">
        <v>99</v>
      </c>
      <c r="D21" s="70">
        <v>46149</v>
      </c>
      <c r="E21" s="71" t="s">
        <v>922</v>
      </c>
    </row>
    <row r="22" spans="2:5" x14ac:dyDescent="0.25">
      <c r="B22" s="70">
        <v>45701</v>
      </c>
      <c r="C22" s="71" t="s">
        <v>100</v>
      </c>
    </row>
    <row r="23" spans="2:5" x14ac:dyDescent="0.25">
      <c r="B23" s="70">
        <v>45998</v>
      </c>
      <c r="C23" s="71" t="str">
        <f>'Kinematik_2 (Weg-Zeit)'!$C$2</f>
        <v>Weg-Zeit Diagramm (Kinematik II)</v>
      </c>
    </row>
    <row r="24" spans="2:5" x14ac:dyDescent="0.25">
      <c r="B24" s="70"/>
      <c r="C24" s="71"/>
    </row>
    <row r="25" spans="2:5" x14ac:dyDescent="0.25">
      <c r="B25" s="70">
        <v>45786</v>
      </c>
      <c r="C25" s="71" t="s">
        <v>238</v>
      </c>
      <c r="D25" s="70"/>
    </row>
    <row r="26" spans="2:5" x14ac:dyDescent="0.2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  <hyperlink ref="E9" location="'LCR-Glieder an Wechselspannung'!A1" display="'LCR-Glieder an Wechselspannung'!A1" xr:uid="{7A0713B1-85F6-472E-A3A4-EB94A4315124}"/>
    <hyperlink ref="E8" location="'Gemischte Schaltungen'!A1" display="'Gemischte Schaltungen'!A1" xr:uid="{FA29E61D-6165-44E5-BAD2-D2496F778DAB}"/>
    <hyperlink ref="C13" location="Sinus_Cosinus!G124" display="Spitzenwert / Effektivwert / Wellenlänge / Periodendauer" xr:uid="{C4E337CC-8A28-424E-9495-14F53BD4694A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086FB-756F-401B-AA95-2CB8B57F9C7D}">
  <dimension ref="C1:AC285"/>
  <sheetViews>
    <sheetView showGridLines="0" zoomScale="40" zoomScaleNormal="40" workbookViewId="0"/>
  </sheetViews>
  <sheetFormatPr baseColWidth="10" defaultRowHeight="15" x14ac:dyDescent="0.25"/>
  <sheetData>
    <row r="1" spans="3:29" ht="15.75" x14ac:dyDescent="0.25">
      <c r="P1" s="120"/>
      <c r="Q1" s="147"/>
      <c r="R1" s="121"/>
      <c r="S1" s="143"/>
      <c r="U1" s="1"/>
      <c r="V1" s="37"/>
      <c r="AA1" s="55"/>
    </row>
    <row r="2" spans="3:29" ht="26.25" x14ac:dyDescent="0.4">
      <c r="C2" s="29" t="s">
        <v>318</v>
      </c>
      <c r="P2" s="120"/>
      <c r="Q2" s="147"/>
      <c r="R2" s="121"/>
      <c r="S2" s="143"/>
      <c r="U2" s="1"/>
      <c r="V2" s="37"/>
      <c r="AA2" s="55"/>
    </row>
    <row r="3" spans="3:29" ht="15.75" x14ac:dyDescent="0.25">
      <c r="P3" s="120"/>
      <c r="Q3" s="147"/>
      <c r="R3" s="121"/>
      <c r="S3" s="143"/>
      <c r="U3" s="1"/>
      <c r="V3" s="37"/>
      <c r="AA3" s="55"/>
    </row>
    <row r="4" spans="3:29" ht="15.75" x14ac:dyDescent="0.25">
      <c r="P4" s="120"/>
      <c r="Q4" s="147"/>
      <c r="R4" s="121"/>
      <c r="S4" s="143"/>
      <c r="U4" s="1"/>
      <c r="V4" s="37"/>
      <c r="AA4" s="55"/>
    </row>
    <row r="5" spans="3:29" ht="24" x14ac:dyDescent="0.4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4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4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4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4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4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4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4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4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4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4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ht="15.75" x14ac:dyDescent="0.25">
      <c r="G16" s="119"/>
      <c r="P16" s="120"/>
      <c r="Q16" s="147"/>
      <c r="R16" s="121"/>
      <c r="S16" s="143"/>
      <c r="U16" s="1"/>
      <c r="V16" s="37"/>
      <c r="AA16" s="55"/>
    </row>
    <row r="17" spans="16:27" ht="35.450000000000003" customHeight="1" x14ac:dyDescent="0.55000000000000004">
      <c r="P17" s="120"/>
      <c r="Q17" s="147"/>
      <c r="R17" s="121"/>
      <c r="S17" s="143"/>
      <c r="U17" s="127" t="s">
        <v>385</v>
      </c>
      <c r="V17" s="198" t="s">
        <v>328</v>
      </c>
      <c r="W17" s="149" t="s">
        <v>391</v>
      </c>
      <c r="X17" s="5"/>
      <c r="AA17" s="55"/>
    </row>
    <row r="18" spans="16:27" ht="35.450000000000003" customHeight="1" x14ac:dyDescent="0.55000000000000004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  <c r="AA18" s="55"/>
    </row>
    <row r="19" spans="16:27" ht="35.450000000000003" customHeight="1" x14ac:dyDescent="0.2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  <c r="U19" s="1"/>
      <c r="V19" s="37"/>
      <c r="AA19" s="55"/>
    </row>
    <row r="20" spans="16:27" ht="35.450000000000003" customHeight="1" x14ac:dyDescent="0.55000000000000004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  <c r="AA20" s="55"/>
    </row>
    <row r="21" spans="16:27" ht="35.450000000000003" customHeight="1" x14ac:dyDescent="0.55000000000000004">
      <c r="P21" s="120"/>
      <c r="Q21" s="147"/>
      <c r="R21" s="121"/>
      <c r="S21" s="143"/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  <c r="AA21" s="55"/>
    </row>
    <row r="22" spans="16:27" ht="35.450000000000003" customHeight="1" x14ac:dyDescent="0.2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  <c r="U22" s="1"/>
      <c r="V22" s="37"/>
      <c r="AA22" s="55"/>
    </row>
    <row r="23" spans="16:27" ht="35.450000000000003" customHeight="1" x14ac:dyDescent="0.55000000000000004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  <c r="AA23" s="55"/>
    </row>
    <row r="24" spans="16:27" ht="35.450000000000003" customHeight="1" x14ac:dyDescent="0.55000000000000004">
      <c r="P24" s="120"/>
      <c r="Q24" s="147"/>
      <c r="R24" s="121"/>
      <c r="S24" s="143"/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  <c r="AA24" s="55"/>
    </row>
    <row r="25" spans="16:27" ht="35.450000000000003" customHeight="1" x14ac:dyDescent="0.2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  <c r="U25" s="1"/>
      <c r="V25" s="37"/>
      <c r="AA25" s="55"/>
    </row>
    <row r="26" spans="16:27" ht="35.450000000000003" customHeight="1" x14ac:dyDescent="0.55000000000000004">
      <c r="P26" s="120"/>
      <c r="Q26" s="147"/>
      <c r="R26" s="121"/>
      <c r="S26" s="143"/>
      <c r="U26" s="127" t="s">
        <v>388</v>
      </c>
      <c r="V26" s="198" t="s">
        <v>328</v>
      </c>
      <c r="W26" s="149" t="s">
        <v>394</v>
      </c>
      <c r="X26" s="5"/>
      <c r="AA26" s="55"/>
    </row>
    <row r="27" spans="16:27" ht="35.450000000000003" customHeight="1" x14ac:dyDescent="0.55000000000000004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  <c r="AA27" s="55"/>
    </row>
    <row r="28" spans="16:27" ht="35.450000000000003" customHeight="1" x14ac:dyDescent="0.25">
      <c r="P28" s="120"/>
      <c r="Q28" s="147"/>
      <c r="R28" s="121"/>
      <c r="S28" s="143"/>
      <c r="U28" s="1"/>
      <c r="V28" s="37"/>
      <c r="AA28" s="55"/>
    </row>
    <row r="29" spans="16:27" ht="35.450000000000003" customHeight="1" x14ac:dyDescent="0.2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  <c r="U29" s="1"/>
      <c r="V29" s="37"/>
      <c r="AA29" s="55"/>
    </row>
    <row r="30" spans="16:27" ht="35.450000000000003" customHeight="1" x14ac:dyDescent="0.55000000000000004">
      <c r="P30" s="120"/>
      <c r="Q30" s="147"/>
      <c r="R30" s="121"/>
      <c r="S30" s="143"/>
      <c r="U30" s="160" t="s">
        <v>389</v>
      </c>
      <c r="V30" s="198" t="s">
        <v>328</v>
      </c>
      <c r="W30" s="162" t="s">
        <v>395</v>
      </c>
      <c r="X30" s="193"/>
      <c r="AA30" s="55"/>
    </row>
    <row r="31" spans="16:27" ht="35.450000000000003" customHeight="1" x14ac:dyDescent="0.55000000000000004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  <c r="AA31" s="55"/>
    </row>
    <row r="32" spans="16:27" ht="35.450000000000003" customHeight="1" x14ac:dyDescent="0.25">
      <c r="P32" s="120"/>
      <c r="Q32" s="147"/>
      <c r="R32" s="121"/>
      <c r="S32" s="143"/>
      <c r="U32" s="1"/>
      <c r="V32" s="37"/>
      <c r="AA32" s="55"/>
    </row>
    <row r="33" spans="3:27" ht="35.450000000000003" customHeight="1" x14ac:dyDescent="0.55000000000000004">
      <c r="P33" s="120"/>
      <c r="Q33" s="147"/>
      <c r="R33" s="121"/>
      <c r="S33" s="143"/>
      <c r="U33" s="160" t="s">
        <v>390</v>
      </c>
      <c r="V33" s="198" t="s">
        <v>328</v>
      </c>
      <c r="W33" s="162" t="s">
        <v>396</v>
      </c>
      <c r="X33" s="193"/>
      <c r="AA33" s="55"/>
    </row>
    <row r="34" spans="3:27" ht="35.450000000000003" customHeight="1" x14ac:dyDescent="0.55000000000000004">
      <c r="P34" s="120"/>
      <c r="Q34" s="147"/>
      <c r="R34" s="121"/>
      <c r="S34" s="143"/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  <c r="AA34" s="55"/>
    </row>
    <row r="35" spans="3:27" ht="35.450000000000003" customHeight="1" x14ac:dyDescent="0.25">
      <c r="P35" s="120"/>
      <c r="Q35" s="147"/>
      <c r="R35" s="121"/>
      <c r="S35" s="143"/>
      <c r="U35" s="1"/>
      <c r="V35" s="37"/>
      <c r="AA35" s="55"/>
    </row>
    <row r="36" spans="3:27" ht="35.450000000000003" customHeight="1" x14ac:dyDescent="0.25">
      <c r="P36" s="120"/>
      <c r="Q36" s="147"/>
      <c r="R36" s="121"/>
      <c r="S36" s="143"/>
      <c r="U36" s="1"/>
      <c r="V36" s="37"/>
      <c r="AA36" s="55"/>
    </row>
    <row r="37" spans="3:27" ht="35.450000000000003" customHeight="1" x14ac:dyDescent="0.25">
      <c r="P37" s="120"/>
      <c r="Q37" s="147"/>
      <c r="R37" s="121"/>
      <c r="S37" s="143"/>
      <c r="U37" s="1"/>
      <c r="V37" s="37"/>
      <c r="AA37" s="55"/>
    </row>
    <row r="38" spans="3:27" ht="35.450000000000003" customHeight="1" x14ac:dyDescent="0.25">
      <c r="P38" s="120"/>
      <c r="Q38" s="147"/>
      <c r="R38" s="121"/>
      <c r="S38" s="143"/>
      <c r="U38" s="1"/>
      <c r="V38" s="37"/>
      <c r="AA38" s="55"/>
    </row>
    <row r="39" spans="3:27" ht="35.450000000000003" customHeight="1" x14ac:dyDescent="0.25">
      <c r="P39" s="120"/>
      <c r="Q39" s="147"/>
      <c r="R39" s="121"/>
      <c r="S39" s="143"/>
      <c r="U39" s="1"/>
      <c r="V39" s="37"/>
      <c r="AA39" s="55"/>
    </row>
    <row r="40" spans="3:27" ht="35.450000000000003" customHeight="1" x14ac:dyDescent="0.25">
      <c r="P40" s="120"/>
      <c r="Q40" s="147"/>
      <c r="R40" s="121"/>
      <c r="S40" s="143"/>
      <c r="U40" s="1"/>
      <c r="V40" s="37"/>
      <c r="AA40" s="55"/>
    </row>
    <row r="41" spans="3:27" ht="12.95" customHeight="1" x14ac:dyDescent="0.25">
      <c r="P41" s="120"/>
      <c r="Q41" s="147"/>
      <c r="R41" s="121"/>
      <c r="S41" s="143"/>
      <c r="U41" s="1"/>
      <c r="V41" s="37"/>
      <c r="AA41" s="55"/>
    </row>
    <row r="42" spans="3:27" ht="12.95" customHeight="1" x14ac:dyDescent="0.25">
      <c r="P42" s="120"/>
      <c r="Q42" s="147"/>
      <c r="R42" s="121"/>
      <c r="S42" s="143"/>
      <c r="U42" s="1"/>
      <c r="V42" s="37"/>
      <c r="AA42" s="55"/>
    </row>
    <row r="43" spans="3:27" ht="15.75" x14ac:dyDescent="0.25">
      <c r="P43" s="120"/>
      <c r="Q43" s="147"/>
      <c r="R43" s="121"/>
      <c r="S43" s="143"/>
      <c r="U43" s="1"/>
      <c r="V43" s="37"/>
      <c r="AA43" s="55"/>
    </row>
    <row r="44" spans="3:27" ht="15.75" x14ac:dyDescent="0.25">
      <c r="P44" s="120"/>
      <c r="Q44" s="147"/>
      <c r="R44" s="121"/>
      <c r="S44" s="143"/>
      <c r="U44" s="1"/>
      <c r="V44" s="37"/>
      <c r="AA44" s="55"/>
    </row>
    <row r="45" spans="3:27" ht="26.25" x14ac:dyDescent="0.4">
      <c r="C45" s="29" t="s">
        <v>319</v>
      </c>
      <c r="P45" s="120"/>
      <c r="Q45" s="147"/>
      <c r="R45" s="121"/>
      <c r="S45" s="143"/>
      <c r="U45" s="1"/>
      <c r="V45" s="37"/>
      <c r="AA45" s="55"/>
    </row>
    <row r="46" spans="3:27" ht="15.75" x14ac:dyDescent="0.25">
      <c r="P46" s="120"/>
      <c r="Q46" s="147"/>
      <c r="R46" s="120"/>
      <c r="S46" s="143"/>
      <c r="U46" s="1"/>
      <c r="V46" s="37"/>
      <c r="AA46" s="55"/>
    </row>
    <row r="47" spans="3:27" ht="15.75" x14ac:dyDescent="0.25">
      <c r="P47" s="120"/>
      <c r="Q47" s="147"/>
      <c r="R47" s="120"/>
      <c r="S47" s="143"/>
      <c r="U47" s="1"/>
      <c r="V47" s="37"/>
      <c r="AA47" s="55"/>
    </row>
    <row r="48" spans="3:27" ht="21" x14ac:dyDescent="0.3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  <c r="AA48" s="55"/>
    </row>
    <row r="49" spans="16:27" ht="21" x14ac:dyDescent="0.3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  <c r="AA49" s="55"/>
    </row>
    <row r="50" spans="16:27" ht="21" x14ac:dyDescent="0.3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  <c r="AA50" s="55"/>
    </row>
    <row r="51" spans="16:27" ht="21" x14ac:dyDescent="0.3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  <c r="AA51" s="55"/>
    </row>
    <row r="52" spans="16:27" ht="21" x14ac:dyDescent="0.3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  <c r="AA52" s="55"/>
    </row>
    <row r="53" spans="16:27" ht="21" x14ac:dyDescent="0.3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  <c r="AA53" s="55"/>
    </row>
    <row r="54" spans="16:27" ht="15.75" x14ac:dyDescent="0.25">
      <c r="P54" s="120"/>
      <c r="Q54" s="147"/>
      <c r="R54" s="120"/>
      <c r="S54" s="143"/>
      <c r="U54" s="1"/>
      <c r="V54" s="37"/>
      <c r="AA54" s="55"/>
    </row>
    <row r="55" spans="16:27" ht="15.75" x14ac:dyDescent="0.25">
      <c r="P55" s="120"/>
      <c r="Q55" s="147"/>
      <c r="R55" s="120"/>
      <c r="S55" s="143"/>
      <c r="U55" s="1"/>
      <c r="V55" s="37"/>
      <c r="AA55" s="55"/>
    </row>
    <row r="56" spans="16:27" ht="15.75" x14ac:dyDescent="0.25">
      <c r="P56" s="120"/>
      <c r="Q56" s="147"/>
      <c r="R56" s="121"/>
      <c r="S56" s="143"/>
      <c r="U56" s="1"/>
      <c r="V56" s="37"/>
      <c r="AA56" s="55"/>
    </row>
    <row r="57" spans="16:27" ht="15.75" x14ac:dyDescent="0.25">
      <c r="P57" s="120"/>
      <c r="Q57" s="147"/>
      <c r="R57" s="121"/>
      <c r="S57" s="143"/>
      <c r="U57" s="1"/>
      <c r="V57" s="37"/>
      <c r="AA57" s="55"/>
    </row>
    <row r="58" spans="16:27" ht="31.5" x14ac:dyDescent="0.55000000000000004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  <c r="AA58" s="55"/>
    </row>
    <row r="59" spans="16:27" ht="31.5" x14ac:dyDescent="0.55000000000000004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  <c r="AA59" s="55"/>
    </row>
    <row r="60" spans="16:27" ht="15.75" x14ac:dyDescent="0.25">
      <c r="P60" s="120"/>
      <c r="Q60" s="147"/>
      <c r="R60" s="121"/>
      <c r="S60" s="143"/>
      <c r="U60" s="1"/>
      <c r="V60" s="37"/>
      <c r="AA60" s="55"/>
    </row>
    <row r="61" spans="16:27" ht="31.5" x14ac:dyDescent="0.55000000000000004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  <c r="AA61" s="55"/>
    </row>
    <row r="62" spans="16:27" ht="31.5" x14ac:dyDescent="0.55000000000000004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  <c r="AA62" s="55"/>
    </row>
    <row r="63" spans="16:27" ht="15.75" x14ac:dyDescent="0.25">
      <c r="P63" s="120"/>
      <c r="Q63" s="147"/>
      <c r="R63" s="121"/>
      <c r="S63" s="143"/>
      <c r="U63" s="1"/>
      <c r="V63" s="37"/>
      <c r="AA63" s="55"/>
    </row>
    <row r="64" spans="16:27" ht="30.75" x14ac:dyDescent="0.55000000000000004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  <c r="AA64" s="55"/>
    </row>
    <row r="65" spans="16:27" ht="30.75" x14ac:dyDescent="0.55000000000000004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  <c r="AA65" s="55"/>
    </row>
    <row r="66" spans="16:27" ht="15.75" x14ac:dyDescent="0.25">
      <c r="P66" s="120"/>
      <c r="Q66" s="147"/>
      <c r="R66" s="121"/>
      <c r="S66" s="143"/>
      <c r="U66" s="1"/>
      <c r="V66" s="37"/>
      <c r="AA66" s="55"/>
    </row>
    <row r="67" spans="16:27" ht="30.75" x14ac:dyDescent="0.55000000000000004">
      <c r="P67" s="120"/>
      <c r="Q67" s="147"/>
      <c r="R67" s="121"/>
      <c r="S67" s="143"/>
      <c r="U67" s="127" t="s">
        <v>377</v>
      </c>
      <c r="V67" s="198" t="s">
        <v>328</v>
      </c>
      <c r="W67" s="149" t="s">
        <v>384</v>
      </c>
      <c r="X67" s="5"/>
      <c r="AA67" s="55"/>
    </row>
    <row r="68" spans="16:27" ht="30.75" x14ac:dyDescent="0.55000000000000004">
      <c r="P68" s="120"/>
      <c r="Q68" s="147"/>
      <c r="R68" s="121"/>
      <c r="S68" s="143"/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  <c r="AA68" s="55"/>
    </row>
    <row r="69" spans="16:27" ht="15.75" x14ac:dyDescent="0.25">
      <c r="P69" s="120"/>
      <c r="Q69" s="147"/>
      <c r="R69" s="121"/>
      <c r="S69" s="143"/>
      <c r="U69" s="1"/>
      <c r="V69" s="37"/>
      <c r="AA69" s="55"/>
    </row>
    <row r="70" spans="16:27" ht="16.5" thickBot="1" x14ac:dyDescent="0.3">
      <c r="P70" s="120"/>
      <c r="Q70" s="147"/>
      <c r="R70" s="121"/>
      <c r="S70" s="143"/>
      <c r="U70" s="1"/>
      <c r="V70" s="37"/>
      <c r="AA70" s="55"/>
    </row>
    <row r="71" spans="16:27" ht="32.25" thickBot="1" x14ac:dyDescent="0.6">
      <c r="P71" s="120"/>
      <c r="Q71" s="147"/>
      <c r="R71" s="121"/>
      <c r="S71" s="143"/>
      <c r="U71" s="134" t="s">
        <v>400</v>
      </c>
      <c r="V71" s="202">
        <f>IF(W59+W62=W88,1,-1)</f>
        <v>1</v>
      </c>
      <c r="AA71" s="55"/>
    </row>
    <row r="72" spans="16:27" ht="16.5" thickBot="1" x14ac:dyDescent="0.3">
      <c r="P72" s="120"/>
      <c r="Q72" s="147"/>
      <c r="R72" s="121"/>
      <c r="S72" s="143"/>
      <c r="U72" s="1"/>
      <c r="V72" s="37"/>
      <c r="AA72" s="55"/>
    </row>
    <row r="73" spans="16:27" ht="31.5" thickBot="1" x14ac:dyDescent="0.6">
      <c r="P73" s="120"/>
      <c r="Q73" s="147"/>
      <c r="R73" s="121"/>
      <c r="S73" s="143"/>
      <c r="U73" s="130" t="s">
        <v>401</v>
      </c>
      <c r="V73" s="203">
        <f>IF(W65+W68=W180,1,-1)</f>
        <v>1</v>
      </c>
      <c r="AA73" s="55"/>
    </row>
    <row r="74" spans="16:27" ht="15.75" x14ac:dyDescent="0.25">
      <c r="P74" s="120"/>
      <c r="Q74" s="147"/>
      <c r="R74" s="121"/>
      <c r="S74" s="143"/>
      <c r="U74" s="1"/>
      <c r="V74" s="37"/>
      <c r="AA74" s="55"/>
    </row>
    <row r="75" spans="16:27" ht="15.75" x14ac:dyDescent="0.25">
      <c r="P75" s="120"/>
      <c r="Q75" s="147"/>
      <c r="R75" s="121"/>
      <c r="S75" s="143"/>
      <c r="U75" s="1"/>
      <c r="V75" s="37"/>
      <c r="AA75" s="55"/>
    </row>
    <row r="76" spans="16:27" ht="15.75" x14ac:dyDescent="0.25">
      <c r="P76" s="120"/>
      <c r="Q76" s="147"/>
      <c r="R76" s="121"/>
      <c r="S76" s="143"/>
      <c r="U76" s="1"/>
      <c r="V76" s="37"/>
      <c r="AA76" s="55"/>
    </row>
    <row r="77" spans="16:27" ht="15.75" x14ac:dyDescent="0.25">
      <c r="P77" s="120"/>
      <c r="Q77" s="147"/>
      <c r="R77" s="121"/>
      <c r="S77" s="143"/>
      <c r="U77" s="1"/>
      <c r="V77" s="37"/>
      <c r="AA77" s="55"/>
    </row>
    <row r="78" spans="16:27" ht="15.75" x14ac:dyDescent="0.25">
      <c r="P78" s="120"/>
      <c r="Q78" s="147"/>
      <c r="R78" s="121"/>
      <c r="S78" s="143"/>
      <c r="U78" s="1"/>
      <c r="V78" s="37"/>
      <c r="AA78" s="55"/>
    </row>
    <row r="79" spans="16:27" ht="3.6" customHeight="1" x14ac:dyDescent="0.25">
      <c r="P79" s="120"/>
      <c r="Q79" s="147"/>
      <c r="R79" s="121"/>
      <c r="S79" s="143"/>
      <c r="U79" s="1"/>
      <c r="V79" s="37"/>
      <c r="AA79" s="55"/>
    </row>
    <row r="80" spans="16:27" ht="3.6" customHeight="1" x14ac:dyDescent="0.25">
      <c r="P80" s="120"/>
      <c r="Q80" s="147"/>
      <c r="R80" s="121"/>
      <c r="S80" s="143"/>
      <c r="U80" s="1"/>
      <c r="V80" s="37"/>
      <c r="AA80" s="55"/>
    </row>
    <row r="81" spans="3:27" ht="3.6" customHeight="1" x14ac:dyDescent="0.25">
      <c r="P81" s="120"/>
      <c r="Q81" s="147"/>
      <c r="R81" s="121"/>
      <c r="S81" s="143"/>
      <c r="U81" s="1"/>
      <c r="V81" s="37"/>
      <c r="AA81" s="55"/>
    </row>
    <row r="82" spans="3:27" ht="3.6" customHeight="1" x14ac:dyDescent="0.25">
      <c r="P82" s="120"/>
      <c r="Q82" s="147"/>
      <c r="R82" s="121"/>
      <c r="S82" s="143"/>
      <c r="U82" s="1"/>
      <c r="V82" s="37"/>
      <c r="AA82" s="55"/>
    </row>
    <row r="83" spans="3:27" ht="3.6" customHeight="1" x14ac:dyDescent="0.25">
      <c r="P83" s="120"/>
      <c r="Q83" s="147"/>
      <c r="R83" s="121"/>
      <c r="S83" s="143"/>
      <c r="U83" s="1"/>
      <c r="V83" s="37"/>
      <c r="AA83" s="55"/>
    </row>
    <row r="84" spans="3:27" ht="15.75" x14ac:dyDescent="0.25">
      <c r="P84" s="120"/>
      <c r="Q84" s="147"/>
      <c r="R84" s="121"/>
      <c r="S84" s="143"/>
      <c r="U84" s="1"/>
      <c r="V84" s="37"/>
      <c r="AA84" s="55"/>
    </row>
    <row r="85" spans="3:27" ht="15.75" x14ac:dyDescent="0.25">
      <c r="P85" s="120"/>
      <c r="Q85" s="147"/>
      <c r="R85" s="121"/>
      <c r="S85" s="143"/>
      <c r="U85" s="1"/>
      <c r="V85" s="37"/>
      <c r="AA85" s="55"/>
    </row>
    <row r="86" spans="3:27" ht="15.75" x14ac:dyDescent="0.25">
      <c r="P86" s="120"/>
      <c r="Q86" s="147"/>
      <c r="R86" s="121"/>
      <c r="S86" s="143"/>
      <c r="U86" s="1"/>
      <c r="V86" s="37"/>
      <c r="AA86" s="55"/>
    </row>
    <row r="87" spans="3:27" ht="15.75" x14ac:dyDescent="0.25">
      <c r="P87" s="120"/>
      <c r="Q87" s="147"/>
      <c r="R87" s="121"/>
      <c r="S87" s="143"/>
      <c r="U87" s="1"/>
      <c r="V87" s="37"/>
      <c r="AA87" s="55"/>
    </row>
    <row r="88" spans="3:27" ht="26.25" x14ac:dyDescent="0.4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  <c r="AA88" s="55"/>
    </row>
    <row r="89" spans="3:27" ht="15.75" x14ac:dyDescent="0.2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  <c r="AA89" s="55"/>
    </row>
    <row r="90" spans="3:27" ht="15.75" x14ac:dyDescent="0.2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  <c r="AA90" s="55"/>
    </row>
    <row r="91" spans="3:27" ht="15.75" x14ac:dyDescent="0.2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  <c r="U91" s="1"/>
      <c r="V91" s="37"/>
      <c r="AA91" s="55"/>
    </row>
    <row r="92" spans="3:27" ht="15.75" x14ac:dyDescent="0.25">
      <c r="P92" s="120"/>
      <c r="Q92" s="147"/>
      <c r="R92" s="121"/>
      <c r="S92" s="143"/>
      <c r="U92" s="1"/>
      <c r="V92" s="37"/>
      <c r="AA92" s="55"/>
    </row>
    <row r="93" spans="3:27" ht="15.75" x14ac:dyDescent="0.25">
      <c r="P93" s="120"/>
      <c r="Q93" s="147"/>
      <c r="R93" s="121"/>
      <c r="S93" s="143"/>
      <c r="U93" s="1"/>
      <c r="V93" s="37"/>
      <c r="AA93" s="55"/>
    </row>
    <row r="94" spans="3:27" ht="15.75" x14ac:dyDescent="0.25">
      <c r="P94" s="120"/>
      <c r="Q94" s="147"/>
      <c r="R94" s="121"/>
      <c r="S94" s="143"/>
      <c r="U94" s="1"/>
      <c r="V94" s="37"/>
      <c r="AA94" s="55"/>
    </row>
    <row r="95" spans="3:27" ht="15.75" x14ac:dyDescent="0.25">
      <c r="P95" s="120"/>
      <c r="Q95" s="147"/>
      <c r="R95" s="121"/>
      <c r="S95" s="143"/>
      <c r="U95" s="1"/>
      <c r="V95" s="37"/>
      <c r="AA95" s="55"/>
    </row>
    <row r="96" spans="3:27" ht="15.75" x14ac:dyDescent="0.25">
      <c r="P96" s="120"/>
      <c r="Q96" s="147"/>
      <c r="R96" s="121"/>
      <c r="S96" s="143"/>
      <c r="U96" s="1"/>
      <c r="V96" s="37"/>
      <c r="AA96" s="55"/>
    </row>
    <row r="97" spans="16:27" ht="30.75" x14ac:dyDescent="0.55000000000000004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  <c r="AA97" s="55"/>
    </row>
    <row r="98" spans="16:27" ht="30.75" x14ac:dyDescent="0.55000000000000004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  <c r="AA98" s="55"/>
    </row>
    <row r="99" spans="16:27" ht="15.75" x14ac:dyDescent="0.25">
      <c r="P99" s="120"/>
      <c r="Q99" s="147"/>
      <c r="R99" s="121"/>
      <c r="S99" s="143"/>
      <c r="U99" s="1"/>
      <c r="V99" s="37"/>
      <c r="AA99" s="55"/>
    </row>
    <row r="100" spans="16:27" ht="30.75" x14ac:dyDescent="0.55000000000000004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  <c r="AA100" s="55"/>
    </row>
    <row r="101" spans="16:27" ht="30.75" x14ac:dyDescent="0.55000000000000004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  <c r="AA101" s="55"/>
    </row>
    <row r="102" spans="16:27" ht="15.75" x14ac:dyDescent="0.25">
      <c r="P102" s="120"/>
      <c r="Q102" s="147"/>
      <c r="R102" s="121"/>
      <c r="S102" s="143"/>
      <c r="U102" s="1"/>
      <c r="V102" s="37"/>
      <c r="AA102" s="55"/>
    </row>
    <row r="103" spans="16:27" ht="16.5" thickBot="1" x14ac:dyDescent="0.3">
      <c r="P103" s="120"/>
      <c r="Q103" s="147"/>
      <c r="R103" s="121"/>
      <c r="S103" s="143"/>
      <c r="U103" s="1"/>
      <c r="V103" s="37"/>
      <c r="AA103" s="55"/>
    </row>
    <row r="104" spans="16:27" ht="31.5" thickBot="1" x14ac:dyDescent="0.6">
      <c r="P104" s="120"/>
      <c r="Q104" s="147"/>
      <c r="R104" s="121"/>
      <c r="S104" s="143"/>
      <c r="U104" s="130" t="s">
        <v>399</v>
      </c>
      <c r="V104" s="203">
        <f>IF(W98+W101=W137,1,-1)</f>
        <v>1</v>
      </c>
      <c r="AA104" s="55"/>
    </row>
    <row r="105" spans="16:27" ht="15.75" x14ac:dyDescent="0.25">
      <c r="P105" s="120"/>
      <c r="Q105" s="147"/>
      <c r="R105" s="121"/>
      <c r="S105" s="143"/>
      <c r="U105" s="1"/>
      <c r="V105" s="37"/>
      <c r="AA105" s="55"/>
    </row>
    <row r="106" spans="16:27" ht="15.75" x14ac:dyDescent="0.25">
      <c r="P106" s="120"/>
      <c r="Q106" s="147"/>
      <c r="R106" s="121"/>
      <c r="S106" s="143"/>
      <c r="U106" s="1"/>
      <c r="V106" s="37"/>
      <c r="AA106" s="55"/>
    </row>
    <row r="107" spans="16:27" ht="15.75" x14ac:dyDescent="0.25">
      <c r="P107" s="120"/>
      <c r="Q107" s="147"/>
      <c r="R107" s="121"/>
      <c r="S107" s="143"/>
      <c r="U107" s="1"/>
      <c r="V107" s="37"/>
      <c r="AA107" s="55"/>
    </row>
    <row r="108" spans="16:27" ht="15.75" x14ac:dyDescent="0.25">
      <c r="P108" s="120"/>
      <c r="Q108" s="147"/>
      <c r="R108" s="121"/>
      <c r="S108" s="143"/>
      <c r="U108" s="1"/>
      <c r="V108" s="37"/>
      <c r="AA108" s="55"/>
    </row>
    <row r="109" spans="16:27" ht="15.75" x14ac:dyDescent="0.25">
      <c r="P109" s="120"/>
      <c r="Q109" s="147"/>
      <c r="R109" s="121"/>
      <c r="S109" s="143"/>
      <c r="U109" s="1"/>
      <c r="V109" s="37"/>
      <c r="AA109" s="55"/>
    </row>
    <row r="110" spans="16:27" ht="15.75" x14ac:dyDescent="0.25">
      <c r="P110" s="120"/>
      <c r="Q110" s="147"/>
      <c r="R110" s="121"/>
      <c r="S110" s="143"/>
      <c r="U110" s="1"/>
      <c r="V110" s="37"/>
      <c r="AA110" s="55"/>
    </row>
    <row r="111" spans="16:27" ht="15.75" x14ac:dyDescent="0.25">
      <c r="P111" s="120"/>
      <c r="Q111" s="147"/>
      <c r="R111" s="121"/>
      <c r="S111" s="143"/>
      <c r="U111" s="1"/>
      <c r="V111" s="37"/>
      <c r="AA111" s="55"/>
    </row>
    <row r="112" spans="16:27" ht="15.75" x14ac:dyDescent="0.25">
      <c r="P112" s="120"/>
      <c r="Q112" s="147"/>
      <c r="R112" s="121"/>
      <c r="S112" s="143"/>
      <c r="U112" s="1"/>
      <c r="V112" s="37"/>
      <c r="AA112" s="55"/>
    </row>
    <row r="113" spans="16:27" ht="15.75" x14ac:dyDescent="0.25">
      <c r="P113" s="120"/>
      <c r="Q113" s="147"/>
      <c r="R113" s="121"/>
      <c r="S113" s="143"/>
      <c r="U113" s="1"/>
      <c r="V113" s="37"/>
      <c r="AA113" s="55"/>
    </row>
    <row r="114" spans="16:27" ht="3.6" customHeight="1" x14ac:dyDescent="0.25">
      <c r="P114" s="120"/>
      <c r="Q114" s="147"/>
      <c r="R114" s="121"/>
      <c r="S114" s="143"/>
      <c r="U114" s="1"/>
      <c r="V114" s="37"/>
      <c r="AA114" s="55"/>
    </row>
    <row r="115" spans="16:27" ht="3.6" customHeight="1" x14ac:dyDescent="0.25">
      <c r="P115" s="120"/>
      <c r="Q115" s="147"/>
      <c r="R115" s="121"/>
      <c r="S115" s="143"/>
      <c r="U115" s="1"/>
      <c r="V115" s="37"/>
      <c r="AA115" s="55"/>
    </row>
    <row r="116" spans="16:27" ht="3.6" customHeight="1" x14ac:dyDescent="0.25">
      <c r="P116" s="120"/>
      <c r="Q116" s="147"/>
      <c r="R116" s="121"/>
      <c r="S116" s="143"/>
      <c r="U116" s="1"/>
      <c r="V116" s="37"/>
      <c r="AA116" s="55"/>
    </row>
    <row r="117" spans="16:27" ht="3.6" customHeight="1" x14ac:dyDescent="0.25">
      <c r="P117" s="120"/>
      <c r="Q117" s="147"/>
      <c r="R117" s="121"/>
      <c r="S117" s="143"/>
      <c r="U117" s="1"/>
      <c r="V117" s="37"/>
      <c r="AA117" s="55"/>
    </row>
    <row r="118" spans="16:27" ht="3.6" customHeight="1" x14ac:dyDescent="0.25">
      <c r="P118" s="120"/>
      <c r="Q118" s="147"/>
      <c r="R118" s="121"/>
      <c r="S118" s="143"/>
      <c r="U118" s="1"/>
      <c r="V118" s="37"/>
      <c r="AA118" s="55"/>
    </row>
    <row r="119" spans="16:27" ht="3.6" customHeight="1" x14ac:dyDescent="0.25">
      <c r="P119" s="120"/>
      <c r="Q119" s="147"/>
      <c r="R119" s="121"/>
      <c r="S119" s="143"/>
      <c r="U119" s="1"/>
      <c r="V119" s="37"/>
      <c r="AA119" s="55"/>
    </row>
    <row r="120" spans="16:27" ht="3.6" customHeight="1" x14ac:dyDescent="0.25">
      <c r="P120" s="120"/>
      <c r="Q120" s="147"/>
      <c r="R120" s="121"/>
      <c r="S120" s="143"/>
      <c r="U120" s="1"/>
      <c r="V120" s="37"/>
      <c r="AA120" s="55"/>
    </row>
    <row r="121" spans="16:27" ht="3.6" customHeight="1" x14ac:dyDescent="0.25">
      <c r="P121" s="120"/>
      <c r="Q121" s="147"/>
      <c r="R121" s="121"/>
      <c r="S121" s="143"/>
      <c r="U121" s="1"/>
      <c r="V121" s="37"/>
      <c r="AA121" s="55"/>
    </row>
    <row r="122" spans="16:27" ht="3.6" customHeight="1" x14ac:dyDescent="0.25">
      <c r="P122" s="120"/>
      <c r="Q122" s="147"/>
      <c r="R122" s="121"/>
      <c r="S122" s="143"/>
      <c r="U122" s="1"/>
      <c r="V122" s="37"/>
      <c r="AA122" s="55"/>
    </row>
    <row r="123" spans="16:27" ht="3.6" customHeight="1" x14ac:dyDescent="0.25">
      <c r="P123" s="120"/>
      <c r="Q123" s="147"/>
      <c r="R123" s="121"/>
      <c r="S123" s="143"/>
      <c r="U123" s="1"/>
      <c r="V123" s="37"/>
      <c r="AA123" s="55"/>
    </row>
    <row r="124" spans="16:27" ht="3.6" customHeight="1" x14ac:dyDescent="0.25">
      <c r="P124" s="120"/>
      <c r="Q124" s="147"/>
      <c r="R124" s="121"/>
      <c r="S124" s="143"/>
      <c r="U124" s="1"/>
      <c r="V124" s="37"/>
      <c r="AA124" s="55"/>
    </row>
    <row r="125" spans="16:27" ht="3.6" customHeight="1" x14ac:dyDescent="0.25">
      <c r="P125" s="120"/>
      <c r="Q125" s="147"/>
      <c r="R125" s="121"/>
      <c r="S125" s="143"/>
      <c r="U125" s="1"/>
      <c r="V125" s="37"/>
      <c r="AA125" s="55"/>
    </row>
    <row r="126" spans="16:27" ht="3.6" customHeight="1" x14ac:dyDescent="0.25">
      <c r="P126" s="120"/>
      <c r="Q126" s="147"/>
      <c r="R126" s="121"/>
      <c r="S126" s="143"/>
      <c r="U126" s="1"/>
      <c r="V126" s="37"/>
      <c r="AA126" s="55"/>
    </row>
    <row r="127" spans="16:27" ht="3.6" customHeight="1" x14ac:dyDescent="0.25">
      <c r="P127" s="120"/>
      <c r="Q127" s="147"/>
      <c r="R127" s="121"/>
      <c r="S127" s="143"/>
      <c r="U127" s="1"/>
      <c r="V127" s="37"/>
      <c r="AA127" s="55"/>
    </row>
    <row r="128" spans="16:27" ht="15.75" x14ac:dyDescent="0.25">
      <c r="P128" s="120"/>
      <c r="Q128" s="147"/>
      <c r="R128" s="121"/>
      <c r="S128" s="143"/>
      <c r="U128" s="1"/>
      <c r="V128" s="37"/>
      <c r="AA128" s="55"/>
    </row>
    <row r="129" spans="3:27" ht="15.75" x14ac:dyDescent="0.25">
      <c r="P129" s="120"/>
      <c r="Q129" s="147"/>
      <c r="R129" s="121"/>
      <c r="S129" s="143"/>
      <c r="U129" s="1"/>
      <c r="V129" s="37"/>
      <c r="AA129" s="55"/>
    </row>
    <row r="130" spans="3:27" ht="26.25" x14ac:dyDescent="0.4">
      <c r="C130" s="29" t="s">
        <v>323</v>
      </c>
      <c r="P130" s="120"/>
      <c r="Q130" s="147"/>
      <c r="R130" s="121"/>
      <c r="S130" s="143"/>
      <c r="U130" s="1"/>
      <c r="V130" s="37"/>
      <c r="AA130" s="55"/>
    </row>
    <row r="131" spans="3:27" ht="15.75" x14ac:dyDescent="0.25">
      <c r="P131" s="120"/>
      <c r="Q131" s="147"/>
      <c r="R131" s="121"/>
      <c r="S131" s="143"/>
      <c r="U131" s="1"/>
      <c r="V131" s="37"/>
      <c r="AA131" s="55"/>
    </row>
    <row r="132" spans="3:27" ht="15.75" x14ac:dyDescent="0.25">
      <c r="P132" s="120"/>
      <c r="Q132" s="147"/>
      <c r="R132" s="121"/>
      <c r="S132" s="143"/>
      <c r="U132" s="1"/>
      <c r="V132" s="37"/>
      <c r="AA132" s="55"/>
    </row>
    <row r="133" spans="3:27" ht="15.75" x14ac:dyDescent="0.25">
      <c r="P133" s="120"/>
      <c r="Q133" s="147"/>
      <c r="R133" s="121"/>
      <c r="S133" s="143"/>
      <c r="U133" s="1"/>
      <c r="V133" s="37"/>
      <c r="AA133" s="55"/>
    </row>
    <row r="134" spans="3:27" ht="28.5" x14ac:dyDescent="0.45">
      <c r="P134" s="120"/>
      <c r="Q134" s="147"/>
      <c r="R134" s="121"/>
      <c r="S134" s="143"/>
      <c r="T134" s="132"/>
      <c r="U134" s="1"/>
      <c r="V134" s="37"/>
      <c r="AA134" s="55"/>
    </row>
    <row r="135" spans="3:27" ht="28.5" x14ac:dyDescent="0.4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  <c r="AA135" s="55"/>
    </row>
    <row r="136" spans="3:27" ht="28.5" x14ac:dyDescent="0.4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  <c r="AA136" s="55"/>
    </row>
    <row r="137" spans="3:27" ht="28.5" x14ac:dyDescent="0.4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  <c r="AA137" s="55"/>
    </row>
    <row r="138" spans="3:27" ht="15.75" x14ac:dyDescent="0.25">
      <c r="P138" s="120"/>
      <c r="Q138" s="147"/>
      <c r="R138" s="121"/>
      <c r="S138" s="143"/>
      <c r="U138" s="1"/>
      <c r="V138" s="37"/>
      <c r="AA138" s="55"/>
    </row>
    <row r="139" spans="3:27" ht="15.75" x14ac:dyDescent="0.25">
      <c r="P139" s="120"/>
      <c r="Q139" s="147"/>
      <c r="R139" s="121"/>
      <c r="S139" s="143"/>
      <c r="U139" s="1"/>
      <c r="V139" s="37"/>
      <c r="AA139" s="55"/>
    </row>
    <row r="140" spans="3:27" ht="31.5" x14ac:dyDescent="0.55000000000000004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  <c r="AA140" s="55"/>
    </row>
    <row r="141" spans="3:27" ht="31.5" x14ac:dyDescent="0.55000000000000004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  <c r="AA141" s="55"/>
    </row>
    <row r="142" spans="3:27" ht="15.75" x14ac:dyDescent="0.25">
      <c r="P142" s="120"/>
      <c r="Q142" s="147"/>
      <c r="R142" s="121"/>
      <c r="S142" s="143"/>
      <c r="U142" s="1"/>
      <c r="V142" s="37"/>
      <c r="AA142" s="55"/>
    </row>
    <row r="143" spans="3:27" ht="31.5" x14ac:dyDescent="0.55000000000000004">
      <c r="P143" s="120"/>
      <c r="Q143" s="147"/>
      <c r="R143" s="121"/>
      <c r="S143" s="143"/>
      <c r="U143" s="160" t="s">
        <v>371</v>
      </c>
      <c r="V143" s="198" t="s">
        <v>328</v>
      </c>
      <c r="W143" s="162" t="s">
        <v>366</v>
      </c>
      <c r="X143" s="193"/>
      <c r="AA143" s="55"/>
    </row>
    <row r="144" spans="3:27" ht="31.5" x14ac:dyDescent="0.55000000000000004">
      <c r="P144" s="120"/>
      <c r="Q144" s="147"/>
      <c r="R144" s="121"/>
      <c r="S144" s="143"/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  <c r="AA144" s="55"/>
    </row>
    <row r="145" spans="16:27" ht="29.25" thickBot="1" x14ac:dyDescent="0.5">
      <c r="P145" s="120"/>
      <c r="Q145" s="147"/>
      <c r="R145" s="121"/>
      <c r="S145" s="143"/>
      <c r="U145" s="1"/>
      <c r="V145" s="37"/>
      <c r="W145" s="153"/>
      <c r="X145" s="132"/>
      <c r="AA145" s="55"/>
    </row>
    <row r="146" spans="16:27" ht="32.25" thickBot="1" x14ac:dyDescent="0.6">
      <c r="P146" s="120"/>
      <c r="Q146" s="147"/>
      <c r="R146" s="121"/>
      <c r="S146" s="143"/>
      <c r="U146" s="134" t="s">
        <v>372</v>
      </c>
      <c r="V146" s="202">
        <f>IF(W144+W141=W172,1,-1)</f>
        <v>1</v>
      </c>
      <c r="AA146" s="55"/>
    </row>
    <row r="147" spans="16:27" ht="15.75" x14ac:dyDescent="0.25">
      <c r="P147" s="120"/>
      <c r="Q147" s="147"/>
      <c r="R147" s="121"/>
      <c r="S147" s="143"/>
      <c r="U147" s="1"/>
      <c r="V147" s="37"/>
      <c r="AA147" s="55"/>
    </row>
    <row r="148" spans="16:27" ht="15.75" x14ac:dyDescent="0.25">
      <c r="P148" s="120"/>
      <c r="Q148" s="147"/>
      <c r="R148" s="121"/>
      <c r="S148" s="143"/>
      <c r="U148" s="1"/>
      <c r="V148" s="37"/>
      <c r="AA148" s="55"/>
    </row>
    <row r="149" spans="16:27" ht="15.75" x14ac:dyDescent="0.25">
      <c r="P149" s="120"/>
      <c r="Q149" s="147"/>
      <c r="R149" s="121"/>
      <c r="S149" s="143"/>
      <c r="U149" s="1"/>
      <c r="V149" s="37"/>
      <c r="AA149" s="55"/>
    </row>
    <row r="150" spans="16:27" ht="15.75" x14ac:dyDescent="0.25">
      <c r="P150" s="120"/>
      <c r="Q150" s="147"/>
      <c r="R150" s="121"/>
      <c r="S150" s="143"/>
      <c r="U150" s="1"/>
      <c r="V150" s="37"/>
      <c r="AA150" s="55"/>
    </row>
    <row r="151" spans="16:27" ht="15.75" x14ac:dyDescent="0.25">
      <c r="P151" s="120"/>
      <c r="Q151" s="147"/>
      <c r="R151" s="121"/>
      <c r="S151" s="143"/>
      <c r="U151" s="1"/>
      <c r="V151" s="37"/>
      <c r="AA151" s="55"/>
    </row>
    <row r="152" spans="16:27" ht="15.75" x14ac:dyDescent="0.25">
      <c r="P152" s="120"/>
      <c r="Q152" s="147"/>
      <c r="R152" s="121"/>
      <c r="S152" s="143"/>
      <c r="U152" s="1"/>
      <c r="V152" s="37"/>
      <c r="AA152" s="55"/>
    </row>
    <row r="153" spans="16:27" ht="15.75" x14ac:dyDescent="0.25">
      <c r="P153" s="120"/>
      <c r="Q153" s="147"/>
      <c r="R153" s="121"/>
      <c r="S153" s="143"/>
      <c r="U153" s="1"/>
      <c r="V153" s="37"/>
      <c r="AA153" s="55"/>
    </row>
    <row r="154" spans="16:27" ht="15.75" x14ac:dyDescent="0.25">
      <c r="P154" s="120"/>
      <c r="Q154" s="147"/>
      <c r="R154" s="121"/>
      <c r="S154" s="143"/>
      <c r="U154" s="1"/>
      <c r="V154" s="37"/>
      <c r="AA154" s="55"/>
    </row>
    <row r="155" spans="16:27" ht="5.0999999999999996" customHeight="1" x14ac:dyDescent="0.25">
      <c r="P155" s="120"/>
      <c r="Q155" s="147"/>
      <c r="R155" s="121"/>
      <c r="S155" s="143"/>
      <c r="U155" s="1"/>
      <c r="V155" s="37"/>
      <c r="AA155" s="55"/>
    </row>
    <row r="156" spans="16:27" ht="5.0999999999999996" customHeight="1" x14ac:dyDescent="0.25">
      <c r="P156" s="120"/>
      <c r="Q156" s="147"/>
      <c r="R156" s="121"/>
      <c r="S156" s="143"/>
      <c r="U156" s="1"/>
      <c r="V156" s="37"/>
      <c r="AA156" s="55"/>
    </row>
    <row r="157" spans="16:27" ht="5.0999999999999996" customHeight="1" x14ac:dyDescent="0.25">
      <c r="P157" s="120"/>
      <c r="Q157" s="147"/>
      <c r="R157" s="121"/>
      <c r="S157" s="143"/>
      <c r="U157" s="1"/>
      <c r="V157" s="37"/>
      <c r="AA157" s="55"/>
    </row>
    <row r="158" spans="16:27" ht="5.0999999999999996" customHeight="1" x14ac:dyDescent="0.25">
      <c r="P158" s="120"/>
      <c r="Q158" s="147"/>
      <c r="R158" s="121"/>
      <c r="S158" s="143"/>
      <c r="U158" s="1"/>
      <c r="V158" s="37"/>
      <c r="AA158" s="55"/>
    </row>
    <row r="159" spans="16:27" ht="5.0999999999999996" customHeight="1" x14ac:dyDescent="0.25">
      <c r="P159" s="120"/>
      <c r="Q159" s="147"/>
      <c r="R159" s="121"/>
      <c r="S159" s="143"/>
      <c r="U159" s="1"/>
      <c r="V159" s="37"/>
      <c r="AA159" s="55"/>
    </row>
    <row r="160" spans="16:27" ht="5.0999999999999996" customHeight="1" x14ac:dyDescent="0.25">
      <c r="P160" s="120"/>
      <c r="Q160" s="147"/>
      <c r="R160" s="121"/>
      <c r="S160" s="143"/>
      <c r="U160" s="1"/>
      <c r="V160" s="37"/>
      <c r="AA160" s="55"/>
    </row>
    <row r="161" spans="3:27" ht="5.0999999999999996" customHeight="1" x14ac:dyDescent="0.25">
      <c r="P161" s="120"/>
      <c r="Q161" s="147"/>
      <c r="R161" s="121"/>
      <c r="S161" s="143"/>
      <c r="U161" s="1"/>
      <c r="V161" s="37"/>
      <c r="AA161" s="55"/>
    </row>
    <row r="162" spans="3:27" ht="5.0999999999999996" customHeight="1" x14ac:dyDescent="0.25">
      <c r="P162" s="120"/>
      <c r="Q162" s="147"/>
      <c r="R162" s="121"/>
      <c r="S162" s="143"/>
      <c r="U162" s="1"/>
      <c r="V162" s="37"/>
      <c r="AA162" s="55"/>
    </row>
    <row r="163" spans="3:27" ht="5.0999999999999996" customHeight="1" x14ac:dyDescent="0.25">
      <c r="P163" s="120"/>
      <c r="Q163" s="147"/>
      <c r="R163" s="121"/>
      <c r="S163" s="143"/>
      <c r="U163" s="1"/>
      <c r="V163" s="37"/>
      <c r="AA163" s="55"/>
    </row>
    <row r="164" spans="3:27" ht="5.0999999999999996" customHeight="1" x14ac:dyDescent="0.25">
      <c r="P164" s="120"/>
      <c r="Q164" s="147"/>
      <c r="R164" s="121"/>
      <c r="S164" s="143"/>
      <c r="U164" s="1"/>
      <c r="V164" s="37"/>
      <c r="AA164" s="55"/>
    </row>
    <row r="165" spans="3:27" ht="5.0999999999999996" customHeight="1" x14ac:dyDescent="0.25">
      <c r="P165" s="120"/>
      <c r="Q165" s="147"/>
      <c r="R165" s="121"/>
      <c r="S165" s="143"/>
      <c r="U165" s="1"/>
      <c r="V165" s="37"/>
      <c r="AA165" s="55"/>
    </row>
    <row r="166" spans="3:27" ht="5.0999999999999996" customHeight="1" x14ac:dyDescent="0.25">
      <c r="P166" s="120"/>
      <c r="Q166" s="147"/>
      <c r="R166" s="121"/>
      <c r="S166" s="143"/>
      <c r="U166" s="1"/>
      <c r="V166" s="37"/>
      <c r="AA166" s="55"/>
    </row>
    <row r="167" spans="3:27" ht="5.0999999999999996" customHeight="1" x14ac:dyDescent="0.25">
      <c r="P167" s="120"/>
      <c r="Q167" s="147"/>
      <c r="R167" s="121"/>
      <c r="S167" s="143"/>
      <c r="U167" s="1"/>
      <c r="V167" s="37"/>
      <c r="AA167" s="55"/>
    </row>
    <row r="168" spans="3:27" ht="15.75" x14ac:dyDescent="0.25">
      <c r="P168" s="120"/>
      <c r="Q168" s="147"/>
      <c r="R168" s="121"/>
      <c r="S168" s="143"/>
      <c r="U168" s="1"/>
      <c r="V168" s="37"/>
      <c r="AA168" s="55"/>
    </row>
    <row r="169" spans="3:27" ht="15.75" x14ac:dyDescent="0.25">
      <c r="P169" s="120"/>
      <c r="Q169" s="147"/>
      <c r="R169" s="121"/>
      <c r="S169" s="143"/>
      <c r="U169" s="1"/>
      <c r="V169" s="37"/>
      <c r="AA169" s="55"/>
    </row>
    <row r="170" spans="3:27" ht="26.25" x14ac:dyDescent="0.4">
      <c r="C170" s="29" t="s">
        <v>322</v>
      </c>
      <c r="P170" s="120"/>
      <c r="Q170" s="147"/>
      <c r="R170" s="121"/>
      <c r="S170" s="143"/>
      <c r="U170" s="1"/>
      <c r="V170" s="37"/>
      <c r="AA170" s="55"/>
    </row>
    <row r="171" spans="3:27" ht="15.75" x14ac:dyDescent="0.25">
      <c r="E171" s="168">
        <f>$W$273</f>
        <v>7.8930481283422456</v>
      </c>
      <c r="P171" s="120"/>
      <c r="Q171" s="147"/>
      <c r="R171" s="121"/>
      <c r="S171" s="143"/>
      <c r="U171" s="1"/>
      <c r="V171" s="37"/>
      <c r="AA171" s="55"/>
    </row>
    <row r="172" spans="3:27" ht="18.600000000000001" customHeight="1" x14ac:dyDescent="0.4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  <c r="AA172" s="55"/>
    </row>
    <row r="173" spans="3:27" ht="26.25" x14ac:dyDescent="0.4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  <c r="AA173" s="55"/>
    </row>
    <row r="174" spans="3:27" ht="15.75" x14ac:dyDescent="0.25">
      <c r="P174" s="120"/>
      <c r="Q174" s="147"/>
      <c r="R174" s="121"/>
      <c r="S174" s="143"/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  <c r="AA174" s="55"/>
    </row>
    <row r="175" spans="3:27" ht="15.75" x14ac:dyDescent="0.25">
      <c r="P175" s="120"/>
      <c r="Q175" s="147"/>
      <c r="R175" s="121"/>
      <c r="S175" s="143"/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  <c r="AA175" s="55"/>
    </row>
    <row r="176" spans="3:27" ht="15.75" x14ac:dyDescent="0.25">
      <c r="P176" s="120"/>
      <c r="Q176" s="147"/>
      <c r="R176" s="121"/>
      <c r="S176" s="143"/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  <c r="AA176" s="55"/>
    </row>
    <row r="177" spans="4:27" ht="15.75" x14ac:dyDescent="0.25">
      <c r="F177" s="163"/>
      <c r="P177" s="120"/>
      <c r="Q177" s="147"/>
      <c r="R177" s="121"/>
      <c r="S177" s="143"/>
      <c r="U177" s="1"/>
      <c r="V177" s="37"/>
      <c r="AA177" s="55"/>
    </row>
    <row r="178" spans="4:27" ht="15.75" x14ac:dyDescent="0.25">
      <c r="F178" s="163">
        <f>$W$226</f>
        <v>4.1069518716577544</v>
      </c>
      <c r="I178" s="163">
        <f>$W$226</f>
        <v>4.1069518716577544</v>
      </c>
      <c r="P178" s="120"/>
      <c r="Q178" s="147"/>
      <c r="R178" s="121"/>
      <c r="S178" s="143"/>
      <c r="U178" s="1"/>
      <c r="V178" s="37"/>
      <c r="AA178" s="55"/>
    </row>
    <row r="179" spans="4:27" ht="30.75" x14ac:dyDescent="0.55000000000000004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  <c r="AA179" s="55"/>
    </row>
    <row r="180" spans="4:27" ht="30.75" x14ac:dyDescent="0.55000000000000004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  <c r="AA180" s="55"/>
    </row>
    <row r="181" spans="4:27" ht="15.75" x14ac:dyDescent="0.25">
      <c r="P181" s="120"/>
      <c r="Q181" s="147"/>
      <c r="R181" s="121"/>
      <c r="S181" s="143"/>
      <c r="U181" s="1"/>
      <c r="V181" s="37"/>
      <c r="AA181" s="55"/>
    </row>
    <row r="182" spans="4:27" ht="30.75" x14ac:dyDescent="0.55000000000000004">
      <c r="P182" s="120"/>
      <c r="Q182" s="147"/>
      <c r="R182" s="121"/>
      <c r="S182" s="143"/>
      <c r="U182" s="127" t="s">
        <v>363</v>
      </c>
      <c r="V182" s="198" t="s">
        <v>328</v>
      </c>
      <c r="W182" s="149" t="s">
        <v>362</v>
      </c>
      <c r="X182" s="194"/>
      <c r="AA182" s="55"/>
    </row>
    <row r="183" spans="4:27" ht="30.75" x14ac:dyDescent="0.55000000000000004">
      <c r="P183" s="120"/>
      <c r="Q183" s="147"/>
      <c r="R183" s="121"/>
      <c r="S183" s="143"/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  <c r="AA183" s="55"/>
    </row>
    <row r="184" spans="4:27" ht="15.75" x14ac:dyDescent="0.25">
      <c r="P184" s="120"/>
      <c r="Q184" s="147"/>
      <c r="R184" s="121"/>
      <c r="S184" s="143"/>
      <c r="U184" s="1"/>
      <c r="V184" s="37"/>
      <c r="AA184" s="55"/>
    </row>
    <row r="185" spans="4:27" ht="16.5" thickBot="1" x14ac:dyDescent="0.3">
      <c r="P185" s="120"/>
      <c r="Q185" s="147"/>
      <c r="R185" s="121"/>
      <c r="S185" s="143"/>
      <c r="U185" s="1"/>
      <c r="V185" s="37"/>
      <c r="AA185" s="55"/>
    </row>
    <row r="186" spans="4:27" ht="31.5" thickBot="1" x14ac:dyDescent="0.6">
      <c r="P186" s="120"/>
      <c r="Q186" s="147"/>
      <c r="R186" s="121"/>
      <c r="S186" s="143"/>
      <c r="U186" s="130" t="s">
        <v>325</v>
      </c>
      <c r="V186" s="203">
        <f>IF(W180+W183=W273,1,-1)</f>
        <v>1</v>
      </c>
      <c r="W186" s="174"/>
      <c r="X186" s="190"/>
      <c r="AA186" s="55"/>
    </row>
    <row r="187" spans="4:27" ht="26.25" x14ac:dyDescent="0.4">
      <c r="G187" s="168">
        <f>W180</f>
        <v>6.1604278074866317</v>
      </c>
      <c r="I187" s="168">
        <f>$W$183</f>
        <v>1.7326203208556152</v>
      </c>
      <c r="P187" s="120"/>
      <c r="Q187" s="147"/>
      <c r="R187" s="121"/>
      <c r="S187" s="143"/>
      <c r="U187" s="189"/>
      <c r="V187" s="204"/>
      <c r="W187" s="190"/>
      <c r="X187" s="190"/>
      <c r="AA187" s="55"/>
    </row>
    <row r="188" spans="4:27" ht="26.25" x14ac:dyDescent="0.4">
      <c r="P188" s="120"/>
      <c r="Q188" s="147"/>
      <c r="R188" s="121"/>
      <c r="S188" s="143"/>
      <c r="U188" s="1"/>
      <c r="V188" s="37"/>
      <c r="W188" s="154"/>
      <c r="X188" s="128"/>
      <c r="AA188" s="55"/>
    </row>
    <row r="189" spans="4:27" ht="15.75" x14ac:dyDescent="0.25">
      <c r="P189" s="120"/>
      <c r="Q189" s="147"/>
      <c r="R189" s="121"/>
      <c r="S189" s="143"/>
      <c r="U189" s="1"/>
      <c r="V189" s="37"/>
      <c r="AA189" s="55"/>
    </row>
    <row r="190" spans="4:27" ht="15.75" x14ac:dyDescent="0.25">
      <c r="P190" s="120"/>
      <c r="Q190" s="147"/>
      <c r="R190" s="121"/>
      <c r="S190" s="143"/>
      <c r="U190" s="1"/>
      <c r="V190" s="37"/>
      <c r="AA190" s="55"/>
    </row>
    <row r="191" spans="4:27" ht="15.75" x14ac:dyDescent="0.25">
      <c r="P191" s="120"/>
      <c r="Q191" s="147"/>
      <c r="R191" s="121"/>
      <c r="S191" s="143"/>
      <c r="U191" s="1"/>
      <c r="V191" s="37"/>
      <c r="AA191" s="55"/>
    </row>
    <row r="192" spans="4:27" ht="15.75" x14ac:dyDescent="0.25">
      <c r="P192" s="120"/>
      <c r="Q192" s="147"/>
      <c r="R192" s="121"/>
      <c r="S192" s="143"/>
      <c r="U192" s="1"/>
      <c r="V192" s="37"/>
      <c r="AA192" s="55"/>
    </row>
    <row r="193" spans="16:27" ht="15.75" x14ac:dyDescent="0.25">
      <c r="P193" s="120"/>
      <c r="Q193" s="147"/>
      <c r="R193" s="121"/>
      <c r="S193" s="143"/>
      <c r="U193" s="1"/>
      <c r="V193" s="37"/>
      <c r="AA193" s="55"/>
    </row>
    <row r="194" spans="16:27" ht="8.1" customHeight="1" x14ac:dyDescent="0.25">
      <c r="P194" s="120"/>
      <c r="Q194" s="147"/>
      <c r="R194" s="121"/>
      <c r="S194" s="143"/>
      <c r="U194" s="1"/>
      <c r="V194" s="37"/>
      <c r="AA194" s="55"/>
    </row>
    <row r="195" spans="16:27" ht="8.1" customHeight="1" x14ac:dyDescent="0.25">
      <c r="P195" s="120"/>
      <c r="Q195" s="147"/>
      <c r="R195" s="121"/>
      <c r="S195" s="143"/>
      <c r="U195" s="1"/>
      <c r="V195" s="37"/>
      <c r="AA195" s="55"/>
    </row>
    <row r="196" spans="16:27" ht="8.1" customHeight="1" x14ac:dyDescent="0.25">
      <c r="P196" s="120"/>
      <c r="Q196" s="147"/>
      <c r="R196" s="121"/>
      <c r="S196" s="143"/>
      <c r="U196" s="1"/>
      <c r="V196" s="37"/>
      <c r="AA196" s="55"/>
    </row>
    <row r="197" spans="16:27" ht="8.1" customHeight="1" x14ac:dyDescent="0.25">
      <c r="P197" s="120"/>
      <c r="Q197" s="147"/>
      <c r="R197" s="121"/>
      <c r="S197" s="143"/>
      <c r="U197" s="1"/>
      <c r="V197" s="37"/>
      <c r="AA197" s="55"/>
    </row>
    <row r="198" spans="16:27" ht="8.1" customHeight="1" x14ac:dyDescent="0.25">
      <c r="P198" s="120"/>
      <c r="Q198" s="147"/>
      <c r="R198" s="121"/>
      <c r="S198" s="143"/>
      <c r="U198" s="1"/>
      <c r="V198" s="37"/>
      <c r="AA198" s="55"/>
    </row>
    <row r="199" spans="16:27" ht="8.1" customHeight="1" x14ac:dyDescent="0.25">
      <c r="P199" s="120"/>
      <c r="Q199" s="147"/>
      <c r="R199" s="121"/>
      <c r="S199" s="143"/>
      <c r="U199" s="1"/>
      <c r="V199" s="37"/>
      <c r="AA199" s="55"/>
    </row>
    <row r="200" spans="16:27" ht="8.1" customHeight="1" x14ac:dyDescent="0.25">
      <c r="P200" s="120"/>
      <c r="Q200" s="147"/>
      <c r="R200" s="121"/>
      <c r="S200" s="143"/>
      <c r="U200" s="1"/>
      <c r="V200" s="37"/>
      <c r="AA200" s="55"/>
    </row>
    <row r="201" spans="16:27" ht="8.1" customHeight="1" x14ac:dyDescent="0.25">
      <c r="P201" s="120"/>
      <c r="Q201" s="147"/>
      <c r="R201" s="121"/>
      <c r="S201" s="143"/>
      <c r="U201" s="1"/>
      <c r="V201" s="37"/>
      <c r="AA201" s="55"/>
    </row>
    <row r="202" spans="16:27" ht="8.1" customHeight="1" x14ac:dyDescent="0.25">
      <c r="P202" s="120"/>
      <c r="Q202" s="147"/>
      <c r="R202" s="121"/>
      <c r="S202" s="143"/>
      <c r="U202" s="1"/>
      <c r="V202" s="37"/>
      <c r="AA202" s="55"/>
    </row>
    <row r="203" spans="16:27" ht="8.1" customHeight="1" x14ac:dyDescent="0.25">
      <c r="P203" s="120"/>
      <c r="Q203" s="147"/>
      <c r="R203" s="121"/>
      <c r="S203" s="143"/>
      <c r="U203" s="1"/>
      <c r="V203" s="37"/>
      <c r="AA203" s="55"/>
    </row>
    <row r="204" spans="16:27" ht="8.1" customHeight="1" x14ac:dyDescent="0.25">
      <c r="P204" s="120"/>
      <c r="Q204" s="147"/>
      <c r="R204" s="121"/>
      <c r="S204" s="143"/>
      <c r="U204" s="1"/>
      <c r="V204" s="37"/>
      <c r="AA204" s="55"/>
    </row>
    <row r="205" spans="16:27" ht="8.1" customHeight="1" x14ac:dyDescent="0.25">
      <c r="P205" s="120"/>
      <c r="Q205" s="147"/>
      <c r="R205" s="121"/>
      <c r="S205" s="143"/>
      <c r="U205" s="1"/>
      <c r="V205" s="37"/>
      <c r="AA205" s="55"/>
    </row>
    <row r="206" spans="16:27" ht="8.1" customHeight="1" x14ac:dyDescent="0.25">
      <c r="P206" s="120"/>
      <c r="Q206" s="147"/>
      <c r="R206" s="121"/>
      <c r="S206" s="143"/>
      <c r="U206" s="1"/>
      <c r="V206" s="37"/>
      <c r="AA206" s="55"/>
    </row>
    <row r="207" spans="16:27" ht="8.1" customHeight="1" x14ac:dyDescent="0.25">
      <c r="P207" s="120"/>
      <c r="Q207" s="147"/>
      <c r="R207" s="121"/>
      <c r="S207" s="143"/>
      <c r="U207" s="1"/>
      <c r="V207" s="37"/>
      <c r="AA207" s="55"/>
    </row>
    <row r="208" spans="16:27" ht="15.75" x14ac:dyDescent="0.25">
      <c r="P208" s="120"/>
      <c r="Q208" s="147"/>
      <c r="R208" s="121"/>
      <c r="S208" s="143"/>
      <c r="U208" s="1"/>
      <c r="V208" s="37"/>
      <c r="AA208" s="55"/>
    </row>
    <row r="209" spans="3:27" ht="15.75" x14ac:dyDescent="0.25">
      <c r="P209" s="120"/>
      <c r="Q209" s="147"/>
      <c r="R209" s="121"/>
      <c r="S209" s="143"/>
      <c r="U209" s="1"/>
      <c r="V209" s="37"/>
      <c r="AA209" s="55"/>
    </row>
    <row r="210" spans="3:27" ht="15.75" x14ac:dyDescent="0.25">
      <c r="P210" s="120"/>
      <c r="Q210" s="147"/>
      <c r="R210" s="121"/>
      <c r="S210" s="143"/>
      <c r="U210" s="1"/>
      <c r="V210" s="37"/>
      <c r="AA210" s="55"/>
    </row>
    <row r="211" spans="3:27" ht="15.75" x14ac:dyDescent="0.25">
      <c r="P211" s="120"/>
      <c r="Q211" s="147"/>
      <c r="R211" s="121"/>
      <c r="S211" s="143"/>
      <c r="U211" s="1"/>
      <c r="V211" s="37"/>
      <c r="AA211" s="55"/>
    </row>
    <row r="212" spans="3:27" ht="15.75" x14ac:dyDescent="0.25">
      <c r="P212" s="120"/>
      <c r="Q212" s="147"/>
      <c r="R212" s="121"/>
      <c r="S212" s="143"/>
      <c r="U212" s="1"/>
      <c r="V212" s="37"/>
      <c r="AA212" s="55"/>
    </row>
    <row r="213" spans="3:27" ht="26.25" x14ac:dyDescent="0.4">
      <c r="C213" s="29" t="s">
        <v>321</v>
      </c>
      <c r="P213" s="120"/>
      <c r="Q213" s="147"/>
      <c r="R213" s="121"/>
      <c r="S213" s="143"/>
      <c r="U213" s="1"/>
      <c r="V213" s="37"/>
      <c r="AA213" s="55"/>
    </row>
    <row r="214" spans="3:27" ht="15.75" x14ac:dyDescent="0.25">
      <c r="P214" s="120"/>
      <c r="Q214" s="147"/>
      <c r="R214" s="121"/>
      <c r="S214" s="143"/>
      <c r="U214" s="1"/>
      <c r="V214" s="37"/>
      <c r="AA214" s="55"/>
    </row>
    <row r="215" spans="3:27" ht="15.75" x14ac:dyDescent="0.25">
      <c r="P215" s="120"/>
      <c r="Q215" s="147"/>
      <c r="R215" s="121"/>
      <c r="S215" s="143"/>
      <c r="U215" s="1"/>
      <c r="V215" s="37"/>
      <c r="AA215" s="55"/>
    </row>
    <row r="216" spans="3:27" ht="15.75" x14ac:dyDescent="0.25">
      <c r="P216" s="120"/>
      <c r="Q216" s="147"/>
      <c r="R216" s="121"/>
      <c r="S216" s="143"/>
      <c r="U216" s="1"/>
      <c r="V216" s="37"/>
      <c r="AA216" s="55"/>
    </row>
    <row r="217" spans="3:27" ht="15.75" x14ac:dyDescent="0.2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  <c r="AA217" s="55"/>
    </row>
    <row r="218" spans="3:27" ht="15.75" x14ac:dyDescent="0.2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  <c r="AA218" s="55"/>
    </row>
    <row r="219" spans="3:27" ht="15.75" x14ac:dyDescent="0.25">
      <c r="H219" s="168">
        <f>$W$273</f>
        <v>7.8930481283422456</v>
      </c>
      <c r="P219" s="120"/>
      <c r="Q219" s="147"/>
      <c r="R219" s="121"/>
      <c r="S219" s="143"/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  <c r="AA219" s="55"/>
    </row>
    <row r="220" spans="3:27" ht="15.75" x14ac:dyDescent="0.25">
      <c r="P220" s="120"/>
      <c r="Q220" s="147"/>
      <c r="R220" s="121"/>
      <c r="S220" s="143"/>
      <c r="U220" s="1"/>
      <c r="V220" s="37"/>
      <c r="AA220" s="55"/>
    </row>
    <row r="221" spans="3:27" ht="15.75" x14ac:dyDescent="0.25">
      <c r="D221" s="169">
        <f>$W$229</f>
        <v>7.8930481283422456</v>
      </c>
      <c r="P221" s="120"/>
      <c r="Q221" s="147"/>
      <c r="R221" s="121"/>
      <c r="S221" s="143"/>
      <c r="U221" s="1"/>
      <c r="V221" s="37"/>
      <c r="AA221" s="55"/>
    </row>
    <row r="222" spans="3:27" ht="15.75" x14ac:dyDescent="0.25">
      <c r="P222" s="120"/>
      <c r="Q222" s="147"/>
      <c r="R222" s="121"/>
      <c r="S222" s="143"/>
      <c r="U222" s="1"/>
      <c r="V222" s="37"/>
      <c r="AA222" s="55"/>
    </row>
    <row r="223" spans="3:27" ht="15.75" x14ac:dyDescent="0.25">
      <c r="P223" s="120"/>
      <c r="Q223" s="147"/>
      <c r="R223" s="121"/>
      <c r="S223" s="143"/>
      <c r="U223" s="1"/>
      <c r="V223" s="37"/>
      <c r="AA223" s="55"/>
    </row>
    <row r="224" spans="3:27" ht="15.75" x14ac:dyDescent="0.25">
      <c r="P224" s="120"/>
      <c r="Q224" s="147"/>
      <c r="R224" s="121"/>
      <c r="S224" s="143"/>
      <c r="U224" s="1"/>
      <c r="V224" s="37"/>
      <c r="AA224" s="55"/>
    </row>
    <row r="225" spans="9:27" ht="30.75" x14ac:dyDescent="0.55000000000000004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  <c r="AA225" s="55"/>
    </row>
    <row r="226" spans="9:27" ht="30.75" x14ac:dyDescent="0.55000000000000004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  <c r="AA226" s="55"/>
    </row>
    <row r="227" spans="9:27" ht="26.25" x14ac:dyDescent="0.4">
      <c r="P227" s="129"/>
      <c r="Q227" s="174"/>
      <c r="R227" s="128"/>
      <c r="S227" s="146"/>
      <c r="T227" s="128"/>
      <c r="U227" s="1"/>
      <c r="V227" s="37"/>
      <c r="AA227" s="55"/>
    </row>
    <row r="228" spans="9:27" ht="30.75" x14ac:dyDescent="0.55000000000000004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  <c r="AA228" s="55"/>
    </row>
    <row r="229" spans="9:27" ht="30.75" x14ac:dyDescent="0.55000000000000004">
      <c r="P229" s="120"/>
      <c r="Q229" s="147"/>
      <c r="R229" s="121"/>
      <c r="S229" s="143"/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  <c r="AA229" s="55"/>
    </row>
    <row r="230" spans="9:27" ht="26.25" x14ac:dyDescent="0.4">
      <c r="P230" s="120"/>
      <c r="Q230" s="147"/>
      <c r="R230" s="121"/>
      <c r="S230" s="143"/>
      <c r="U230" s="1"/>
      <c r="V230" s="37"/>
      <c r="W230" s="154"/>
      <c r="X230" s="128"/>
      <c r="AA230" s="55"/>
    </row>
    <row r="231" spans="9:27" ht="16.5" thickBot="1" x14ac:dyDescent="0.3">
      <c r="P231" s="120"/>
      <c r="Q231" s="147"/>
      <c r="R231" s="121"/>
      <c r="S231" s="143"/>
      <c r="U231" s="1"/>
      <c r="V231" s="37"/>
      <c r="AA231" s="55"/>
    </row>
    <row r="232" spans="9:27" ht="31.5" thickBot="1" x14ac:dyDescent="0.6">
      <c r="P232" s="120"/>
      <c r="Q232" s="147"/>
      <c r="R232" s="121"/>
      <c r="S232" s="143"/>
      <c r="U232" s="130" t="s">
        <v>369</v>
      </c>
      <c r="V232" s="203">
        <f>IF(W226+W229=W267,1,-1)</f>
        <v>1</v>
      </c>
      <c r="AA232" s="55"/>
    </row>
    <row r="233" spans="9:27" ht="15.75" x14ac:dyDescent="0.25">
      <c r="P233" s="120"/>
      <c r="Q233" s="147"/>
      <c r="R233" s="121"/>
      <c r="S233" s="143"/>
      <c r="U233" s="1"/>
      <c r="V233" s="37"/>
      <c r="AA233" s="55"/>
    </row>
    <row r="234" spans="9:27" ht="15.75" x14ac:dyDescent="0.25">
      <c r="P234" s="120"/>
      <c r="Q234" s="147"/>
      <c r="R234" s="121"/>
      <c r="S234" s="143"/>
      <c r="U234" s="1"/>
      <c r="V234" s="37"/>
      <c r="AA234" s="55"/>
    </row>
    <row r="235" spans="9:27" ht="15.75" x14ac:dyDescent="0.25">
      <c r="P235" s="120"/>
      <c r="Q235" s="147"/>
      <c r="R235" s="121"/>
      <c r="S235" s="143"/>
      <c r="U235" s="1"/>
      <c r="V235" s="37"/>
      <c r="AA235" s="55"/>
    </row>
    <row r="236" spans="9:27" ht="15.75" x14ac:dyDescent="0.25">
      <c r="P236" s="120"/>
      <c r="Q236" s="147"/>
      <c r="R236" s="121"/>
      <c r="S236" s="143"/>
      <c r="U236" s="1"/>
      <c r="V236" s="37"/>
      <c r="AA236" s="55"/>
    </row>
    <row r="237" spans="9:27" ht="15.75" x14ac:dyDescent="0.25">
      <c r="P237" s="120"/>
      <c r="Q237" s="147"/>
      <c r="R237" s="121"/>
      <c r="S237" s="143"/>
      <c r="U237" s="1"/>
      <c r="V237" s="37"/>
      <c r="AA237" s="55"/>
    </row>
    <row r="238" spans="9:27" ht="15.75" x14ac:dyDescent="0.25">
      <c r="P238" s="120"/>
      <c r="Q238" s="147"/>
      <c r="R238" s="121"/>
      <c r="S238" s="143"/>
      <c r="U238" s="1"/>
      <c r="V238" s="37"/>
      <c r="AA238" s="55"/>
    </row>
    <row r="239" spans="9:27" ht="3.95" customHeight="1" x14ac:dyDescent="0.25">
      <c r="P239" s="120"/>
      <c r="Q239" s="147"/>
      <c r="R239" s="121"/>
      <c r="S239" s="143"/>
      <c r="U239" s="1"/>
      <c r="V239" s="37"/>
      <c r="AA239" s="55"/>
    </row>
    <row r="240" spans="9:27" ht="3.95" customHeight="1" x14ac:dyDescent="0.25">
      <c r="P240" s="120"/>
      <c r="Q240" s="147"/>
      <c r="R240" s="121"/>
      <c r="S240" s="143"/>
      <c r="U240" s="1"/>
      <c r="V240" s="37"/>
      <c r="AA240" s="55"/>
    </row>
    <row r="241" spans="16:27" ht="3.95" customHeight="1" x14ac:dyDescent="0.25">
      <c r="P241" s="120"/>
      <c r="Q241" s="147"/>
      <c r="R241" s="121"/>
      <c r="S241" s="143"/>
      <c r="U241" s="1"/>
      <c r="V241" s="37"/>
      <c r="AA241" s="55"/>
    </row>
    <row r="242" spans="16:27" ht="3.95" customHeight="1" x14ac:dyDescent="0.25">
      <c r="P242" s="120"/>
      <c r="Q242" s="147"/>
      <c r="R242" s="121"/>
      <c r="S242" s="143"/>
      <c r="U242" s="1"/>
      <c r="V242" s="37"/>
      <c r="AA242" s="55"/>
    </row>
    <row r="243" spans="16:27" ht="3.95" customHeight="1" x14ac:dyDescent="0.25">
      <c r="P243" s="120"/>
      <c r="Q243" s="147"/>
      <c r="R243" s="121"/>
      <c r="S243" s="143"/>
      <c r="U243" s="1"/>
      <c r="V243" s="37"/>
      <c r="AA243" s="55"/>
    </row>
    <row r="244" spans="16:27" ht="3.95" customHeight="1" x14ac:dyDescent="0.25">
      <c r="P244" s="120"/>
      <c r="Q244" s="147"/>
      <c r="R244" s="121"/>
      <c r="S244" s="143"/>
      <c r="U244" s="1"/>
      <c r="V244" s="37"/>
      <c r="AA244" s="55"/>
    </row>
    <row r="245" spans="16:27" ht="3.95" customHeight="1" x14ac:dyDescent="0.25">
      <c r="P245" s="120"/>
      <c r="Q245" s="147"/>
      <c r="R245" s="121"/>
      <c r="S245" s="143"/>
      <c r="U245" s="1"/>
      <c r="V245" s="37"/>
      <c r="AA245" s="55"/>
    </row>
    <row r="246" spans="16:27" ht="3.95" customHeight="1" x14ac:dyDescent="0.25">
      <c r="P246" s="120"/>
      <c r="Q246" s="147"/>
      <c r="R246" s="121"/>
      <c r="S246" s="143"/>
      <c r="U246" s="1"/>
      <c r="V246" s="37"/>
      <c r="AA246" s="55"/>
    </row>
    <row r="247" spans="16:27" ht="3.95" customHeight="1" x14ac:dyDescent="0.25">
      <c r="P247" s="120"/>
      <c r="Q247" s="147"/>
      <c r="R247" s="121"/>
      <c r="S247" s="143"/>
      <c r="U247" s="1"/>
      <c r="V247" s="37"/>
      <c r="AA247" s="55"/>
    </row>
    <row r="248" spans="16:27" ht="3.95" customHeight="1" x14ac:dyDescent="0.25">
      <c r="P248" s="120"/>
      <c r="Q248" s="147"/>
      <c r="R248" s="121"/>
      <c r="S248" s="143"/>
      <c r="U248" s="1"/>
      <c r="V248" s="37"/>
      <c r="AA248" s="55"/>
    </row>
    <row r="249" spans="16:27" ht="3.95" customHeight="1" x14ac:dyDescent="0.25">
      <c r="P249" s="120"/>
      <c r="Q249" s="147"/>
      <c r="R249" s="121"/>
      <c r="S249" s="143"/>
      <c r="U249" s="1"/>
      <c r="V249" s="37"/>
      <c r="AA249" s="55"/>
    </row>
    <row r="250" spans="16:27" ht="3.95" customHeight="1" x14ac:dyDescent="0.25">
      <c r="P250" s="120"/>
      <c r="Q250" s="147"/>
      <c r="R250" s="121"/>
      <c r="S250" s="143"/>
      <c r="U250" s="1"/>
      <c r="V250" s="37"/>
      <c r="AA250" s="55"/>
    </row>
    <row r="251" spans="16:27" ht="3.95" customHeight="1" x14ac:dyDescent="0.25">
      <c r="P251" s="120"/>
      <c r="Q251" s="147"/>
      <c r="R251" s="121"/>
      <c r="S251" s="143"/>
      <c r="U251" s="1"/>
      <c r="V251" s="37"/>
      <c r="AA251" s="55"/>
    </row>
    <row r="252" spans="16:27" ht="3.95" customHeight="1" x14ac:dyDescent="0.25">
      <c r="P252" s="120"/>
      <c r="Q252" s="147"/>
      <c r="R252" s="121"/>
      <c r="S252" s="143"/>
      <c r="U252" s="1"/>
      <c r="V252" s="37"/>
      <c r="AA252" s="55"/>
    </row>
    <row r="253" spans="16:27" ht="3.95" customHeight="1" x14ac:dyDescent="0.25">
      <c r="P253" s="120"/>
      <c r="Q253" s="147"/>
      <c r="R253" s="121"/>
      <c r="S253" s="143"/>
      <c r="U253" s="1"/>
      <c r="V253" s="37"/>
      <c r="AA253" s="55"/>
    </row>
    <row r="254" spans="16:27" ht="3.95" customHeight="1" x14ac:dyDescent="0.25">
      <c r="P254" s="120"/>
      <c r="Q254" s="147"/>
      <c r="R254" s="121"/>
      <c r="S254" s="143"/>
      <c r="U254" s="1"/>
      <c r="V254" s="37"/>
      <c r="AA254" s="55"/>
    </row>
    <row r="255" spans="16:27" ht="3.95" customHeight="1" x14ac:dyDescent="0.25">
      <c r="P255" s="120"/>
      <c r="Q255" s="147"/>
      <c r="R255" s="121"/>
      <c r="S255" s="143"/>
      <c r="U255" s="1"/>
      <c r="V255" s="37"/>
      <c r="AA255" s="55"/>
    </row>
    <row r="256" spans="16:27" ht="15.75" x14ac:dyDescent="0.25">
      <c r="P256" s="120"/>
      <c r="Q256" s="147"/>
      <c r="R256" s="121"/>
      <c r="S256" s="143"/>
      <c r="U256" s="1"/>
      <c r="V256" s="37"/>
      <c r="AA256" s="55"/>
    </row>
    <row r="257" spans="3:27" ht="26.25" x14ac:dyDescent="0.4">
      <c r="C257" s="29" t="s">
        <v>320</v>
      </c>
      <c r="P257" s="120"/>
      <c r="Q257" s="147"/>
      <c r="R257" s="121"/>
      <c r="S257" s="143"/>
      <c r="U257" s="1"/>
      <c r="V257" s="37"/>
      <c r="AA257" s="55"/>
    </row>
    <row r="258" spans="3:27" ht="6.6" customHeight="1" x14ac:dyDescent="0.25">
      <c r="P258" s="120"/>
      <c r="Q258" s="147"/>
      <c r="R258" s="121"/>
      <c r="S258" s="143"/>
      <c r="U258" s="1"/>
      <c r="V258" s="37"/>
      <c r="AA258" s="55"/>
    </row>
    <row r="259" spans="3:27" ht="6.6" customHeight="1" x14ac:dyDescent="0.25">
      <c r="P259" s="120"/>
      <c r="Q259" s="147"/>
      <c r="R259" s="121"/>
      <c r="S259" s="143"/>
      <c r="U259" s="1"/>
      <c r="V259" s="37"/>
      <c r="AA259" s="55"/>
    </row>
    <row r="260" spans="3:27" ht="6.6" customHeight="1" x14ac:dyDescent="0.25">
      <c r="P260" s="120"/>
      <c r="Q260" s="147"/>
      <c r="R260" s="121"/>
      <c r="S260" s="143"/>
      <c r="U260" s="1"/>
      <c r="V260" s="37"/>
      <c r="AA260" s="55"/>
    </row>
    <row r="261" spans="3:27" ht="6.6" customHeight="1" x14ac:dyDescent="0.25">
      <c r="P261" s="120"/>
      <c r="Q261" s="147"/>
      <c r="R261" s="121"/>
      <c r="S261" s="143"/>
      <c r="U261" s="1"/>
      <c r="V261" s="37"/>
      <c r="AA261" s="55"/>
    </row>
    <row r="262" spans="3:27" ht="6.6" customHeight="1" x14ac:dyDescent="0.25">
      <c r="P262" s="120"/>
      <c r="Q262" s="147"/>
      <c r="R262" s="121"/>
      <c r="S262" s="143"/>
      <c r="U262" s="1"/>
      <c r="V262" s="37"/>
      <c r="AA262" s="55"/>
    </row>
    <row r="263" spans="3:27" ht="6.95" customHeight="1" x14ac:dyDescent="0.25">
      <c r="P263" s="120"/>
      <c r="Q263" s="147"/>
      <c r="R263" s="121"/>
      <c r="S263" s="143"/>
      <c r="U263" s="1"/>
      <c r="V263" s="37"/>
      <c r="AA263" s="55"/>
    </row>
    <row r="264" spans="3:27" ht="6.95" customHeight="1" x14ac:dyDescent="0.25">
      <c r="P264" s="120"/>
      <c r="Q264" s="147"/>
      <c r="R264" s="121"/>
      <c r="S264" s="143"/>
      <c r="U264" s="1"/>
      <c r="V264" s="37"/>
      <c r="AA264" s="55"/>
    </row>
    <row r="265" spans="3:27" ht="6.95" customHeight="1" x14ac:dyDescent="0.25">
      <c r="P265" s="120"/>
      <c r="Q265" s="147"/>
      <c r="R265" s="121"/>
      <c r="S265" s="143"/>
      <c r="U265" s="1"/>
      <c r="V265" s="37"/>
      <c r="AA265" s="55"/>
    </row>
    <row r="266" spans="3:27" ht="15.75" x14ac:dyDescent="0.25">
      <c r="P266" s="120"/>
      <c r="Q266" s="147"/>
      <c r="R266" s="121"/>
      <c r="S266" s="143"/>
      <c r="U266" s="1"/>
      <c r="V266" s="37"/>
      <c r="AA266" s="55"/>
    </row>
    <row r="267" spans="3:27" ht="15.75" x14ac:dyDescent="0.2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  <c r="AA267" s="55"/>
    </row>
    <row r="268" spans="3:27" ht="15.75" x14ac:dyDescent="0.2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  <c r="AA268" s="55"/>
    </row>
    <row r="269" spans="3:27" ht="15.75" x14ac:dyDescent="0.25">
      <c r="P269" s="120"/>
      <c r="Q269" s="147"/>
      <c r="R269" s="121"/>
      <c r="S269" s="143"/>
      <c r="U269" s="1"/>
      <c r="V269" s="37"/>
      <c r="AA269" s="55"/>
    </row>
    <row r="270" spans="3:27" ht="15.75" x14ac:dyDescent="0.25">
      <c r="P270" s="120"/>
      <c r="Q270" s="147"/>
      <c r="R270" s="121"/>
      <c r="S270" s="143"/>
      <c r="U270" s="1"/>
      <c r="V270" s="37"/>
      <c r="AA270" s="55"/>
    </row>
    <row r="271" spans="3:27" ht="15.75" x14ac:dyDescent="0.25">
      <c r="P271" s="120"/>
      <c r="Q271" s="147"/>
      <c r="R271" s="121"/>
      <c r="S271" s="143"/>
      <c r="U271" s="1"/>
      <c r="V271" s="37"/>
      <c r="AA271" s="55"/>
    </row>
    <row r="272" spans="3:27" ht="30.75" x14ac:dyDescent="0.55000000000000004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  <c r="AA272" s="55"/>
    </row>
    <row r="273" spans="9:27" ht="30.75" x14ac:dyDescent="0.55000000000000004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  <c r="AA273" s="55"/>
    </row>
    <row r="274" spans="9:27" ht="15.75" x14ac:dyDescent="0.25">
      <c r="P274" s="120"/>
      <c r="Q274" s="147"/>
      <c r="R274" s="121"/>
      <c r="S274" s="143"/>
      <c r="U274" s="1"/>
      <c r="V274" s="37"/>
      <c r="AA274" s="55"/>
    </row>
    <row r="275" spans="9:27" ht="15.75" x14ac:dyDescent="0.25">
      <c r="P275" s="120"/>
      <c r="Q275" s="147"/>
      <c r="R275" s="121"/>
      <c r="S275" s="143"/>
      <c r="U275" s="1"/>
      <c r="V275" s="37"/>
      <c r="AA275" s="55"/>
    </row>
    <row r="276" spans="9:27" ht="15.75" x14ac:dyDescent="0.25">
      <c r="P276" s="120"/>
      <c r="Q276" s="147"/>
      <c r="R276" s="121"/>
      <c r="S276" s="143"/>
      <c r="U276" s="1"/>
      <c r="V276" s="37"/>
      <c r="AA276" s="55"/>
    </row>
    <row r="277" spans="9:27" ht="15.75" x14ac:dyDescent="0.25">
      <c r="P277" s="120"/>
      <c r="Q277" s="147"/>
      <c r="R277" s="121"/>
      <c r="S277" s="143"/>
      <c r="U277" s="1"/>
      <c r="V277" s="37"/>
      <c r="AA277" s="55"/>
    </row>
    <row r="278" spans="9:27" ht="15.75" x14ac:dyDescent="0.25">
      <c r="P278" s="120"/>
      <c r="Q278" s="147"/>
      <c r="R278" s="121"/>
      <c r="S278" s="143"/>
      <c r="U278" s="1"/>
      <c r="V278" s="37"/>
      <c r="AA278" s="55"/>
    </row>
    <row r="279" spans="9:27" ht="15.75" x14ac:dyDescent="0.25">
      <c r="P279" s="120"/>
      <c r="Q279" s="147"/>
      <c r="R279" s="121"/>
      <c r="S279" s="143"/>
      <c r="U279" s="1"/>
      <c r="V279" s="37"/>
      <c r="AA279" s="55"/>
    </row>
    <row r="280" spans="9:27" ht="15.75" x14ac:dyDescent="0.25">
      <c r="P280" s="120"/>
      <c r="Q280" s="147"/>
      <c r="R280" s="121"/>
      <c r="S280" s="143"/>
      <c r="U280" s="1"/>
      <c r="V280" s="37"/>
      <c r="AA280" s="55"/>
    </row>
    <row r="281" spans="9:27" ht="15.75" x14ac:dyDescent="0.25">
      <c r="P281" s="120"/>
      <c r="Q281" s="147"/>
      <c r="R281" s="121"/>
      <c r="S281" s="143"/>
      <c r="U281" s="1"/>
      <c r="V281" s="37"/>
      <c r="AA281" s="55"/>
    </row>
    <row r="282" spans="9:27" ht="15.75" x14ac:dyDescent="0.25">
      <c r="P282" s="120"/>
      <c r="Q282" s="147"/>
      <c r="R282" s="121"/>
      <c r="S282" s="143"/>
      <c r="U282" s="1"/>
      <c r="V282" s="37"/>
      <c r="AA282" s="55"/>
    </row>
    <row r="283" spans="9:27" ht="15.75" x14ac:dyDescent="0.25">
      <c r="P283" s="120"/>
      <c r="Q283" s="147"/>
      <c r="R283" s="121"/>
      <c r="S283" s="143"/>
      <c r="U283" s="1"/>
      <c r="V283" s="37"/>
      <c r="AA283" s="55"/>
    </row>
    <row r="284" spans="9:27" ht="15.75" x14ac:dyDescent="0.25">
      <c r="P284" s="120"/>
      <c r="Q284" s="147"/>
      <c r="R284" s="121"/>
      <c r="S284" s="143"/>
      <c r="U284" s="1"/>
      <c r="V284" s="37"/>
      <c r="AA284" s="55"/>
    </row>
    <row r="285" spans="9:27" ht="15.75" x14ac:dyDescent="0.25">
      <c r="P285" s="120"/>
      <c r="Q285" s="147"/>
      <c r="R285" s="121"/>
      <c r="S285" s="143"/>
      <c r="U285" s="1"/>
      <c r="V285" s="37"/>
      <c r="AA285" s="55"/>
    </row>
  </sheetData>
  <pageMargins left="0.7" right="0.7" top="0.78740157499999996" bottom="0.78740157499999996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BC1C921-8A7C-4043-8F5A-6A2CA2797CE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4607DC92-ECD0-4971-AA83-96ACFDE9B15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A28A9E30-55EF-4D65-AEA8-ADEFA80613F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D647EB0F-1563-4863-86E6-6D27818CC4C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51F77C4E-1D6D-4316-89A2-4DAD33F460B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496A24DC-8642-4524-80B7-B244D049980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showGridLines="0" topLeftCell="A6" zoomScale="130" zoomScaleNormal="130" workbookViewId="0">
      <selection activeCell="B15" sqref="B15"/>
    </sheetView>
  </sheetViews>
  <sheetFormatPr baseColWidth="10" defaultRowHeight="15" x14ac:dyDescent="0.25"/>
  <cols>
    <col min="3" max="3" width="13.140625" customWidth="1"/>
    <col min="7" max="7" width="12.42578125" customWidth="1"/>
    <col min="8" max="8" width="17.42578125" customWidth="1"/>
    <col min="12" max="12" width="17.85546875" customWidth="1"/>
    <col min="14" max="14" width="4.140625" customWidth="1"/>
    <col min="15" max="15" width="6.140625" customWidth="1"/>
    <col min="18" max="18" width="20" customWidth="1"/>
  </cols>
  <sheetData>
    <row r="2" spans="3:23" ht="23.25" x14ac:dyDescent="0.35">
      <c r="C2" s="9" t="s">
        <v>922</v>
      </c>
    </row>
    <row r="7" spans="3:23" ht="18" x14ac:dyDescent="0.35">
      <c r="H7" s="5" t="s">
        <v>923</v>
      </c>
      <c r="K7" s="5" t="s">
        <v>866</v>
      </c>
      <c r="L7" s="8" t="s">
        <v>927</v>
      </c>
      <c r="M7" s="4">
        <v>1</v>
      </c>
      <c r="N7" s="4" t="s">
        <v>694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939</v>
      </c>
      <c r="S7" s="4">
        <v>2.4</v>
      </c>
      <c r="T7" s="4" t="s">
        <v>694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8" x14ac:dyDescent="0.35">
      <c r="H8" s="5"/>
      <c r="K8" s="5"/>
      <c r="L8" s="8" t="s">
        <v>928</v>
      </c>
      <c r="M8" s="4">
        <v>3</v>
      </c>
      <c r="N8" s="4" t="s">
        <v>694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940</v>
      </c>
      <c r="S8" s="4">
        <v>7.2</v>
      </c>
      <c r="T8" s="4" t="s">
        <v>694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8" x14ac:dyDescent="0.35">
      <c r="H9" s="434" t="s">
        <v>924</v>
      </c>
      <c r="K9" s="5"/>
      <c r="L9" s="8" t="s">
        <v>929</v>
      </c>
      <c r="M9" s="4">
        <v>3</v>
      </c>
      <c r="N9" s="4" t="s">
        <v>694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8" x14ac:dyDescent="0.35">
      <c r="H10" s="434" t="s">
        <v>925</v>
      </c>
      <c r="K10" s="5"/>
      <c r="L10" s="8" t="s">
        <v>930</v>
      </c>
      <c r="M10" s="4">
        <v>12</v>
      </c>
      <c r="N10" s="4" t="s">
        <v>703</v>
      </c>
      <c r="O10" s="5" t="s">
        <v>316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8" x14ac:dyDescent="0.35">
      <c r="H11" s="5"/>
      <c r="L11" s="8" t="s">
        <v>941</v>
      </c>
      <c r="M11" s="5"/>
      <c r="N11" s="5"/>
      <c r="O11" s="5"/>
      <c r="P11" s="5"/>
      <c r="Q11" s="77">
        <f>Q7/Q8</f>
        <v>0.33333333333333331</v>
      </c>
      <c r="R11" s="8" t="s">
        <v>942</v>
      </c>
      <c r="S11" s="5"/>
      <c r="T11" s="5"/>
      <c r="U11" s="5"/>
      <c r="V11" s="5"/>
      <c r="W11" s="77">
        <f>W7/W8</f>
        <v>0.33333333333333331</v>
      </c>
    </row>
    <row r="12" spans="3:23" ht="18" x14ac:dyDescent="0.35">
      <c r="H12" s="298" t="s">
        <v>926</v>
      </c>
      <c r="L12" s="8" t="s">
        <v>945</v>
      </c>
      <c r="M12" s="5"/>
      <c r="N12" s="5"/>
      <c r="O12" s="5"/>
      <c r="P12" s="5"/>
      <c r="Q12" s="77">
        <f>1-Q7/(Q7+Q8)</f>
        <v>0.75</v>
      </c>
      <c r="R12" s="8" t="s">
        <v>945</v>
      </c>
      <c r="S12" s="5"/>
      <c r="T12" s="5"/>
      <c r="U12" s="5"/>
      <c r="V12" s="5"/>
      <c r="W12" s="77">
        <f>1-W7/(W7+W8)</f>
        <v>0.75</v>
      </c>
    </row>
    <row r="13" spans="3:23" ht="18" x14ac:dyDescent="0.35">
      <c r="L13" s="8" t="s">
        <v>946</v>
      </c>
      <c r="M13" s="5"/>
      <c r="N13" s="5"/>
      <c r="O13" s="5"/>
      <c r="P13" s="5"/>
      <c r="Q13" s="77">
        <f>$M$10*Q12</f>
        <v>9</v>
      </c>
      <c r="R13" s="8" t="s">
        <v>946</v>
      </c>
      <c r="S13" s="5"/>
      <c r="T13" s="5"/>
      <c r="U13" s="5"/>
      <c r="V13" s="5"/>
      <c r="W13" s="77">
        <f>$M$10*W12</f>
        <v>9</v>
      </c>
    </row>
    <row r="14" spans="3:23" ht="18" x14ac:dyDescent="0.35">
      <c r="K14" s="8" t="s">
        <v>931</v>
      </c>
      <c r="L14" s="95" t="s">
        <v>932</v>
      </c>
      <c r="M14" s="77">
        <f>Q7 + (1/(1/Q8 + 1/Q9))</f>
        <v>2500</v>
      </c>
      <c r="N14" s="5" t="str">
        <f>Einheitenvorsätze!$B$61</f>
        <v>Ω</v>
      </c>
    </row>
    <row r="15" spans="3:23" ht="18" x14ac:dyDescent="0.35">
      <c r="K15" s="292" t="s">
        <v>933</v>
      </c>
      <c r="L15" s="95" t="s">
        <v>934</v>
      </c>
      <c r="M15" s="77">
        <f>Q10/M14</f>
        <v>4.7999999999999996E-3</v>
      </c>
      <c r="N15" s="5" t="s">
        <v>38</v>
      </c>
    </row>
    <row r="16" spans="3:23" ht="18" x14ac:dyDescent="0.35">
      <c r="K16" s="293" t="s">
        <v>935</v>
      </c>
      <c r="L16" s="95" t="s">
        <v>936</v>
      </c>
      <c r="M16" s="77">
        <f>Q7*M15</f>
        <v>4.8</v>
      </c>
      <c r="N16" s="5" t="s">
        <v>316</v>
      </c>
    </row>
    <row r="17" spans="2:39" ht="18" x14ac:dyDescent="0.35">
      <c r="K17" s="293" t="s">
        <v>937</v>
      </c>
      <c r="L17" s="95" t="s">
        <v>938</v>
      </c>
      <c r="M17" s="77">
        <f>Q10-M16</f>
        <v>7.2</v>
      </c>
      <c r="N17" s="5" t="s">
        <v>316</v>
      </c>
    </row>
    <row r="26" spans="2:39" x14ac:dyDescent="0.25">
      <c r="C26" s="8" t="s">
        <v>313</v>
      </c>
      <c r="D26" s="4">
        <v>1</v>
      </c>
      <c r="E26" s="4" t="s">
        <v>694</v>
      </c>
      <c r="F26" s="77">
        <f>$D$26*VLOOKUP(E26, CHOOSE({1,2,3,4}, Einheitenvorsätze!A:A, Einheitenvorsätze!B:B, Einheitenvorsätze!C:C, Einheitenvorsätze!D:D), 3, FALSE)</f>
        <v>1000</v>
      </c>
    </row>
    <row r="27" spans="2:39" ht="18" x14ac:dyDescent="0.35">
      <c r="B27" s="5"/>
      <c r="C27" s="8" t="s">
        <v>929</v>
      </c>
      <c r="D27" s="4">
        <v>0</v>
      </c>
      <c r="E27" s="77">
        <f>D27+$F$26</f>
        <v>1000</v>
      </c>
      <c r="F27" s="77">
        <f t="shared" ref="F27:AM27" si="0">E27+$F$26</f>
        <v>2000</v>
      </c>
      <c r="G27" s="77">
        <f t="shared" si="0"/>
        <v>3000</v>
      </c>
      <c r="H27" s="77">
        <f t="shared" si="0"/>
        <v>4000</v>
      </c>
      <c r="I27" s="77">
        <f t="shared" si="0"/>
        <v>5000</v>
      </c>
      <c r="J27" s="77">
        <f t="shared" si="0"/>
        <v>6000</v>
      </c>
      <c r="K27" s="77">
        <f t="shared" si="0"/>
        <v>7000</v>
      </c>
      <c r="L27" s="77">
        <f t="shared" si="0"/>
        <v>8000</v>
      </c>
      <c r="M27" s="77">
        <f t="shared" si="0"/>
        <v>9000</v>
      </c>
      <c r="N27" s="77">
        <f t="shared" si="0"/>
        <v>10000</v>
      </c>
      <c r="O27" s="77">
        <f t="shared" si="0"/>
        <v>11000</v>
      </c>
      <c r="P27" s="77">
        <f t="shared" si="0"/>
        <v>12000</v>
      </c>
      <c r="Q27" s="77">
        <f t="shared" si="0"/>
        <v>13000</v>
      </c>
      <c r="R27" s="77">
        <f t="shared" si="0"/>
        <v>14000</v>
      </c>
      <c r="S27" s="77">
        <f t="shared" si="0"/>
        <v>15000</v>
      </c>
      <c r="T27" s="77">
        <f t="shared" si="0"/>
        <v>16000</v>
      </c>
      <c r="U27" s="77">
        <f t="shared" si="0"/>
        <v>17000</v>
      </c>
      <c r="V27" s="77">
        <f t="shared" si="0"/>
        <v>18000</v>
      </c>
      <c r="W27" s="77">
        <f t="shared" si="0"/>
        <v>19000</v>
      </c>
      <c r="X27" s="77">
        <f t="shared" si="0"/>
        <v>20000</v>
      </c>
      <c r="Y27" s="77">
        <f t="shared" si="0"/>
        <v>21000</v>
      </c>
      <c r="Z27" s="77">
        <f t="shared" si="0"/>
        <v>22000</v>
      </c>
      <c r="AA27" s="77">
        <f t="shared" si="0"/>
        <v>23000</v>
      </c>
      <c r="AB27" s="77">
        <f t="shared" si="0"/>
        <v>24000</v>
      </c>
      <c r="AC27" s="77">
        <f t="shared" si="0"/>
        <v>25000</v>
      </c>
      <c r="AD27" s="77">
        <f t="shared" si="0"/>
        <v>26000</v>
      </c>
      <c r="AE27" s="77">
        <f t="shared" si="0"/>
        <v>27000</v>
      </c>
      <c r="AF27" s="77">
        <f t="shared" si="0"/>
        <v>28000</v>
      </c>
      <c r="AG27" s="77">
        <f t="shared" si="0"/>
        <v>29000</v>
      </c>
      <c r="AH27" s="77">
        <f t="shared" si="0"/>
        <v>30000</v>
      </c>
      <c r="AI27" s="77">
        <f t="shared" si="0"/>
        <v>31000</v>
      </c>
      <c r="AJ27" s="77">
        <f t="shared" si="0"/>
        <v>32000</v>
      </c>
      <c r="AK27" s="77">
        <f t="shared" si="0"/>
        <v>33000</v>
      </c>
      <c r="AL27" s="77">
        <f t="shared" si="0"/>
        <v>34000</v>
      </c>
      <c r="AM27" s="77">
        <f t="shared" si="0"/>
        <v>35000</v>
      </c>
    </row>
    <row r="28" spans="2:39" ht="18" x14ac:dyDescent="0.35">
      <c r="B28" s="8" t="s">
        <v>931</v>
      </c>
      <c r="C28" s="95" t="s">
        <v>932</v>
      </c>
      <c r="D28" s="212">
        <f>IF(D27=0,$Q$7,$Q$7 + (1/(1/$Q$8 + 1/D27)))</f>
        <v>1000</v>
      </c>
      <c r="E28" s="212">
        <f t="shared" ref="E28:AM28" si="1">$Q$7 + (1/(1/$Q$8 + 1/E27))</f>
        <v>1750</v>
      </c>
      <c r="F28" s="212">
        <f t="shared" si="1"/>
        <v>2200</v>
      </c>
      <c r="G28" s="212">
        <f t="shared" si="1"/>
        <v>2500</v>
      </c>
      <c r="H28" s="212">
        <f t="shared" si="1"/>
        <v>2714.2857142857147</v>
      </c>
      <c r="I28" s="212">
        <f t="shared" si="1"/>
        <v>2875</v>
      </c>
      <c r="J28" s="212">
        <f t="shared" si="1"/>
        <v>3000</v>
      </c>
      <c r="K28" s="212">
        <f t="shared" si="1"/>
        <v>3100</v>
      </c>
      <c r="L28" s="212">
        <f t="shared" si="1"/>
        <v>3181.818181818182</v>
      </c>
      <c r="M28" s="212">
        <f t="shared" si="1"/>
        <v>3250</v>
      </c>
      <c r="N28" s="212">
        <f t="shared" si="1"/>
        <v>3307.6923076923076</v>
      </c>
      <c r="O28" s="212">
        <f t="shared" si="1"/>
        <v>3357.1428571428573</v>
      </c>
      <c r="P28" s="212">
        <f t="shared" si="1"/>
        <v>3400</v>
      </c>
      <c r="Q28" s="212">
        <f t="shared" si="1"/>
        <v>3437.5</v>
      </c>
      <c r="R28" s="212">
        <f t="shared" si="1"/>
        <v>3470.588235294118</v>
      </c>
      <c r="S28" s="212">
        <f t="shared" si="1"/>
        <v>3500</v>
      </c>
      <c r="T28" s="212">
        <f t="shared" si="1"/>
        <v>3526.3157894736842</v>
      </c>
      <c r="U28" s="212">
        <f t="shared" si="1"/>
        <v>3550</v>
      </c>
      <c r="V28" s="212">
        <f t="shared" si="1"/>
        <v>3571.4285714285716</v>
      </c>
      <c r="W28" s="212">
        <f t="shared" si="1"/>
        <v>3590.909090909091</v>
      </c>
      <c r="X28" s="212">
        <f t="shared" si="1"/>
        <v>3608.695652173913</v>
      </c>
      <c r="Y28" s="212">
        <f t="shared" si="1"/>
        <v>3625</v>
      </c>
      <c r="Z28" s="212">
        <f t="shared" si="1"/>
        <v>3640</v>
      </c>
      <c r="AA28" s="212">
        <f t="shared" si="1"/>
        <v>3653.8461538461538</v>
      </c>
      <c r="AB28" s="212">
        <f t="shared" si="1"/>
        <v>3666.6666666666665</v>
      </c>
      <c r="AC28" s="212">
        <f t="shared" si="1"/>
        <v>3678.5714285714289</v>
      </c>
      <c r="AD28" s="212">
        <f t="shared" si="1"/>
        <v>3689.655172413793</v>
      </c>
      <c r="AE28" s="212">
        <f t="shared" si="1"/>
        <v>3700</v>
      </c>
      <c r="AF28" s="212">
        <f t="shared" si="1"/>
        <v>3709.6774193548385</v>
      </c>
      <c r="AG28" s="212">
        <f t="shared" si="1"/>
        <v>3718.75</v>
      </c>
      <c r="AH28" s="212">
        <f t="shared" si="1"/>
        <v>3727.272727272727</v>
      </c>
      <c r="AI28" s="212">
        <f t="shared" si="1"/>
        <v>3735.2941176470586</v>
      </c>
      <c r="AJ28" s="212">
        <f t="shared" si="1"/>
        <v>3742.8571428571431</v>
      </c>
      <c r="AK28" s="212">
        <f t="shared" si="1"/>
        <v>3750</v>
      </c>
      <c r="AL28" s="212">
        <f t="shared" si="1"/>
        <v>3756.7567567567567</v>
      </c>
      <c r="AM28" s="212">
        <f t="shared" si="1"/>
        <v>3763.1578947368421</v>
      </c>
    </row>
    <row r="29" spans="2:39" ht="18" x14ac:dyDescent="0.35">
      <c r="B29" s="292" t="s">
        <v>933</v>
      </c>
      <c r="C29" s="95" t="s">
        <v>934</v>
      </c>
      <c r="D29" s="212">
        <f>$Q$10/D28</f>
        <v>1.2E-2</v>
      </c>
      <c r="E29" s="212">
        <f t="shared" ref="E29:AM29" si="2">$Q$10/E28</f>
        <v>6.8571428571428568E-3</v>
      </c>
      <c r="F29" s="212">
        <f t="shared" si="2"/>
        <v>5.454545454545455E-3</v>
      </c>
      <c r="G29" s="212">
        <f t="shared" si="2"/>
        <v>4.7999999999999996E-3</v>
      </c>
      <c r="H29" s="212">
        <f t="shared" si="2"/>
        <v>4.4210526315789471E-3</v>
      </c>
      <c r="I29" s="212">
        <f t="shared" si="2"/>
        <v>4.1739130434782605E-3</v>
      </c>
      <c r="J29" s="212">
        <f t="shared" si="2"/>
        <v>4.0000000000000001E-3</v>
      </c>
      <c r="K29" s="212">
        <f t="shared" si="2"/>
        <v>3.8709677419354839E-3</v>
      </c>
      <c r="L29" s="212">
        <f t="shared" si="2"/>
        <v>3.7714285714285714E-3</v>
      </c>
      <c r="M29" s="212">
        <f t="shared" si="2"/>
        <v>3.6923076923076922E-3</v>
      </c>
      <c r="N29" s="212">
        <f t="shared" si="2"/>
        <v>3.6279069767441862E-3</v>
      </c>
      <c r="O29" s="212">
        <f t="shared" si="2"/>
        <v>3.5744680851063828E-3</v>
      </c>
      <c r="P29" s="212">
        <f t="shared" si="2"/>
        <v>3.5294117647058825E-3</v>
      </c>
      <c r="Q29" s="212">
        <f t="shared" si="2"/>
        <v>3.490909090909091E-3</v>
      </c>
      <c r="R29" s="212">
        <f t="shared" si="2"/>
        <v>3.4576271186440672E-3</v>
      </c>
      <c r="S29" s="212">
        <f t="shared" si="2"/>
        <v>3.4285714285714284E-3</v>
      </c>
      <c r="T29" s="212">
        <f t="shared" si="2"/>
        <v>3.4029850746268657E-3</v>
      </c>
      <c r="U29" s="212">
        <f t="shared" si="2"/>
        <v>3.3802816901408453E-3</v>
      </c>
      <c r="V29" s="212">
        <f t="shared" si="2"/>
        <v>3.3599999999999997E-3</v>
      </c>
      <c r="W29" s="212">
        <f t="shared" si="2"/>
        <v>3.3417721518987343E-3</v>
      </c>
      <c r="X29" s="212">
        <f t="shared" si="2"/>
        <v>3.3253012048192771E-3</v>
      </c>
      <c r="Y29" s="212">
        <f t="shared" si="2"/>
        <v>3.3103448275862068E-3</v>
      </c>
      <c r="Z29" s="212">
        <f t="shared" si="2"/>
        <v>3.2967032967032967E-3</v>
      </c>
      <c r="AA29" s="212">
        <f t="shared" si="2"/>
        <v>3.2842105263157896E-3</v>
      </c>
      <c r="AB29" s="212">
        <f t="shared" si="2"/>
        <v>3.2727272727272731E-3</v>
      </c>
      <c r="AC29" s="212">
        <f t="shared" si="2"/>
        <v>3.2621359223300966E-3</v>
      </c>
      <c r="AD29" s="212">
        <f t="shared" si="2"/>
        <v>3.2523364485981311E-3</v>
      </c>
      <c r="AE29" s="212">
        <f t="shared" si="2"/>
        <v>3.2432432432432431E-3</v>
      </c>
      <c r="AF29" s="212">
        <f t="shared" si="2"/>
        <v>3.2347826086956523E-3</v>
      </c>
      <c r="AG29" s="212">
        <f t="shared" si="2"/>
        <v>3.2268907563025211E-3</v>
      </c>
      <c r="AH29" s="212">
        <f t="shared" si="2"/>
        <v>3.2195121951219515E-3</v>
      </c>
      <c r="AI29" s="212">
        <f t="shared" si="2"/>
        <v>3.2125984251968505E-3</v>
      </c>
      <c r="AJ29" s="212">
        <f t="shared" si="2"/>
        <v>3.2061068702290076E-3</v>
      </c>
      <c r="AK29" s="212">
        <f t="shared" si="2"/>
        <v>3.2000000000000002E-3</v>
      </c>
      <c r="AL29" s="212">
        <f t="shared" si="2"/>
        <v>3.1942446043165471E-3</v>
      </c>
      <c r="AM29" s="212">
        <f t="shared" si="2"/>
        <v>3.1888111888111886E-3</v>
      </c>
    </row>
    <row r="30" spans="2:39" ht="18" x14ac:dyDescent="0.35">
      <c r="B30" s="293" t="s">
        <v>935</v>
      </c>
      <c r="C30" s="95" t="s">
        <v>936</v>
      </c>
      <c r="D30" s="212">
        <f>$Q$7*D29</f>
        <v>12</v>
      </c>
      <c r="E30" s="212">
        <f t="shared" ref="E30:AM30" si="3">$Q$7*E29</f>
        <v>6.8571428571428568</v>
      </c>
      <c r="F30" s="212">
        <f t="shared" si="3"/>
        <v>5.454545454545455</v>
      </c>
      <c r="G30" s="212">
        <f t="shared" si="3"/>
        <v>4.8</v>
      </c>
      <c r="H30" s="212">
        <f t="shared" si="3"/>
        <v>4.4210526315789469</v>
      </c>
      <c r="I30" s="212">
        <f t="shared" si="3"/>
        <v>4.1739130434782608</v>
      </c>
      <c r="J30" s="212">
        <f t="shared" si="3"/>
        <v>4</v>
      </c>
      <c r="K30" s="212">
        <f t="shared" si="3"/>
        <v>3.870967741935484</v>
      </c>
      <c r="L30" s="212">
        <f t="shared" si="3"/>
        <v>3.7714285714285714</v>
      </c>
      <c r="M30" s="212">
        <f t="shared" si="3"/>
        <v>3.6923076923076921</v>
      </c>
      <c r="N30" s="212">
        <f t="shared" si="3"/>
        <v>3.6279069767441863</v>
      </c>
      <c r="O30" s="212">
        <f t="shared" si="3"/>
        <v>3.5744680851063828</v>
      </c>
      <c r="P30" s="212">
        <f t="shared" si="3"/>
        <v>3.5294117647058827</v>
      </c>
      <c r="Q30" s="212">
        <f t="shared" si="3"/>
        <v>3.4909090909090907</v>
      </c>
      <c r="R30" s="212">
        <f t="shared" si="3"/>
        <v>3.457627118644067</v>
      </c>
      <c r="S30" s="212">
        <f t="shared" si="3"/>
        <v>3.4285714285714284</v>
      </c>
      <c r="T30" s="212">
        <f t="shared" si="3"/>
        <v>3.4029850746268657</v>
      </c>
      <c r="U30" s="212">
        <f t="shared" si="3"/>
        <v>3.3802816901408455</v>
      </c>
      <c r="V30" s="212">
        <f t="shared" si="3"/>
        <v>3.36</v>
      </c>
      <c r="W30" s="212">
        <f t="shared" si="3"/>
        <v>3.3417721518987342</v>
      </c>
      <c r="X30" s="212">
        <f t="shared" si="3"/>
        <v>3.3253012048192772</v>
      </c>
      <c r="Y30" s="212">
        <f t="shared" si="3"/>
        <v>3.3103448275862069</v>
      </c>
      <c r="Z30" s="212">
        <f t="shared" si="3"/>
        <v>3.2967032967032965</v>
      </c>
      <c r="AA30" s="212">
        <f t="shared" si="3"/>
        <v>3.2842105263157895</v>
      </c>
      <c r="AB30" s="212">
        <f t="shared" si="3"/>
        <v>3.2727272727272729</v>
      </c>
      <c r="AC30" s="212">
        <f t="shared" si="3"/>
        <v>3.2621359223300965</v>
      </c>
      <c r="AD30" s="212">
        <f t="shared" si="3"/>
        <v>3.2523364485981312</v>
      </c>
      <c r="AE30" s="212">
        <f t="shared" si="3"/>
        <v>3.243243243243243</v>
      </c>
      <c r="AF30" s="212">
        <f t="shared" si="3"/>
        <v>3.2347826086956522</v>
      </c>
      <c r="AG30" s="212">
        <f t="shared" si="3"/>
        <v>3.2268907563025211</v>
      </c>
      <c r="AH30" s="212">
        <f t="shared" si="3"/>
        <v>3.2195121951219514</v>
      </c>
      <c r="AI30" s="212">
        <f t="shared" si="3"/>
        <v>3.2125984251968505</v>
      </c>
      <c r="AJ30" s="212">
        <f t="shared" si="3"/>
        <v>3.2061068702290076</v>
      </c>
      <c r="AK30" s="212">
        <f t="shared" si="3"/>
        <v>3.2</v>
      </c>
      <c r="AL30" s="212">
        <f t="shared" si="3"/>
        <v>3.1942446043165469</v>
      </c>
      <c r="AM30" s="212">
        <f t="shared" si="3"/>
        <v>3.1888111888111887</v>
      </c>
    </row>
    <row r="31" spans="2:39" ht="18" x14ac:dyDescent="0.35">
      <c r="B31" s="293" t="s">
        <v>937</v>
      </c>
      <c r="C31" s="95" t="s">
        <v>938</v>
      </c>
      <c r="D31" s="212">
        <f>$Q$10-D30</f>
        <v>0</v>
      </c>
      <c r="E31" s="212">
        <f t="shared" ref="E31:AM31" si="4">$Q$10-E30</f>
        <v>5.1428571428571432</v>
      </c>
      <c r="F31" s="212">
        <f t="shared" si="4"/>
        <v>6.545454545454545</v>
      </c>
      <c r="G31" s="212">
        <f t="shared" si="4"/>
        <v>7.2</v>
      </c>
      <c r="H31" s="212">
        <f t="shared" si="4"/>
        <v>7.5789473684210531</v>
      </c>
      <c r="I31" s="212">
        <f t="shared" si="4"/>
        <v>7.8260869565217392</v>
      </c>
      <c r="J31" s="212">
        <f t="shared" si="4"/>
        <v>8</v>
      </c>
      <c r="K31" s="212">
        <f t="shared" si="4"/>
        <v>8.129032258064516</v>
      </c>
      <c r="L31" s="212">
        <f t="shared" si="4"/>
        <v>8.2285714285714278</v>
      </c>
      <c r="M31" s="212">
        <f t="shared" si="4"/>
        <v>8.3076923076923084</v>
      </c>
      <c r="N31" s="212">
        <f t="shared" si="4"/>
        <v>8.3720930232558146</v>
      </c>
      <c r="O31" s="212">
        <f t="shared" si="4"/>
        <v>8.4255319148936181</v>
      </c>
      <c r="P31" s="212">
        <f t="shared" si="4"/>
        <v>8.4705882352941178</v>
      </c>
      <c r="Q31" s="212">
        <f t="shared" si="4"/>
        <v>8.5090909090909097</v>
      </c>
      <c r="R31" s="212">
        <f t="shared" si="4"/>
        <v>8.5423728813559325</v>
      </c>
      <c r="S31" s="212">
        <f t="shared" si="4"/>
        <v>8.5714285714285712</v>
      </c>
      <c r="T31" s="212">
        <f t="shared" si="4"/>
        <v>8.5970149253731343</v>
      </c>
      <c r="U31" s="212">
        <f t="shared" si="4"/>
        <v>8.6197183098591541</v>
      </c>
      <c r="V31" s="212">
        <f t="shared" si="4"/>
        <v>8.64</v>
      </c>
      <c r="W31" s="212">
        <f t="shared" si="4"/>
        <v>8.6582278481012658</v>
      </c>
      <c r="X31" s="212">
        <f t="shared" si="4"/>
        <v>8.6746987951807224</v>
      </c>
      <c r="Y31" s="212">
        <f t="shared" si="4"/>
        <v>8.6896551724137936</v>
      </c>
      <c r="Z31" s="212">
        <f t="shared" si="4"/>
        <v>8.7032967032967044</v>
      </c>
      <c r="AA31" s="212">
        <f t="shared" si="4"/>
        <v>8.715789473684211</v>
      </c>
      <c r="AB31" s="212">
        <f t="shared" si="4"/>
        <v>8.7272727272727266</v>
      </c>
      <c r="AC31" s="212">
        <f t="shared" si="4"/>
        <v>8.7378640776699044</v>
      </c>
      <c r="AD31" s="212">
        <f t="shared" si="4"/>
        <v>8.7476635514018692</v>
      </c>
      <c r="AE31" s="212">
        <f t="shared" si="4"/>
        <v>8.7567567567567579</v>
      </c>
      <c r="AF31" s="212">
        <f t="shared" si="4"/>
        <v>8.765217391304347</v>
      </c>
      <c r="AG31" s="212">
        <f t="shared" si="4"/>
        <v>8.7731092436974798</v>
      </c>
      <c r="AH31" s="212">
        <f t="shared" si="4"/>
        <v>8.7804878048780495</v>
      </c>
      <c r="AI31" s="212">
        <f t="shared" si="4"/>
        <v>8.78740157480315</v>
      </c>
      <c r="AJ31" s="212">
        <f t="shared" si="4"/>
        <v>8.7938931297709928</v>
      </c>
      <c r="AK31" s="212">
        <f t="shared" si="4"/>
        <v>8.8000000000000007</v>
      </c>
      <c r="AL31" s="212">
        <f t="shared" si="4"/>
        <v>8.8057553956834536</v>
      </c>
      <c r="AM31" s="212">
        <f t="shared" si="4"/>
        <v>8.8111888111888117</v>
      </c>
    </row>
    <row r="32" spans="2:39" ht="18" x14ac:dyDescent="0.35">
      <c r="B32" s="8" t="s">
        <v>931</v>
      </c>
      <c r="C32" s="95" t="s">
        <v>943</v>
      </c>
      <c r="D32" s="212">
        <f>IF(D27=0,$W$7,$W$7 + (1/(1/$W$8 + 1/D27)))</f>
        <v>2400</v>
      </c>
      <c r="E32" s="212">
        <f t="shared" ref="E32:AM32" si="5">$W$7 + (1/(1/$W$8 + 1/E27))</f>
        <v>3278.0487804878048</v>
      </c>
      <c r="F32" s="212">
        <f t="shared" si="5"/>
        <v>3965.217391304348</v>
      </c>
      <c r="G32" s="212">
        <f t="shared" si="5"/>
        <v>4517.6470588235297</v>
      </c>
      <c r="H32" s="212">
        <f t="shared" si="5"/>
        <v>4971.4285714285706</v>
      </c>
      <c r="I32" s="212">
        <f t="shared" si="5"/>
        <v>5350.8196721311469</v>
      </c>
      <c r="J32" s="212">
        <f t="shared" si="5"/>
        <v>5672.727272727273</v>
      </c>
      <c r="K32" s="212">
        <f t="shared" si="5"/>
        <v>5949.2957746478878</v>
      </c>
      <c r="L32" s="212">
        <f t="shared" si="5"/>
        <v>6189.4736842105258</v>
      </c>
      <c r="M32" s="212">
        <f t="shared" si="5"/>
        <v>6400</v>
      </c>
      <c r="N32" s="212">
        <f t="shared" si="5"/>
        <v>6586.0465116279065</v>
      </c>
      <c r="O32" s="212">
        <f t="shared" si="5"/>
        <v>6751.6483516483513</v>
      </c>
      <c r="P32" s="212">
        <f t="shared" si="5"/>
        <v>6900</v>
      </c>
      <c r="Q32" s="212">
        <f t="shared" si="5"/>
        <v>7033.6633663366338</v>
      </c>
      <c r="R32" s="212">
        <f t="shared" si="5"/>
        <v>7154.7169811320755</v>
      </c>
      <c r="S32" s="212">
        <f t="shared" si="5"/>
        <v>7264.864864864865</v>
      </c>
      <c r="T32" s="212">
        <f t="shared" si="5"/>
        <v>7365.5172413793107</v>
      </c>
      <c r="U32" s="212">
        <f t="shared" si="5"/>
        <v>7457.8512396694214</v>
      </c>
      <c r="V32" s="212">
        <f t="shared" si="5"/>
        <v>7542.8571428571422</v>
      </c>
      <c r="W32" s="212">
        <f t="shared" si="5"/>
        <v>7621.3740458015263</v>
      </c>
      <c r="X32" s="212">
        <f t="shared" si="5"/>
        <v>7694.1176470588234</v>
      </c>
      <c r="Y32" s="212">
        <f t="shared" si="5"/>
        <v>7761.7021276595742</v>
      </c>
      <c r="Z32" s="212">
        <f t="shared" si="5"/>
        <v>7824.6575342465758</v>
      </c>
      <c r="AA32" s="212">
        <f t="shared" si="5"/>
        <v>7883.4437086092712</v>
      </c>
      <c r="AB32" s="212">
        <f t="shared" si="5"/>
        <v>7938.461538461539</v>
      </c>
      <c r="AC32" s="212">
        <f t="shared" si="5"/>
        <v>7990.0621118012423</v>
      </c>
      <c r="AD32" s="212">
        <f t="shared" si="5"/>
        <v>8038.5542168674701</v>
      </c>
      <c r="AE32" s="212">
        <f t="shared" si="5"/>
        <v>8084.21052631579</v>
      </c>
      <c r="AF32" s="212">
        <f t="shared" si="5"/>
        <v>8127.2727272727279</v>
      </c>
      <c r="AG32" s="212">
        <f t="shared" si="5"/>
        <v>8167.9558011049721</v>
      </c>
      <c r="AH32" s="212">
        <f t="shared" si="5"/>
        <v>8206.4516129032272</v>
      </c>
      <c r="AI32" s="212">
        <f t="shared" si="5"/>
        <v>8242.9319371727761</v>
      </c>
      <c r="AJ32" s="212">
        <f t="shared" si="5"/>
        <v>8277.551020408162</v>
      </c>
      <c r="AK32" s="212">
        <f t="shared" si="5"/>
        <v>8310.447761194031</v>
      </c>
      <c r="AL32" s="212">
        <f t="shared" si="5"/>
        <v>8341.7475728155332</v>
      </c>
      <c r="AM32" s="212">
        <f t="shared" si="5"/>
        <v>8371.5639810426546</v>
      </c>
    </row>
    <row r="33" spans="2:39" ht="18" x14ac:dyDescent="0.35">
      <c r="B33" s="292" t="s">
        <v>933</v>
      </c>
      <c r="C33" s="95" t="s">
        <v>934</v>
      </c>
      <c r="D33" s="212">
        <f>$Q$10/D32</f>
        <v>5.0000000000000001E-3</v>
      </c>
      <c r="E33" s="212">
        <f t="shared" ref="E33:AM33" si="6">$Q$10/E32</f>
        <v>3.6607142857142858E-3</v>
      </c>
      <c r="F33" s="212">
        <f t="shared" si="6"/>
        <v>3.0263157894736843E-3</v>
      </c>
      <c r="G33" s="212">
        <f t="shared" si="6"/>
        <v>2.6562499999999998E-3</v>
      </c>
      <c r="H33" s="212">
        <f t="shared" si="6"/>
        <v>2.4137931034482764E-3</v>
      </c>
      <c r="I33" s="212">
        <f t="shared" si="6"/>
        <v>2.2426470588235298E-3</v>
      </c>
      <c r="J33" s="212">
        <f t="shared" si="6"/>
        <v>2.1153846153846153E-3</v>
      </c>
      <c r="K33" s="212">
        <f t="shared" si="6"/>
        <v>2.0170454545454545E-3</v>
      </c>
      <c r="L33" s="212">
        <f t="shared" si="6"/>
        <v>1.9387755102040819E-3</v>
      </c>
      <c r="M33" s="212">
        <f t="shared" si="6"/>
        <v>1.8749999999999999E-3</v>
      </c>
      <c r="N33" s="212">
        <f t="shared" si="6"/>
        <v>1.8220338983050849E-3</v>
      </c>
      <c r="O33" s="212">
        <f t="shared" si="6"/>
        <v>1.7773437500000001E-3</v>
      </c>
      <c r="P33" s="212">
        <f t="shared" si="6"/>
        <v>1.7391304347826088E-3</v>
      </c>
      <c r="Q33" s="212">
        <f t="shared" si="6"/>
        <v>1.706081081081081E-3</v>
      </c>
      <c r="R33" s="212">
        <f t="shared" si="6"/>
        <v>1.6772151898734177E-3</v>
      </c>
      <c r="S33" s="212">
        <f t="shared" si="6"/>
        <v>1.6517857142857144E-3</v>
      </c>
      <c r="T33" s="212">
        <f t="shared" si="6"/>
        <v>1.6292134831460674E-3</v>
      </c>
      <c r="U33" s="212">
        <f t="shared" si="6"/>
        <v>1.6090425531914893E-3</v>
      </c>
      <c r="V33" s="212">
        <f t="shared" si="6"/>
        <v>1.590909090909091E-3</v>
      </c>
      <c r="W33" s="212">
        <f t="shared" si="6"/>
        <v>1.5745192307692309E-3</v>
      </c>
      <c r="X33" s="212">
        <f t="shared" si="6"/>
        <v>1.5596330275229359E-3</v>
      </c>
      <c r="Y33" s="212">
        <f t="shared" si="6"/>
        <v>1.5460526315789474E-3</v>
      </c>
      <c r="Z33" s="212">
        <f t="shared" si="6"/>
        <v>1.5336134453781511E-3</v>
      </c>
      <c r="AA33" s="212">
        <f t="shared" si="6"/>
        <v>1.5221774193548388E-3</v>
      </c>
      <c r="AB33" s="212">
        <f t="shared" si="6"/>
        <v>1.5116279069767441E-3</v>
      </c>
      <c r="AC33" s="212">
        <f t="shared" si="6"/>
        <v>1.501865671641791E-3</v>
      </c>
      <c r="AD33" s="212">
        <f t="shared" si="6"/>
        <v>1.4928057553956833E-3</v>
      </c>
      <c r="AE33" s="212">
        <f t="shared" si="6"/>
        <v>1.4843749999999998E-3</v>
      </c>
      <c r="AF33" s="212">
        <f t="shared" si="6"/>
        <v>1.4765100671140939E-3</v>
      </c>
      <c r="AG33" s="212">
        <f t="shared" si="6"/>
        <v>1.4691558441558442E-3</v>
      </c>
      <c r="AH33" s="212">
        <f t="shared" si="6"/>
        <v>1.462264150943396E-3</v>
      </c>
      <c r="AI33" s="212">
        <f t="shared" si="6"/>
        <v>1.455792682926829E-3</v>
      </c>
      <c r="AJ33" s="212">
        <f t="shared" si="6"/>
        <v>1.4497041420118346E-3</v>
      </c>
      <c r="AK33" s="212">
        <f t="shared" si="6"/>
        <v>1.443965517241379E-3</v>
      </c>
      <c r="AL33" s="212">
        <f t="shared" si="6"/>
        <v>1.4385474860335197E-3</v>
      </c>
      <c r="AM33" s="212">
        <f t="shared" si="6"/>
        <v>1.4334239130434781E-3</v>
      </c>
    </row>
    <row r="34" spans="2:39" ht="18" x14ac:dyDescent="0.35">
      <c r="B34" s="293" t="s">
        <v>935</v>
      </c>
      <c r="C34" s="95" t="s">
        <v>944</v>
      </c>
      <c r="D34" s="212">
        <f>$W$7*D33</f>
        <v>12</v>
      </c>
      <c r="E34" s="212">
        <f t="shared" ref="E34:AM34" si="7">$W$7*E33</f>
        <v>8.7857142857142865</v>
      </c>
      <c r="F34" s="212">
        <f t="shared" si="7"/>
        <v>7.2631578947368425</v>
      </c>
      <c r="G34" s="212">
        <f t="shared" si="7"/>
        <v>6.3749999999999991</v>
      </c>
      <c r="H34" s="212">
        <f t="shared" si="7"/>
        <v>5.7931034482758639</v>
      </c>
      <c r="I34" s="212">
        <f t="shared" si="7"/>
        <v>5.382352941176471</v>
      </c>
      <c r="J34" s="212">
        <f t="shared" si="7"/>
        <v>5.0769230769230766</v>
      </c>
      <c r="K34" s="212">
        <f t="shared" si="7"/>
        <v>4.8409090909090908</v>
      </c>
      <c r="L34" s="212">
        <f t="shared" si="7"/>
        <v>4.6530612244897966</v>
      </c>
      <c r="M34" s="212">
        <f t="shared" si="7"/>
        <v>4.5</v>
      </c>
      <c r="N34" s="212">
        <f t="shared" si="7"/>
        <v>4.3728813559322033</v>
      </c>
      <c r="O34" s="212">
        <f t="shared" si="7"/>
        <v>4.265625</v>
      </c>
      <c r="P34" s="212">
        <f t="shared" si="7"/>
        <v>4.1739130434782608</v>
      </c>
      <c r="Q34" s="212">
        <f t="shared" si="7"/>
        <v>4.0945945945945947</v>
      </c>
      <c r="R34" s="212">
        <f t="shared" si="7"/>
        <v>4.0253164556962027</v>
      </c>
      <c r="S34" s="212">
        <f t="shared" si="7"/>
        <v>3.9642857142857144</v>
      </c>
      <c r="T34" s="212">
        <f t="shared" si="7"/>
        <v>3.910112359550562</v>
      </c>
      <c r="U34" s="212">
        <f t="shared" si="7"/>
        <v>3.8617021276595742</v>
      </c>
      <c r="V34" s="212">
        <f t="shared" si="7"/>
        <v>3.8181818181818183</v>
      </c>
      <c r="W34" s="212">
        <f t="shared" si="7"/>
        <v>3.7788461538461542</v>
      </c>
      <c r="X34" s="212">
        <f t="shared" si="7"/>
        <v>3.7431192660550461</v>
      </c>
      <c r="Y34" s="212">
        <f t="shared" si="7"/>
        <v>3.7105263157894735</v>
      </c>
      <c r="Z34" s="212">
        <f t="shared" si="7"/>
        <v>3.6806722689075628</v>
      </c>
      <c r="AA34" s="212">
        <f t="shared" si="7"/>
        <v>3.653225806451613</v>
      </c>
      <c r="AB34" s="212">
        <f t="shared" si="7"/>
        <v>3.6279069767441858</v>
      </c>
      <c r="AC34" s="212">
        <f t="shared" si="7"/>
        <v>3.6044776119402986</v>
      </c>
      <c r="AD34" s="212">
        <f t="shared" si="7"/>
        <v>3.5827338129496402</v>
      </c>
      <c r="AE34" s="212">
        <f t="shared" si="7"/>
        <v>3.5624999999999996</v>
      </c>
      <c r="AF34" s="212">
        <f t="shared" si="7"/>
        <v>3.5436241610738253</v>
      </c>
      <c r="AG34" s="212">
        <f t="shared" si="7"/>
        <v>3.5259740259740262</v>
      </c>
      <c r="AH34" s="212">
        <f t="shared" si="7"/>
        <v>3.5094339622641506</v>
      </c>
      <c r="AI34" s="212">
        <f t="shared" si="7"/>
        <v>3.4939024390243896</v>
      </c>
      <c r="AJ34" s="212">
        <f t="shared" si="7"/>
        <v>3.4792899408284028</v>
      </c>
      <c r="AK34" s="212">
        <f t="shared" si="7"/>
        <v>3.4655172413793096</v>
      </c>
      <c r="AL34" s="212">
        <f t="shared" si="7"/>
        <v>3.4525139664804474</v>
      </c>
      <c r="AM34" s="212">
        <f t="shared" si="7"/>
        <v>3.4402173913043477</v>
      </c>
    </row>
    <row r="35" spans="2:39" ht="18" x14ac:dyDescent="0.35">
      <c r="B35" s="293" t="s">
        <v>937</v>
      </c>
      <c r="C35" s="95" t="s">
        <v>938</v>
      </c>
      <c r="D35" s="212">
        <f>$Q$10-D34</f>
        <v>0</v>
      </c>
      <c r="E35" s="212">
        <f t="shared" ref="E35:AM35" si="8">$Q$10-E34</f>
        <v>3.2142857142857135</v>
      </c>
      <c r="F35" s="212">
        <f t="shared" si="8"/>
        <v>4.7368421052631575</v>
      </c>
      <c r="G35" s="212">
        <f t="shared" si="8"/>
        <v>5.6250000000000009</v>
      </c>
      <c r="H35" s="212">
        <f t="shared" si="8"/>
        <v>6.2068965517241361</v>
      </c>
      <c r="I35" s="212">
        <f t="shared" si="8"/>
        <v>6.617647058823529</v>
      </c>
      <c r="J35" s="212">
        <f t="shared" si="8"/>
        <v>6.9230769230769234</v>
      </c>
      <c r="K35" s="212">
        <f t="shared" si="8"/>
        <v>7.1590909090909092</v>
      </c>
      <c r="L35" s="212">
        <f t="shared" si="8"/>
        <v>7.3469387755102034</v>
      </c>
      <c r="M35" s="212">
        <f t="shared" si="8"/>
        <v>7.5</v>
      </c>
      <c r="N35" s="212">
        <f t="shared" si="8"/>
        <v>7.6271186440677967</v>
      </c>
      <c r="O35" s="212">
        <f t="shared" si="8"/>
        <v>7.734375</v>
      </c>
      <c r="P35" s="212">
        <f t="shared" si="8"/>
        <v>7.8260869565217392</v>
      </c>
      <c r="Q35" s="212">
        <f t="shared" si="8"/>
        <v>7.9054054054054053</v>
      </c>
      <c r="R35" s="212">
        <f t="shared" si="8"/>
        <v>7.9746835443037973</v>
      </c>
      <c r="S35" s="212">
        <f t="shared" si="8"/>
        <v>8.0357142857142847</v>
      </c>
      <c r="T35" s="212">
        <f t="shared" si="8"/>
        <v>8.0898876404494384</v>
      </c>
      <c r="U35" s="212">
        <f t="shared" si="8"/>
        <v>8.1382978723404253</v>
      </c>
      <c r="V35" s="212">
        <f t="shared" si="8"/>
        <v>8.1818181818181817</v>
      </c>
      <c r="W35" s="212">
        <f t="shared" si="8"/>
        <v>8.2211538461538467</v>
      </c>
      <c r="X35" s="212">
        <f t="shared" si="8"/>
        <v>8.2568807339449535</v>
      </c>
      <c r="Y35" s="212">
        <f t="shared" si="8"/>
        <v>8.2894736842105274</v>
      </c>
      <c r="Z35" s="212">
        <f t="shared" si="8"/>
        <v>8.3193277310924376</v>
      </c>
      <c r="AA35" s="212">
        <f t="shared" si="8"/>
        <v>8.3467741935483879</v>
      </c>
      <c r="AB35" s="212">
        <f t="shared" si="8"/>
        <v>8.3720930232558146</v>
      </c>
      <c r="AC35" s="212">
        <f t="shared" si="8"/>
        <v>8.3955223880597014</v>
      </c>
      <c r="AD35" s="212">
        <f t="shared" si="8"/>
        <v>8.4172661870503589</v>
      </c>
      <c r="AE35" s="212">
        <f t="shared" si="8"/>
        <v>8.4375</v>
      </c>
      <c r="AF35" s="212">
        <f t="shared" si="8"/>
        <v>8.4563758389261743</v>
      </c>
      <c r="AG35" s="212">
        <f t="shared" si="8"/>
        <v>8.4740259740259738</v>
      </c>
      <c r="AH35" s="212">
        <f t="shared" si="8"/>
        <v>8.4905660377358494</v>
      </c>
      <c r="AI35" s="212">
        <f t="shared" si="8"/>
        <v>8.5060975609756113</v>
      </c>
      <c r="AJ35" s="212">
        <f t="shared" si="8"/>
        <v>8.5207100591715967</v>
      </c>
      <c r="AK35" s="212">
        <f t="shared" si="8"/>
        <v>8.5344827586206904</v>
      </c>
      <c r="AL35" s="212">
        <f t="shared" si="8"/>
        <v>8.5474860335195526</v>
      </c>
      <c r="AM35" s="212">
        <f t="shared" si="8"/>
        <v>8.5597826086956523</v>
      </c>
    </row>
    <row r="36" spans="2:39" x14ac:dyDescent="0.25">
      <c r="B36" s="163"/>
      <c r="C36" s="55"/>
    </row>
    <row r="37" spans="2:39" x14ac:dyDescent="0.25">
      <c r="B37" s="163"/>
      <c r="C37" s="55"/>
    </row>
    <row r="38" spans="2:39" x14ac:dyDescent="0.25">
      <c r="B38" s="163"/>
      <c r="C38" s="55"/>
    </row>
    <row r="39" spans="2:39" x14ac:dyDescent="0.25">
      <c r="B39" s="163"/>
      <c r="C39" s="55"/>
    </row>
    <row r="41" spans="2:39" x14ac:dyDescent="0.25">
      <c r="B41" s="432" t="str">
        <f>_xlfn.CONCAT("UL = f(RL)   R1/R2 =",Q11)</f>
        <v>UL = f(RL)   R1/R2 =0.333333333333333</v>
      </c>
      <c r="C41" s="218"/>
    </row>
    <row r="42" spans="2:39" x14ac:dyDescent="0.25">
      <c r="B42" s="433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2" sqref="A22:XFD22"/>
    </sheetView>
  </sheetViews>
  <sheetFormatPr baseColWidth="10" defaultRowHeight="15" x14ac:dyDescent="0.25"/>
  <sheetData>
    <row r="2" spans="3:3" ht="23.25" x14ac:dyDescent="0.35">
      <c r="C2" s="9" t="s">
        <v>910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9" workbookViewId="0">
      <selection activeCell="C53" sqref="C53"/>
    </sheetView>
  </sheetViews>
  <sheetFormatPr baseColWidth="10" defaultRowHeight="15" x14ac:dyDescent="0.25"/>
  <cols>
    <col min="1" max="1" width="12.85546875" customWidth="1"/>
    <col min="2" max="2" width="14.42578125" customWidth="1"/>
    <col min="3" max="3" width="40.5703125" customWidth="1"/>
    <col min="4" max="4" width="17.28515625" customWidth="1"/>
    <col min="5" max="5" width="14.7109375" customWidth="1"/>
    <col min="8" max="8" width="14.85546875" customWidth="1"/>
    <col min="10" max="10" width="2.42578125" customWidth="1"/>
    <col min="15" max="15" width="14.140625" customWidth="1"/>
  </cols>
  <sheetData>
    <row r="2" spans="1:15" ht="23.25" x14ac:dyDescent="0.35">
      <c r="C2" s="9" t="s">
        <v>664</v>
      </c>
    </row>
    <row r="6" spans="1:15" ht="15.95" customHeight="1" x14ac:dyDescent="0.25">
      <c r="A6" s="358" t="s">
        <v>666</v>
      </c>
      <c r="B6" s="358" t="s">
        <v>665</v>
      </c>
      <c r="C6" s="358" t="s">
        <v>667</v>
      </c>
      <c r="D6" s="358" t="s">
        <v>668</v>
      </c>
      <c r="E6" s="358" t="s">
        <v>819</v>
      </c>
    </row>
    <row r="7" spans="1:15" ht="15.95" customHeight="1" x14ac:dyDescent="0.25">
      <c r="A7" s="111" t="s">
        <v>670</v>
      </c>
      <c r="B7" s="355" t="s">
        <v>669</v>
      </c>
      <c r="C7" s="357">
        <v>1E+30</v>
      </c>
      <c r="D7" s="111" t="s">
        <v>671</v>
      </c>
      <c r="E7" s="5">
        <v>30</v>
      </c>
    </row>
    <row r="8" spans="1:15" ht="15.95" customHeight="1" x14ac:dyDescent="0.25">
      <c r="A8" s="111" t="s">
        <v>673</v>
      </c>
      <c r="B8" s="355" t="s">
        <v>672</v>
      </c>
      <c r="C8" s="357">
        <v>1E+27</v>
      </c>
      <c r="D8" s="111" t="s">
        <v>674</v>
      </c>
      <c r="E8" s="5">
        <v>27</v>
      </c>
    </row>
    <row r="9" spans="1:15" ht="15.95" customHeight="1" x14ac:dyDescent="0.25">
      <c r="A9" s="111" t="s">
        <v>676</v>
      </c>
      <c r="B9" s="355" t="s">
        <v>675</v>
      </c>
      <c r="C9" s="357">
        <v>9.9999999999999998E+23</v>
      </c>
      <c r="D9" s="111" t="s">
        <v>677</v>
      </c>
      <c r="E9" s="5">
        <v>24</v>
      </c>
    </row>
    <row r="10" spans="1:15" ht="15.95" customHeight="1" thickBot="1" x14ac:dyDescent="0.3">
      <c r="A10" s="111" t="s">
        <v>679</v>
      </c>
      <c r="B10" s="355" t="s">
        <v>678</v>
      </c>
      <c r="C10" s="357">
        <v>1E+21</v>
      </c>
      <c r="D10" s="111" t="s">
        <v>680</v>
      </c>
      <c r="E10" s="5">
        <v>21</v>
      </c>
    </row>
    <row r="11" spans="1:15" ht="15.95" customHeight="1" thickBot="1" x14ac:dyDescent="0.3">
      <c r="A11" s="111" t="s">
        <v>42</v>
      </c>
      <c r="B11" s="355" t="s">
        <v>681</v>
      </c>
      <c r="C11" s="357">
        <v>1E+18</v>
      </c>
      <c r="D11" s="111" t="s">
        <v>682</v>
      </c>
      <c r="E11" s="5">
        <v>18</v>
      </c>
      <c r="H11" s="362" t="s">
        <v>740</v>
      </c>
      <c r="I11" s="363"/>
      <c r="J11" s="364"/>
      <c r="L11" s="5" t="s">
        <v>743</v>
      </c>
      <c r="M11" s="5"/>
      <c r="O11" s="5" t="s">
        <v>742</v>
      </c>
    </row>
    <row r="12" spans="1:15" ht="15.95" customHeight="1" thickBot="1" x14ac:dyDescent="0.3">
      <c r="A12" s="111" t="s">
        <v>684</v>
      </c>
      <c r="B12" s="355" t="s">
        <v>683</v>
      </c>
      <c r="C12" s="357">
        <v>1000000000000000</v>
      </c>
      <c r="D12" s="111" t="s">
        <v>685</v>
      </c>
      <c r="E12" s="5">
        <v>15</v>
      </c>
      <c r="H12" s="359">
        <v>5.23</v>
      </c>
      <c r="I12" s="360" t="s">
        <v>694</v>
      </c>
      <c r="J12" s="361" t="s">
        <v>741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5.95" customHeight="1" x14ac:dyDescent="0.25">
      <c r="A13" s="111" t="s">
        <v>687</v>
      </c>
      <c r="B13" s="355" t="s">
        <v>686</v>
      </c>
      <c r="C13" s="357">
        <v>1000000000000</v>
      </c>
      <c r="D13" s="111" t="s">
        <v>688</v>
      </c>
      <c r="E13" s="5">
        <v>12</v>
      </c>
    </row>
    <row r="14" spans="1:15" ht="15.95" customHeight="1" x14ac:dyDescent="0.25">
      <c r="A14" s="111" t="s">
        <v>43</v>
      </c>
      <c r="B14" s="355" t="s">
        <v>689</v>
      </c>
      <c r="C14" s="357">
        <v>1000000000</v>
      </c>
      <c r="D14" s="111" t="s">
        <v>690</v>
      </c>
      <c r="E14" s="5">
        <v>9</v>
      </c>
    </row>
    <row r="15" spans="1:15" ht="15.95" customHeight="1" x14ac:dyDescent="0.25">
      <c r="A15" s="111" t="s">
        <v>818</v>
      </c>
      <c r="B15" s="355" t="s">
        <v>691</v>
      </c>
      <c r="C15" s="357">
        <v>1000000</v>
      </c>
      <c r="D15" s="111" t="s">
        <v>692</v>
      </c>
      <c r="E15" s="5">
        <v>6</v>
      </c>
    </row>
    <row r="16" spans="1:15" ht="15.95" customHeight="1" x14ac:dyDescent="0.25">
      <c r="A16" s="111" t="s">
        <v>694</v>
      </c>
      <c r="B16" s="355" t="s">
        <v>693</v>
      </c>
      <c r="C16" s="357">
        <v>1000</v>
      </c>
      <c r="D16" s="111" t="s">
        <v>695</v>
      </c>
      <c r="E16" s="5">
        <v>3</v>
      </c>
      <c r="H16" s="8" t="s">
        <v>665</v>
      </c>
      <c r="I16" s="365" t="str">
        <f>VLOOKUP(I12, CHOOSE({1,2,3,4}, Einheitenvorsätze!A:A, Einheitenvorsätze!B:B, Einheitenvorsätze!C:C, Einheitenvorsätze!D:D), 2, FALSE)</f>
        <v>Kilo</v>
      </c>
    </row>
    <row r="17" spans="1:9" ht="15.95" customHeight="1" x14ac:dyDescent="0.25">
      <c r="A17" s="111" t="s">
        <v>697</v>
      </c>
      <c r="B17" s="355" t="s">
        <v>696</v>
      </c>
      <c r="C17" s="357">
        <v>100</v>
      </c>
      <c r="D17" s="111" t="s">
        <v>698</v>
      </c>
      <c r="E17" s="5">
        <v>2</v>
      </c>
      <c r="H17" s="8" t="s">
        <v>667</v>
      </c>
      <c r="I17" s="365">
        <f>VLOOKUP(I12, CHOOSE({1,2,3,4}, Einheitenvorsätze!A:A, Einheitenvorsätze!B:B, Einheitenvorsätze!C:C, Einheitenvorsätze!D:D), 3, FALSE)</f>
        <v>1000</v>
      </c>
    </row>
    <row r="18" spans="1:9" ht="15.95" customHeight="1" x14ac:dyDescent="0.25">
      <c r="A18" s="111" t="s">
        <v>700</v>
      </c>
      <c r="B18" s="355" t="s">
        <v>699</v>
      </c>
      <c r="C18" s="357">
        <v>10</v>
      </c>
      <c r="D18" s="111" t="s">
        <v>701</v>
      </c>
      <c r="E18" s="5">
        <v>1</v>
      </c>
      <c r="H18" s="8" t="s">
        <v>668</v>
      </c>
      <c r="I18" s="365" t="str">
        <f>VLOOKUP(I12, CHOOSE({1,2,3,4}, Einheitenvorsätze!A:A, Einheitenvorsätze!B:B, Einheitenvorsätze!C:C, Einheitenvorsätze!D:D), 4, FALSE)</f>
        <v>10³</v>
      </c>
    </row>
    <row r="19" spans="1:9" ht="15.95" customHeight="1" x14ac:dyDescent="0.25">
      <c r="A19" s="111" t="s">
        <v>703</v>
      </c>
      <c r="B19" s="355" t="s">
        <v>702</v>
      </c>
      <c r="C19" s="357">
        <v>1</v>
      </c>
      <c r="D19" s="111" t="s">
        <v>704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5.95" customHeight="1" x14ac:dyDescent="0.25">
      <c r="A20" s="111" t="s">
        <v>706</v>
      </c>
      <c r="B20" s="355" t="s">
        <v>705</v>
      </c>
      <c r="C20" s="111">
        <v>0.1</v>
      </c>
      <c r="D20" s="111" t="s">
        <v>707</v>
      </c>
      <c r="E20" s="5">
        <v>-1</v>
      </c>
    </row>
    <row r="21" spans="1:9" ht="15.95" customHeight="1" x14ac:dyDescent="0.25">
      <c r="A21" s="111" t="s">
        <v>709</v>
      </c>
      <c r="B21" s="355" t="s">
        <v>708</v>
      </c>
      <c r="C21" s="111">
        <v>0.01</v>
      </c>
      <c r="D21" s="111" t="s">
        <v>710</v>
      </c>
      <c r="E21" s="5">
        <v>-2</v>
      </c>
    </row>
    <row r="22" spans="1:9" ht="15.95" customHeight="1" x14ac:dyDescent="0.25">
      <c r="A22" s="111" t="s">
        <v>712</v>
      </c>
      <c r="B22" s="355" t="s">
        <v>711</v>
      </c>
      <c r="C22" s="111">
        <v>1E-3</v>
      </c>
      <c r="D22" s="111" t="s">
        <v>713</v>
      </c>
      <c r="E22" s="5">
        <v>-3</v>
      </c>
    </row>
    <row r="23" spans="1:9" ht="15.95" customHeight="1" x14ac:dyDescent="0.25">
      <c r="A23" s="111" t="s">
        <v>715</v>
      </c>
      <c r="B23" s="355" t="s">
        <v>714</v>
      </c>
      <c r="C23" s="111">
        <v>9.9999999999999995E-7</v>
      </c>
      <c r="D23" s="111" t="s">
        <v>716</v>
      </c>
      <c r="E23" s="5">
        <v>-6</v>
      </c>
    </row>
    <row r="24" spans="1:9" ht="15.95" customHeight="1" x14ac:dyDescent="0.25">
      <c r="A24" s="111" t="s">
        <v>718</v>
      </c>
      <c r="B24" s="355" t="s">
        <v>717</v>
      </c>
      <c r="C24" s="111">
        <v>1.0000000000000001E-9</v>
      </c>
      <c r="D24" s="111" t="s">
        <v>719</v>
      </c>
      <c r="E24" s="5">
        <v>-9</v>
      </c>
    </row>
    <row r="25" spans="1:9" ht="15.95" customHeight="1" x14ac:dyDescent="0.25">
      <c r="A25" s="111" t="s">
        <v>721</v>
      </c>
      <c r="B25" s="355" t="s">
        <v>720</v>
      </c>
      <c r="C25" s="111">
        <v>9.9999999999999998E-13</v>
      </c>
      <c r="D25" s="111" t="s">
        <v>722</v>
      </c>
      <c r="E25" s="5">
        <v>-12</v>
      </c>
    </row>
    <row r="26" spans="1:9" ht="15.95" customHeight="1" x14ac:dyDescent="0.25">
      <c r="A26" s="111" t="s">
        <v>724</v>
      </c>
      <c r="B26" s="355" t="s">
        <v>723</v>
      </c>
      <c r="C26" s="111">
        <v>1.0000000000000001E-15</v>
      </c>
      <c r="D26" s="111" t="s">
        <v>725</v>
      </c>
      <c r="E26" s="5">
        <v>-15</v>
      </c>
    </row>
    <row r="27" spans="1:9" ht="15.95" customHeight="1" x14ac:dyDescent="0.25">
      <c r="A27" s="111" t="s">
        <v>727</v>
      </c>
      <c r="B27" s="355" t="s">
        <v>726</v>
      </c>
      <c r="C27" s="111">
        <v>1.0000000000000001E-18</v>
      </c>
      <c r="D27" s="111" t="s">
        <v>728</v>
      </c>
      <c r="E27" s="5">
        <v>-18</v>
      </c>
    </row>
    <row r="28" spans="1:9" ht="15.95" customHeight="1" x14ac:dyDescent="0.25">
      <c r="A28" s="111" t="s">
        <v>730</v>
      </c>
      <c r="B28" s="355" t="s">
        <v>729</v>
      </c>
      <c r="C28" s="356">
        <v>9.9999999999999991E-22</v>
      </c>
      <c r="D28" s="111" t="s">
        <v>731</v>
      </c>
      <c r="E28" s="5">
        <v>-21</v>
      </c>
    </row>
    <row r="29" spans="1:9" ht="15.95" customHeight="1" x14ac:dyDescent="0.25">
      <c r="A29" s="111" t="s">
        <v>412</v>
      </c>
      <c r="B29" s="355" t="s">
        <v>732</v>
      </c>
      <c r="C29" s="356">
        <v>9.9999999999999992E-25</v>
      </c>
      <c r="D29" s="111" t="s">
        <v>733</v>
      </c>
      <c r="E29" s="5">
        <v>-24</v>
      </c>
    </row>
    <row r="30" spans="1:9" ht="15.95" customHeight="1" x14ac:dyDescent="0.25">
      <c r="A30" s="111" t="s">
        <v>735</v>
      </c>
      <c r="B30" s="355" t="s">
        <v>734</v>
      </c>
      <c r="C30" s="356">
        <v>1.0000000000000001E-30</v>
      </c>
      <c r="D30" s="111" t="s">
        <v>736</v>
      </c>
      <c r="E30" s="5">
        <v>-27</v>
      </c>
    </row>
    <row r="31" spans="1:9" ht="15.95" customHeight="1" x14ac:dyDescent="0.25">
      <c r="A31" s="111" t="s">
        <v>738</v>
      </c>
      <c r="B31" s="355" t="s">
        <v>737</v>
      </c>
      <c r="C31" s="356">
        <v>1E-27</v>
      </c>
      <c r="D31" s="111" t="s">
        <v>739</v>
      </c>
      <c r="E31" s="5">
        <v>-30</v>
      </c>
    </row>
    <row r="36" spans="1:3" x14ac:dyDescent="0.25">
      <c r="A36" t="s">
        <v>745</v>
      </c>
    </row>
    <row r="37" spans="1:3" x14ac:dyDescent="0.25">
      <c r="A37" s="372" t="s">
        <v>748</v>
      </c>
      <c r="B37" s="372" t="s">
        <v>746</v>
      </c>
      <c r="C37" s="372" t="s">
        <v>747</v>
      </c>
    </row>
    <row r="38" spans="1:3" x14ac:dyDescent="0.25">
      <c r="A38" s="111" t="s">
        <v>750</v>
      </c>
      <c r="B38" s="111" t="s">
        <v>749</v>
      </c>
      <c r="C38" s="111" t="s">
        <v>649</v>
      </c>
    </row>
    <row r="39" spans="1:3" x14ac:dyDescent="0.25">
      <c r="A39" s="111" t="s">
        <v>753</v>
      </c>
      <c r="B39" s="111" t="s">
        <v>751</v>
      </c>
      <c r="C39" s="111" t="s">
        <v>752</v>
      </c>
    </row>
    <row r="40" spans="1:3" x14ac:dyDescent="0.25">
      <c r="A40" s="111" t="s">
        <v>756</v>
      </c>
      <c r="B40" s="111" t="s">
        <v>754</v>
      </c>
      <c r="C40" s="111" t="s">
        <v>755</v>
      </c>
    </row>
    <row r="41" spans="1:3" x14ac:dyDescent="0.25">
      <c r="A41" s="111" t="s">
        <v>759</v>
      </c>
      <c r="B41" s="111" t="s">
        <v>757</v>
      </c>
      <c r="C41" s="111" t="s">
        <v>758</v>
      </c>
    </row>
    <row r="42" spans="1:3" x14ac:dyDescent="0.25">
      <c r="A42" s="111" t="s">
        <v>762</v>
      </c>
      <c r="B42" s="111" t="s">
        <v>760</v>
      </c>
      <c r="C42" s="111" t="s">
        <v>761</v>
      </c>
    </row>
    <row r="43" spans="1:3" x14ac:dyDescent="0.25">
      <c r="A43" s="111" t="s">
        <v>765</v>
      </c>
      <c r="B43" s="111" t="s">
        <v>763</v>
      </c>
      <c r="C43" s="111" t="s">
        <v>764</v>
      </c>
    </row>
    <row r="44" spans="1:3" x14ac:dyDescent="0.25">
      <c r="A44" s="111" t="s">
        <v>768</v>
      </c>
      <c r="B44" s="111" t="s">
        <v>766</v>
      </c>
      <c r="C44" s="111" t="s">
        <v>767</v>
      </c>
    </row>
    <row r="45" spans="1:3" x14ac:dyDescent="0.25">
      <c r="A45" s="111" t="s">
        <v>771</v>
      </c>
      <c r="B45" s="111" t="s">
        <v>769</v>
      </c>
      <c r="C45" s="111" t="s">
        <v>770</v>
      </c>
    </row>
    <row r="46" spans="1:3" x14ac:dyDescent="0.25">
      <c r="A46" s="111" t="s">
        <v>774</v>
      </c>
      <c r="B46" s="111" t="s">
        <v>772</v>
      </c>
      <c r="C46" s="111" t="s">
        <v>773</v>
      </c>
    </row>
    <row r="47" spans="1:3" x14ac:dyDescent="0.25">
      <c r="A47" s="111" t="s">
        <v>777</v>
      </c>
      <c r="B47" s="111" t="s">
        <v>775</v>
      </c>
      <c r="C47" s="111" t="s">
        <v>776</v>
      </c>
    </row>
    <row r="48" spans="1:3" x14ac:dyDescent="0.25">
      <c r="A48" s="111" t="s">
        <v>780</v>
      </c>
      <c r="B48" s="111" t="s">
        <v>778</v>
      </c>
      <c r="C48" s="111" t="s">
        <v>779</v>
      </c>
    </row>
    <row r="49" spans="1:3" x14ac:dyDescent="0.25">
      <c r="A49" s="111" t="s">
        <v>783</v>
      </c>
      <c r="B49" s="111" t="s">
        <v>781</v>
      </c>
      <c r="C49" s="111" t="s">
        <v>782</v>
      </c>
    </row>
    <row r="50" spans="1:3" x14ac:dyDescent="0.25">
      <c r="A50" s="111" t="s">
        <v>786</v>
      </c>
      <c r="B50" s="111" t="s">
        <v>784</v>
      </c>
      <c r="C50" s="111" t="s">
        <v>785</v>
      </c>
    </row>
    <row r="51" spans="1:3" x14ac:dyDescent="0.25">
      <c r="A51" s="111" t="s">
        <v>789</v>
      </c>
      <c r="B51" s="111" t="s">
        <v>787</v>
      </c>
      <c r="C51" s="111" t="s">
        <v>788</v>
      </c>
    </row>
    <row r="52" spans="1:3" x14ac:dyDescent="0.25">
      <c r="A52" s="111" t="s">
        <v>792</v>
      </c>
      <c r="B52" s="111" t="s">
        <v>790</v>
      </c>
      <c r="C52" s="111" t="s">
        <v>791</v>
      </c>
    </row>
    <row r="53" spans="1:3" x14ac:dyDescent="0.25">
      <c r="A53" s="111" t="s">
        <v>794</v>
      </c>
      <c r="B53" s="111" t="s">
        <v>793</v>
      </c>
      <c r="C53" s="111" t="s">
        <v>307</v>
      </c>
    </row>
    <row r="54" spans="1:3" x14ac:dyDescent="0.25">
      <c r="A54" s="111" t="s">
        <v>797</v>
      </c>
      <c r="B54" s="111" t="s">
        <v>795</v>
      </c>
      <c r="C54" s="111" t="s">
        <v>796</v>
      </c>
    </row>
    <row r="55" spans="1:3" x14ac:dyDescent="0.25">
      <c r="A55" s="111" t="s">
        <v>816</v>
      </c>
      <c r="B55" s="111" t="s">
        <v>798</v>
      </c>
      <c r="C55" s="111" t="s">
        <v>799</v>
      </c>
    </row>
    <row r="56" spans="1:3" x14ac:dyDescent="0.25">
      <c r="A56" s="111" t="s">
        <v>802</v>
      </c>
      <c r="B56" s="111" t="s">
        <v>800</v>
      </c>
      <c r="C56" s="111" t="s">
        <v>801</v>
      </c>
    </row>
    <row r="57" spans="1:3" x14ac:dyDescent="0.25">
      <c r="A57" s="111" t="s">
        <v>805</v>
      </c>
      <c r="B57" s="111" t="s">
        <v>803</v>
      </c>
      <c r="C57" s="111" t="s">
        <v>804</v>
      </c>
    </row>
    <row r="58" spans="1:3" x14ac:dyDescent="0.25">
      <c r="A58" s="111" t="s">
        <v>807</v>
      </c>
      <c r="B58" s="111" t="s">
        <v>806</v>
      </c>
      <c r="C58" s="111" t="s">
        <v>303</v>
      </c>
    </row>
    <row r="59" spans="1:3" x14ac:dyDescent="0.25">
      <c r="A59" s="111" t="s">
        <v>810</v>
      </c>
      <c r="B59" s="111" t="s">
        <v>808</v>
      </c>
      <c r="C59" s="111" t="s">
        <v>809</v>
      </c>
    </row>
    <row r="60" spans="1:3" x14ac:dyDescent="0.25">
      <c r="A60" s="111" t="s">
        <v>813</v>
      </c>
      <c r="B60" s="111" t="s">
        <v>811</v>
      </c>
      <c r="C60" s="111" t="s">
        <v>812</v>
      </c>
    </row>
    <row r="61" spans="1:3" x14ac:dyDescent="0.25">
      <c r="A61" s="111" t="s">
        <v>815</v>
      </c>
      <c r="B61" s="111" t="s">
        <v>317</v>
      </c>
      <c r="C61" s="111" t="s">
        <v>814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5" x14ac:dyDescent="0.25"/>
  <cols>
    <col min="3" max="7" width="20.28515625" customWidth="1"/>
    <col min="8" max="8" width="9.5703125" customWidth="1"/>
    <col min="9" max="9" width="20.28515625" customWidth="1"/>
    <col min="10" max="10" width="9.5703125" customWidth="1"/>
    <col min="11" max="11" width="19.85546875" customWidth="1"/>
    <col min="12" max="12" width="9.5703125" customWidth="1"/>
    <col min="13" max="15" width="20.5703125" customWidth="1"/>
    <col min="17" max="17" width="21" customWidth="1"/>
    <col min="18" max="18" width="20.5703125" customWidth="1"/>
    <col min="20" max="21" width="21" customWidth="1"/>
  </cols>
  <sheetData>
    <row r="8" spans="3:21" ht="90.6" customHeight="1" x14ac:dyDescent="0.25">
      <c r="C8" s="422" t="s">
        <v>908</v>
      </c>
      <c r="D8" s="5"/>
      <c r="E8" s="5"/>
      <c r="F8" s="5"/>
      <c r="G8" s="5"/>
    </row>
    <row r="9" spans="3:21" ht="90.6" customHeight="1" x14ac:dyDescent="0.25">
      <c r="C9" s="5"/>
      <c r="D9" s="5"/>
      <c r="E9" s="5"/>
      <c r="F9" s="5"/>
      <c r="G9" s="5"/>
    </row>
    <row r="10" spans="3:21" ht="90.6" customHeight="1" x14ac:dyDescent="0.25"/>
    <row r="11" spans="3:21" ht="29.1" customHeight="1" x14ac:dyDescent="0.35">
      <c r="C11" s="9" t="s">
        <v>909</v>
      </c>
    </row>
    <row r="12" spans="3:21" ht="14.1" customHeight="1" x14ac:dyDescent="0.25"/>
    <row r="13" spans="3:21" ht="95.45" customHeight="1" x14ac:dyDescent="0.2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45" customHeight="1" x14ac:dyDescent="0.2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25">
      <c r="O15" s="5"/>
      <c r="Q15" s="5"/>
      <c r="R15" s="5"/>
    </row>
    <row r="17" spans="3:21" x14ac:dyDescent="0.2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6">
        <v>1</v>
      </c>
      <c r="R17" s="446"/>
      <c r="T17" s="446">
        <v>1</v>
      </c>
      <c r="U17" s="446"/>
    </row>
    <row r="21" spans="3:21" ht="96.95" customHeight="1" x14ac:dyDescent="0.25">
      <c r="C21" s="5"/>
      <c r="E21" s="5"/>
      <c r="G21" s="5"/>
      <c r="I21" s="5"/>
      <c r="K21" s="5"/>
      <c r="M21" s="5"/>
      <c r="N21" s="5"/>
      <c r="Q21" s="5"/>
      <c r="R21" s="5"/>
    </row>
    <row r="22" spans="3:21" ht="96.95" customHeight="1" x14ac:dyDescent="0.25">
      <c r="I22" s="5"/>
      <c r="K22" s="5"/>
    </row>
    <row r="23" spans="3:21" ht="27" customHeight="1" x14ac:dyDescent="0.4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7" t="s">
        <v>911</v>
      </c>
      <c r="N23" s="447"/>
      <c r="O23" s="174"/>
      <c r="P23" s="174"/>
      <c r="Q23" s="447">
        <v>3</v>
      </c>
      <c r="R23" s="447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:K67"/>
  <sheetViews>
    <sheetView showGridLines="0" tabSelected="1" topLeftCell="A94" zoomScale="55" zoomScaleNormal="55" workbookViewId="0">
      <selection activeCell="AF134" sqref="AF134"/>
    </sheetView>
  </sheetViews>
  <sheetFormatPr baseColWidth="10" defaultRowHeight="15" x14ac:dyDescent="0.25"/>
  <cols>
    <col min="13" max="14" width="4.42578125" customWidth="1"/>
    <col min="16" max="21" width="3.42578125" customWidth="1"/>
  </cols>
  <sheetData>
    <row r="2" spans="3:3" ht="23.25" x14ac:dyDescent="0.35">
      <c r="C2" s="9" t="s">
        <v>610</v>
      </c>
    </row>
    <row r="33" spans="11:11" x14ac:dyDescent="0.25">
      <c r="K33" s="443"/>
    </row>
    <row r="44" spans="11:11" x14ac:dyDescent="0.25">
      <c r="K44" s="443"/>
    </row>
    <row r="54" spans="11:11" x14ac:dyDescent="0.25">
      <c r="K54" s="443"/>
    </row>
    <row r="67" spans="11:11" x14ac:dyDescent="0.25">
      <c r="K67" s="443"/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P125"/>
  <sheetViews>
    <sheetView zoomScale="115" zoomScaleNormal="115" workbookViewId="0">
      <selection activeCell="K40" sqref="K40"/>
    </sheetView>
  </sheetViews>
  <sheetFormatPr baseColWidth="10" defaultRowHeight="15" x14ac:dyDescent="0.25"/>
  <cols>
    <col min="3" max="3" width="41.140625" customWidth="1"/>
    <col min="4" max="4" width="17.42578125" customWidth="1"/>
    <col min="5" max="5" width="5.140625" customWidth="1"/>
    <col min="6" max="6" width="4.140625" customWidth="1"/>
    <col min="7" max="7" width="13.140625" customWidth="1"/>
    <col min="8" max="9" width="10.85546875" customWidth="1"/>
    <col min="10" max="11" width="20.7109375" customWidth="1"/>
    <col min="12" max="12" width="34.28515625" customWidth="1"/>
    <col min="13" max="13" width="35.42578125" customWidth="1"/>
    <col min="14" max="14" width="6.85546875" customWidth="1"/>
    <col min="15" max="15" width="6.28515625" customWidth="1"/>
    <col min="16" max="16" width="10.85546875" customWidth="1"/>
    <col min="17" max="17" width="7.85546875" customWidth="1"/>
    <col min="18" max="18" width="10.85546875" customWidth="1"/>
    <col min="19" max="19" width="5.42578125" customWidth="1"/>
    <col min="20" max="20" width="14.42578125" customWidth="1"/>
    <col min="21" max="21" width="3.28515625" customWidth="1"/>
    <col min="22" max="22" width="8.42578125" customWidth="1"/>
    <col min="23" max="24" width="12.28515625" customWidth="1"/>
    <col min="25" max="25" width="5.42578125" customWidth="1"/>
    <col min="27" max="27" width="18.5703125" customWidth="1"/>
    <col min="28" max="28" width="14.7109375" customWidth="1"/>
    <col min="29" max="29" width="4.140625" customWidth="1"/>
    <col min="30" max="30" width="46.42578125" customWidth="1"/>
  </cols>
  <sheetData>
    <row r="2" spans="3:28" ht="23.25" x14ac:dyDescent="0.35">
      <c r="C2" s="9" t="s">
        <v>889</v>
      </c>
      <c r="R2" t="s">
        <v>64</v>
      </c>
      <c r="T2" t="s">
        <v>966</v>
      </c>
      <c r="AA2" s="8" t="s">
        <v>864</v>
      </c>
      <c r="AB2" s="4" t="s">
        <v>64</v>
      </c>
    </row>
    <row r="3" spans="3:28" x14ac:dyDescent="0.25">
      <c r="R3" t="s">
        <v>65</v>
      </c>
      <c r="T3" t="s">
        <v>967</v>
      </c>
    </row>
    <row r="16" spans="3:28" ht="15.75" thickBot="1" x14ac:dyDescent="0.3"/>
    <row r="17" spans="3:38" x14ac:dyDescent="0.25">
      <c r="Z17" s="396"/>
      <c r="AA17" s="397"/>
      <c r="AB17" s="397"/>
      <c r="AC17" s="397"/>
      <c r="AD17" s="397"/>
      <c r="AE17" s="398"/>
    </row>
    <row r="18" spans="3:38" x14ac:dyDescent="0.25">
      <c r="Z18" s="399"/>
      <c r="AE18" s="400"/>
    </row>
    <row r="19" spans="3:38" x14ac:dyDescent="0.25">
      <c r="Z19" s="399"/>
      <c r="AB19" s="5" t="s">
        <v>866</v>
      </c>
      <c r="AD19" s="5" t="s">
        <v>865</v>
      </c>
      <c r="AE19" s="400"/>
    </row>
    <row r="20" spans="3:38" ht="20.45" customHeight="1" x14ac:dyDescent="0.3">
      <c r="C20" s="8" t="s">
        <v>855</v>
      </c>
      <c r="D20" s="4">
        <v>1.5</v>
      </c>
      <c r="E20" s="4" t="s">
        <v>694</v>
      </c>
      <c r="F20" s="5" t="str">
        <f>Einheitenvorsätze!B61</f>
        <v>Ω</v>
      </c>
      <c r="G20" s="77">
        <f>VLOOKUP(E20, CHOOSE({1,2,3,4,5}, Einheitenvorsätze!A:A, Einheitenvorsätze!B:B, Einheitenvorsätze!C:C, Einheitenvorsätze!D:D, Einheitenvorsätze!E:E), 5, FALSE)</f>
        <v>3</v>
      </c>
      <c r="H20" s="77">
        <f>D20*VLOOKUP(E20, CHOOSE({1,2,3,4}, Einheitenvorsätze!A:A, Einheitenvorsätze!B:B, Einheitenvorsätze!C:C, Einheitenvorsätze!D:D), 3, FALSE)</f>
        <v>1500</v>
      </c>
      <c r="I20" s="393" t="str">
        <f>C20</f>
        <v xml:space="preserve">R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1.5 * 10³Ω</v>
      </c>
      <c r="K20" s="77" t="str">
        <f>IF(E20=Einheitenvorsätze!$A$19,_xlfn.CONCAT(D20,F20),_xlfn.CONCAT(D20,E20,F20))</f>
        <v>1.5kΩ</v>
      </c>
      <c r="L20" s="77" t="str">
        <f>_xlfn.CONCAT(I20,K20)</f>
        <v>R = 1.5kΩ</v>
      </c>
      <c r="M20" s="77" t="str">
        <f>_xlfn.CONCAT(I20,J20)</f>
        <v>R = 1.5 * 10³Ω</v>
      </c>
      <c r="Z20" s="399"/>
      <c r="AB20" s="394" t="str">
        <f>$L$20</f>
        <v>R = 1.5kΩ</v>
      </c>
      <c r="AD20" s="395" t="str">
        <f>IF($AB$2=$R$2,$L$25,_xlfn.CONCAT($C$25,"?"))</f>
        <v>ω = 6283.1853(1/s)</v>
      </c>
      <c r="AE20" s="400"/>
      <c r="AF20">
        <f>$H$20</f>
        <v>1500</v>
      </c>
      <c r="AG20" s="1" t="s">
        <v>876</v>
      </c>
      <c r="AH20">
        <v>0</v>
      </c>
      <c r="AI20">
        <f>IF($AB$2=$R$2,AF20,0)</f>
        <v>1500</v>
      </c>
      <c r="AK20">
        <v>0</v>
      </c>
      <c r="AL20">
        <v>0</v>
      </c>
    </row>
    <row r="21" spans="3:38" ht="20.45" customHeight="1" x14ac:dyDescent="0.3">
      <c r="C21" s="8" t="s">
        <v>856</v>
      </c>
      <c r="D21" s="4">
        <v>0.1</v>
      </c>
      <c r="E21" s="4" t="s">
        <v>715</v>
      </c>
      <c r="F21" s="5" t="s">
        <v>44</v>
      </c>
      <c r="G21" s="77">
        <f>VLOOKUP(E21, CHOOSE({1,2,3,4,5}, Einheitenvorsätze!A:A, Einheitenvorsätze!B:B, Einheitenvorsätze!C:C, Einheitenvorsätze!D:D, Einheitenvorsätze!E:E), 5, FALSE)</f>
        <v>-6</v>
      </c>
      <c r="H21" s="77">
        <f>D21*VLOOKUP(E21, CHOOSE({1,2,3,4}, Einheitenvorsätze!A:A, Einheitenvorsätze!B:B, Einheitenvorsätze!C:C, Einheitenvorsätze!D:D), 3, FALSE)</f>
        <v>9.9999999999999995E-8</v>
      </c>
      <c r="I21" s="393" t="str">
        <f>C21</f>
        <v xml:space="preserve">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0.1 * 10⁻⁶F</v>
      </c>
      <c r="K21" s="77" t="str">
        <f>IF(E21=Einheitenvorsätze!$A$19,_xlfn.CONCAT(D21,F21),_xlfn.CONCAT(D21,E21,F21))</f>
        <v>0.1µF</v>
      </c>
      <c r="L21" s="77" t="str">
        <f>_xlfn.CONCAT(I21,K21)</f>
        <v>C = 0.1µF</v>
      </c>
      <c r="M21" s="77" t="str">
        <f>_xlfn.CONCAT(I21,J21)</f>
        <v>C = 0.1 * 10⁻⁶F</v>
      </c>
      <c r="Z21" s="399"/>
      <c r="AB21" s="394" t="str">
        <f>$L$21</f>
        <v>C = 0.1µF</v>
      </c>
      <c r="AD21" s="395" t="str">
        <f>IF($AB$2=$R$2,$L$28,_xlfn.CONCAT($C$28,"?"))</f>
        <v>Blindwiderstand XC = 1.59kΩ</v>
      </c>
      <c r="AE21" s="400"/>
      <c r="AF21">
        <f>$H$28</f>
        <v>1590</v>
      </c>
      <c r="AG21" s="1" t="s">
        <v>877</v>
      </c>
      <c r="AH21">
        <v>0</v>
      </c>
      <c r="AI21">
        <v>0</v>
      </c>
      <c r="AK21">
        <v>0</v>
      </c>
      <c r="AL21">
        <f>IF($AB$2=$R$2,-AF21,0)</f>
        <v>-1590</v>
      </c>
    </row>
    <row r="22" spans="3:38" ht="20.45" customHeight="1" x14ac:dyDescent="0.3">
      <c r="C22" s="8" t="s">
        <v>857</v>
      </c>
      <c r="D22" s="4">
        <v>80</v>
      </c>
      <c r="E22" s="4" t="s">
        <v>712</v>
      </c>
      <c r="F22" s="5" t="s">
        <v>45</v>
      </c>
      <c r="G22" s="77">
        <f>VLOOKUP(E22, CHOOSE({1,2,3,4,5}, Einheitenvorsätze!A:A, Einheitenvorsätze!B:B, Einheitenvorsätze!C:C, Einheitenvorsätze!D:D, Einheitenvorsätze!E:E), 5, FALSE)</f>
        <v>-3</v>
      </c>
      <c r="H22" s="77">
        <f>D22*VLOOKUP(E22, CHOOSE({1,2,3,4}, Einheitenvorsätze!A:A, Einheitenvorsätze!B:B, Einheitenvorsätze!C:C, Einheitenvorsätze!D:D), 3, FALSE)</f>
        <v>0.08</v>
      </c>
      <c r="I22" s="393" t="str">
        <f>C22</f>
        <v xml:space="preserve">L = </v>
      </c>
      <c r="J22" s="77" t="str">
        <f>IF(E22=Einheitenvorsätze!$A$19,_xlfn.CONCAT(D22,F22),_xlfn.CONCAT(D22," * ",VLOOKUP(E22, CHOOSE({1,2,3,4}, Einheitenvorsätze!A:A, Einheitenvorsätze!B:B, Einheitenvorsätze!C:C, Einheitenvorsätze!D:D), 4, FALSE),F22))</f>
        <v>80 * 10⁻³H</v>
      </c>
      <c r="K22" s="77" t="str">
        <f>IF(E22=Einheitenvorsätze!$A$19,_xlfn.CONCAT(D22,F22),_xlfn.CONCAT(D22,E22,F22))</f>
        <v>80mH</v>
      </c>
      <c r="L22" s="77" t="str">
        <f>_xlfn.CONCAT(I22,K22)</f>
        <v>L = 80mH</v>
      </c>
      <c r="M22" s="77" t="str">
        <f>_xlfn.CONCAT(I22,J22)</f>
        <v>L = 80 * 10⁻³H</v>
      </c>
      <c r="Z22" s="399"/>
      <c r="AB22" s="394" t="str">
        <f>$L$23</f>
        <v>f =1kHZ</v>
      </c>
      <c r="AD22" s="395" t="str">
        <f>IF($AB$2=$R$2,$L$32,_xlfn.CONCAT($C$32,"?"))</f>
        <v>Scheinwiderstand ZRC = 2.19kΩ</v>
      </c>
      <c r="AE22" s="401"/>
      <c r="AF22">
        <f>ABS(MAX(AF20:AF21))*1.1</f>
        <v>1749.0000000000002</v>
      </c>
      <c r="AG22" s="1" t="s">
        <v>879</v>
      </c>
      <c r="AH22">
        <f>-AF22</f>
        <v>-1749.0000000000002</v>
      </c>
      <c r="AI22">
        <f>AF22</f>
        <v>1749.0000000000002</v>
      </c>
      <c r="AK22">
        <v>0</v>
      </c>
      <c r="AL22">
        <v>0</v>
      </c>
    </row>
    <row r="23" spans="3:38" ht="20.45" customHeight="1" x14ac:dyDescent="0.3">
      <c r="C23" s="8" t="s">
        <v>858</v>
      </c>
      <c r="D23" s="4">
        <v>1</v>
      </c>
      <c r="E23" s="4" t="s">
        <v>694</v>
      </c>
      <c r="F23" s="5" t="s">
        <v>859</v>
      </c>
      <c r="G23" s="77">
        <f>VLOOKUP(E23, CHOOSE({1,2,3,4,5}, Einheitenvorsätze!A:A, Einheitenvorsätze!B:B, Einheitenvorsätze!C:C, Einheitenvorsätze!D:D, Einheitenvorsätze!E:E), 5, FALSE)</f>
        <v>3</v>
      </c>
      <c r="H23" s="77">
        <f>D23*VLOOKUP(E23, CHOOSE({1,2,3,4}, Einheitenvorsätze!A:A, Einheitenvorsätze!B:B, Einheitenvorsätze!C:C, Einheitenvorsätze!D:D), 3, FALSE)</f>
        <v>1000</v>
      </c>
      <c r="I23" s="393" t="str">
        <f>C23</f>
        <v>f =</v>
      </c>
      <c r="J23" s="77" t="str">
        <f>IF(E23=Einheitenvorsätze!$A$19,_xlfn.CONCAT(D23,F23),_xlfn.CONCAT(D23," * ",VLOOKUP(E23, CHOOSE({1,2,3,4}, Einheitenvorsätze!A:A, Einheitenvorsätze!B:B, Einheitenvorsätze!C:C, Einheitenvorsätze!D:D), 4, FALSE),F23))</f>
        <v>1 * 10³HZ</v>
      </c>
      <c r="K23" s="77" t="str">
        <f>IF(E23=Einheitenvorsätze!$A$19,_xlfn.CONCAT(D23,F23),_xlfn.CONCAT(D23,E23,F23))</f>
        <v>1kHZ</v>
      </c>
      <c r="L23" s="77" t="str">
        <f>_xlfn.CONCAT(I23,K23)</f>
        <v>f =1kHZ</v>
      </c>
      <c r="M23" s="77" t="str">
        <f>_xlfn.CONCAT(I23,J23)</f>
        <v>f =1 * 10³HZ</v>
      </c>
      <c r="Z23" s="399"/>
      <c r="AD23" s="395" t="str">
        <f>IF($AB$2=$R$2,$T$32,_xlfn.CONCAT($O$32,"?"))</f>
        <v>φ = -46.7°</v>
      </c>
      <c r="AE23" s="400"/>
      <c r="AH23">
        <v>0</v>
      </c>
      <c r="AI23">
        <v>0</v>
      </c>
      <c r="AK23">
        <f>AH22</f>
        <v>-1749.0000000000002</v>
      </c>
      <c r="AL23">
        <f>AI22</f>
        <v>1749.0000000000002</v>
      </c>
    </row>
    <row r="24" spans="3:38" ht="20.45" customHeight="1" x14ac:dyDescent="0.3">
      <c r="Z24" s="399"/>
      <c r="AD24" s="395" t="str">
        <f>IF($AB$2=$R$2,$X$32,_xlfn.CONCAT($V$32,"?"))</f>
        <v>cos(φ) = 0.7</v>
      </c>
      <c r="AE24" s="400"/>
      <c r="AH24">
        <v>0</v>
      </c>
      <c r="AI24">
        <f>AI20</f>
        <v>1500</v>
      </c>
      <c r="AK24">
        <v>0</v>
      </c>
      <c r="AL24">
        <f>AL21</f>
        <v>-1590</v>
      </c>
    </row>
    <row r="25" spans="3:38" ht="20.45" customHeight="1" thickBot="1" x14ac:dyDescent="0.3">
      <c r="C25" s="8" t="s">
        <v>860</v>
      </c>
      <c r="D25" s="77">
        <f>ROUND((2*PI()*H23 / 10^G25),4)</f>
        <v>6283.1853000000001</v>
      </c>
      <c r="E25" s="4" t="s">
        <v>703</v>
      </c>
      <c r="F25" s="5" t="s">
        <v>861</v>
      </c>
      <c r="G25" s="77">
        <f>VLOOKUP(E25, CHOOSE({1,2,3,4,5}, Einheitenvorsätze!A:A, Einheitenvorsätze!B:B, Einheitenvorsätze!C:C, Einheitenvorsätze!D:D, Einheitenvorsätze!E:E), 5, FALSE)</f>
        <v>0</v>
      </c>
      <c r="H25" s="77">
        <f>D25*VLOOKUP(E25, CHOOSE({1,2,3,4}, Einheitenvorsätze!A:A, Einheitenvorsätze!B:B, Einheitenvorsätze!C:C, Einheitenvorsätze!D:D), 3, FALSE)</f>
        <v>6283.1853000000001</v>
      </c>
      <c r="I25" s="393" t="str">
        <f>C25</f>
        <v xml:space="preserve">ω = </v>
      </c>
      <c r="J25" s="77" t="str">
        <f>IF(E25=Einheitenvorsätze!$A$19,_xlfn.CONCAT(D25,F25),_xlfn.CONCAT(D25," * ",VLOOKUP(E25, CHOOSE({1,2,3,4}, Einheitenvorsätze!A:A, Einheitenvorsätze!B:B, Einheitenvorsätze!C:C, Einheitenvorsätze!D:D), 4, FALSE),F25))</f>
        <v>6283.1853(1/s)</v>
      </c>
      <c r="K25" s="77" t="str">
        <f>IF(E25=Einheitenvorsätze!$A$19,_xlfn.CONCAT(D25,F25),_xlfn.CONCAT(D25,E25,F25))</f>
        <v>6283.1853(1/s)</v>
      </c>
      <c r="L25" s="77" t="str">
        <f>_xlfn.CONCAT(I25,K25)</f>
        <v>ω = 6283.1853(1/s)</v>
      </c>
      <c r="M25" s="77" t="str">
        <f>_xlfn.CONCAT(I25,J25)</f>
        <v>ω = 6283.1853(1/s)</v>
      </c>
      <c r="Z25" s="402"/>
      <c r="AA25" s="403"/>
      <c r="AB25" s="403"/>
      <c r="AC25" s="403"/>
      <c r="AD25" s="403"/>
      <c r="AE25" s="404"/>
    </row>
    <row r="26" spans="3:38" ht="20.45" customHeight="1" x14ac:dyDescent="0.25"/>
    <row r="27" spans="3:38" ht="20.45" customHeight="1" x14ac:dyDescent="0.25"/>
    <row r="28" spans="3:38" ht="20.45" customHeight="1" x14ac:dyDescent="0.35">
      <c r="C28" s="8" t="s">
        <v>947</v>
      </c>
      <c r="D28" s="77">
        <f>ROUND((1/((D25*D21)*10^(G25+G21)))/10^G28,2)</f>
        <v>1.59</v>
      </c>
      <c r="E28" s="4" t="s">
        <v>694</v>
      </c>
      <c r="F28" s="5" t="str">
        <f>F20</f>
        <v>Ω</v>
      </c>
      <c r="G28" s="77">
        <f>VLOOKUP(E28, CHOOSE({1,2,3,4,5}, Einheitenvorsätze!A:A, Einheitenvorsätze!B:B, Einheitenvorsätze!C:C, Einheitenvorsätze!D:D, Einheitenvorsätze!E:E), 5, FALSE)</f>
        <v>3</v>
      </c>
      <c r="H28" s="77">
        <f>D28*VLOOKUP(E28, CHOOSE({1,2,3,4}, Einheitenvorsätze!A:A, Einheitenvorsätze!B:B, Einheitenvorsätze!C:C, Einheitenvorsätze!D:D), 3, FALSE)</f>
        <v>1590</v>
      </c>
      <c r="I28" s="393" t="str">
        <f>C28</f>
        <v xml:space="preserve">Blindwiderstand XC = </v>
      </c>
      <c r="J28" s="77" t="str">
        <f>IF(E28=Einheitenvorsätze!$A$19,_xlfn.CONCAT(D28,F28),_xlfn.CONCAT(D28," * ",VLOOKUP(E28, CHOOSE({1,2,3,4}, Einheitenvorsätze!A:A, Einheitenvorsätze!B:B, Einheitenvorsätze!C:C, Einheitenvorsätze!D:D), 4, FALSE),F28))</f>
        <v>1.59 * 10³Ω</v>
      </c>
      <c r="K28" s="77" t="str">
        <f>IF(E28=Einheitenvorsätze!$A$19,_xlfn.CONCAT(D28,F28),_xlfn.CONCAT(D28,E28,F28))</f>
        <v>1.59kΩ</v>
      </c>
      <c r="L28" s="77" t="str">
        <f>_xlfn.CONCAT(I28,K28)</f>
        <v>Blindwiderstand XC = 1.59kΩ</v>
      </c>
      <c r="M28" s="77" t="str">
        <f>_xlfn.CONCAT(I28,J28)</f>
        <v>Blindwiderstand XC = 1.59 * 10³Ω</v>
      </c>
    </row>
    <row r="29" spans="3:38" ht="20.45" customHeight="1" x14ac:dyDescent="0.35">
      <c r="C29" s="8" t="s">
        <v>948</v>
      </c>
      <c r="D29" s="77">
        <f>ROUND((((D25*D22)*10^(G25+G22))/10^G29),4)</f>
        <v>502.65480000000002</v>
      </c>
      <c r="E29" s="4" t="s">
        <v>703</v>
      </c>
      <c r="F29" s="5" t="str">
        <f>F20</f>
        <v>Ω</v>
      </c>
      <c r="G29" s="77">
        <f>VLOOKUP(E29, CHOOSE({1,2,3,4,5}, Einheitenvorsätze!A:A, Einheitenvorsätze!B:B, Einheitenvorsätze!C:C, Einheitenvorsätze!D:D, Einheitenvorsätze!E:E), 5, FALSE)</f>
        <v>0</v>
      </c>
      <c r="H29" s="77">
        <f>D29*VLOOKUP(E29, CHOOSE({1,2,3,4}, Einheitenvorsätze!A:A, Einheitenvorsätze!B:B, Einheitenvorsätze!C:C, Einheitenvorsätze!D:D), 3, FALSE)</f>
        <v>502.65480000000002</v>
      </c>
      <c r="I29" s="393" t="str">
        <f>C29</f>
        <v xml:space="preserve">Blindwiderstand XL = </v>
      </c>
      <c r="J29" s="77" t="str">
        <f>IF(E29=Einheitenvorsätze!$A$19,_xlfn.CONCAT(D29,F29),_xlfn.CONCAT(D29," * ",VLOOKUP(E29, CHOOSE({1,2,3,4}, Einheitenvorsätze!A:A, Einheitenvorsätze!B:B, Einheitenvorsätze!C:C, Einheitenvorsätze!D:D), 4, FALSE),F29))</f>
        <v>502.6548Ω</v>
      </c>
      <c r="K29" s="77" t="str">
        <f>IF(E29=Einheitenvorsätze!$A$19,_xlfn.CONCAT(D29,F29),_xlfn.CONCAT(D29,E29,F29))</f>
        <v>502.6548Ω</v>
      </c>
      <c r="L29" s="77" t="str">
        <f>_xlfn.CONCAT(I29,K29)</f>
        <v>Blindwiderstand XL = 502.6548Ω</v>
      </c>
      <c r="M29" s="77" t="str">
        <f>_xlfn.CONCAT(I29,J29)</f>
        <v>Blindwiderstand XL = 502.6548Ω</v>
      </c>
    </row>
    <row r="31" spans="3:38" x14ac:dyDescent="0.25">
      <c r="C31" t="s">
        <v>862</v>
      </c>
    </row>
    <row r="32" spans="3:38" ht="18" x14ac:dyDescent="0.35">
      <c r="C32" s="8" t="s">
        <v>949</v>
      </c>
      <c r="D32" s="77">
        <f>ROUND(SQRT(H20^2 + H28^2) / 10^G32,2)</f>
        <v>2.19</v>
      </c>
      <c r="E32" s="4" t="s">
        <v>694</v>
      </c>
      <c r="F32" s="5" t="str">
        <f>F29</f>
        <v>Ω</v>
      </c>
      <c r="G32" s="77">
        <f>VLOOKUP(E32, CHOOSE({1,2,3,4,5}, Einheitenvorsätze!A:A, Einheitenvorsätze!B:B, Einheitenvorsätze!C:C, Einheitenvorsätze!D:D, Einheitenvorsätze!E:E), 5, FALSE)</f>
        <v>3</v>
      </c>
      <c r="H32" s="77">
        <f>D32*VLOOKUP(E32, CHOOSE({1,2,3,4}, Einheitenvorsätze!A:A, Einheitenvorsätze!B:B, Einheitenvorsätze!C:C, Einheitenvorsätze!D:D), 3, FALSE)</f>
        <v>2190</v>
      </c>
      <c r="I32" s="393" t="str">
        <f>C32</f>
        <v xml:space="preserve">Scheinwiderstand ZRC = </v>
      </c>
      <c r="J32" s="77" t="str">
        <f>IF(E32=Einheitenvorsätze!$A$19,_xlfn.CONCAT(D32,F32),_xlfn.CONCAT(D32," * ",VLOOKUP(E32, CHOOSE({1,2,3,4}, Einheitenvorsätze!A:A, Einheitenvorsätze!B:B, Einheitenvorsätze!C:C, Einheitenvorsätze!D:D), 4, FALSE),F32))</f>
        <v>2.19 * 10³Ω</v>
      </c>
      <c r="K32" s="77" t="str">
        <f>IF(E32=Einheitenvorsätze!$A$19,_xlfn.CONCAT(D32,F32),_xlfn.CONCAT(D32,E32,F32))</f>
        <v>2.19kΩ</v>
      </c>
      <c r="L32" s="77" t="str">
        <f>_xlfn.CONCAT(I32,K32)</f>
        <v>Scheinwiderstand ZRC = 2.19kΩ</v>
      </c>
      <c r="M32" s="77" t="str">
        <f>_xlfn.CONCAT(I32,J32)</f>
        <v>Scheinwiderstand ZRC = 2.19 * 10³Ω</v>
      </c>
      <c r="O32" s="8" t="s">
        <v>863</v>
      </c>
      <c r="P32" s="77">
        <f>ATAN2(H20,-H28)</f>
        <v>-0.8145161449044872</v>
      </c>
      <c r="Q32" s="5" t="s">
        <v>202</v>
      </c>
      <c r="R32" s="77">
        <f>DEGREES(P32)</f>
        <v>-46.668337448293308</v>
      </c>
      <c r="S32" s="5" t="s">
        <v>201</v>
      </c>
      <c r="T32" s="77" t="str">
        <f>_xlfn.CONCAT(O32,ROUND(R32,1),S32)</f>
        <v>φ = -46.7°</v>
      </c>
      <c r="V32" s="5" t="s">
        <v>954</v>
      </c>
      <c r="W32" s="77">
        <f>COS(RADIANS(R32))</f>
        <v>0.68622042689571938</v>
      </c>
      <c r="X32" s="77" t="str">
        <f>_xlfn.CONCAT(V32,ROUND(W32,1))</f>
        <v>cos(φ) = 0.7</v>
      </c>
    </row>
    <row r="33" spans="2:38" ht="18" x14ac:dyDescent="0.35">
      <c r="C33" s="8" t="s">
        <v>950</v>
      </c>
      <c r="D33" s="77">
        <f>ROUND(SQRT(H20^2 + H29^2)/10^G33,2)</f>
        <v>1.58</v>
      </c>
      <c r="E33" s="4" t="s">
        <v>694</v>
      </c>
      <c r="F33" s="5" t="str">
        <f>F29</f>
        <v>Ω</v>
      </c>
      <c r="G33" s="77">
        <f>VLOOKUP(E33, CHOOSE({1,2,3,4,5}, Einheitenvorsätze!A:A, Einheitenvorsätze!B:B, Einheitenvorsätze!C:C, Einheitenvorsätze!D:D, Einheitenvorsätze!E:E), 5, FALSE)</f>
        <v>3</v>
      </c>
      <c r="H33" s="77">
        <f>D33*VLOOKUP(E33, CHOOSE({1,2,3,4}, Einheitenvorsätze!A:A, Einheitenvorsätze!B:B, Einheitenvorsätze!C:C, Einheitenvorsätze!D:D), 3, FALSE)</f>
        <v>1580</v>
      </c>
      <c r="I33" s="393" t="str">
        <f>C33</f>
        <v xml:space="preserve">Scheinwiderstand ZRL = </v>
      </c>
      <c r="J33" s="77" t="str">
        <f>IF(E33=Einheitenvorsätze!$A$19,_xlfn.CONCAT(D33,F33),_xlfn.CONCAT(D33," * ",VLOOKUP(E33, CHOOSE({1,2,3,4}, Einheitenvorsätze!A:A, Einheitenvorsätze!B:B, Einheitenvorsätze!C:C, Einheitenvorsätze!D:D), 4, FALSE),F33))</f>
        <v>1.58 * 10³Ω</v>
      </c>
      <c r="K33" s="77" t="str">
        <f>IF(E33=Einheitenvorsätze!$A$19,_xlfn.CONCAT(D33,F33),_xlfn.CONCAT(D33,E33,F33))</f>
        <v>1.58kΩ</v>
      </c>
      <c r="L33" s="77" t="str">
        <f>_xlfn.CONCAT(I33,K33)</f>
        <v>Scheinwiderstand ZRL = 1.58kΩ</v>
      </c>
      <c r="M33" s="77" t="str">
        <f>_xlfn.CONCAT(I33,J33)</f>
        <v>Scheinwiderstand ZRL = 1.58 * 10³Ω</v>
      </c>
      <c r="O33" s="8" t="s">
        <v>863</v>
      </c>
      <c r="P33" s="77">
        <f>ATAN2(H20,H29)</f>
        <v>0.32334258774486002</v>
      </c>
      <c r="Q33" s="5" t="s">
        <v>202</v>
      </c>
      <c r="R33" s="77">
        <f>DEGREES(P33)</f>
        <v>18.526165614618975</v>
      </c>
      <c r="S33" s="5" t="s">
        <v>201</v>
      </c>
      <c r="T33" s="77" t="str">
        <f>_xlfn.CONCAT(O33,ROUND(R33,1),S33)</f>
        <v>φ = 18.5°</v>
      </c>
      <c r="V33" s="5" t="s">
        <v>954</v>
      </c>
      <c r="W33" s="77">
        <f>COS(RADIANS(R33))</f>
        <v>0.9481786508621064</v>
      </c>
      <c r="X33" s="77" t="str">
        <f>_xlfn.CONCAT(V33,ROUND(W33,1))</f>
        <v>cos(φ) = 0.9</v>
      </c>
    </row>
    <row r="34" spans="2:38" ht="18" x14ac:dyDescent="0.35">
      <c r="B34" s="435" t="str">
        <f>IF(H28=H29,"ohmsch",IF(H28&gt;H29,"kapazitiv","induktiv"))</f>
        <v>kapazitiv</v>
      </c>
      <c r="C34" s="8" t="s">
        <v>951</v>
      </c>
      <c r="D34" s="77">
        <f>ROUND(SQRT(H20^2 + (H28-H29)^2)/10^G34,2)</f>
        <v>1.85</v>
      </c>
      <c r="E34" s="4" t="s">
        <v>694</v>
      </c>
      <c r="F34" s="5" t="str">
        <f>F28</f>
        <v>Ω</v>
      </c>
      <c r="G34" s="77">
        <f>VLOOKUP(E34, CHOOSE({1,2,3,4,5}, Einheitenvorsätze!A:A, Einheitenvorsätze!B:B, Einheitenvorsätze!C:C, Einheitenvorsätze!D:D, Einheitenvorsätze!E:E), 5, FALSE)</f>
        <v>3</v>
      </c>
      <c r="H34" s="77">
        <f>D34*VLOOKUP(E34, CHOOSE({1,2,3,4}, Einheitenvorsätze!A:A, Einheitenvorsätze!B:B, Einheitenvorsätze!C:C, Einheitenvorsätze!D:D), 3, FALSE)</f>
        <v>1850</v>
      </c>
      <c r="I34" s="393" t="str">
        <f>C34</f>
        <v xml:space="preserve">Scheinwiderstand ZRLC = </v>
      </c>
      <c r="J34" s="77" t="str">
        <f>IF(E34=Einheitenvorsätze!$A$19,_xlfn.CONCAT(D34,F34),_xlfn.CONCAT(D34," * ",VLOOKUP(E34, CHOOSE({1,2,3,4}, Einheitenvorsätze!A:A, Einheitenvorsätze!B:B, Einheitenvorsätze!C:C, Einheitenvorsätze!D:D), 4, FALSE),F34))</f>
        <v>1.85 * 10³Ω</v>
      </c>
      <c r="K34" s="77" t="str">
        <f>IF(E34=Einheitenvorsätze!$A$19,_xlfn.CONCAT(D34,F34),_xlfn.CONCAT(D34,E34,F34))</f>
        <v>1.85kΩ</v>
      </c>
      <c r="L34" s="77" t="str">
        <f>_xlfn.CONCAT(I34,K34)</f>
        <v>Scheinwiderstand ZRLC = 1.85kΩ</v>
      </c>
      <c r="M34" s="77" t="str">
        <f>_xlfn.CONCAT(I34,J34)</f>
        <v>Scheinwiderstand ZRLC = 1.85 * 10³Ω</v>
      </c>
      <c r="O34" s="8" t="s">
        <v>863</v>
      </c>
      <c r="P34" s="77">
        <f>ATAN2(H20,H29-H28)</f>
        <v>-0.62724054455024325</v>
      </c>
      <c r="Q34" s="5" t="s">
        <v>202</v>
      </c>
      <c r="R34" s="77">
        <f>DEGREES(P34)</f>
        <v>-35.93823594221643</v>
      </c>
      <c r="S34" s="5" t="s">
        <v>201</v>
      </c>
      <c r="T34" s="77" t="str">
        <f>_xlfn.CONCAT(O34,ROUND(R34,1),S34)</f>
        <v>φ = -35.9°</v>
      </c>
      <c r="V34" s="5" t="s">
        <v>954</v>
      </c>
      <c r="W34" s="77">
        <f>COS(RADIANS(R34))</f>
        <v>0.80965014856304451</v>
      </c>
      <c r="X34" s="77" t="str">
        <f>_xlfn.CONCAT(V34,ROUND(W34,1))</f>
        <v>cos(φ) = 0.8</v>
      </c>
    </row>
    <row r="35" spans="2:38" ht="15.75" thickBot="1" x14ac:dyDescent="0.3"/>
    <row r="36" spans="2:38" ht="23.25" x14ac:dyDescent="0.35">
      <c r="Z36" s="405"/>
      <c r="AA36" s="406"/>
      <c r="AB36" s="397"/>
      <c r="AC36" s="397"/>
      <c r="AD36" s="397"/>
      <c r="AE36" s="398"/>
    </row>
    <row r="37" spans="2:38" ht="23.25" x14ac:dyDescent="0.35">
      <c r="Z37" s="407"/>
      <c r="AA37" s="245"/>
      <c r="AB37" s="5" t="s">
        <v>866</v>
      </c>
      <c r="AD37" s="5" t="s">
        <v>865</v>
      </c>
      <c r="AE37" s="400"/>
    </row>
    <row r="38" spans="2:38" ht="19.5" x14ac:dyDescent="0.35">
      <c r="C38" t="s">
        <v>952</v>
      </c>
      <c r="G38" s="168" t="s">
        <v>995</v>
      </c>
      <c r="Z38" s="399"/>
      <c r="AB38" s="394" t="str">
        <f>$L$20</f>
        <v>R = 1.5kΩ</v>
      </c>
      <c r="AD38" s="395" t="str">
        <f>IF($AB$2=$R$2,$L$25,_xlfn.CONCAT($C$25,"?"))</f>
        <v>ω = 6283.1853(1/s)</v>
      </c>
      <c r="AE38" s="400"/>
      <c r="AF38">
        <f>$H$20</f>
        <v>1500</v>
      </c>
      <c r="AG38" s="1" t="s">
        <v>876</v>
      </c>
      <c r="AH38">
        <v>0</v>
      </c>
      <c r="AI38">
        <f>IF($AB$2=$R$2,AF38,0)</f>
        <v>1500</v>
      </c>
      <c r="AK38">
        <v>0</v>
      </c>
      <c r="AL38">
        <v>0</v>
      </c>
    </row>
    <row r="39" spans="2:38" ht="18.75" x14ac:dyDescent="0.3">
      <c r="C39" t="s">
        <v>953</v>
      </c>
      <c r="Z39" s="399"/>
      <c r="AB39" s="394" t="str">
        <f>$L$22</f>
        <v>L = 80mH</v>
      </c>
      <c r="AD39" s="395" t="str">
        <f>IF($AB$2=$R$2,$L$29,_xlfn.CONCAT($C$29,"?"))</f>
        <v>Blindwiderstand XL = 502.6548Ω</v>
      </c>
      <c r="AE39" s="400"/>
      <c r="AF39" s="437">
        <f>$H$29</f>
        <v>502.65480000000002</v>
      </c>
      <c r="AG39" s="1" t="s">
        <v>878</v>
      </c>
      <c r="AH39">
        <v>0</v>
      </c>
      <c r="AI39">
        <v>0</v>
      </c>
      <c r="AK39">
        <v>0</v>
      </c>
      <c r="AL39">
        <f>IF($AB$2=$R$2,AF39,0)</f>
        <v>502.65480000000002</v>
      </c>
    </row>
    <row r="40" spans="2:38" ht="18.75" x14ac:dyDescent="0.3">
      <c r="Z40" s="399"/>
      <c r="AB40" s="394" t="str">
        <f>$L$23</f>
        <v>f =1kHZ</v>
      </c>
      <c r="AD40" s="395" t="str">
        <f>IF($AB$2=$R$2,$L$33,_xlfn.CONCAT($C$33,"?"))</f>
        <v>Scheinwiderstand ZRL = 1.58kΩ</v>
      </c>
      <c r="AE40" s="400"/>
      <c r="AF40">
        <f>ABS(MAX(AF38:AF39))*1.1</f>
        <v>1650.0000000000002</v>
      </c>
      <c r="AG40" s="1" t="s">
        <v>879</v>
      </c>
      <c r="AH40">
        <f>-AF40</f>
        <v>-1650.0000000000002</v>
      </c>
      <c r="AI40">
        <f>AF40</f>
        <v>1650.0000000000002</v>
      </c>
      <c r="AK40">
        <v>0</v>
      </c>
      <c r="AL40">
        <v>0</v>
      </c>
    </row>
    <row r="41" spans="2:38" ht="18.75" x14ac:dyDescent="0.3">
      <c r="C41" s="442" t="s">
        <v>967</v>
      </c>
      <c r="D41" s="2">
        <v>1.6</v>
      </c>
      <c r="Z41" s="399"/>
      <c r="AD41" s="395" t="str">
        <f>IF($AB$2=$R$2,$T$33,_xlfn.CONCAT($O$33,"?"))</f>
        <v>φ = 18.5°</v>
      </c>
      <c r="AE41" s="400"/>
      <c r="AH41">
        <v>0</v>
      </c>
      <c r="AI41">
        <v>0</v>
      </c>
      <c r="AK41">
        <f>AH40</f>
        <v>-1650.0000000000002</v>
      </c>
      <c r="AL41">
        <f>AI40</f>
        <v>1650.0000000000002</v>
      </c>
    </row>
    <row r="42" spans="2:38" ht="18.75" x14ac:dyDescent="0.3">
      <c r="C42" s="8" t="s">
        <v>969</v>
      </c>
      <c r="D42" s="4">
        <v>1</v>
      </c>
      <c r="E42" s="5">
        <f>IF($C$41=$T$2, D42+$D$41,D42*$D$41)</f>
        <v>1.6</v>
      </c>
      <c r="F42" s="5">
        <f t="shared" ref="F42:X42" si="0">IF($C$41=$T$2, E42+$D$41,E42*$D$41)</f>
        <v>2.5600000000000005</v>
      </c>
      <c r="G42" s="5">
        <f t="shared" si="0"/>
        <v>4.096000000000001</v>
      </c>
      <c r="H42" s="5">
        <f t="shared" si="0"/>
        <v>6.5536000000000021</v>
      </c>
      <c r="I42" s="5">
        <f t="shared" si="0"/>
        <v>10.485760000000004</v>
      </c>
      <c r="J42" s="5">
        <f t="shared" si="0"/>
        <v>16.777216000000006</v>
      </c>
      <c r="K42" s="5">
        <f t="shared" si="0"/>
        <v>26.843545600000013</v>
      </c>
      <c r="L42" s="5">
        <f t="shared" si="0"/>
        <v>42.949672960000022</v>
      </c>
      <c r="M42" s="5">
        <f t="shared" si="0"/>
        <v>68.719476736000033</v>
      </c>
      <c r="N42" s="5">
        <f t="shared" si="0"/>
        <v>109.95116277760006</v>
      </c>
      <c r="O42" s="5">
        <f t="shared" si="0"/>
        <v>175.9218604441601</v>
      </c>
      <c r="P42" s="5">
        <f t="shared" si="0"/>
        <v>281.47497671065616</v>
      </c>
      <c r="Q42" s="5">
        <f t="shared" si="0"/>
        <v>450.3599627370499</v>
      </c>
      <c r="R42" s="5">
        <f t="shared" si="0"/>
        <v>720.57594037927993</v>
      </c>
      <c r="S42" s="5">
        <f t="shared" si="0"/>
        <v>1152.921504606848</v>
      </c>
      <c r="T42" s="5">
        <f t="shared" si="0"/>
        <v>1844.6744073709569</v>
      </c>
      <c r="U42" s="5">
        <f t="shared" si="0"/>
        <v>2951.4790517935312</v>
      </c>
      <c r="V42" s="5">
        <f t="shared" si="0"/>
        <v>4722.3664828696501</v>
      </c>
      <c r="W42" s="5">
        <f t="shared" si="0"/>
        <v>7555.7863725914403</v>
      </c>
      <c r="X42" s="5">
        <f t="shared" si="0"/>
        <v>12089.258196146306</v>
      </c>
      <c r="Z42" s="399"/>
      <c r="AD42" s="395" t="str">
        <f>IF($AB$2=$R$2,$X$33,_xlfn.CONCAT($V$33,"?"))</f>
        <v>cos(φ) = 0.9</v>
      </c>
      <c r="AE42" s="400"/>
      <c r="AH42">
        <v>0</v>
      </c>
      <c r="AI42">
        <f>AI38</f>
        <v>1500</v>
      </c>
      <c r="AK42">
        <v>0</v>
      </c>
      <c r="AL42">
        <f>AL39</f>
        <v>502.65480000000002</v>
      </c>
    </row>
    <row r="43" spans="2:38" ht="17.25" x14ac:dyDescent="0.25">
      <c r="C43" s="8" t="s">
        <v>968</v>
      </c>
      <c r="D43" s="5">
        <f>2*PI()*D42</f>
        <v>6.2831853071795862</v>
      </c>
      <c r="E43" s="5">
        <f t="shared" ref="E43:X43" si="1">2*PI()*E42</f>
        <v>10.053096491487338</v>
      </c>
      <c r="F43" s="5">
        <f t="shared" si="1"/>
        <v>16.084954386379742</v>
      </c>
      <c r="G43" s="5">
        <f t="shared" si="1"/>
        <v>25.73592701820759</v>
      </c>
      <c r="H43" s="5">
        <f t="shared" si="1"/>
        <v>41.17748322913215</v>
      </c>
      <c r="I43" s="5">
        <f t="shared" si="1"/>
        <v>65.88397316661144</v>
      </c>
      <c r="J43" s="5">
        <f t="shared" si="1"/>
        <v>105.4143570665783</v>
      </c>
      <c r="K43" s="5">
        <f t="shared" si="1"/>
        <v>168.66297130652532</v>
      </c>
      <c r="L43" s="5">
        <f t="shared" si="1"/>
        <v>269.86075409044048</v>
      </c>
      <c r="M43" s="5">
        <f t="shared" si="1"/>
        <v>431.77720654470477</v>
      </c>
      <c r="N43" s="5">
        <f t="shared" si="1"/>
        <v>690.84353047152774</v>
      </c>
      <c r="O43" s="5">
        <f t="shared" si="1"/>
        <v>1105.3496487544444</v>
      </c>
      <c r="P43" s="5">
        <f t="shared" si="1"/>
        <v>1768.5594380071111</v>
      </c>
      <c r="Q43" s="5">
        <f t="shared" si="1"/>
        <v>2829.6951008113779</v>
      </c>
      <c r="R43" s="5">
        <f t="shared" si="1"/>
        <v>4527.5121612982048</v>
      </c>
      <c r="S43" s="5">
        <f t="shared" si="1"/>
        <v>7244.0194580771285</v>
      </c>
      <c r="T43" s="5">
        <f t="shared" si="1"/>
        <v>11590.431132923408</v>
      </c>
      <c r="U43" s="5">
        <f t="shared" si="1"/>
        <v>18544.689812677454</v>
      </c>
      <c r="V43" s="5">
        <f t="shared" si="1"/>
        <v>29671.503700283924</v>
      </c>
      <c r="W43" s="5">
        <f t="shared" si="1"/>
        <v>47474.405920454279</v>
      </c>
      <c r="X43" s="5">
        <f t="shared" si="1"/>
        <v>75959.049472726852</v>
      </c>
      <c r="Z43" s="399"/>
      <c r="AE43" s="400"/>
    </row>
    <row r="44" spans="2:38" ht="18" x14ac:dyDescent="0.35">
      <c r="C44" s="8" t="s">
        <v>971</v>
      </c>
      <c r="D44" s="5">
        <f>1/(D43*$H$21)</f>
        <v>1591549.4309189534</v>
      </c>
      <c r="E44" s="5">
        <f>1/(E43*$H$21)</f>
        <v>994718.39432434586</v>
      </c>
      <c r="F44" s="5">
        <f t="shared" ref="F44:X44" si="2">1/(F43*$H$21)</f>
        <v>621698.99645271618</v>
      </c>
      <c r="G44" s="5">
        <f t="shared" si="2"/>
        <v>388561.87278294755</v>
      </c>
      <c r="H44" s="5">
        <f t="shared" si="2"/>
        <v>242851.17048934216</v>
      </c>
      <c r="I44" s="5">
        <f t="shared" si="2"/>
        <v>151781.98155583887</v>
      </c>
      <c r="J44" s="5">
        <f t="shared" si="2"/>
        <v>94863.738472399287</v>
      </c>
      <c r="K44" s="5">
        <f t="shared" si="2"/>
        <v>59289.836545249542</v>
      </c>
      <c r="L44" s="5">
        <f t="shared" si="2"/>
        <v>37056.14784078097</v>
      </c>
      <c r="M44" s="5">
        <f t="shared" si="2"/>
        <v>23160.092400488105</v>
      </c>
      <c r="N44" s="5">
        <f t="shared" si="2"/>
        <v>14475.057750305064</v>
      </c>
      <c r="O44" s="5">
        <f t="shared" si="2"/>
        <v>9046.9110939406655</v>
      </c>
      <c r="P44" s="5">
        <f t="shared" si="2"/>
        <v>5654.3194337129153</v>
      </c>
      <c r="Q44" s="5">
        <f t="shared" si="2"/>
        <v>3533.9496460705723</v>
      </c>
      <c r="R44" s="5">
        <f t="shared" si="2"/>
        <v>2208.7185287941074</v>
      </c>
      <c r="S44" s="5">
        <f t="shared" si="2"/>
        <v>1380.449080496317</v>
      </c>
      <c r="T44" s="5">
        <f t="shared" si="2"/>
        <v>862.78067531019792</v>
      </c>
      <c r="U44" s="5">
        <f t="shared" si="2"/>
        <v>539.23792206887367</v>
      </c>
      <c r="V44" s="5">
        <f t="shared" si="2"/>
        <v>337.02370129304609</v>
      </c>
      <c r="W44" s="5">
        <f t="shared" si="2"/>
        <v>210.63981330815378</v>
      </c>
      <c r="X44" s="5">
        <f t="shared" si="2"/>
        <v>131.64988331759611</v>
      </c>
      <c r="Z44" s="399"/>
      <c r="AE44" s="400"/>
    </row>
    <row r="45" spans="2:38" ht="18" x14ac:dyDescent="0.35">
      <c r="C45" s="8" t="s">
        <v>970</v>
      </c>
      <c r="D45" s="5">
        <f>D43*$H$22</f>
        <v>0.50265482457436694</v>
      </c>
      <c r="E45" s="5">
        <f t="shared" ref="E45:X45" si="3">E43*$H$22</f>
        <v>0.80424771931898709</v>
      </c>
      <c r="F45" s="5">
        <f t="shared" si="3"/>
        <v>1.2867963509103795</v>
      </c>
      <c r="G45" s="5">
        <f t="shared" si="3"/>
        <v>2.0588741614566071</v>
      </c>
      <c r="H45" s="5">
        <f t="shared" si="3"/>
        <v>3.294198658330572</v>
      </c>
      <c r="I45" s="5">
        <f t="shared" si="3"/>
        <v>5.2707178533289154</v>
      </c>
      <c r="J45" s="5">
        <f t="shared" si="3"/>
        <v>8.433148565326265</v>
      </c>
      <c r="K45" s="5">
        <f t="shared" si="3"/>
        <v>13.493037704522026</v>
      </c>
      <c r="L45" s="5">
        <f t="shared" si="3"/>
        <v>21.588860327235238</v>
      </c>
      <c r="M45" s="5">
        <f t="shared" si="3"/>
        <v>34.54217652357638</v>
      </c>
      <c r="N45" s="5">
        <f t="shared" si="3"/>
        <v>55.267482437722222</v>
      </c>
      <c r="O45" s="5">
        <f t="shared" si="3"/>
        <v>88.427971900355558</v>
      </c>
      <c r="P45" s="5">
        <f t="shared" si="3"/>
        <v>141.4847550405689</v>
      </c>
      <c r="Q45" s="5">
        <f t="shared" si="3"/>
        <v>226.37560806491024</v>
      </c>
      <c r="R45" s="5">
        <f t="shared" si="3"/>
        <v>362.20097290385638</v>
      </c>
      <c r="S45" s="5">
        <f t="shared" si="3"/>
        <v>579.52155664617032</v>
      </c>
      <c r="T45" s="5">
        <f t="shared" si="3"/>
        <v>927.23449063387261</v>
      </c>
      <c r="U45" s="5">
        <f t="shared" si="3"/>
        <v>1483.5751850141964</v>
      </c>
      <c r="V45" s="5">
        <f t="shared" si="3"/>
        <v>2373.7202960227141</v>
      </c>
      <c r="W45" s="5">
        <f t="shared" si="3"/>
        <v>3797.9524736363423</v>
      </c>
      <c r="X45" s="5">
        <f t="shared" si="3"/>
        <v>6076.7239578181479</v>
      </c>
      <c r="Z45" s="399"/>
      <c r="AE45" s="400"/>
    </row>
    <row r="46" spans="2:38" ht="18" x14ac:dyDescent="0.35">
      <c r="C46" s="8" t="s">
        <v>973</v>
      </c>
      <c r="D46" s="5">
        <f>SQRT($H$20^2+D44^2)</f>
        <v>1591550.1377771434</v>
      </c>
      <c r="E46" s="5">
        <f t="shared" ref="E46:X46" si="4">SQRT($H$20^2+E44^2)</f>
        <v>994719.52529705816</v>
      </c>
      <c r="F46" s="5">
        <f t="shared" si="4"/>
        <v>621700.80600745114</v>
      </c>
      <c r="G46" s="5">
        <f t="shared" si="4"/>
        <v>388564.76806395035</v>
      </c>
      <c r="H46" s="5">
        <f t="shared" si="4"/>
        <v>242855.80291202336</v>
      </c>
      <c r="I46" s="5">
        <f t="shared" si="4"/>
        <v>151789.39332185569</v>
      </c>
      <c r="J46" s="5">
        <f t="shared" si="4"/>
        <v>94875.596846395478</v>
      </c>
      <c r="K46" s="5">
        <f t="shared" si="4"/>
        <v>59308.808094265456</v>
      </c>
      <c r="L46" s="5">
        <f t="shared" si="4"/>
        <v>37086.494749407313</v>
      </c>
      <c r="M46" s="5">
        <f t="shared" si="4"/>
        <v>23208.616503340887</v>
      </c>
      <c r="N46" s="5">
        <f t="shared" si="4"/>
        <v>14552.570112343274</v>
      </c>
      <c r="O46" s="5">
        <f t="shared" si="4"/>
        <v>9170.4198563460923</v>
      </c>
      <c r="P46" s="5">
        <f t="shared" si="4"/>
        <v>5849.8998502934683</v>
      </c>
      <c r="Q46" s="5">
        <f t="shared" si="4"/>
        <v>3839.1144943804843</v>
      </c>
      <c r="R46" s="5">
        <f t="shared" si="4"/>
        <v>2669.9133954940198</v>
      </c>
      <c r="S46" s="5">
        <f t="shared" si="4"/>
        <v>2038.5386098485176</v>
      </c>
      <c r="T46" s="5">
        <f t="shared" si="4"/>
        <v>1730.4307249031153</v>
      </c>
      <c r="U46" s="5">
        <f t="shared" si="4"/>
        <v>1593.9816613114333</v>
      </c>
      <c r="V46" s="5">
        <f t="shared" si="4"/>
        <v>1537.395516850906</v>
      </c>
      <c r="W46" s="5">
        <f t="shared" si="4"/>
        <v>1514.7175086300724</v>
      </c>
      <c r="X46" s="5">
        <f t="shared" si="4"/>
        <v>1505.7661477724675</v>
      </c>
      <c r="Z46" s="399"/>
      <c r="AE46" s="400"/>
    </row>
    <row r="47" spans="2:38" ht="18.75" thickBot="1" x14ac:dyDescent="0.4">
      <c r="C47" s="8" t="s">
        <v>972</v>
      </c>
      <c r="D47" s="5">
        <f>SQRT($H$20^2+D45^2)</f>
        <v>1500.0000842206218</v>
      </c>
      <c r="E47" s="5">
        <f t="shared" ref="E47:X47" si="5">SQRT($H$20^2+E45^2)</f>
        <v>1500.0002156047824</v>
      </c>
      <c r="F47" s="5">
        <f t="shared" si="5"/>
        <v>1500.0005519481813</v>
      </c>
      <c r="G47" s="5">
        <f t="shared" si="5"/>
        <v>1500.0014129869387</v>
      </c>
      <c r="H47" s="5">
        <f t="shared" si="5"/>
        <v>1500.0036172439052</v>
      </c>
      <c r="I47" s="5">
        <f t="shared" si="5"/>
        <v>1500.0092601269798</v>
      </c>
      <c r="J47" s="5">
        <f t="shared" si="5"/>
        <v>1500.0237058109199</v>
      </c>
      <c r="K47" s="5">
        <f t="shared" si="5"/>
        <v>1500.0606861278966</v>
      </c>
      <c r="L47" s="5">
        <f t="shared" si="5"/>
        <v>1500.1553515853711</v>
      </c>
      <c r="M47" s="5">
        <f t="shared" si="5"/>
        <v>1500.3976679397319</v>
      </c>
      <c r="N47" s="5">
        <f t="shared" si="5"/>
        <v>1501.0178195527874</v>
      </c>
      <c r="O47" s="5">
        <f t="shared" si="5"/>
        <v>1502.6042413804141</v>
      </c>
      <c r="P47" s="5">
        <f t="shared" si="5"/>
        <v>1506.6578695606013</v>
      </c>
      <c r="Q47" s="5">
        <f t="shared" si="5"/>
        <v>1516.9857995138773</v>
      </c>
      <c r="R47" s="5">
        <f t="shared" si="5"/>
        <v>1543.1103475683456</v>
      </c>
      <c r="S47" s="5">
        <f t="shared" si="5"/>
        <v>1608.0563530603024</v>
      </c>
      <c r="T47" s="5">
        <f t="shared" si="5"/>
        <v>1763.4522393932468</v>
      </c>
      <c r="U47" s="5">
        <f t="shared" si="5"/>
        <v>2109.7382135207931</v>
      </c>
      <c r="V47" s="5">
        <f t="shared" si="5"/>
        <v>2807.9437394203896</v>
      </c>
      <c r="W47" s="5">
        <f t="shared" si="5"/>
        <v>4083.4351950288633</v>
      </c>
      <c r="X47" s="5">
        <f t="shared" si="5"/>
        <v>6259.1192718721259</v>
      </c>
      <c r="Z47" s="402"/>
      <c r="AA47" s="403"/>
      <c r="AB47" s="403"/>
      <c r="AC47" s="403"/>
      <c r="AD47" s="403"/>
      <c r="AE47" s="404"/>
    </row>
    <row r="48" spans="2:38" ht="18" x14ac:dyDescent="0.35">
      <c r="C48" s="8" t="s">
        <v>994</v>
      </c>
      <c r="D48" s="5">
        <f>SQRT((D44-D45)^2 + $H$20^2 )</f>
        <v>1591549.635122542</v>
      </c>
      <c r="E48" s="5">
        <f t="shared" ref="E48:X48" si="6">SQRT((E44-E45)^2 + $H$20^2 )</f>
        <v>994718.72105025325</v>
      </c>
      <c r="F48" s="5">
        <f t="shared" si="6"/>
        <v>621699.51921484561</v>
      </c>
      <c r="G48" s="5">
        <f t="shared" si="6"/>
        <v>388562.70920513006</v>
      </c>
      <c r="H48" s="5">
        <f t="shared" si="6"/>
        <v>242852.50877620201</v>
      </c>
      <c r="I48" s="5">
        <f t="shared" si="6"/>
        <v>151784.12286137661</v>
      </c>
      <c r="J48" s="5">
        <f t="shared" si="6"/>
        <v>94867.164751971824</v>
      </c>
      <c r="K48" s="5">
        <f t="shared" si="6"/>
        <v>59295.319373661143</v>
      </c>
      <c r="L48" s="5">
        <f t="shared" si="6"/>
        <v>37064.923564965116</v>
      </c>
      <c r="M48" s="5">
        <f t="shared" si="6"/>
        <v>23174.146654431654</v>
      </c>
      <c r="N48" s="5">
        <f t="shared" si="6"/>
        <v>14497.598124147382</v>
      </c>
      <c r="O48" s="5">
        <f t="shared" si="6"/>
        <v>9083.19436365209</v>
      </c>
      <c r="P48" s="5">
        <f t="shared" si="6"/>
        <v>5713.260557192576</v>
      </c>
      <c r="Q48" s="5">
        <f t="shared" si="6"/>
        <v>3631.8102947275593</v>
      </c>
      <c r="R48" s="5">
        <f t="shared" si="6"/>
        <v>2378.9970752842269</v>
      </c>
      <c r="S48" s="5">
        <f t="shared" si="6"/>
        <v>1700.4366787565855</v>
      </c>
      <c r="T48" s="5">
        <f t="shared" si="6"/>
        <v>1501.3841261681762</v>
      </c>
      <c r="U48" s="5">
        <f t="shared" si="6"/>
        <v>1772.504687211592</v>
      </c>
      <c r="V48" s="5">
        <f t="shared" si="6"/>
        <v>2529.4531066978539</v>
      </c>
      <c r="W48" s="5">
        <f t="shared" si="6"/>
        <v>3888.2916715378883</v>
      </c>
      <c r="X48" s="5">
        <f t="shared" si="6"/>
        <v>6131.3869353759264</v>
      </c>
    </row>
    <row r="49" spans="3:42" ht="18" x14ac:dyDescent="0.35">
      <c r="C49" s="8" t="s">
        <v>974</v>
      </c>
      <c r="D49" s="5">
        <f>D44/D46</f>
        <v>0.99999955586809786</v>
      </c>
      <c r="E49" s="5">
        <f t="shared" ref="E49:X49" si="7">E44/E46</f>
        <v>0.99999886302351215</v>
      </c>
      <c r="F49" s="5">
        <f t="shared" si="7"/>
        <v>0.99999708934793474</v>
      </c>
      <c r="G49" s="5">
        <f t="shared" si="7"/>
        <v>0.9999925487814626</v>
      </c>
      <c r="H49" s="5">
        <f t="shared" si="7"/>
        <v>0.99998092521312787</v>
      </c>
      <c r="I49" s="5">
        <f t="shared" si="7"/>
        <v>0.99995117072507755</v>
      </c>
      <c r="J49" s="5">
        <f t="shared" si="7"/>
        <v>0.99987501133705237</v>
      </c>
      <c r="K49" s="5">
        <f t="shared" si="7"/>
        <v>0.9996801225715789</v>
      </c>
      <c r="L49" s="5">
        <f t="shared" si="7"/>
        <v>0.99918172615580425</v>
      </c>
      <c r="M49" s="5">
        <f t="shared" si="7"/>
        <v>0.99790922036021423</v>
      </c>
      <c r="N49" s="5">
        <f t="shared" si="7"/>
        <v>0.99467363074427217</v>
      </c>
      <c r="O49" s="5">
        <f t="shared" si="7"/>
        <v>0.98653183122036048</v>
      </c>
      <c r="P49" s="5">
        <f t="shared" si="7"/>
        <v>0.96656687779522565</v>
      </c>
      <c r="Q49" s="5">
        <f t="shared" si="7"/>
        <v>0.92051165737396001</v>
      </c>
      <c r="R49" s="5">
        <f t="shared" si="7"/>
        <v>0.82726223724025461</v>
      </c>
      <c r="S49" s="5">
        <f t="shared" si="7"/>
        <v>0.67717583264164782</v>
      </c>
      <c r="T49" s="5">
        <f t="shared" si="7"/>
        <v>0.49859301669444406</v>
      </c>
      <c r="U49" s="5">
        <f t="shared" si="7"/>
        <v>0.338296189446258</v>
      </c>
      <c r="V49" s="5">
        <f t="shared" si="7"/>
        <v>0.21921730459015645</v>
      </c>
      <c r="W49" s="5">
        <f t="shared" si="7"/>
        <v>0.13906211033280971</v>
      </c>
      <c r="X49" s="5">
        <f t="shared" si="7"/>
        <v>8.7430497433051188E-2</v>
      </c>
    </row>
    <row r="50" spans="3:42" ht="18" x14ac:dyDescent="0.35">
      <c r="C50" s="8" t="s">
        <v>975</v>
      </c>
      <c r="D50" s="5">
        <f>D45/D47</f>
        <v>3.3510319756784485E-4</v>
      </c>
      <c r="E50" s="5">
        <f t="shared" ref="E50:X50" si="8">E45/E47</f>
        <v>5.3616506914615605E-4</v>
      </c>
      <c r="F50" s="5">
        <f t="shared" si="8"/>
        <v>8.5786391827596671E-4</v>
      </c>
      <c r="G50" s="5">
        <f t="shared" si="8"/>
        <v>1.372581481344601E-3</v>
      </c>
      <c r="H50" s="5">
        <f t="shared" si="8"/>
        <v>2.1961271429353662E-3</v>
      </c>
      <c r="I50" s="5">
        <f t="shared" si="8"/>
        <v>3.5137902101235927E-3</v>
      </c>
      <c r="J50" s="5">
        <f t="shared" si="8"/>
        <v>5.6220101940104112E-3</v>
      </c>
      <c r="K50" s="5">
        <f t="shared" si="8"/>
        <v>8.9949945554213383E-3</v>
      </c>
      <c r="L50" s="5">
        <f t="shared" si="8"/>
        <v>1.4391083099773654E-2</v>
      </c>
      <c r="M50" s="5">
        <f t="shared" si="8"/>
        <v>2.3022014271061819E-2</v>
      </c>
      <c r="N50" s="5">
        <f t="shared" si="8"/>
        <v>3.6820004211667916E-2</v>
      </c>
      <c r="O50" s="5">
        <f t="shared" si="8"/>
        <v>5.8849808529169628E-2</v>
      </c>
      <c r="P50" s="5">
        <f t="shared" si="8"/>
        <v>9.390635916688321E-2</v>
      </c>
      <c r="Q50" s="5">
        <f t="shared" si="8"/>
        <v>0.14922724269235282</v>
      </c>
      <c r="R50" s="5">
        <f t="shared" si="8"/>
        <v>0.2347213687437309</v>
      </c>
      <c r="S50" s="5">
        <f t="shared" si="8"/>
        <v>0.36038634811726539</v>
      </c>
      <c r="T50" s="5">
        <f t="shared" si="8"/>
        <v>0.52580640967793224</v>
      </c>
      <c r="U50" s="5">
        <f t="shared" si="8"/>
        <v>0.70320344747340124</v>
      </c>
      <c r="V50" s="5">
        <f t="shared" si="8"/>
        <v>0.84535892322140793</v>
      </c>
      <c r="W50" s="5">
        <f t="shared" si="8"/>
        <v>0.9300876081638163</v>
      </c>
      <c r="X50" s="5">
        <f t="shared" si="8"/>
        <v>0.97085926851184245</v>
      </c>
    </row>
    <row r="51" spans="3:42" ht="18" x14ac:dyDescent="0.35">
      <c r="C51" s="8" t="s">
        <v>979</v>
      </c>
      <c r="D51" s="5">
        <f>$H$20/D46</f>
        <v>9.4247737749248166E-4</v>
      </c>
      <c r="E51" s="5">
        <f t="shared" ref="E51:X51" si="9">$H$20/E46</f>
        <v>1.5079627592029495E-3</v>
      </c>
      <c r="F51" s="5">
        <f t="shared" si="9"/>
        <v>2.4127361353011053E-3</v>
      </c>
      <c r="G51" s="5">
        <f t="shared" si="9"/>
        <v>3.8603602881286669E-3</v>
      </c>
      <c r="H51" s="5">
        <f t="shared" si="9"/>
        <v>6.1765046666123445E-3</v>
      </c>
      <c r="I51" s="5">
        <f t="shared" si="9"/>
        <v>9.8821134149959054E-3</v>
      </c>
      <c r="J51" s="5">
        <f t="shared" si="9"/>
        <v>1.5810177220054959E-2</v>
      </c>
      <c r="K51" s="5">
        <f t="shared" si="9"/>
        <v>2.5291352974349091E-2</v>
      </c>
      <c r="L51" s="5">
        <f t="shared" si="9"/>
        <v>4.0445990114068998E-2</v>
      </c>
      <c r="M51" s="5">
        <f t="shared" si="9"/>
        <v>6.4631168332850625E-2</v>
      </c>
      <c r="N51" s="5">
        <f t="shared" si="9"/>
        <v>0.10307457640954586</v>
      </c>
      <c r="O51" s="5">
        <f t="shared" si="9"/>
        <v>0.16356939196867562</v>
      </c>
      <c r="P51" s="5">
        <f t="shared" si="9"/>
        <v>0.25641464612847181</v>
      </c>
      <c r="Q51" s="5">
        <f t="shared" si="9"/>
        <v>0.39071509906662844</v>
      </c>
      <c r="R51" s="5">
        <f t="shared" si="9"/>
        <v>0.56181597595320198</v>
      </c>
      <c r="S51" s="5">
        <f t="shared" si="9"/>
        <v>0.73582123622935158</v>
      </c>
      <c r="T51" s="5">
        <f t="shared" si="9"/>
        <v>0.86683620350302271</v>
      </c>
      <c r="U51" s="5">
        <f t="shared" si="9"/>
        <v>0.94103968471374333</v>
      </c>
      <c r="V51" s="5">
        <f t="shared" si="9"/>
        <v>0.97567605964696424</v>
      </c>
      <c r="W51" s="5">
        <f t="shared" si="9"/>
        <v>0.99028366111422117</v>
      </c>
      <c r="X51" s="5">
        <f t="shared" si="9"/>
        <v>0.99617062199133799</v>
      </c>
    </row>
    <row r="52" spans="3:42" ht="18" x14ac:dyDescent="0.35">
      <c r="C52" s="8" t="s">
        <v>978</v>
      </c>
      <c r="D52" s="5">
        <f>$H$20/D47</f>
        <v>0.9999999438529219</v>
      </c>
      <c r="E52" s="5">
        <f t="shared" ref="E52:X52" si="10">$H$20/E47</f>
        <v>0.99999985626349908</v>
      </c>
      <c r="F52" s="5">
        <f t="shared" si="10"/>
        <v>0.99999963203468123</v>
      </c>
      <c r="G52" s="5">
        <f t="shared" si="10"/>
        <v>0.99999905800959488</v>
      </c>
      <c r="H52" s="5">
        <f t="shared" si="10"/>
        <v>0.99999758850987852</v>
      </c>
      <c r="I52" s="5">
        <f t="shared" si="10"/>
        <v>0.99999382662012426</v>
      </c>
      <c r="J52" s="5">
        <f t="shared" si="10"/>
        <v>0.99998419637581193</v>
      </c>
      <c r="K52" s="5">
        <f t="shared" si="10"/>
        <v>0.99995954421813882</v>
      </c>
      <c r="L52" s="5">
        <f t="shared" si="10"/>
        <v>0.99989644300158187</v>
      </c>
      <c r="M52" s="5">
        <f t="shared" si="10"/>
        <v>0.99973495830590164</v>
      </c>
      <c r="N52" s="5">
        <f t="shared" si="10"/>
        <v>0.99932191374444135</v>
      </c>
      <c r="O52" s="5">
        <f t="shared" si="10"/>
        <v>0.99826684811030375</v>
      </c>
      <c r="P52" s="5">
        <f t="shared" si="10"/>
        <v>0.99558103422474875</v>
      </c>
      <c r="Q52" s="5">
        <f t="shared" si="10"/>
        <v>0.98880292780636414</v>
      </c>
      <c r="R52" s="5">
        <f t="shared" si="10"/>
        <v>0.97206269296536085</v>
      </c>
      <c r="S52" s="5">
        <f t="shared" si="10"/>
        <v>0.93280313040357099</v>
      </c>
      <c r="T52" s="5">
        <f t="shared" si="10"/>
        <v>0.85060426729566929</v>
      </c>
      <c r="U52" s="5">
        <f t="shared" si="10"/>
        <v>0.71098868588854724</v>
      </c>
      <c r="V52" s="5">
        <f t="shared" si="10"/>
        <v>0.53419873729721778</v>
      </c>
      <c r="W52" s="5">
        <f t="shared" si="10"/>
        <v>0.36733777526972544</v>
      </c>
      <c r="X52" s="5">
        <f t="shared" si="10"/>
        <v>0.2396503301576077</v>
      </c>
    </row>
    <row r="53" spans="3:42" ht="18" x14ac:dyDescent="0.35">
      <c r="C53" s="8" t="s">
        <v>992</v>
      </c>
      <c r="D53" s="5">
        <f>SQRT((D44-D45)^2)/D48</f>
        <v>0.9999995558678173</v>
      </c>
      <c r="E53" s="5">
        <f t="shared" ref="E53:X53" si="11">SQRT((E44-E45)^2)/E48</f>
        <v>0.99999886302167351</v>
      </c>
      <c r="F53" s="5">
        <f t="shared" si="11"/>
        <v>0.99999708933588582</v>
      </c>
      <c r="G53" s="5">
        <f t="shared" si="11"/>
        <v>0.99999254870249932</v>
      </c>
      <c r="H53" s="5">
        <f t="shared" si="11"/>
        <v>0.99998092469564548</v>
      </c>
      <c r="I53" s="5">
        <f t="shared" si="11"/>
        <v>0.99995116733389933</v>
      </c>
      <c r="J53" s="5">
        <f t="shared" si="11"/>
        <v>0.99987498911589834</v>
      </c>
      <c r="K53" s="5">
        <f t="shared" si="11"/>
        <v>0.99967997699790523</v>
      </c>
      <c r="L53" s="5">
        <f t="shared" si="11"/>
        <v>0.99918077304386832</v>
      </c>
      <c r="M53" s="5">
        <f t="shared" si="11"/>
        <v>0.99790298943077449</v>
      </c>
      <c r="N53" s="5">
        <f t="shared" si="11"/>
        <v>0.9946330519294474</v>
      </c>
      <c r="O53" s="5">
        <f t="shared" si="11"/>
        <v>0.9862701119651438</v>
      </c>
      <c r="P53" s="5">
        <f t="shared" si="11"/>
        <v>0.96491917767203728</v>
      </c>
      <c r="Q53" s="5">
        <f t="shared" si="11"/>
        <v>0.91072323981442438</v>
      </c>
      <c r="R53" s="5">
        <f t="shared" si="11"/>
        <v>0.77617479023997593</v>
      </c>
      <c r="S53" s="5">
        <f t="shared" si="11"/>
        <v>0.47101284855594322</v>
      </c>
      <c r="T53" s="5">
        <f t="shared" si="11"/>
        <v>4.29295968968137E-2</v>
      </c>
      <c r="U53" s="5">
        <f t="shared" si="11"/>
        <v>0.53276996656686015</v>
      </c>
      <c r="V53" s="5">
        <f t="shared" si="11"/>
        <v>0.80519246999938709</v>
      </c>
      <c r="W53" s="5">
        <f t="shared" si="11"/>
        <v>0.92259350978918275</v>
      </c>
      <c r="X53" s="5">
        <f t="shared" si="11"/>
        <v>0.96961325996237235</v>
      </c>
    </row>
    <row r="54" spans="3:42" ht="18" x14ac:dyDescent="0.35">
      <c r="C54" s="8" t="s">
        <v>993</v>
      </c>
      <c r="D54" s="5">
        <f>$H$20/(D44+D45+$H$20)</f>
        <v>9.4159007096216135E-4</v>
      </c>
      <c r="E54" s="5">
        <f t="shared" ref="E54:X54" si="12">$H$20/(E44+E45+$H$20)</f>
        <v>1.505692725205488E-3</v>
      </c>
      <c r="F54" s="5">
        <f t="shared" si="12"/>
        <v>2.4069308700883766E-3</v>
      </c>
      <c r="G54" s="5">
        <f t="shared" si="12"/>
        <v>3.8455234597763203E-3</v>
      </c>
      <c r="H54" s="5">
        <f t="shared" si="12"/>
        <v>6.1386232574683975E-3</v>
      </c>
      <c r="I54" s="5">
        <f t="shared" si="12"/>
        <v>9.7855495336413977E-3</v>
      </c>
      <c r="J54" s="5">
        <f t="shared" si="12"/>
        <v>1.5564659120680155E-2</v>
      </c>
      <c r="K54" s="5">
        <f t="shared" si="12"/>
        <v>2.4669701647728814E-2</v>
      </c>
      <c r="L54" s="5">
        <f t="shared" si="12"/>
        <v>3.8882529880424795E-2</v>
      </c>
      <c r="M54" s="5">
        <f t="shared" si="12"/>
        <v>6.074193952221326E-2</v>
      </c>
      <c r="N54" s="5">
        <f t="shared" si="12"/>
        <v>9.357264922711428E-2</v>
      </c>
      <c r="O54" s="5">
        <f t="shared" si="12"/>
        <v>0.14103922693144369</v>
      </c>
      <c r="P54" s="5">
        <f t="shared" si="12"/>
        <v>0.2055976231259409</v>
      </c>
      <c r="Q54" s="5">
        <f t="shared" si="12"/>
        <v>0.28515347008642722</v>
      </c>
      <c r="R54" s="5">
        <f t="shared" si="12"/>
        <v>0.36846712379705771</v>
      </c>
      <c r="S54" s="5">
        <f t="shared" si="12"/>
        <v>0.43352969065622377</v>
      </c>
      <c r="T54" s="5">
        <f t="shared" si="12"/>
        <v>0.45592494999018479</v>
      </c>
      <c r="U54" s="5">
        <f t="shared" si="12"/>
        <v>0.42579607671609276</v>
      </c>
      <c r="V54" s="5">
        <f t="shared" si="12"/>
        <v>0.35623158305425623</v>
      </c>
      <c r="W54" s="5">
        <f t="shared" si="12"/>
        <v>0.27230187348499868</v>
      </c>
      <c r="X54" s="5">
        <f t="shared" si="12"/>
        <v>0.19459357199248026</v>
      </c>
    </row>
    <row r="55" spans="3:42" ht="18" x14ac:dyDescent="0.35">
      <c r="C55" s="8" t="s">
        <v>991</v>
      </c>
      <c r="D55" s="5" t="s">
        <v>976</v>
      </c>
      <c r="E55" s="5"/>
      <c r="F55" s="5"/>
      <c r="G55" s="5">
        <f>1/(2*PI()*$H$20*$H$21)</f>
        <v>1061.032953945969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3:42" ht="18" x14ac:dyDescent="0.35">
      <c r="C56" s="8" t="s">
        <v>991</v>
      </c>
      <c r="D56" s="5" t="s">
        <v>977</v>
      </c>
      <c r="E56" s="5"/>
      <c r="F56" s="5"/>
      <c r="G56" s="5">
        <f>$H$20/(2*PI()*$H$22)</f>
        <v>2984.1551829730374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3:42" ht="18" x14ac:dyDescent="0.35">
      <c r="C57" s="8" t="s">
        <v>980</v>
      </c>
      <c r="D57" s="5" t="s">
        <v>990</v>
      </c>
      <c r="E57" s="5"/>
      <c r="F57" s="5"/>
      <c r="G57" s="5">
        <f>1/(2*PI()*SQRT($H$22*$H$21))</f>
        <v>1779.4063585429426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3:42" ht="18" x14ac:dyDescent="0.35">
      <c r="C58" s="444" t="s">
        <v>988</v>
      </c>
      <c r="D58" s="445" t="s">
        <v>989</v>
      </c>
      <c r="G58">
        <f>(2*PI()*$G$57*$H$22)/$H$20</f>
        <v>0.59628479399994383</v>
      </c>
      <c r="AP58">
        <v>1</v>
      </c>
    </row>
    <row r="59" spans="3:42" ht="18.75" customHeight="1" x14ac:dyDescent="0.25"/>
    <row r="61" spans="3:42" x14ac:dyDescent="0.25">
      <c r="M61" t="str">
        <f>C56</f>
        <v>Grenzfrequenz (UOut/UIn = 0.707) :</v>
      </c>
      <c r="N61">
        <f>G56</f>
        <v>2984.1551829730374</v>
      </c>
      <c r="O61">
        <f>N61</f>
        <v>2984.1551829730374</v>
      </c>
    </row>
    <row r="62" spans="3:42" ht="15.75" thickBot="1" x14ac:dyDescent="0.3">
      <c r="C62" t="str">
        <f>C55</f>
        <v>Grenzfrequenz (UOut/UIn = 0.707) :</v>
      </c>
      <c r="D62">
        <f>G55</f>
        <v>1061.032953945969</v>
      </c>
      <c r="E62">
        <f>D62</f>
        <v>1061.032953945969</v>
      </c>
      <c r="N62">
        <v>0</v>
      </c>
      <c r="O62">
        <f>SQRT(0.5)</f>
        <v>0.70710678118654757</v>
      </c>
    </row>
    <row r="63" spans="3:42" x14ac:dyDescent="0.25">
      <c r="D63">
        <v>0</v>
      </c>
      <c r="E63">
        <f>SQRT(0.5)</f>
        <v>0.70710678118654757</v>
      </c>
      <c r="N63">
        <v>0</v>
      </c>
      <c r="O63">
        <f>O61</f>
        <v>2984.1551829730374</v>
      </c>
      <c r="Z63" s="396"/>
      <c r="AA63" s="397"/>
      <c r="AB63" s="397"/>
      <c r="AC63" s="397"/>
      <c r="AD63" s="397"/>
      <c r="AE63" s="398"/>
      <c r="AF63" s="437"/>
    </row>
    <row r="64" spans="3:42" x14ac:dyDescent="0.25">
      <c r="D64">
        <v>0</v>
      </c>
      <c r="E64">
        <f>D62</f>
        <v>1061.032953945969</v>
      </c>
      <c r="N64">
        <f>O62</f>
        <v>0.70710678118654757</v>
      </c>
      <c r="O64">
        <f>N64</f>
        <v>0.70710678118654757</v>
      </c>
      <c r="Z64" s="399"/>
      <c r="AE64" s="400"/>
      <c r="AF64" s="437">
        <f>$H$20</f>
        <v>1500</v>
      </c>
      <c r="AG64" s="1" t="s">
        <v>876</v>
      </c>
      <c r="AH64">
        <v>0</v>
      </c>
      <c r="AI64">
        <f>IF($AB$2=$R$2,AF64,0)</f>
        <v>1500</v>
      </c>
      <c r="AK64">
        <v>0</v>
      </c>
      <c r="AL64">
        <v>0</v>
      </c>
    </row>
    <row r="65" spans="4:38" x14ac:dyDescent="0.25">
      <c r="D65">
        <f>E63</f>
        <v>0.70710678118654757</v>
      </c>
      <c r="E65">
        <f>E63</f>
        <v>0.70710678118654757</v>
      </c>
      <c r="Z65" s="399"/>
      <c r="AB65" s="5" t="s">
        <v>866</v>
      </c>
      <c r="AD65" s="5" t="s">
        <v>865</v>
      </c>
      <c r="AE65" s="400"/>
      <c r="AF65" s="437">
        <f>$H$28</f>
        <v>1590</v>
      </c>
      <c r="AG65" s="1" t="s">
        <v>877</v>
      </c>
      <c r="AH65">
        <v>0</v>
      </c>
      <c r="AI65">
        <v>0</v>
      </c>
      <c r="AK65">
        <v>0</v>
      </c>
      <c r="AL65">
        <f>IF($AB$2=$R$2,-AF65,0)</f>
        <v>-1590</v>
      </c>
    </row>
    <row r="66" spans="4:38" ht="18.75" x14ac:dyDescent="0.3">
      <c r="Z66" s="399"/>
      <c r="AB66" s="394" t="str">
        <f>$L$20</f>
        <v>R = 1.5kΩ</v>
      </c>
      <c r="AD66" s="395" t="str">
        <f>IF($AB$2=$R$2,$L$25,_xlfn.CONCAT($C$25,"?"))</f>
        <v>ω = 6283.1853(1/s)</v>
      </c>
      <c r="AE66" s="400"/>
      <c r="AF66" s="437">
        <f>$H$29</f>
        <v>502.65480000000002</v>
      </c>
      <c r="AG66" s="1" t="s">
        <v>878</v>
      </c>
      <c r="AH66">
        <v>0</v>
      </c>
      <c r="AI66">
        <v>0</v>
      </c>
      <c r="AK66">
        <v>0</v>
      </c>
      <c r="AL66">
        <f>IF($AB$2=$R$2,AF66,0)</f>
        <v>502.65480000000002</v>
      </c>
    </row>
    <row r="67" spans="4:38" ht="18.75" x14ac:dyDescent="0.3">
      <c r="Z67" s="399"/>
      <c r="AB67" s="394" t="str">
        <f>$L$22</f>
        <v>L = 80mH</v>
      </c>
      <c r="AD67" s="395" t="str">
        <f>IF($AB$2=$R$2,$L$29,_xlfn.CONCAT($C$29,"?"))</f>
        <v>Blindwiderstand XL = 502.6548Ω</v>
      </c>
      <c r="AE67" s="400"/>
      <c r="AF67" s="437"/>
      <c r="AG67" s="1" t="s">
        <v>880</v>
      </c>
      <c r="AH67">
        <v>0</v>
      </c>
      <c r="AI67">
        <v>0</v>
      </c>
      <c r="AK67">
        <v>0</v>
      </c>
      <c r="AL67">
        <f>AL65+AL66</f>
        <v>-1087.3452</v>
      </c>
    </row>
    <row r="68" spans="4:38" ht="18.75" x14ac:dyDescent="0.3">
      <c r="Z68" s="399"/>
      <c r="AB68" s="394" t="str">
        <f>$L$21</f>
        <v>C = 0.1µF</v>
      </c>
      <c r="AD68" s="395" t="str">
        <f>IF($AB$2=$R$2,$L$28,_xlfn.CONCAT($C$28,"?"))</f>
        <v>Blindwiderstand XC = 1.59kΩ</v>
      </c>
      <c r="AE68" s="400"/>
      <c r="AF68" s="437"/>
      <c r="AG68" s="1"/>
    </row>
    <row r="69" spans="4:38" ht="18.75" x14ac:dyDescent="0.3">
      <c r="Z69" s="399"/>
      <c r="AB69" s="394" t="str">
        <f>$L$23</f>
        <v>f =1kHZ</v>
      </c>
      <c r="AD69" s="395" t="str">
        <f>IF($AB$2=$R$2,$L$34,_xlfn.CONCAT($C$33,"?"))</f>
        <v>Scheinwiderstand ZRLC = 1.85kΩ</v>
      </c>
      <c r="AE69" s="400"/>
      <c r="AF69" s="437"/>
      <c r="AG69" s="1"/>
    </row>
    <row r="70" spans="4:38" ht="19.5" x14ac:dyDescent="0.35">
      <c r="Z70" s="399"/>
      <c r="AB70" s="411"/>
      <c r="AD70" s="395" t="str">
        <f>IF($AB$2=$R$2,$T$34,_xlfn.CONCAT($O$34,"?"))</f>
        <v>φ = -35.9°</v>
      </c>
      <c r="AE70" s="400"/>
      <c r="AF70" s="437"/>
      <c r="AG70" s="1" t="s">
        <v>881</v>
      </c>
      <c r="AH70">
        <v>0</v>
      </c>
      <c r="AI70">
        <f>AI64</f>
        <v>1500</v>
      </c>
      <c r="AK70">
        <v>0</v>
      </c>
      <c r="AL70">
        <f>AL67</f>
        <v>-1087.3452</v>
      </c>
    </row>
    <row r="71" spans="4:38" ht="18.75" x14ac:dyDescent="0.3">
      <c r="Z71" s="399"/>
      <c r="AD71" s="395" t="str">
        <f>IF($AB$2=$R$2,$X$34,_xlfn.CONCAT($V$34,"?"))</f>
        <v>cos(φ) = 0.8</v>
      </c>
      <c r="AE71" s="400"/>
      <c r="AF71" s="437">
        <f>ABS(MAX(AF64:AF66))*1.1</f>
        <v>1749.0000000000002</v>
      </c>
      <c r="AG71" s="1" t="s">
        <v>879</v>
      </c>
      <c r="AH71">
        <f>-AF71</f>
        <v>-1749.0000000000002</v>
      </c>
      <c r="AI71">
        <f>AF71</f>
        <v>1749.0000000000002</v>
      </c>
      <c r="AK71">
        <v>0</v>
      </c>
      <c r="AL71">
        <v>0</v>
      </c>
    </row>
    <row r="72" spans="4:38" ht="18.75" x14ac:dyDescent="0.3">
      <c r="Z72" s="399"/>
      <c r="AD72" s="395" t="str">
        <f>IF($AB$2=$R$2,_xlfn.CONCAT("Die Schaltung ist ",$B$34),"Ist die Schaltung induktiv oder kapazitiv?")</f>
        <v>Die Schaltung ist kapazitiv</v>
      </c>
      <c r="AE72" s="400"/>
      <c r="AH72">
        <v>0</v>
      </c>
      <c r="AI72">
        <v>0</v>
      </c>
      <c r="AK72">
        <f>AH71</f>
        <v>-1749.0000000000002</v>
      </c>
      <c r="AL72">
        <f>AI71</f>
        <v>1749.0000000000002</v>
      </c>
    </row>
    <row r="73" spans="4:38" x14ac:dyDescent="0.25">
      <c r="Z73" s="399"/>
      <c r="AE73" s="400"/>
      <c r="AH73">
        <v>0</v>
      </c>
      <c r="AI73">
        <f>AI65</f>
        <v>0</v>
      </c>
      <c r="AK73">
        <v>0</v>
      </c>
      <c r="AL73">
        <f>AL66</f>
        <v>502.65480000000002</v>
      </c>
    </row>
    <row r="74" spans="4:38" x14ac:dyDescent="0.25">
      <c r="Z74" s="399"/>
      <c r="AE74" s="400"/>
    </row>
    <row r="75" spans="4:38" x14ac:dyDescent="0.25">
      <c r="Z75" s="399"/>
      <c r="AE75" s="400"/>
    </row>
    <row r="76" spans="4:38" x14ac:dyDescent="0.25">
      <c r="Z76" s="399"/>
      <c r="AE76" s="400"/>
    </row>
    <row r="77" spans="4:38" x14ac:dyDescent="0.25">
      <c r="Z77" s="399"/>
      <c r="AE77" s="400"/>
    </row>
    <row r="78" spans="4:38" x14ac:dyDescent="0.25">
      <c r="Z78" s="399"/>
      <c r="AE78" s="400"/>
    </row>
    <row r="79" spans="4:38" ht="15.75" thickBot="1" x14ac:dyDescent="0.3">
      <c r="Z79" s="402"/>
      <c r="AA79" s="403"/>
      <c r="AB79" s="403"/>
      <c r="AC79" s="403"/>
      <c r="AD79" s="403"/>
      <c r="AE79" s="404"/>
    </row>
    <row r="94" spans="38:38" x14ac:dyDescent="0.25">
      <c r="AL94" s="1"/>
    </row>
    <row r="101" spans="7:14" ht="110.25" customHeight="1" x14ac:dyDescent="0.25"/>
    <row r="103" spans="7:14" x14ac:dyDescent="0.25">
      <c r="G103" t="s">
        <v>981</v>
      </c>
      <c r="I103">
        <f>2*PI()*G57*$H$22 + (1 /(2*PI()*G57*$H$21))</f>
        <v>1788.8543819998317</v>
      </c>
      <c r="J103" s="1" t="s">
        <v>996</v>
      </c>
      <c r="K103">
        <f>SQRT((2 * PI()* I103*$H$22 - (1/(2 * PI() *I103*$H$21)))^2)</f>
        <v>9.4731063017417227</v>
      </c>
      <c r="L103" t="s">
        <v>981</v>
      </c>
      <c r="N103">
        <f>I103</f>
        <v>1788.8543819998317</v>
      </c>
    </row>
    <row r="104" spans="7:14" x14ac:dyDescent="0.25">
      <c r="G104">
        <f>I103</f>
        <v>1788.8543819998317</v>
      </c>
      <c r="H104">
        <f>G104</f>
        <v>1788.8543819998317</v>
      </c>
      <c r="J104" s="1" t="s">
        <v>997</v>
      </c>
      <c r="K104">
        <f>SQRT(K103^2 + $H$20^2)</f>
        <v>1500.0299129494065</v>
      </c>
      <c r="L104">
        <f>N103</f>
        <v>1788.8543819998317</v>
      </c>
      <c r="M104">
        <f>L104</f>
        <v>1788.8543819998317</v>
      </c>
    </row>
    <row r="105" spans="7:14" x14ac:dyDescent="0.25">
      <c r="G105">
        <v>0</v>
      </c>
      <c r="H105">
        <f>K103/K104</f>
        <v>6.3152782620950537E-3</v>
      </c>
      <c r="L105">
        <v>0</v>
      </c>
      <c r="M105">
        <f>1-(N103/(N103+$H$20))</f>
        <v>0.45608586631552384</v>
      </c>
    </row>
    <row r="108" spans="7:14" x14ac:dyDescent="0.25">
      <c r="G108" t="s">
        <v>982</v>
      </c>
      <c r="J108" t="s">
        <v>983</v>
      </c>
      <c r="L108" t="s">
        <v>982</v>
      </c>
    </row>
    <row r="109" spans="7:14" x14ac:dyDescent="0.25">
      <c r="G109">
        <v>0</v>
      </c>
      <c r="H109">
        <f>H104</f>
        <v>1788.8543819998317</v>
      </c>
      <c r="J109">
        <f>(1+H105)/2</f>
        <v>0.5031576391310475</v>
      </c>
      <c r="L109">
        <v>0</v>
      </c>
      <c r="M109">
        <f>M104</f>
        <v>1788.8543819998317</v>
      </c>
    </row>
    <row r="110" spans="7:14" x14ac:dyDescent="0.25">
      <c r="G110">
        <f>H105</f>
        <v>6.3152782620950537E-3</v>
      </c>
      <c r="H110">
        <f>G110</f>
        <v>6.3152782620950537E-3</v>
      </c>
      <c r="L110">
        <f>M105</f>
        <v>0.45608586631552384</v>
      </c>
      <c r="M110">
        <f>L110</f>
        <v>0.45608586631552384</v>
      </c>
    </row>
    <row r="113" spans="6:15" x14ac:dyDescent="0.25">
      <c r="G113" t="s">
        <v>984</v>
      </c>
      <c r="I113" t="e">
        <f>H114-G114</f>
        <v>#NUM!</v>
      </c>
      <c r="L113" t="s">
        <v>984</v>
      </c>
    </row>
    <row r="114" spans="6:15" x14ac:dyDescent="0.25">
      <c r="G114" t="e">
        <f>J118</f>
        <v>#NUM!</v>
      </c>
      <c r="H114" t="e">
        <f>J119</f>
        <v>#NUM!</v>
      </c>
      <c r="L114" t="e">
        <f>G114</f>
        <v>#NUM!</v>
      </c>
      <c r="M114" t="e">
        <f>H114</f>
        <v>#NUM!</v>
      </c>
    </row>
    <row r="115" spans="6:15" x14ac:dyDescent="0.25">
      <c r="G115">
        <f>J109</f>
        <v>0.5031576391310475</v>
      </c>
      <c r="H115">
        <f>G115</f>
        <v>0.5031576391310475</v>
      </c>
      <c r="L115">
        <f>L110/2</f>
        <v>0.22804293315776192</v>
      </c>
      <c r="M115">
        <f>L115</f>
        <v>0.22804293315776192</v>
      </c>
    </row>
    <row r="118" spans="6:15" x14ac:dyDescent="0.25">
      <c r="F118" s="1" t="s">
        <v>727</v>
      </c>
      <c r="G118">
        <f>4 * PI()^2 * $H$22 * $H$21 *(J109-1)</f>
        <v>-1.5691640164735491E-7</v>
      </c>
      <c r="I118" s="1" t="s">
        <v>225</v>
      </c>
      <c r="J118" t="e">
        <f>(-G119+SQRT(G119^2-4*G118*G120))/(2 * G118)</f>
        <v>#NUM!</v>
      </c>
    </row>
    <row r="119" spans="6:15" x14ac:dyDescent="0.25">
      <c r="F119" s="1" t="s">
        <v>985</v>
      </c>
      <c r="G119">
        <f>2 * PI() *$H$21 * $H$20 * $J$109</f>
        <v>4.742149028075049E-4</v>
      </c>
      <c r="I119" s="1" t="s">
        <v>226</v>
      </c>
      <c r="J119" t="e">
        <f>(-G119-SQRT(G119^2-4*G118*G120))/(2 * G118)</f>
        <v>#NUM!</v>
      </c>
    </row>
    <row r="120" spans="6:15" x14ac:dyDescent="0.25">
      <c r="F120" s="1" t="s">
        <v>709</v>
      </c>
      <c r="G120">
        <f>J109-1</f>
        <v>-0.4968423608689525</v>
      </c>
    </row>
    <row r="121" spans="6:15" x14ac:dyDescent="0.25">
      <c r="G121" t="s">
        <v>986</v>
      </c>
      <c r="I121" t="e">
        <f>MIN(J118:J119)</f>
        <v>#NUM!</v>
      </c>
      <c r="J121" t="e">
        <f>I121</f>
        <v>#NUM!</v>
      </c>
      <c r="L121" t="s">
        <v>986</v>
      </c>
      <c r="N121" t="e">
        <f>MIN(J118:J119)</f>
        <v>#NUM!</v>
      </c>
      <c r="O121" t="e">
        <f>N121</f>
        <v>#NUM!</v>
      </c>
    </row>
    <row r="122" spans="6:15" x14ac:dyDescent="0.25">
      <c r="I122">
        <v>1</v>
      </c>
      <c r="J122">
        <f>H115</f>
        <v>0.5031576391310475</v>
      </c>
      <c r="N122">
        <v>0</v>
      </c>
      <c r="O122">
        <f>M115</f>
        <v>0.22804293315776192</v>
      </c>
    </row>
    <row r="124" spans="6:15" x14ac:dyDescent="0.25">
      <c r="G124" t="s">
        <v>987</v>
      </c>
      <c r="I124" t="e">
        <f>MAX(J118:J119)</f>
        <v>#NUM!</v>
      </c>
      <c r="J124" t="e">
        <f>I124</f>
        <v>#NUM!</v>
      </c>
      <c r="L124" t="s">
        <v>987</v>
      </c>
      <c r="N124" t="e">
        <f>MAX(J118:J119)</f>
        <v>#NUM!</v>
      </c>
      <c r="O124" t="e">
        <f>N124</f>
        <v>#NUM!</v>
      </c>
    </row>
    <row r="125" spans="6:15" x14ac:dyDescent="0.25">
      <c r="I125">
        <f>I122</f>
        <v>1</v>
      </c>
      <c r="J125">
        <f>J122</f>
        <v>0.5031576391310475</v>
      </c>
      <c r="N125">
        <f>N122</f>
        <v>0</v>
      </c>
      <c r="O125">
        <f>O122</f>
        <v>0.22804293315776192</v>
      </c>
    </row>
  </sheetData>
  <dataValidations count="2">
    <dataValidation type="list" allowBlank="1" showInputMessage="1" showErrorMessage="1" sqref="AB2" xr:uid="{A9A26219-259F-45D1-BCF2-9011B2A42031}">
      <formula1>$R$2:$R$3</formula1>
    </dataValidation>
    <dataValidation type="list" allowBlank="1" showInputMessage="1" showErrorMessage="1" sqref="C41" xr:uid="{FC1FE4DE-4003-4D68-9370-AF8592D21EC0}">
      <formula1>$T$2:$T$3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E20:E23 E25 E28:E29 E32:E34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I4" sqref="I4"/>
    </sheetView>
  </sheetViews>
  <sheetFormatPr baseColWidth="10" defaultRowHeight="15" x14ac:dyDescent="0.25"/>
  <cols>
    <col min="1" max="1" width="13.85546875" customWidth="1"/>
    <col min="2" max="2" width="24.5703125" customWidth="1"/>
    <col min="4" max="4" width="11.85546875" bestFit="1" customWidth="1"/>
    <col min="5" max="5" width="6.5703125" customWidth="1"/>
    <col min="6" max="6" width="5.42578125" customWidth="1"/>
    <col min="9" max="9" width="16.140625" customWidth="1"/>
    <col min="10" max="10" width="14.42578125" customWidth="1"/>
    <col min="11" max="11" width="19.42578125" customWidth="1"/>
    <col min="12" max="12" width="16" customWidth="1"/>
    <col min="13" max="13" width="19.42578125" customWidth="1"/>
    <col min="14" max="14" width="16.28515625" customWidth="1"/>
    <col min="19" max="19" width="12.85546875" customWidth="1"/>
  </cols>
  <sheetData>
    <row r="2" spans="2:19" ht="23.25" x14ac:dyDescent="0.35">
      <c r="C2" s="9" t="s">
        <v>890</v>
      </c>
      <c r="R2" t="s">
        <v>64</v>
      </c>
    </row>
    <row r="3" spans="2:19" ht="23.25" x14ac:dyDescent="0.35">
      <c r="C3" s="9"/>
      <c r="R3" t="s">
        <v>65</v>
      </c>
    </row>
    <row r="4" spans="2:19" ht="16.5" customHeight="1" x14ac:dyDescent="0.35">
      <c r="C4" s="9"/>
      <c r="H4" s="8" t="s">
        <v>864</v>
      </c>
      <c r="I4" s="4" t="s">
        <v>64</v>
      </c>
    </row>
    <row r="5" spans="2:19" ht="16.5" customHeight="1" x14ac:dyDescent="0.25">
      <c r="C5" s="416"/>
    </row>
    <row r="6" spans="2:19" ht="16.5" customHeight="1" x14ac:dyDescent="0.35">
      <c r="C6" s="8" t="s">
        <v>891</v>
      </c>
      <c r="D6" s="4">
        <v>55</v>
      </c>
      <c r="E6" s="4" t="s">
        <v>703</v>
      </c>
      <c r="F6" s="5" t="s">
        <v>316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393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25">
      <c r="C7" s="8" t="s">
        <v>855</v>
      </c>
      <c r="D7" s="4">
        <v>1500</v>
      </c>
      <c r="E7" s="4" t="s">
        <v>694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1500000</v>
      </c>
      <c r="I7" s="393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10³Ω</v>
      </c>
      <c r="K7" s="77" t="str">
        <f>IF(E7=Einheitenvorsätze!$A$19,_xlfn.CONCAT(D7,F7),_xlfn.CONCAT(D7,E7,F7))</f>
        <v>1500kΩ</v>
      </c>
      <c r="L7" s="77" t="str">
        <f>_xlfn.CONCAT(I7,K7)</f>
        <v>R = 1500kΩ</v>
      </c>
      <c r="M7" s="77" t="str">
        <f>_xlfn.CONCAT(I7,J7)</f>
        <v>R = 1500 * 10³Ω</v>
      </c>
    </row>
    <row r="8" spans="2:19" ht="16.5" customHeight="1" x14ac:dyDescent="0.25">
      <c r="C8" s="8" t="s">
        <v>856</v>
      </c>
      <c r="D8" s="4">
        <v>12</v>
      </c>
      <c r="E8" s="4" t="s">
        <v>718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393" t="str">
        <f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>_xlfn.CONCAT(I8,K8)</f>
        <v>C = 12nF</v>
      </c>
      <c r="M8" s="77" t="str">
        <f>_xlfn.CONCAT(I8,J8)</f>
        <v>C = 12 * 10⁻⁹F</v>
      </c>
    </row>
    <row r="9" spans="2:19" ht="18.75" x14ac:dyDescent="0.3">
      <c r="C9" s="8" t="s">
        <v>436</v>
      </c>
      <c r="D9" s="4">
        <v>12</v>
      </c>
      <c r="E9" s="4" t="s">
        <v>712</v>
      </c>
      <c r="F9" s="5" t="s">
        <v>741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1.2E-2</v>
      </c>
      <c r="I9" s="393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12 * 10⁻³s</v>
      </c>
      <c r="K9" s="77" t="str">
        <f>IF(E9=Einheitenvorsätze!$A$19,_xlfn.CONCAT(D9,F9),_xlfn.CONCAT(D9,E9,F9))</f>
        <v>12ms</v>
      </c>
      <c r="L9" s="77" t="str">
        <f>_xlfn.CONCAT(I9,K9)</f>
        <v>t = 12ms</v>
      </c>
      <c r="M9" s="77" t="str">
        <f>_xlfn.CONCAT(I9,J9)</f>
        <v>t = 12 * 10⁻³s</v>
      </c>
      <c r="O9" s="339" t="str">
        <f>_xlfn.CONCAT(C9,"-",Einheitenvorsätze!C56," * ln(1 - UC/U0)")</f>
        <v>t = -τ * ln(1 - UC/U0)</v>
      </c>
      <c r="R9" s="415">
        <f xml:space="preserve"> -D11 * LN(1 - D12/D6)</f>
        <v>1.2000026483616559E-2</v>
      </c>
    </row>
    <row r="10" spans="2:19" ht="18.75" x14ac:dyDescent="0.3">
      <c r="O10" s="339"/>
      <c r="R10" s="24"/>
    </row>
    <row r="11" spans="2:19" ht="18.75" x14ac:dyDescent="0.3">
      <c r="C11" s="8" t="str">
        <f>_xlfn.CONCAT(" ",Einheitenvorsätze!C56," = ")</f>
        <v xml:space="preserve"> τ = </v>
      </c>
      <c r="D11" s="77">
        <f>ROUND(D7*D8 * 10^(G7+G8+G11),4)</f>
        <v>1.7999999999999999E-2</v>
      </c>
      <c r="E11" s="4" t="s">
        <v>703</v>
      </c>
      <c r="F11" s="5" t="s">
        <v>741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1.7999999999999999E-2</v>
      </c>
      <c r="I11" s="393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0.018s</v>
      </c>
      <c r="K11" s="77" t="str">
        <f>IF(E11=Einheitenvorsätze!$A$19,_xlfn.CONCAT(D11,F11),_xlfn.CONCAT(D11,E11,F11))</f>
        <v>0.018s</v>
      </c>
      <c r="L11" s="77" t="str">
        <f>_xlfn.CONCAT(I11,K11)</f>
        <v xml:space="preserve"> τ = 0.018s</v>
      </c>
      <c r="M11" s="77" t="str">
        <f>_xlfn.CONCAT(I11,J11)</f>
        <v xml:space="preserve"> τ = 0.018s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15">
        <f xml:space="preserve"> -D9 / LN(1 - D12/D6)</f>
        <v>17.999960274662833</v>
      </c>
    </row>
    <row r="12" spans="2:19" ht="18.75" x14ac:dyDescent="0.3">
      <c r="B12" s="412" t="s">
        <v>900</v>
      </c>
      <c r="C12" s="8" t="str">
        <f>_xlfn.CONCAT(" UC = ")</f>
        <v xml:space="preserve"> UC = </v>
      </c>
      <c r="D12" s="77">
        <f>ROUND(H6*(1-EXP(-H9/H11))/10^G12,4)</f>
        <v>26.7621</v>
      </c>
      <c r="E12" s="4" t="s">
        <v>703</v>
      </c>
      <c r="F12" s="5" t="s">
        <v>316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26.7621</v>
      </c>
      <c r="I12" s="393" t="str">
        <f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26.7621V</v>
      </c>
      <c r="K12" s="77" t="str">
        <f>IF(E12=Einheitenvorsätze!$A$19,_xlfn.CONCAT(D12,F12),_xlfn.CONCAT(D12,E12,F12))</f>
        <v>26.7621V</v>
      </c>
      <c r="L12" s="77" t="str">
        <f>_xlfn.CONCAT(I12,K12)</f>
        <v xml:space="preserve"> UC = 26.7621V</v>
      </c>
      <c r="M12" s="77" t="str">
        <f>_xlfn.CONCAT(I12,J12)</f>
        <v xml:space="preserve"> UC = 26.7621V</v>
      </c>
      <c r="N12" s="417" t="s">
        <v>900</v>
      </c>
      <c r="O12" s="339" t="str">
        <f>_xlfn.CONCAT("UC(t) = U0(1 - e^(-t/",Einheitenvorsätze!C56,"))")</f>
        <v>UC(t) = U0(1 - e^(-t/τ))</v>
      </c>
      <c r="R12" s="415">
        <f xml:space="preserve"> D6*(1 - EXP(-D9/D11))</f>
        <v>55</v>
      </c>
    </row>
    <row r="13" spans="2:19" ht="18.75" x14ac:dyDescent="0.3">
      <c r="B13" s="412" t="s">
        <v>901</v>
      </c>
      <c r="C13" s="8" t="str">
        <f>_xlfn.CONCAT(" UC = ")</f>
        <v xml:space="preserve"> UC = </v>
      </c>
      <c r="D13" s="77">
        <f>ROUND(H6*(EXP(-H9/H11))/10^G12,4)</f>
        <v>28.2379</v>
      </c>
      <c r="E13" s="4" t="s">
        <v>703</v>
      </c>
      <c r="F13" s="5" t="s">
        <v>316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28.2379</v>
      </c>
      <c r="I13" s="393" t="str">
        <f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28.2379V</v>
      </c>
      <c r="K13" s="77" t="str">
        <f>IF(E13=Einheitenvorsätze!$A$19,_xlfn.CONCAT(D13,F13),_xlfn.CONCAT(D13,E13,F13))</f>
        <v>28.2379V</v>
      </c>
      <c r="L13" s="77" t="str">
        <f>_xlfn.CONCAT(I13,K13)</f>
        <v xml:space="preserve"> UC = 28.2379V</v>
      </c>
      <c r="M13" s="77" t="str">
        <f>_xlfn.CONCAT(I13,J13)</f>
        <v xml:space="preserve"> UC = 28.2379V</v>
      </c>
      <c r="N13" s="417" t="s">
        <v>901</v>
      </c>
      <c r="O13" s="339" t="str">
        <f>_xlfn.CONCAT("UC(t) = U0(e^(-t/",Einheitenvorsätze!C56,"))")</f>
        <v>UC(t) = U0(e^(-t/τ))</v>
      </c>
      <c r="R13" s="24"/>
    </row>
    <row r="14" spans="2:19" ht="18.75" x14ac:dyDescent="0.3">
      <c r="C14" s="1"/>
      <c r="I14" s="1"/>
      <c r="N14" s="339"/>
      <c r="O14" s="339"/>
      <c r="R14" s="24"/>
    </row>
    <row r="15" spans="2:19" ht="15.75" thickBot="1" x14ac:dyDescent="0.3">
      <c r="C15" s="1"/>
      <c r="I15" s="1"/>
    </row>
    <row r="16" spans="2:19" x14ac:dyDescent="0.25">
      <c r="B16" s="396"/>
      <c r="C16" s="397"/>
      <c r="D16" s="397"/>
      <c r="E16" s="397"/>
      <c r="F16" s="397"/>
      <c r="G16" s="397"/>
      <c r="H16" s="397"/>
      <c r="I16" s="397"/>
      <c r="J16" s="397"/>
      <c r="K16" s="397"/>
      <c r="L16" s="398"/>
      <c r="N16" s="8" t="s">
        <v>896</v>
      </c>
      <c r="O16" s="77">
        <f>-H9/H11</f>
        <v>-0.66666666666666674</v>
      </c>
      <c r="R16" s="413" t="str">
        <f>_xlfn.CONCAT("t / ", Einheitenvorsätze!C56)</f>
        <v>t / τ</v>
      </c>
      <c r="S16" s="413" t="s">
        <v>899</v>
      </c>
    </row>
    <row r="17" spans="2:26" x14ac:dyDescent="0.25">
      <c r="B17" s="399"/>
      <c r="L17" s="400"/>
      <c r="N17" s="8" t="s">
        <v>897</v>
      </c>
      <c r="O17" s="77">
        <f>EXP(O16)</f>
        <v>0.51341711903259202</v>
      </c>
      <c r="R17" s="95">
        <v>0</v>
      </c>
      <c r="S17" s="414">
        <f>1-EXP(-R17)</f>
        <v>0</v>
      </c>
    </row>
    <row r="18" spans="2:26" x14ac:dyDescent="0.25">
      <c r="B18" s="399"/>
      <c r="I18" s="5" t="s">
        <v>866</v>
      </c>
      <c r="K18" s="5" t="s">
        <v>865</v>
      </c>
      <c r="L18" s="400"/>
      <c r="N18" s="8" t="s">
        <v>898</v>
      </c>
      <c r="O18" s="77">
        <f>1-O17</f>
        <v>0.48658288096740798</v>
      </c>
      <c r="R18" s="95">
        <v>1</v>
      </c>
      <c r="S18" s="414">
        <f t="shared" ref="S18:S23" si="0">1-EXP(-R18)</f>
        <v>0.63212055882855767</v>
      </c>
    </row>
    <row r="19" spans="2:26" ht="18.75" x14ac:dyDescent="0.3">
      <c r="B19" s="399"/>
      <c r="I19" s="394" t="str">
        <f>$L$7</f>
        <v>R = 1500kΩ</v>
      </c>
      <c r="K19" s="395" t="str">
        <f>IF($I$4=$R$2,$L$11,_xlfn.CONCAT($C$11,"?"))</f>
        <v xml:space="preserve"> τ = 0.018s</v>
      </c>
      <c r="L19" s="400"/>
      <c r="R19" s="95">
        <v>2</v>
      </c>
      <c r="S19" s="414">
        <f t="shared" si="0"/>
        <v>0.8646647167633873</v>
      </c>
    </row>
    <row r="20" spans="2:26" ht="18.75" x14ac:dyDescent="0.3">
      <c r="B20" s="399"/>
      <c r="I20" s="394" t="str">
        <f>$L$8</f>
        <v>C = 12nF</v>
      </c>
      <c r="K20" s="395" t="str">
        <f>IF($I$4=$R$2,$L$12,_xlfn.CONCAT($C$12,"?"))</f>
        <v xml:space="preserve"> UC = 26.7621V</v>
      </c>
      <c r="L20" s="436">
        <f>IF($I$4=$R$2,$H$12/$H$6,"")</f>
        <v>0.48658363636363638</v>
      </c>
      <c r="R20" s="95">
        <v>3</v>
      </c>
      <c r="S20" s="414">
        <f t="shared" si="0"/>
        <v>0.95021293163213605</v>
      </c>
    </row>
    <row r="21" spans="2:26" ht="18.75" x14ac:dyDescent="0.3">
      <c r="B21" s="399"/>
      <c r="I21" s="394" t="str">
        <f>$L$6</f>
        <v>U0 = 55V</v>
      </c>
      <c r="K21" s="411"/>
      <c r="L21" s="400"/>
      <c r="R21" s="95">
        <v>4</v>
      </c>
      <c r="S21" s="414">
        <f t="shared" si="0"/>
        <v>0.98168436111126578</v>
      </c>
    </row>
    <row r="22" spans="2:26" ht="18.75" x14ac:dyDescent="0.3">
      <c r="B22" s="399"/>
      <c r="I22" s="394" t="str">
        <f>$L$9</f>
        <v>t = 12ms</v>
      </c>
      <c r="K22" s="411"/>
      <c r="L22" s="400"/>
      <c r="R22" s="95">
        <v>5</v>
      </c>
      <c r="S22" s="414">
        <f t="shared" si="0"/>
        <v>0.99326205300091452</v>
      </c>
    </row>
    <row r="23" spans="2:26" x14ac:dyDescent="0.25">
      <c r="B23" s="399"/>
      <c r="L23" s="400"/>
      <c r="R23" s="95">
        <v>6</v>
      </c>
      <c r="S23" s="414">
        <f t="shared" si="0"/>
        <v>0.99752124782333362</v>
      </c>
    </row>
    <row r="24" spans="2:26" x14ac:dyDescent="0.25">
      <c r="B24" s="399"/>
      <c r="L24" s="400"/>
    </row>
    <row r="25" spans="2:26" ht="15.75" thickBot="1" x14ac:dyDescent="0.3">
      <c r="B25" s="402"/>
      <c r="C25" s="403"/>
      <c r="D25" s="403"/>
      <c r="E25" s="403"/>
      <c r="F25" s="403"/>
      <c r="G25" s="403"/>
      <c r="H25" s="403"/>
      <c r="I25" s="403"/>
      <c r="J25" s="403"/>
      <c r="K25" s="403"/>
      <c r="L25" s="404"/>
    </row>
    <row r="30" spans="2:26" x14ac:dyDescent="0.25">
      <c r="B30" s="8" t="s">
        <v>1</v>
      </c>
      <c r="C30" s="77">
        <v>2</v>
      </c>
      <c r="D30" s="77" t="str">
        <f>_xlfn.CONCAT(IF(E9="–","",E9),F9)</f>
        <v>ms</v>
      </c>
      <c r="Y30" t="s">
        <v>905</v>
      </c>
    </row>
    <row r="31" spans="2:26" x14ac:dyDescent="0.25">
      <c r="B31" s="8" t="s">
        <v>19</v>
      </c>
      <c r="C31" s="77">
        <f>C32*10^$G$9</f>
        <v>0</v>
      </c>
      <c r="D31" s="77">
        <f t="shared" ref="D31:W31" si="1">D32*10^$G$9</f>
        <v>2E-3</v>
      </c>
      <c r="E31" s="77">
        <f t="shared" si="1"/>
        <v>4.0000000000000001E-3</v>
      </c>
      <c r="F31" s="77">
        <f t="shared" si="1"/>
        <v>6.0000000000000001E-3</v>
      </c>
      <c r="G31" s="77">
        <f t="shared" si="1"/>
        <v>8.0000000000000002E-3</v>
      </c>
      <c r="H31" s="77">
        <f t="shared" si="1"/>
        <v>0.01</v>
      </c>
      <c r="I31" s="77">
        <f t="shared" si="1"/>
        <v>1.2E-2</v>
      </c>
      <c r="J31" s="77">
        <f t="shared" si="1"/>
        <v>1.4E-2</v>
      </c>
      <c r="K31" s="77">
        <f t="shared" si="1"/>
        <v>1.6E-2</v>
      </c>
      <c r="L31" s="77">
        <f t="shared" si="1"/>
        <v>1.8000000000000002E-2</v>
      </c>
      <c r="M31" s="77">
        <f t="shared" si="1"/>
        <v>0.02</v>
      </c>
      <c r="N31" s="77">
        <f t="shared" si="1"/>
        <v>2.1999999999999999E-2</v>
      </c>
      <c r="O31" s="77">
        <f t="shared" si="1"/>
        <v>2.4E-2</v>
      </c>
      <c r="P31" s="77">
        <f t="shared" si="1"/>
        <v>2.6000000000000002E-2</v>
      </c>
      <c r="Q31" s="77">
        <f t="shared" si="1"/>
        <v>2.8000000000000001E-2</v>
      </c>
      <c r="R31" s="77">
        <f t="shared" si="1"/>
        <v>0.03</v>
      </c>
      <c r="S31" s="77">
        <f t="shared" si="1"/>
        <v>3.2000000000000001E-2</v>
      </c>
      <c r="T31" s="77">
        <f t="shared" si="1"/>
        <v>3.4000000000000002E-2</v>
      </c>
      <c r="U31" s="77">
        <f t="shared" si="1"/>
        <v>3.6000000000000004E-2</v>
      </c>
      <c r="V31" s="77">
        <f t="shared" si="1"/>
        <v>3.7999999999999999E-2</v>
      </c>
      <c r="W31" s="77">
        <f t="shared" si="1"/>
        <v>0.04</v>
      </c>
      <c r="Y31" s="77">
        <f>C32</f>
        <v>0</v>
      </c>
      <c r="Z31" s="77">
        <f>W32</f>
        <v>40</v>
      </c>
    </row>
    <row r="32" spans="2:26" x14ac:dyDescent="0.25">
      <c r="B32" s="8" t="str">
        <f>_xlfn.CONCAT("t [",D30,"]")</f>
        <v>t [ms]</v>
      </c>
      <c r="C32" s="4">
        <v>0</v>
      </c>
      <c r="D32" s="77">
        <f>C32+$C$30</f>
        <v>2</v>
      </c>
      <c r="E32" s="77">
        <f t="shared" ref="E32:W32" si="2">D32+$C$30</f>
        <v>4</v>
      </c>
      <c r="F32" s="77">
        <f t="shared" si="2"/>
        <v>6</v>
      </c>
      <c r="G32" s="77">
        <f t="shared" si="2"/>
        <v>8</v>
      </c>
      <c r="H32" s="77">
        <f t="shared" si="2"/>
        <v>10</v>
      </c>
      <c r="I32" s="77">
        <f t="shared" si="2"/>
        <v>12</v>
      </c>
      <c r="J32" s="77">
        <f t="shared" si="2"/>
        <v>14</v>
      </c>
      <c r="K32" s="77">
        <f t="shared" si="2"/>
        <v>16</v>
      </c>
      <c r="L32" s="77">
        <f t="shared" si="2"/>
        <v>18</v>
      </c>
      <c r="M32" s="77">
        <f t="shared" si="2"/>
        <v>20</v>
      </c>
      <c r="N32" s="77">
        <f t="shared" si="2"/>
        <v>22</v>
      </c>
      <c r="O32" s="77">
        <f t="shared" si="2"/>
        <v>24</v>
      </c>
      <c r="P32" s="77">
        <f t="shared" si="2"/>
        <v>26</v>
      </c>
      <c r="Q32" s="77">
        <f t="shared" si="2"/>
        <v>28</v>
      </c>
      <c r="R32" s="77">
        <f t="shared" si="2"/>
        <v>30</v>
      </c>
      <c r="S32" s="77">
        <f t="shared" si="2"/>
        <v>32</v>
      </c>
      <c r="T32" s="77">
        <f t="shared" si="2"/>
        <v>34</v>
      </c>
      <c r="U32" s="77">
        <f t="shared" si="2"/>
        <v>36</v>
      </c>
      <c r="V32" s="77">
        <f t="shared" si="2"/>
        <v>38</v>
      </c>
      <c r="W32" s="77">
        <f t="shared" si="2"/>
        <v>40</v>
      </c>
      <c r="Y32" s="212">
        <f>$D$6</f>
        <v>55</v>
      </c>
      <c r="Z32" s="212">
        <f>Y32</f>
        <v>55</v>
      </c>
    </row>
    <row r="33" spans="1:25" x14ac:dyDescent="0.25">
      <c r="A33" s="8" t="s">
        <v>902</v>
      </c>
      <c r="B33" s="292" t="s">
        <v>892</v>
      </c>
      <c r="C33" s="212">
        <f>$D$6*(1-EXP(-C31/($H$7*$H$8)))</f>
        <v>0</v>
      </c>
      <c r="D33" s="212">
        <f t="shared" ref="D33:W33" si="3">$D$6*(1-EXP(-D31/($H$7*$H$8)))</f>
        <v>5.7838375752096614</v>
      </c>
      <c r="E33" s="212">
        <f t="shared" si="3"/>
        <v>10.959442839575557</v>
      </c>
      <c r="F33" s="212">
        <f t="shared" si="3"/>
        <v>15.59077791844159</v>
      </c>
      <c r="G33" s="212">
        <f t="shared" si="3"/>
        <v>19.735078636352497</v>
      </c>
      <c r="H33" s="212">
        <f t="shared" si="3"/>
        <v>23.443561859441193</v>
      </c>
      <c r="I33" s="212">
        <f t="shared" si="3"/>
        <v>26.762058453207437</v>
      </c>
      <c r="J33" s="212">
        <f t="shared" si="3"/>
        <v>29.731579678024037</v>
      </c>
      <c r="K33" s="212">
        <f t="shared" si="3"/>
        <v>32.388824022104693</v>
      </c>
      <c r="L33" s="212">
        <f t="shared" si="3"/>
        <v>34.766630735570672</v>
      </c>
      <c r="M33" s="212">
        <f t="shared" si="3"/>
        <v>36.894385670565192</v>
      </c>
      <c r="N33" s="212">
        <f t="shared" si="3"/>
        <v>38.798384442944084</v>
      </c>
      <c r="O33" s="212">
        <f t="shared" si="3"/>
        <v>40.502157403635032</v>
      </c>
      <c r="P33" s="212">
        <f t="shared" si="3"/>
        <v>42.0267604357865</v>
      </c>
      <c r="Q33" s="212">
        <f t="shared" si="3"/>
        <v>43.391035171490039</v>
      </c>
      <c r="R33" s="212">
        <f t="shared" si="3"/>
        <v>44.611841843934094</v>
      </c>
      <c r="S33" s="212">
        <f t="shared" si="3"/>
        <v>45.70426765266636</v>
      </c>
      <c r="T33" s="212">
        <f t="shared" si="3"/>
        <v>46.681813217022736</v>
      </c>
      <c r="U33" s="212">
        <f t="shared" si="3"/>
        <v>47.5565594219863</v>
      </c>
      <c r="V33" s="212">
        <f t="shared" si="3"/>
        <v>48.339316718421863</v>
      </c>
      <c r="W33" s="212">
        <f t="shared" si="3"/>
        <v>49.039758722795725</v>
      </c>
    </row>
    <row r="34" spans="1:25" x14ac:dyDescent="0.25">
      <c r="A34" s="8" t="s">
        <v>903</v>
      </c>
      <c r="B34" s="292" t="s">
        <v>904</v>
      </c>
      <c r="C34" s="212">
        <f>$D$6*EXP(-C32/($H$7*$H$8))</f>
        <v>55</v>
      </c>
      <c r="D34" s="212">
        <f t="shared" ref="D34:W34" si="4">$D$6*EXP(-D32/($H$7*$H$8))</f>
        <v>3.0578787139746315E-47</v>
      </c>
      <c r="E34" s="212">
        <f t="shared" si="4"/>
        <v>1.7001131326143899E-95</v>
      </c>
      <c r="F34" s="212">
        <f t="shared" si="4"/>
        <v>9.4522541083094524E-144</v>
      </c>
      <c r="G34" s="212">
        <f t="shared" si="4"/>
        <v>5.2552448430689352E-192</v>
      </c>
      <c r="H34" s="212">
        <f t="shared" si="4"/>
        <v>2.9218002440626845E-240</v>
      </c>
      <c r="I34" s="212">
        <f t="shared" si="4"/>
        <v>1.6244565041464168E-288</v>
      </c>
      <c r="J34" s="212">
        <f t="shared" si="4"/>
        <v>0</v>
      </c>
      <c r="K34" s="212">
        <f t="shared" si="4"/>
        <v>0</v>
      </c>
      <c r="L34" s="212">
        <f t="shared" si="4"/>
        <v>0</v>
      </c>
      <c r="M34" s="212">
        <f t="shared" si="4"/>
        <v>0</v>
      </c>
      <c r="N34" s="212">
        <f t="shared" si="4"/>
        <v>0</v>
      </c>
      <c r="O34" s="212">
        <f t="shared" si="4"/>
        <v>0</v>
      </c>
      <c r="P34" s="212">
        <f t="shared" si="4"/>
        <v>0</v>
      </c>
      <c r="Q34" s="212">
        <f t="shared" si="4"/>
        <v>0</v>
      </c>
      <c r="R34" s="212">
        <f t="shared" si="4"/>
        <v>0</v>
      </c>
      <c r="S34" s="212">
        <f t="shared" si="4"/>
        <v>0</v>
      </c>
      <c r="T34" s="212">
        <f t="shared" si="4"/>
        <v>0</v>
      </c>
      <c r="U34" s="212">
        <f t="shared" si="4"/>
        <v>0</v>
      </c>
      <c r="V34" s="212">
        <f t="shared" si="4"/>
        <v>0</v>
      </c>
      <c r="W34" s="212">
        <f t="shared" si="4"/>
        <v>0</v>
      </c>
    </row>
    <row r="39" spans="1:25" x14ac:dyDescent="0.25">
      <c r="I39" s="5" t="s">
        <v>894</v>
      </c>
      <c r="J39" s="5"/>
    </row>
    <row r="40" spans="1:25" x14ac:dyDescent="0.25">
      <c r="I40" s="5">
        <f>H11/10^G11</f>
        <v>1.7999999999999999E-2</v>
      </c>
      <c r="J40" s="5">
        <f>I40</f>
        <v>1.7999999999999999E-2</v>
      </c>
    </row>
    <row r="41" spans="1:25" ht="18.75" x14ac:dyDescent="0.3">
      <c r="I41" s="5">
        <v>0</v>
      </c>
      <c r="J41" s="5">
        <f>$H$6*(1 - EXP(-1))</f>
        <v>34.766630735570672</v>
      </c>
      <c r="O41" s="339"/>
    </row>
    <row r="42" spans="1:25" x14ac:dyDescent="0.25">
      <c r="N42" s="8" t="s">
        <v>313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25">
      <c r="I43" s="5" t="s">
        <v>893</v>
      </c>
      <c r="J43" s="5"/>
      <c r="N43" s="8" t="s">
        <v>895</v>
      </c>
      <c r="O43" s="4">
        <v>0</v>
      </c>
      <c r="P43" s="77">
        <f t="shared" ref="P43:Y43" si="5">O43+$O$42</f>
        <v>1</v>
      </c>
      <c r="Q43" s="77">
        <f t="shared" si="5"/>
        <v>2</v>
      </c>
      <c r="R43" s="77">
        <f t="shared" si="5"/>
        <v>3</v>
      </c>
      <c r="S43" s="77">
        <f t="shared" si="5"/>
        <v>4</v>
      </c>
      <c r="T43" s="77">
        <f t="shared" si="5"/>
        <v>5</v>
      </c>
      <c r="U43" s="77">
        <f t="shared" si="5"/>
        <v>6</v>
      </c>
      <c r="V43" s="77">
        <f t="shared" si="5"/>
        <v>7</v>
      </c>
      <c r="W43" s="77">
        <f t="shared" si="5"/>
        <v>8</v>
      </c>
      <c r="X43" s="77">
        <f t="shared" si="5"/>
        <v>9</v>
      </c>
      <c r="Y43" s="77">
        <f t="shared" si="5"/>
        <v>10</v>
      </c>
    </row>
    <row r="44" spans="1:25" ht="17.25" x14ac:dyDescent="0.25">
      <c r="I44" s="5">
        <v>0</v>
      </c>
      <c r="J44" s="5">
        <f>J40</f>
        <v>1.7999999999999999E-2</v>
      </c>
      <c r="N44" s="418" t="s">
        <v>907</v>
      </c>
      <c r="O44" s="419">
        <f t="shared" ref="O44:Y44" si="6">1-EXP(-O43)</f>
        <v>0</v>
      </c>
      <c r="P44" s="419">
        <f t="shared" si="6"/>
        <v>0.63212055882855767</v>
      </c>
      <c r="Q44" s="419">
        <f t="shared" si="6"/>
        <v>0.8646647167633873</v>
      </c>
      <c r="R44" s="419">
        <f t="shared" si="6"/>
        <v>0.95021293163213605</v>
      </c>
      <c r="S44" s="419">
        <f t="shared" si="6"/>
        <v>0.98168436111126578</v>
      </c>
      <c r="T44" s="419">
        <f t="shared" si="6"/>
        <v>0.99326205300091452</v>
      </c>
      <c r="U44" s="419">
        <f t="shared" si="6"/>
        <v>0.99752124782333362</v>
      </c>
      <c r="V44" s="419">
        <f t="shared" si="6"/>
        <v>0.99908811803444553</v>
      </c>
      <c r="W44" s="419">
        <f t="shared" si="6"/>
        <v>0.99966453737209748</v>
      </c>
      <c r="X44" s="419">
        <f t="shared" si="6"/>
        <v>0.99987659019591335</v>
      </c>
      <c r="Y44" s="419">
        <f t="shared" si="6"/>
        <v>0.99995460007023751</v>
      </c>
    </row>
    <row r="45" spans="1:25" ht="17.25" x14ac:dyDescent="0.25">
      <c r="I45" s="5">
        <f>J41</f>
        <v>34.766630735570672</v>
      </c>
      <c r="J45" s="5">
        <f>I45</f>
        <v>34.766630735570672</v>
      </c>
      <c r="N45" s="420" t="s">
        <v>906</v>
      </c>
      <c r="O45" s="421">
        <f>EXP(-O43)</f>
        <v>1</v>
      </c>
      <c r="P45" s="421">
        <f t="shared" ref="P45:Y45" si="7">EXP(-P43)</f>
        <v>0.36787944117144233</v>
      </c>
      <c r="Q45" s="421">
        <f t="shared" si="7"/>
        <v>0.1353352832366127</v>
      </c>
      <c r="R45" s="421">
        <f t="shared" si="7"/>
        <v>4.9787068367863944E-2</v>
      </c>
      <c r="S45" s="421">
        <f t="shared" si="7"/>
        <v>1.8315638888734179E-2</v>
      </c>
      <c r="T45" s="421">
        <f t="shared" si="7"/>
        <v>6.737946999085467E-3</v>
      </c>
      <c r="U45" s="421">
        <f t="shared" si="7"/>
        <v>2.4787521766663585E-3</v>
      </c>
      <c r="V45" s="421">
        <f t="shared" si="7"/>
        <v>9.1188196555451624E-4</v>
      </c>
      <c r="W45" s="421">
        <f t="shared" si="7"/>
        <v>3.3546262790251185E-4</v>
      </c>
      <c r="X45" s="421">
        <f t="shared" si="7"/>
        <v>1.2340980408667956E-4</v>
      </c>
      <c r="Y45" s="421">
        <f t="shared" si="7"/>
        <v>4.5399929762484854E-5</v>
      </c>
    </row>
    <row r="72" spans="8:9" x14ac:dyDescent="0.25">
      <c r="H72" s="5" t="s">
        <v>894</v>
      </c>
      <c r="I72" s="5"/>
    </row>
    <row r="73" spans="8:9" x14ac:dyDescent="0.25">
      <c r="H73" s="77">
        <f>H11/10^G11</f>
        <v>1.7999999999999999E-2</v>
      </c>
      <c r="I73" s="77">
        <f>H73</f>
        <v>1.7999999999999999E-2</v>
      </c>
    </row>
    <row r="74" spans="8:9" x14ac:dyDescent="0.25">
      <c r="H74" s="77">
        <v>0</v>
      </c>
      <c r="I74" s="77">
        <f>$H$6*(EXP(-1))</f>
        <v>20.233369264429328</v>
      </c>
    </row>
    <row r="76" spans="8:9" x14ac:dyDescent="0.25">
      <c r="H76" s="5" t="s">
        <v>893</v>
      </c>
      <c r="I76" s="5"/>
    </row>
    <row r="77" spans="8:9" x14ac:dyDescent="0.25">
      <c r="H77" s="77">
        <v>0</v>
      </c>
      <c r="I77" s="77">
        <f>I73</f>
        <v>1.7999999999999999E-2</v>
      </c>
    </row>
    <row r="78" spans="8:9" x14ac:dyDescent="0.2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5" x14ac:dyDescent="0.25"/>
  <cols>
    <col min="9" max="9" width="16.5703125" customWidth="1"/>
    <col min="10" max="10" width="14.42578125" customWidth="1"/>
    <col min="12" max="12" width="4.85546875" customWidth="1"/>
    <col min="14" max="14" width="18.140625" customWidth="1"/>
    <col min="15" max="15" width="9.42578125" customWidth="1"/>
  </cols>
  <sheetData>
    <row r="2" spans="3:30" ht="23.25" x14ac:dyDescent="0.35">
      <c r="C2" s="9" t="s">
        <v>561</v>
      </c>
    </row>
    <row r="5" spans="3:30" ht="18" x14ac:dyDescent="0.35">
      <c r="J5" s="5" t="s">
        <v>593</v>
      </c>
      <c r="K5" s="5"/>
      <c r="L5" s="5"/>
      <c r="N5" s="5" t="s">
        <v>592</v>
      </c>
      <c r="O5" s="5"/>
    </row>
    <row r="6" spans="3:30" ht="18" x14ac:dyDescent="0.35">
      <c r="J6" s="8" t="s">
        <v>584</v>
      </c>
      <c r="K6" s="4">
        <v>1.55</v>
      </c>
      <c r="L6" s="5" t="s">
        <v>549</v>
      </c>
      <c r="N6" s="5" t="s">
        <v>590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8" x14ac:dyDescent="0.35">
      <c r="J7" s="8" t="s">
        <v>583</v>
      </c>
      <c r="K7" s="4">
        <v>0.7</v>
      </c>
      <c r="L7" s="5" t="s">
        <v>562</v>
      </c>
      <c r="N7" s="5" t="s">
        <v>589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8" x14ac:dyDescent="0.35">
      <c r="J8" s="1"/>
      <c r="K8" s="1"/>
      <c r="N8" s="5" t="s">
        <v>591</v>
      </c>
      <c r="O8" s="212">
        <f>O6*O7</f>
        <v>0.85803571428571435</v>
      </c>
    </row>
    <row r="10" spans="3:30" x14ac:dyDescent="0.25">
      <c r="I10" s="8" t="s">
        <v>1</v>
      </c>
      <c r="J10" s="4">
        <v>0.1</v>
      </c>
    </row>
    <row r="11" spans="3:30" ht="18" x14ac:dyDescent="0.35">
      <c r="I11" s="8" t="s">
        <v>585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8" x14ac:dyDescent="0.35">
      <c r="I12" s="292" t="s">
        <v>586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8" x14ac:dyDescent="0.35">
      <c r="I13" s="293" t="s">
        <v>587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8" x14ac:dyDescent="0.35">
      <c r="I14" s="294" t="s">
        <v>588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8" x14ac:dyDescent="0.35">
      <c r="I17" s="95" t="s">
        <v>585</v>
      </c>
      <c r="J17" s="295" t="s">
        <v>586</v>
      </c>
      <c r="K17" s="296" t="s">
        <v>587</v>
      </c>
    </row>
    <row r="18" spans="9:15" x14ac:dyDescent="0.25">
      <c r="I18" s="95" t="s">
        <v>562</v>
      </c>
      <c r="J18" s="295" t="s">
        <v>594</v>
      </c>
      <c r="K18" s="296" t="s">
        <v>549</v>
      </c>
    </row>
    <row r="19" spans="9:15" x14ac:dyDescent="0.2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2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2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2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2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2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5" x14ac:dyDescent="0.25"/>
  <cols>
    <col min="1" max="1" width="3.85546875" customWidth="1"/>
    <col min="2" max="2" width="11.85546875" customWidth="1"/>
    <col min="3" max="3" width="12" customWidth="1"/>
    <col min="4" max="4" width="35.140625" customWidth="1"/>
    <col min="5" max="5" width="9.5703125" customWidth="1"/>
    <col min="6" max="6" width="12.42578125" customWidth="1"/>
    <col min="7" max="8" width="9.85546875" customWidth="1"/>
    <col min="9" max="9" width="16" customWidth="1"/>
    <col min="10" max="10" width="11.42578125" customWidth="1"/>
    <col min="11" max="11" width="33" customWidth="1"/>
    <col min="12" max="12" width="15.5703125" customWidth="1"/>
    <col min="13" max="13" width="15" customWidth="1"/>
    <col min="14" max="14" width="6.5703125" customWidth="1"/>
    <col min="15" max="15" width="24.5703125" customWidth="1"/>
    <col min="16" max="16" width="7.28515625" customWidth="1"/>
    <col min="21" max="21" width="16.42578125" customWidth="1"/>
  </cols>
  <sheetData>
    <row r="1" spans="3:25" ht="39.950000000000003" customHeight="1" x14ac:dyDescent="0.25"/>
    <row r="2" spans="3:25" ht="26.25" x14ac:dyDescent="0.4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25">
      <c r="L3" s="95" t="s">
        <v>201</v>
      </c>
      <c r="M3" s="95" t="s">
        <v>259</v>
      </c>
      <c r="T3" s="66"/>
      <c r="X3" s="99"/>
      <c r="Y3" s="99"/>
    </row>
    <row r="4" spans="3:25" x14ac:dyDescent="0.25">
      <c r="L4" s="95" t="s">
        <v>202</v>
      </c>
      <c r="M4" s="95" t="s">
        <v>258</v>
      </c>
      <c r="T4" s="66"/>
    </row>
    <row r="5" spans="3:25" x14ac:dyDescent="0.25">
      <c r="L5" s="95"/>
      <c r="M5" s="95" t="s">
        <v>247</v>
      </c>
      <c r="T5" s="66"/>
    </row>
    <row r="6" spans="3:25" x14ac:dyDescent="0.25">
      <c r="L6" s="95"/>
      <c r="M6" s="95" t="s">
        <v>256</v>
      </c>
    </row>
    <row r="20" spans="4:35" x14ac:dyDescent="0.2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2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2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2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7.25" x14ac:dyDescent="0.2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8" x14ac:dyDescent="0.3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8" x14ac:dyDescent="0.3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8" x14ac:dyDescent="0.3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25">
      <c r="D29" s="5"/>
      <c r="E29" s="8"/>
      <c r="F29" s="5"/>
      <c r="G29" s="74"/>
      <c r="H29" s="5"/>
    </row>
    <row r="30" spans="4:35" ht="18" x14ac:dyDescent="0.3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5.95" customHeight="1" x14ac:dyDescent="0.3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5.95" customHeight="1" x14ac:dyDescent="0.3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5.95" customHeight="1" x14ac:dyDescent="0.3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5.95" customHeight="1" x14ac:dyDescent="0.3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5.95" customHeight="1" x14ac:dyDescent="0.3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5.95" customHeight="1" x14ac:dyDescent="0.3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8" x14ac:dyDescent="0.3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8" x14ac:dyDescent="0.3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8" x14ac:dyDescent="0.3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2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2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2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>
      <selection activeCell="J4" sqref="J4"/>
    </sheetView>
  </sheetViews>
  <sheetFormatPr baseColWidth="10" defaultRowHeight="15" x14ac:dyDescent="0.25"/>
  <cols>
    <col min="2" max="2" width="7.85546875" customWidth="1"/>
    <col min="3" max="3" width="21" customWidth="1"/>
    <col min="4" max="4" width="31.5703125" customWidth="1"/>
    <col min="5" max="5" width="14.5703125" customWidth="1"/>
    <col min="6" max="6" width="16.140625" bestFit="1" customWidth="1"/>
  </cols>
  <sheetData>
    <row r="2" spans="2:46" ht="23.25" x14ac:dyDescent="0.35">
      <c r="C2" s="9" t="s">
        <v>842</v>
      </c>
      <c r="D2" s="90"/>
    </row>
    <row r="4" spans="2:46" ht="18" x14ac:dyDescent="0.35">
      <c r="E4" s="8" t="s">
        <v>545</v>
      </c>
      <c r="F4" s="4">
        <v>1</v>
      </c>
      <c r="G4" s="5" t="s">
        <v>316</v>
      </c>
      <c r="I4" s="272" t="s">
        <v>547</v>
      </c>
      <c r="J4" s="4">
        <v>120</v>
      </c>
      <c r="K4" s="5" t="s">
        <v>548</v>
      </c>
      <c r="L4" s="77">
        <f>RADIANS(J4)</f>
        <v>2.0943951023931953</v>
      </c>
      <c r="M4" s="5" t="s">
        <v>202</v>
      </c>
      <c r="T4" s="5" t="s">
        <v>470</v>
      </c>
      <c r="U4" s="77">
        <f>MIN(F8:AT8)</f>
        <v>0</v>
      </c>
      <c r="V4" s="77">
        <f>MAX(F8:AT8)</f>
        <v>400</v>
      </c>
      <c r="Y4" s="5" t="s">
        <v>471</v>
      </c>
      <c r="Z4" s="5">
        <v>0</v>
      </c>
      <c r="AA4" s="5">
        <v>0</v>
      </c>
      <c r="AC4" s="5" t="s">
        <v>64</v>
      </c>
    </row>
    <row r="5" spans="2:46" ht="18" x14ac:dyDescent="0.35">
      <c r="E5" s="8" t="s">
        <v>546</v>
      </c>
      <c r="F5" s="4">
        <v>2</v>
      </c>
      <c r="G5" s="5" t="s">
        <v>38</v>
      </c>
      <c r="I5" s="272" t="s">
        <v>551</v>
      </c>
      <c r="J5" s="4">
        <v>90</v>
      </c>
      <c r="K5" s="5" t="s">
        <v>548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25">
      <c r="E6" s="1"/>
      <c r="H6" s="271"/>
    </row>
    <row r="7" spans="2:46" x14ac:dyDescent="0.25">
      <c r="E7" s="8" t="s">
        <v>313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25">
      <c r="C8" s="95" t="s">
        <v>411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25">
      <c r="C9" s="95" t="s">
        <v>411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45">
      <c r="B10" s="104" t="s">
        <v>64</v>
      </c>
      <c r="C10" s="273" t="s">
        <v>553</v>
      </c>
      <c r="D10" s="277" t="s">
        <v>555</v>
      </c>
      <c r="E10" s="274" t="s">
        <v>549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45">
      <c r="B11" s="104" t="s">
        <v>64</v>
      </c>
      <c r="C11" s="275" t="s">
        <v>554</v>
      </c>
      <c r="D11" s="278" t="s">
        <v>556</v>
      </c>
      <c r="E11" s="276" t="s">
        <v>550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" x14ac:dyDescent="0.35">
      <c r="B12" s="104" t="s">
        <v>65</v>
      </c>
      <c r="C12" s="279" t="s">
        <v>557</v>
      </c>
      <c r="D12" s="280" t="str">
        <f>IF($J$4=$J$5,"Umomentan^2 / R","Nicht gleichphasig")</f>
        <v>Nicht gleichphasig</v>
      </c>
      <c r="E12" s="281" t="s">
        <v>552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" x14ac:dyDescent="0.35">
      <c r="B13" s="104" t="s">
        <v>64</v>
      </c>
      <c r="C13" s="279" t="s">
        <v>557</v>
      </c>
      <c r="D13" s="278" t="s">
        <v>558</v>
      </c>
      <c r="E13" s="281" t="s">
        <v>552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.75" thickBot="1" x14ac:dyDescent="0.3"/>
    <row r="17" spans="6:10" ht="27" thickBot="1" x14ac:dyDescent="0.4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70" zoomScaleNormal="70" workbookViewId="0"/>
  </sheetViews>
  <sheetFormatPr baseColWidth="10" defaultRowHeight="15" x14ac:dyDescent="0.25"/>
  <cols>
    <col min="1" max="1" width="2.42578125" customWidth="1"/>
    <col min="2" max="3" width="16.140625" customWidth="1"/>
    <col min="4" max="4" width="23.85546875" customWidth="1"/>
    <col min="5" max="5" width="16.140625" customWidth="1"/>
    <col min="6" max="6" width="15.7109375" customWidth="1"/>
    <col min="7" max="7" width="27.28515625" customWidth="1"/>
    <col min="8" max="8" width="9.42578125" customWidth="1"/>
    <col min="9" max="9" width="9.5703125" customWidth="1"/>
    <col min="10" max="10" width="17.140625" customWidth="1"/>
    <col min="11" max="11" width="21.28515625" customWidth="1"/>
    <col min="12" max="12" width="11.7109375" customWidth="1"/>
    <col min="13" max="13" width="7.42578125" customWidth="1"/>
    <col min="14" max="46" width="2.140625" customWidth="1"/>
    <col min="47" max="49" width="4.7109375" customWidth="1"/>
    <col min="50" max="50" width="9.140625" customWidth="1"/>
    <col min="56" max="56" width="14.85546875" customWidth="1"/>
    <col min="57" max="57" width="14.5703125" customWidth="1"/>
    <col min="58" max="58" width="15.140625" customWidth="1"/>
  </cols>
  <sheetData>
    <row r="1" spans="3:71" ht="38.1" customHeight="1" x14ac:dyDescent="0.25"/>
    <row r="2" spans="3:71" ht="26.25" x14ac:dyDescent="0.4">
      <c r="F2" s="29" t="s">
        <v>311</v>
      </c>
      <c r="BC2" s="310" t="s">
        <v>612</v>
      </c>
      <c r="BD2" s="310"/>
    </row>
    <row r="3" spans="3:71" x14ac:dyDescent="0.25">
      <c r="L3" s="5" t="s">
        <v>64</v>
      </c>
      <c r="M3" s="5" t="s">
        <v>298</v>
      </c>
      <c r="BC3" s="77">
        <f>AZ10</f>
        <v>30</v>
      </c>
      <c r="BD3" s="77">
        <f>BC3</f>
        <v>30</v>
      </c>
    </row>
    <row r="4" spans="3:71" x14ac:dyDescent="0.2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1.9999999999999998</v>
      </c>
    </row>
    <row r="5" spans="3:71" x14ac:dyDescent="0.25">
      <c r="BC5" s="99"/>
      <c r="BD5" s="99"/>
    </row>
    <row r="6" spans="3:71" x14ac:dyDescent="0.25">
      <c r="BC6" s="99"/>
      <c r="BD6" s="99"/>
    </row>
    <row r="7" spans="3:71" x14ac:dyDescent="0.25">
      <c r="BC7" s="99"/>
      <c r="BD7" s="99"/>
    </row>
    <row r="9" spans="3:71" x14ac:dyDescent="0.25">
      <c r="C9" s="5"/>
      <c r="D9" s="5"/>
      <c r="E9" s="5"/>
      <c r="F9" s="5"/>
      <c r="G9" s="8" t="s">
        <v>313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611</v>
      </c>
      <c r="BA9" s="5"/>
      <c r="BC9" s="5" t="s">
        <v>195</v>
      </c>
      <c r="BD9" s="5"/>
      <c r="BE9" s="5"/>
      <c r="BF9" s="5"/>
      <c r="BG9" s="5" t="s">
        <v>617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8" x14ac:dyDescent="0.35">
      <c r="C10" s="5" t="s">
        <v>613</v>
      </c>
      <c r="D10" s="5"/>
      <c r="E10" s="5"/>
      <c r="F10" s="8" t="s">
        <v>411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30</v>
      </c>
      <c r="BA10" s="113" t="s">
        <v>298</v>
      </c>
      <c r="BC10" s="5" t="s">
        <v>206</v>
      </c>
      <c r="BD10" s="5" t="s">
        <v>207</v>
      </c>
      <c r="BE10" s="8" t="s">
        <v>411</v>
      </c>
      <c r="BF10" s="8" t="s">
        <v>412</v>
      </c>
      <c r="BG10" s="95" t="s">
        <v>615</v>
      </c>
      <c r="BH10" s="95" t="s">
        <v>616</v>
      </c>
      <c r="BI10" s="95" t="s">
        <v>618</v>
      </c>
      <c r="BJ10" s="95" t="s">
        <v>227</v>
      </c>
      <c r="BK10" s="95" t="s">
        <v>619</v>
      </c>
      <c r="BL10" s="95" t="s">
        <v>615</v>
      </c>
      <c r="BM10" s="95" t="s">
        <v>616</v>
      </c>
      <c r="BN10" s="95" t="s">
        <v>620</v>
      </c>
      <c r="BO10" s="95" t="s">
        <v>621</v>
      </c>
      <c r="BP10" s="95" t="s">
        <v>618</v>
      </c>
      <c r="BQ10" s="95" t="s">
        <v>622</v>
      </c>
      <c r="BR10" s="95" t="s">
        <v>623</v>
      </c>
      <c r="BS10" s="95" t="s">
        <v>624</v>
      </c>
    </row>
    <row r="11" spans="3:71" x14ac:dyDescent="0.25">
      <c r="C11" s="5" t="s">
        <v>614</v>
      </c>
      <c r="D11" s="5" t="s">
        <v>625</v>
      </c>
      <c r="E11" s="5" t="s">
        <v>912</v>
      </c>
      <c r="F11" s="8" t="s">
        <v>411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628</v>
      </c>
      <c r="AZ11" s="309">
        <f>IF($BA$10=$M$3,AZ10*PI()/180,H10)</f>
        <v>0.52359877559829882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4</v>
      </c>
      <c r="BL11" s="77">
        <v>0</v>
      </c>
      <c r="BM11" s="77">
        <f>BK11</f>
        <v>4</v>
      </c>
      <c r="BN11" s="77">
        <v>0</v>
      </c>
      <c r="BO11" s="77">
        <f>-BK11</f>
        <v>-4</v>
      </c>
      <c r="BP11" s="77">
        <f>BM11</f>
        <v>4</v>
      </c>
      <c r="BQ11" s="77">
        <v>0</v>
      </c>
      <c r="BR11" s="77">
        <f>BO11</f>
        <v>-4</v>
      </c>
      <c r="BS11" s="77">
        <v>0</v>
      </c>
    </row>
    <row r="12" spans="3:71" ht="18.75" x14ac:dyDescent="0.3">
      <c r="C12" s="4">
        <v>4</v>
      </c>
      <c r="D12" s="4">
        <v>0</v>
      </c>
      <c r="E12" s="104"/>
      <c r="F12" s="279" t="s">
        <v>312</v>
      </c>
      <c r="G12" s="279" t="str">
        <f>_xlfn.CONCAT(C12, IF(D12=0," * sin(x) =",IF(D12&lt;0,_xlfn.CONCAT(" * sin(x - ",ABS(D12),") ="),_xlfn.CONCAT(" * sin(x + ",D12,") ="))))</f>
        <v>4 * sin(x) =</v>
      </c>
      <c r="H12" s="212">
        <f>IF($AX$12=$L$3,$C$12*SIN(H11+RADIANS($D$12)),0)</f>
        <v>0</v>
      </c>
      <c r="I12" s="212">
        <f t="shared" ref="I12:AV12" si="3">IF($AX$12=$L$3,$C$12*SIN(I11+RADIANS($D$12)),0)</f>
        <v>0.69459271066772132</v>
      </c>
      <c r="J12" s="212">
        <f t="shared" si="3"/>
        <v>1.3680805733026749</v>
      </c>
      <c r="K12" s="212">
        <f t="shared" si="3"/>
        <v>1.9999999999999998</v>
      </c>
      <c r="L12" s="212">
        <f t="shared" si="3"/>
        <v>2.571150438746157</v>
      </c>
      <c r="M12" s="212">
        <f t="shared" si="3"/>
        <v>3.0641777724759121</v>
      </c>
      <c r="N12" s="212">
        <f t="shared" si="3"/>
        <v>3.4641016151377544</v>
      </c>
      <c r="O12" s="212">
        <f t="shared" si="3"/>
        <v>3.7587704831436333</v>
      </c>
      <c r="P12" s="212">
        <f t="shared" si="3"/>
        <v>3.9392310120488321</v>
      </c>
      <c r="Q12" s="212">
        <f t="shared" si="3"/>
        <v>4</v>
      </c>
      <c r="R12" s="212">
        <f t="shared" si="3"/>
        <v>3.9392310120488321</v>
      </c>
      <c r="S12" s="212">
        <f t="shared" si="3"/>
        <v>3.7587704831436337</v>
      </c>
      <c r="T12" s="212">
        <f t="shared" si="3"/>
        <v>3.4641016151377548</v>
      </c>
      <c r="U12" s="212">
        <f t="shared" si="3"/>
        <v>3.0641777724759121</v>
      </c>
      <c r="V12" s="212">
        <f t="shared" si="3"/>
        <v>2.5711504387461579</v>
      </c>
      <c r="W12" s="212">
        <f t="shared" si="3"/>
        <v>1.9999999999999998</v>
      </c>
      <c r="X12" s="212">
        <f t="shared" si="3"/>
        <v>1.3680805733026755</v>
      </c>
      <c r="Y12" s="212">
        <f t="shared" si="3"/>
        <v>0.6945927106677211</v>
      </c>
      <c r="Z12" s="212">
        <f t="shared" si="3"/>
        <v>4.90059381963448E-16</v>
      </c>
      <c r="AA12" s="212">
        <f t="shared" si="3"/>
        <v>-0.69459271066772188</v>
      </c>
      <c r="AB12" s="212">
        <f t="shared" si="3"/>
        <v>-1.3680805733026746</v>
      </c>
      <c r="AC12" s="212">
        <f t="shared" si="3"/>
        <v>-2.0000000000000004</v>
      </c>
      <c r="AD12" s="212">
        <f t="shared" si="3"/>
        <v>-2.571150438746157</v>
      </c>
      <c r="AE12" s="212">
        <f t="shared" si="3"/>
        <v>-3.0641777724759116</v>
      </c>
      <c r="AF12" s="212">
        <f t="shared" si="3"/>
        <v>-3.4641016151377535</v>
      </c>
      <c r="AG12" s="212">
        <f t="shared" si="3"/>
        <v>-3.7587704831436328</v>
      </c>
      <c r="AH12" s="212">
        <f t="shared" si="3"/>
        <v>-3.9392310120488321</v>
      </c>
      <c r="AI12" s="212">
        <f t="shared" si="3"/>
        <v>-4</v>
      </c>
      <c r="AJ12" s="212">
        <f t="shared" si="3"/>
        <v>-3.9392310120488325</v>
      </c>
      <c r="AK12" s="212">
        <f t="shared" si="3"/>
        <v>-3.7587704831436342</v>
      </c>
      <c r="AL12" s="212">
        <f t="shared" si="3"/>
        <v>-3.4641016151377544</v>
      </c>
      <c r="AM12" s="212">
        <f t="shared" si="3"/>
        <v>-3.0641777724759125</v>
      </c>
      <c r="AN12" s="212">
        <f t="shared" si="3"/>
        <v>-2.5711504387461583</v>
      </c>
      <c r="AO12" s="212">
        <f t="shared" si="3"/>
        <v>-2.0000000000000018</v>
      </c>
      <c r="AP12" s="212">
        <f t="shared" si="3"/>
        <v>-1.3680805733026744</v>
      </c>
      <c r="AQ12" s="212">
        <f t="shared" si="3"/>
        <v>-0.6945927106677251</v>
      </c>
      <c r="AR12" s="212">
        <f t="shared" si="3"/>
        <v>-9.8011876392689601E-16</v>
      </c>
      <c r="AS12" s="212">
        <f t="shared" si="3"/>
        <v>0.69459271066771966</v>
      </c>
      <c r="AT12" s="212">
        <f t="shared" si="3"/>
        <v>1.3680805733026757</v>
      </c>
      <c r="AU12" s="212">
        <f t="shared" si="3"/>
        <v>1.9999999999999971</v>
      </c>
      <c r="AV12" s="212">
        <f t="shared" si="3"/>
        <v>2.5711504387461566</v>
      </c>
      <c r="AW12" s="99"/>
      <c r="AX12" s="318" t="s">
        <v>64</v>
      </c>
      <c r="AZ12" s="212">
        <f>IF($AX$12=$L$3,$C$12 * SIN(AZ11 + RADIANS($D$12)),0)</f>
        <v>1.9999999999999998</v>
      </c>
      <c r="BA12" s="5"/>
      <c r="BC12" s="77">
        <f>IF($AX$12=$L$3,$C12,0)</f>
        <v>4</v>
      </c>
      <c r="BD12" s="77">
        <f>$AZ$10+$D$12</f>
        <v>30</v>
      </c>
      <c r="BE12" s="311">
        <f>BC12*COS(RADIANS(BD12))</f>
        <v>3.4641016151377548</v>
      </c>
      <c r="BF12" s="311">
        <f>BC12*SIN(RADIANS(BD12))</f>
        <v>1.9999999999999998</v>
      </c>
      <c r="BG12" s="311">
        <v>0</v>
      </c>
      <c r="BH12" s="311">
        <f>BE12</f>
        <v>3.4641016151377548</v>
      </c>
      <c r="BI12" s="311">
        <v>0</v>
      </c>
      <c r="BJ12" s="311">
        <f>BF12</f>
        <v>1.9999999999999998</v>
      </c>
    </row>
    <row r="13" spans="3:71" ht="18.75" x14ac:dyDescent="0.3">
      <c r="C13" s="4">
        <v>4</v>
      </c>
      <c r="D13" s="4">
        <v>-90</v>
      </c>
      <c r="E13" s="104"/>
      <c r="F13" s="317" t="s">
        <v>315</v>
      </c>
      <c r="G13" s="317" t="str">
        <f>_xlfn.CONCAT(C13, IF(D13=0," * cos(x) =",IF(D13&lt;0,_xlfn.CONCAT(" * cos(x - ",ABS(D13),") ="),_xlfn.CONCAT(" * cos(x + ",D13,") ="))))</f>
        <v>4 * cos(x - 90) =</v>
      </c>
      <c r="H13" s="212">
        <f t="shared" ref="H13:AV13" si="4">IF($AX$13=$L$3,$C$13*COS(H11+RADIANS($D$13)),0)</f>
        <v>0</v>
      </c>
      <c r="I13" s="212">
        <f t="shared" si="4"/>
        <v>0</v>
      </c>
      <c r="J13" s="212">
        <f t="shared" si="4"/>
        <v>0</v>
      </c>
      <c r="K13" s="212">
        <f t="shared" si="4"/>
        <v>0</v>
      </c>
      <c r="L13" s="212">
        <f t="shared" si="4"/>
        <v>0</v>
      </c>
      <c r="M13" s="212">
        <f t="shared" si="4"/>
        <v>0</v>
      </c>
      <c r="N13" s="212">
        <f t="shared" si="4"/>
        <v>0</v>
      </c>
      <c r="O13" s="212">
        <f t="shared" si="4"/>
        <v>0</v>
      </c>
      <c r="P13" s="212">
        <f t="shared" si="4"/>
        <v>0</v>
      </c>
      <c r="Q13" s="212">
        <f t="shared" si="4"/>
        <v>0</v>
      </c>
      <c r="R13" s="212">
        <f t="shared" si="4"/>
        <v>0</v>
      </c>
      <c r="S13" s="212">
        <f t="shared" si="4"/>
        <v>0</v>
      </c>
      <c r="T13" s="212">
        <f t="shared" si="4"/>
        <v>0</v>
      </c>
      <c r="U13" s="212">
        <f t="shared" si="4"/>
        <v>0</v>
      </c>
      <c r="V13" s="212">
        <f t="shared" si="4"/>
        <v>0</v>
      </c>
      <c r="W13" s="212">
        <f t="shared" si="4"/>
        <v>0</v>
      </c>
      <c r="X13" s="212">
        <f t="shared" si="4"/>
        <v>0</v>
      </c>
      <c r="Y13" s="212">
        <f t="shared" si="4"/>
        <v>0</v>
      </c>
      <c r="Z13" s="212">
        <f t="shared" si="4"/>
        <v>0</v>
      </c>
      <c r="AA13" s="212">
        <f t="shared" si="4"/>
        <v>0</v>
      </c>
      <c r="AB13" s="212">
        <f t="shared" si="4"/>
        <v>0</v>
      </c>
      <c r="AC13" s="212">
        <f t="shared" si="4"/>
        <v>0</v>
      </c>
      <c r="AD13" s="212">
        <f t="shared" si="4"/>
        <v>0</v>
      </c>
      <c r="AE13" s="212">
        <f t="shared" si="4"/>
        <v>0</v>
      </c>
      <c r="AF13" s="212">
        <f t="shared" si="4"/>
        <v>0</v>
      </c>
      <c r="AG13" s="212">
        <f t="shared" si="4"/>
        <v>0</v>
      </c>
      <c r="AH13" s="212">
        <f t="shared" si="4"/>
        <v>0</v>
      </c>
      <c r="AI13" s="212">
        <f t="shared" si="4"/>
        <v>0</v>
      </c>
      <c r="AJ13" s="212">
        <f t="shared" si="4"/>
        <v>0</v>
      </c>
      <c r="AK13" s="212">
        <f t="shared" si="4"/>
        <v>0</v>
      </c>
      <c r="AL13" s="212">
        <f t="shared" si="4"/>
        <v>0</v>
      </c>
      <c r="AM13" s="212">
        <f t="shared" si="4"/>
        <v>0</v>
      </c>
      <c r="AN13" s="212">
        <f t="shared" si="4"/>
        <v>0</v>
      </c>
      <c r="AO13" s="212">
        <f t="shared" si="4"/>
        <v>0</v>
      </c>
      <c r="AP13" s="212">
        <f t="shared" si="4"/>
        <v>0</v>
      </c>
      <c r="AQ13" s="212">
        <f t="shared" si="4"/>
        <v>0</v>
      </c>
      <c r="AR13" s="212">
        <f t="shared" si="4"/>
        <v>0</v>
      </c>
      <c r="AS13" s="212">
        <f t="shared" si="4"/>
        <v>0</v>
      </c>
      <c r="AT13" s="212">
        <f t="shared" si="4"/>
        <v>0</v>
      </c>
      <c r="AU13" s="212">
        <f t="shared" si="4"/>
        <v>0</v>
      </c>
      <c r="AV13" s="212">
        <f t="shared" si="4"/>
        <v>0</v>
      </c>
      <c r="AW13" s="99"/>
      <c r="AX13" s="318" t="s">
        <v>65</v>
      </c>
      <c r="AZ13" s="212">
        <f>IF($AX$13=$L$3,$C$13 * COS(AZ11+RADIANS(D13)),0)</f>
        <v>0</v>
      </c>
      <c r="BA13" s="5"/>
      <c r="BC13" s="77">
        <f>IF($AX$13=$L$3,$C13,0)</f>
        <v>0</v>
      </c>
      <c r="BD13" s="77">
        <f>$AZ$10+90+$D$13</f>
        <v>30</v>
      </c>
      <c r="BE13" s="311">
        <f>BC13*COS(RADIANS(BD13))</f>
        <v>0</v>
      </c>
      <c r="BF13" s="311">
        <f>BC13*SIN(RADIANS(BD13))</f>
        <v>0</v>
      </c>
      <c r="BG13" s="311">
        <v>0</v>
      </c>
      <c r="BH13" s="311">
        <f>BE13</f>
        <v>0</v>
      </c>
      <c r="BI13" s="311">
        <v>0</v>
      </c>
      <c r="BJ13" s="311">
        <f>BF13</f>
        <v>0</v>
      </c>
    </row>
    <row r="14" spans="3:71" ht="18.75" x14ac:dyDescent="0.3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75" x14ac:dyDescent="0.3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633</v>
      </c>
      <c r="BL15" s="5"/>
      <c r="BM15" s="5"/>
      <c r="BN15" s="5"/>
      <c r="BO15" s="5" t="s">
        <v>634</v>
      </c>
      <c r="BP15" s="5"/>
      <c r="BQ15" s="5"/>
      <c r="BR15" s="5"/>
    </row>
    <row r="16" spans="3:71" ht="18.75" x14ac:dyDescent="0.3">
      <c r="D16" s="321"/>
      <c r="E16" s="104"/>
      <c r="F16" s="319" t="s">
        <v>631</v>
      </c>
      <c r="G16" s="319" t="s">
        <v>627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3.4641016151377548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75" x14ac:dyDescent="0.3">
      <c r="D17" s="321"/>
      <c r="E17" s="104"/>
      <c r="F17" s="320" t="s">
        <v>631</v>
      </c>
      <c r="G17" s="320" t="s">
        <v>632</v>
      </c>
      <c r="H17" s="212">
        <f>IF($AX$17=$L$3,H12*H13,0)</f>
        <v>0</v>
      </c>
      <c r="I17" s="212">
        <f t="shared" ref="I17:AV17" si="6">IF($AX$17=$L$3,I12*I13,0)</f>
        <v>0</v>
      </c>
      <c r="J17" s="212">
        <f t="shared" si="6"/>
        <v>0</v>
      </c>
      <c r="K17" s="212">
        <f t="shared" si="6"/>
        <v>0</v>
      </c>
      <c r="L17" s="212">
        <f t="shared" si="6"/>
        <v>0</v>
      </c>
      <c r="M17" s="212">
        <f t="shared" si="6"/>
        <v>0</v>
      </c>
      <c r="N17" s="212">
        <f t="shared" si="6"/>
        <v>0</v>
      </c>
      <c r="O17" s="212">
        <f t="shared" si="6"/>
        <v>0</v>
      </c>
      <c r="P17" s="212">
        <f t="shared" si="6"/>
        <v>0</v>
      </c>
      <c r="Q17" s="212">
        <f t="shared" si="6"/>
        <v>0</v>
      </c>
      <c r="R17" s="212">
        <f t="shared" si="6"/>
        <v>0</v>
      </c>
      <c r="S17" s="212">
        <f t="shared" si="6"/>
        <v>0</v>
      </c>
      <c r="T17" s="212">
        <f t="shared" si="6"/>
        <v>0</v>
      </c>
      <c r="U17" s="212">
        <f t="shared" si="6"/>
        <v>0</v>
      </c>
      <c r="V17" s="212">
        <f t="shared" si="6"/>
        <v>0</v>
      </c>
      <c r="W17" s="212">
        <f t="shared" si="6"/>
        <v>0</v>
      </c>
      <c r="X17" s="212">
        <f t="shared" si="6"/>
        <v>0</v>
      </c>
      <c r="Y17" s="212">
        <f t="shared" si="6"/>
        <v>0</v>
      </c>
      <c r="Z17" s="212">
        <f t="shared" si="6"/>
        <v>0</v>
      </c>
      <c r="AA17" s="212">
        <f t="shared" si="6"/>
        <v>0</v>
      </c>
      <c r="AB17" s="212">
        <f t="shared" si="6"/>
        <v>0</v>
      </c>
      <c r="AC17" s="212">
        <f t="shared" si="6"/>
        <v>0</v>
      </c>
      <c r="AD17" s="212">
        <f t="shared" si="6"/>
        <v>0</v>
      </c>
      <c r="AE17" s="212">
        <f t="shared" si="6"/>
        <v>0</v>
      </c>
      <c r="AF17" s="212">
        <f t="shared" si="6"/>
        <v>0</v>
      </c>
      <c r="AG17" s="212">
        <f t="shared" si="6"/>
        <v>0</v>
      </c>
      <c r="AH17" s="212">
        <f t="shared" si="6"/>
        <v>0</v>
      </c>
      <c r="AI17" s="212">
        <f t="shared" si="6"/>
        <v>0</v>
      </c>
      <c r="AJ17" s="212">
        <f t="shared" si="6"/>
        <v>0</v>
      </c>
      <c r="AK17" s="212">
        <f t="shared" si="6"/>
        <v>0</v>
      </c>
      <c r="AL17" s="212">
        <f t="shared" si="6"/>
        <v>0</v>
      </c>
      <c r="AM17" s="212">
        <f t="shared" si="6"/>
        <v>0</v>
      </c>
      <c r="AN17" s="212">
        <f t="shared" si="6"/>
        <v>0</v>
      </c>
      <c r="AO17" s="212">
        <f t="shared" si="6"/>
        <v>0</v>
      </c>
      <c r="AP17" s="212">
        <f t="shared" si="6"/>
        <v>0</v>
      </c>
      <c r="AQ17" s="212">
        <f t="shared" si="6"/>
        <v>0</v>
      </c>
      <c r="AR17" s="212">
        <f t="shared" si="6"/>
        <v>0</v>
      </c>
      <c r="AS17" s="212">
        <f t="shared" si="6"/>
        <v>0</v>
      </c>
      <c r="AT17" s="212">
        <f t="shared" si="6"/>
        <v>0</v>
      </c>
      <c r="AU17" s="212">
        <f t="shared" si="6"/>
        <v>0</v>
      </c>
      <c r="AV17" s="212">
        <f t="shared" si="6"/>
        <v>0</v>
      </c>
      <c r="AW17" s="99"/>
      <c r="AX17" s="318" t="s">
        <v>65</v>
      </c>
      <c r="AZ17" s="212">
        <f>IF($AX$17=$L$3,AZ12*AZ13,0)</f>
        <v>0</v>
      </c>
      <c r="BE17" s="313"/>
      <c r="BF17" s="313"/>
      <c r="BG17" s="313"/>
      <c r="BH17" s="313"/>
      <c r="BI17" s="313"/>
      <c r="BJ17" s="313"/>
    </row>
    <row r="18" spans="4:62" x14ac:dyDescent="0.2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75" x14ac:dyDescent="0.3">
      <c r="F61" s="273" t="s">
        <v>629</v>
      </c>
      <c r="G61" s="273" t="s">
        <v>314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75" x14ac:dyDescent="0.3">
      <c r="F62" s="279" t="s">
        <v>630</v>
      </c>
      <c r="G62" s="279" t="s">
        <v>626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.75" thickBot="1" x14ac:dyDescent="0.3"/>
    <row r="92" spans="6:19" ht="27" customHeight="1" thickBot="1" x14ac:dyDescent="0.3">
      <c r="F92" s="378" t="s">
        <v>649</v>
      </c>
      <c r="G92" s="350" t="s">
        <v>648</v>
      </c>
      <c r="H92" s="350" t="s">
        <v>654</v>
      </c>
      <c r="I92" s="350" t="s">
        <v>650</v>
      </c>
      <c r="J92" s="350" t="s">
        <v>651</v>
      </c>
      <c r="K92" s="350" t="s">
        <v>652</v>
      </c>
      <c r="L92" s="350" t="s">
        <v>659</v>
      </c>
      <c r="M92" s="448" t="s">
        <v>655</v>
      </c>
      <c r="N92" s="448"/>
      <c r="O92" s="448"/>
      <c r="P92" s="449"/>
      <c r="Q92" s="450" t="s">
        <v>64</v>
      </c>
      <c r="R92" s="451"/>
      <c r="S92" s="452"/>
    </row>
    <row r="93" spans="6:19" s="61" customFormat="1" ht="33.950000000000003" customHeight="1" x14ac:dyDescent="0.25">
      <c r="F93" s="347">
        <v>45</v>
      </c>
      <c r="G93" s="379" t="s">
        <v>298</v>
      </c>
      <c r="H93" s="380">
        <f>IF($Q$92=$L$3,IF(G93=$M$3,RADIANS(F93),F93),"")</f>
        <v>0.78539816339744828</v>
      </c>
      <c r="I93" s="348">
        <f>IF($Q$92=$L$3,SIN(H93),"")</f>
        <v>0.70710678118654746</v>
      </c>
      <c r="J93" s="348">
        <f>IF($Q$92=$L$3,COS(H93),"")</f>
        <v>0.70710678118654757</v>
      </c>
      <c r="K93" s="348">
        <f>IF($Q$92=$L$3,TAN(H93),"")</f>
        <v>0.99999999999999989</v>
      </c>
      <c r="L93" s="381">
        <f>IF($Q$92=$L$3,IF(G93=$M$4,DEGREES(F93),F93),"")</f>
        <v>45</v>
      </c>
    </row>
    <row r="94" spans="6:19" s="61" customFormat="1" ht="33.950000000000003" customHeight="1" x14ac:dyDescent="0.25">
      <c r="F94" s="347" t="s">
        <v>653</v>
      </c>
      <c r="G94" s="379" t="s">
        <v>300</v>
      </c>
      <c r="H94" s="380">
        <f>IF($Q$92=$L$3,2*PI(),"")</f>
        <v>6.2831853071795862</v>
      </c>
      <c r="I94" s="348">
        <f>IF($Q$92=$L$3,SIN(H94),"")</f>
        <v>-2.45029690981724E-16</v>
      </c>
      <c r="J94" s="348">
        <f>IF($Q$92=$L$3,COS(H94),"")</f>
        <v>1</v>
      </c>
      <c r="K94" s="348">
        <f>IF($Q$92=$L$3,TAN(H94),"")</f>
        <v>-2.45029690981724E-16</v>
      </c>
      <c r="L94" s="381">
        <f>IF($Q$92=$L$3,IF(G94=$M$4,DEGREES(2*PI()),2*PI()),"")</f>
        <v>360</v>
      </c>
    </row>
    <row r="95" spans="6:19" s="61" customFormat="1" ht="33.950000000000003" customHeight="1" x14ac:dyDescent="0.25">
      <c r="F95" s="347">
        <v>-3.14</v>
      </c>
      <c r="G95" s="379" t="s">
        <v>300</v>
      </c>
      <c r="H95" s="380">
        <f>IF($Q$92=$L$3,IF(G95=$M$3,RADIANS(F95),F95),"")</f>
        <v>-3.14</v>
      </c>
      <c r="I95" s="348">
        <f>IF($Q$92=$L$3,SIN(H95),"")</f>
        <v>-1.5926529164868282E-3</v>
      </c>
      <c r="J95" s="348">
        <f>IF($Q$92=$L$3,COS(H95),"")</f>
        <v>-0.9999987317275395</v>
      </c>
      <c r="K95" s="348">
        <f>IF($Q$92=$L$3,TAN(H95),"")</f>
        <v>1.592654936407223E-3</v>
      </c>
      <c r="L95" s="381">
        <f>IF($Q$92=$L$3,IF(G95=$M$4,DEGREES(F95),F95),"")</f>
        <v>-179.90874767107849</v>
      </c>
    </row>
    <row r="96" spans="6:19" s="61" customFormat="1" ht="33.950000000000003" customHeight="1" x14ac:dyDescent="0.25">
      <c r="F96" s="347">
        <v>-30</v>
      </c>
      <c r="G96" s="379" t="s">
        <v>298</v>
      </c>
      <c r="H96" s="380">
        <f>IF($Q$92=$L$3,IF(G96=$M$3,RADIANS(F96),F96),"")</f>
        <v>-0.52359877559829882</v>
      </c>
      <c r="I96" s="348">
        <f>IF($Q$92=$L$3,SIN(H96),"")</f>
        <v>-0.49999999999999994</v>
      </c>
      <c r="J96" s="348">
        <f>IF($Q$92=$L$3,COS(H96),"")</f>
        <v>0.86602540378443871</v>
      </c>
      <c r="K96" s="348">
        <f>IF($Q$92=$L$3,TAN(H96),"")</f>
        <v>-0.57735026918962573</v>
      </c>
      <c r="L96" s="381">
        <f>IF($Q$92=$L$3,IF(G96=$M$4,DEGREES(F96),F96),"")</f>
        <v>-30</v>
      </c>
    </row>
    <row r="100" spans="6:12" ht="30" customHeight="1" x14ac:dyDescent="0.25">
      <c r="F100" s="92"/>
      <c r="G100" s="92"/>
      <c r="H100" s="349" t="s">
        <v>659</v>
      </c>
      <c r="I100" s="349" t="s">
        <v>654</v>
      </c>
    </row>
    <row r="101" spans="6:12" ht="32.450000000000003" customHeight="1" x14ac:dyDescent="0.25">
      <c r="F101" s="350" t="s">
        <v>656</v>
      </c>
      <c r="G101" s="347">
        <v>0.25</v>
      </c>
      <c r="H101" s="352">
        <f>IF($Q$92=$L$3,DEGREES(ASIN(G101)),"")</f>
        <v>14.477512185929925</v>
      </c>
      <c r="I101" s="351">
        <f>IF($Q$92=$L$3,ASIN(G101),"")</f>
        <v>0.25268025514207865</v>
      </c>
    </row>
    <row r="102" spans="6:12" ht="32.450000000000003" customHeight="1" x14ac:dyDescent="0.25">
      <c r="F102" s="350" t="s">
        <v>656</v>
      </c>
      <c r="G102" s="347">
        <v>-0.5</v>
      </c>
      <c r="H102" s="352">
        <f>IF($Q$92=$L$3,DEGREES(ASIN(G102)),"")</f>
        <v>-30.000000000000004</v>
      </c>
      <c r="I102" s="351">
        <f>IF($Q$92=$L$3,ASIN(G102),"")</f>
        <v>-0.52359877559829893</v>
      </c>
    </row>
    <row r="103" spans="6:12" ht="32.450000000000003" customHeight="1" x14ac:dyDescent="0.25">
      <c r="F103" s="350" t="s">
        <v>657</v>
      </c>
      <c r="G103" s="347">
        <v>-0.5</v>
      </c>
      <c r="H103" s="352">
        <f>IF($Q$92=$L$3,DEGREES(ACOS(G103)),"")</f>
        <v>120.00000000000001</v>
      </c>
      <c r="I103" s="351">
        <f>IF($Q$92=$L$3,ACOS(G103),"")</f>
        <v>2.0943951023931957</v>
      </c>
    </row>
    <row r="104" spans="6:12" ht="32.450000000000003" customHeight="1" x14ac:dyDescent="0.25">
      <c r="F104" s="350" t="s">
        <v>657</v>
      </c>
      <c r="G104" s="347">
        <f>1/SQRT(2)</f>
        <v>0.70710678118654746</v>
      </c>
      <c r="H104" s="352">
        <f>IF($Q$92=$L$3,DEGREES(ACOS(G104)),"")</f>
        <v>45</v>
      </c>
      <c r="I104" s="351">
        <f>IF($Q$92=$L$3,ACOS(G104),"")</f>
        <v>0.78539816339744828</v>
      </c>
    </row>
    <row r="105" spans="6:12" ht="32.450000000000003" customHeight="1" x14ac:dyDescent="0.25">
      <c r="F105" s="350" t="s">
        <v>658</v>
      </c>
      <c r="G105" s="347">
        <v>50</v>
      </c>
      <c r="H105" s="352">
        <f>IF($Q$92=$L$3,DEGREES(ATAN(G105)),"")</f>
        <v>88.854237161824898</v>
      </c>
      <c r="I105" s="351">
        <f>IF($Q$92=$L$3,ATAN(G105),"")</f>
        <v>1.550798992821746</v>
      </c>
    </row>
    <row r="106" spans="6:12" ht="32.450000000000003" customHeight="1" x14ac:dyDescent="0.25">
      <c r="F106" s="350" t="s">
        <v>658</v>
      </c>
      <c r="G106" s="347">
        <v>0.25</v>
      </c>
      <c r="H106" s="352">
        <f>IF($Q$92=$L$3,DEGREES(ATAN(G106)),"")</f>
        <v>14.036243467926479</v>
      </c>
      <c r="I106" s="351">
        <f>IF($Q$92=$L$3,ATAN(G106),"")</f>
        <v>0.24497866312686414</v>
      </c>
    </row>
    <row r="110" spans="6:12" ht="27" thickBot="1" x14ac:dyDescent="0.45">
      <c r="F110" s="353" t="s">
        <v>660</v>
      </c>
      <c r="G110" s="353"/>
      <c r="I110" s="354" t="s">
        <v>817</v>
      </c>
    </row>
    <row r="111" spans="6:12" x14ac:dyDescent="0.25">
      <c r="F111" s="366" t="s">
        <v>661</v>
      </c>
      <c r="G111" s="10">
        <v>5</v>
      </c>
      <c r="H111" s="439" t="s">
        <v>709</v>
      </c>
      <c r="I111" s="10" t="s">
        <v>712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25">
      <c r="F112" s="264" t="s">
        <v>662</v>
      </c>
      <c r="G112" s="4">
        <v>0.6</v>
      </c>
      <c r="H112" s="225" t="s">
        <v>703</v>
      </c>
      <c r="I112" s="4" t="s">
        <v>744</v>
      </c>
      <c r="J112" s="77">
        <f>G112*VLOOKUP(H112, CHOOSE({1,2,3,4}, Einheitenvorsätze!A:A, Einheitenvorsätze!B:B, Einheitenvorsätze!C:C, Einheitenvorsätze!D:D), 3, FALSE)</f>
        <v>0.6</v>
      </c>
      <c r="K112" s="77" t="str">
        <f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9" ht="15.75" thickBot="1" x14ac:dyDescent="0.3">
      <c r="F113" s="369" t="s">
        <v>663</v>
      </c>
      <c r="G113" s="11">
        <v>6.2</v>
      </c>
      <c r="H113" s="440" t="s">
        <v>703</v>
      </c>
      <c r="I113" s="11" t="s">
        <v>741</v>
      </c>
      <c r="J113" s="370">
        <f>G113*VLOOKUP(H113, CHOOSE({1,2,3,4}, Einheitenvorsätze!A:A, Einheitenvorsätze!B:B, Einheitenvorsätze!C:C, Einheitenvorsätze!D:D), 3, FALSE)</f>
        <v>6.2</v>
      </c>
      <c r="K113" s="370" t="str">
        <f>I113</f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9" ht="18.75" x14ac:dyDescent="0.3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9" ht="18.75" x14ac:dyDescent="0.3">
      <c r="D117" s="168"/>
      <c r="E117" s="168"/>
      <c r="F117" s="373" t="str">
        <f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9" ht="23.25" x14ac:dyDescent="0.35">
      <c r="D118" s="375"/>
      <c r="E118" s="375"/>
      <c r="F118" s="376" t="str">
        <f>_xlfn.CONCAT("y(",$L$113,") = ")</f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1" spans="4:19" x14ac:dyDescent="0.25">
      <c r="F121" s="258"/>
    </row>
    <row r="122" spans="4:19" x14ac:dyDescent="0.25">
      <c r="F122" s="258"/>
    </row>
    <row r="124" spans="4:19" ht="18" x14ac:dyDescent="0.35">
      <c r="D124" s="5" t="s">
        <v>956</v>
      </c>
      <c r="E124" s="5"/>
      <c r="F124" s="8" t="s">
        <v>962</v>
      </c>
      <c r="G124" s="75">
        <v>230</v>
      </c>
      <c r="H124" s="225" t="s">
        <v>694</v>
      </c>
      <c r="I124" s="5" t="s">
        <v>316</v>
      </c>
      <c r="J124" s="77">
        <f>VLOOKUP(H124, CHOOSE({1,2,3,4,5}, Einheitenvorsätze!A:A, Einheitenvorsätze!B:B, Einheitenvorsätze!C:C, Einheitenvorsätze!D:D, Einheitenvorsätze!E:E), 5, FALSE)</f>
        <v>3</v>
      </c>
      <c r="K124" s="441">
        <f>G124*VLOOKUP(H124, CHOOSE({1,2,3,4}, Einheitenvorsätze!A:A, Einheitenvorsätze!B:B, Einheitenvorsätze!C:C, Einheitenvorsätze!D:D), 3, FALSE)</f>
        <v>230000</v>
      </c>
      <c r="L124" s="77"/>
      <c r="M124" s="77" t="str">
        <f>_xlfn.CONCAT(G124," * ",VLOOKUP(H124, CHOOSE({1,2,3,4}, Einheitenvorsätze!A:A, Einheitenvorsätze!B:B, Einheitenvorsätze!C:C, Einheitenvorsätze!D:D), 4, FALSE),I124)</f>
        <v>230 * 10³V</v>
      </c>
      <c r="N124" s="77"/>
      <c r="O124" s="77"/>
      <c r="P124" s="77"/>
      <c r="Q124" s="77"/>
      <c r="R124" s="77"/>
      <c r="S124" s="77"/>
    </row>
    <row r="125" spans="4:19" x14ac:dyDescent="0.25">
      <c r="D125" s="5"/>
      <c r="E125" s="5"/>
      <c r="F125" s="8" t="s">
        <v>961</v>
      </c>
      <c r="G125" s="75">
        <v>50</v>
      </c>
      <c r="H125" s="225" t="s">
        <v>703</v>
      </c>
      <c r="I125" s="5" t="s">
        <v>744</v>
      </c>
      <c r="J125" s="77">
        <f>VLOOKUP(H125, CHOOSE({1,2,3,4,5}, Einheitenvorsätze!A:A, Einheitenvorsätze!B:B, Einheitenvorsätze!C:C, Einheitenvorsätze!D:D, Einheitenvorsätze!E:E), 5, FALSE)</f>
        <v>0</v>
      </c>
      <c r="K125" s="441">
        <f>G125*VLOOKUP(H125, CHOOSE({1,2,3,4}, Einheitenvorsätze!A:A, Einheitenvorsätze!B:B, Einheitenvorsätze!C:C, Einheitenvorsätze!D:D), 3, FALSE)</f>
        <v>50</v>
      </c>
      <c r="L125" s="77"/>
      <c r="M125" s="77" t="str">
        <f>_xlfn.CONCAT(G125," * ",VLOOKUP(H125, CHOOSE({1,2,3,4}, Einheitenvorsätze!A:A, Einheitenvorsätze!B:B, Einheitenvorsätze!C:C, Einheitenvorsätze!D:D), 4, FALSE),I125)</f>
        <v>50 * 10⁰Hz</v>
      </c>
      <c r="N125" s="77"/>
      <c r="O125" s="77"/>
      <c r="P125" s="77"/>
      <c r="Q125" s="77"/>
      <c r="R125" s="77"/>
      <c r="S125" s="77"/>
    </row>
    <row r="126" spans="4:19" x14ac:dyDescent="0.25">
      <c r="D126" s="5"/>
      <c r="E126" s="5"/>
      <c r="F126" s="8" t="s">
        <v>960</v>
      </c>
      <c r="G126" s="211">
        <f>300*10^3</f>
        <v>300000</v>
      </c>
      <c r="H126" s="225" t="s">
        <v>694</v>
      </c>
      <c r="I126" s="438" t="s">
        <v>834</v>
      </c>
      <c r="J126" s="77">
        <f>VLOOKUP(H126, CHOOSE({1,2,3,4,5}, Einheitenvorsätze!A:A, Einheitenvorsätze!B:B, Einheitenvorsätze!C:C, Einheitenvorsätze!D:D, Einheitenvorsätze!E:E), 5, FALSE)</f>
        <v>3</v>
      </c>
      <c r="K126" s="441">
        <f>G126*VLOOKUP(H126, CHOOSE({1,2,3,4}, Einheitenvorsätze!A:A, Einheitenvorsätze!B:B, Einheitenvorsätze!C:C, Einheitenvorsätze!D:D), 3, FALSE)</f>
        <v>300000000</v>
      </c>
      <c r="L126" s="77"/>
      <c r="M126" s="77" t="str">
        <f>_xlfn.CONCAT(G126," * ",VLOOKUP(H126, CHOOSE({1,2,3,4}, Einheitenvorsätze!A:A, Einheitenvorsätze!B:B, Einheitenvorsätze!C:C, Einheitenvorsätze!D:D), 4, FALSE),I126)</f>
        <v>300000 * 10³m/s</v>
      </c>
      <c r="N126" s="77"/>
      <c r="O126" s="77"/>
      <c r="P126" s="77"/>
      <c r="Q126" s="77"/>
      <c r="R126" s="77"/>
      <c r="S126" s="77"/>
    </row>
    <row r="127" spans="4:19" x14ac:dyDescent="0.25">
      <c r="D127" s="5"/>
      <c r="E127" s="453" t="s">
        <v>963</v>
      </c>
      <c r="F127" s="453"/>
      <c r="G127" s="75">
        <v>20</v>
      </c>
      <c r="H127" s="225" t="s">
        <v>712</v>
      </c>
      <c r="I127" s="5" t="s">
        <v>741</v>
      </c>
      <c r="J127" s="77">
        <f>VLOOKUP(H127, CHOOSE({1,2,3,4,5}, Einheitenvorsätze!A:A, Einheitenvorsätze!B:B, Einheitenvorsätze!C:C, Einheitenvorsätze!D:D, Einheitenvorsätze!E:E), 5, FALSE)</f>
        <v>-3</v>
      </c>
      <c r="K127" s="441">
        <f>G127*VLOOKUP(H127, CHOOSE({1,2,3,4}, Einheitenvorsätze!A:A, Einheitenvorsätze!B:B, Einheitenvorsätze!C:C, Einheitenvorsätze!D:D), 3, FALSE)</f>
        <v>0.02</v>
      </c>
      <c r="L127" s="77"/>
      <c r="M127" s="77" t="str">
        <f>_xlfn.CONCAT(G127," * ",VLOOKUP(H127, CHOOSE({1,2,3,4}, Einheitenvorsätze!A:A, Einheitenvorsätze!B:B, Einheitenvorsätze!C:C, Einheitenvorsätze!D:D), 4, FALSE),I127)</f>
        <v>20 * 10⁻³s</v>
      </c>
      <c r="N127" s="77"/>
      <c r="O127" s="77"/>
      <c r="P127" s="77"/>
      <c r="Q127" s="77"/>
      <c r="R127" s="77"/>
      <c r="S127" s="77"/>
    </row>
    <row r="128" spans="4:19" ht="18" x14ac:dyDescent="0.35">
      <c r="D128" s="5" t="s">
        <v>955</v>
      </c>
      <c r="E128" s="453" t="s">
        <v>824</v>
      </c>
      <c r="F128" s="453"/>
      <c r="G128" s="212">
        <f>(G124*10^J124*SQRT(2))/10^J128</f>
        <v>325.26911934581187</v>
      </c>
      <c r="H128" s="225" t="s">
        <v>694</v>
      </c>
      <c r="I128" s="5" t="str">
        <f>I124</f>
        <v>V</v>
      </c>
      <c r="J128" s="77">
        <f>VLOOKUP(H128, CHOOSE({1,2,3,4,5}, Einheitenvorsätze!A:A, Einheitenvorsätze!B:B, Einheitenvorsätze!C:C, Einheitenvorsätze!D:D, Einheitenvorsätze!E:E), 5, FALSE)</f>
        <v>3</v>
      </c>
      <c r="K128" s="441">
        <f>G128*VLOOKUP(H128, CHOOSE({1,2,3,4}, Einheitenvorsätze!A:A, Einheitenvorsätze!B:B, Einheitenvorsätze!C:C, Einheitenvorsätze!D:D), 3, FALSE)</f>
        <v>325269.11934581189</v>
      </c>
      <c r="L128" s="77"/>
      <c r="M128" s="77" t="str">
        <f>_xlfn.CONCAT(G128," * ",VLOOKUP(H128, CHOOSE({1,2,3,4}, Einheitenvorsätze!A:A, Einheitenvorsätze!B:B, Einheitenvorsätze!C:C, Einheitenvorsätze!D:D), 4, FALSE),I128)</f>
        <v>325.269119345812 * 10³V</v>
      </c>
      <c r="N128" s="77"/>
      <c r="O128" s="77"/>
      <c r="P128" s="77"/>
      <c r="Q128" s="77"/>
      <c r="R128" s="77"/>
      <c r="S128" s="77"/>
    </row>
    <row r="129" spans="4:19" x14ac:dyDescent="0.25">
      <c r="D129" s="5" t="s">
        <v>957</v>
      </c>
      <c r="E129" s="453" t="s">
        <v>820</v>
      </c>
      <c r="F129" s="453"/>
      <c r="G129" s="212">
        <f>(1/(G125 * 10^J125))/10^J129</f>
        <v>0.02</v>
      </c>
      <c r="H129" s="225" t="s">
        <v>703</v>
      </c>
      <c r="I129" s="5" t="s">
        <v>741</v>
      </c>
      <c r="J129" s="77">
        <f>VLOOKUP(H129, CHOOSE({1,2,3,4,5}, Einheitenvorsätze!A:A, Einheitenvorsätze!B:B, Einheitenvorsätze!C:C, Einheitenvorsätze!D:D, Einheitenvorsätze!E:E), 5, FALSE)</f>
        <v>0</v>
      </c>
      <c r="K129" s="77"/>
      <c r="L129" s="77"/>
      <c r="M129" s="77"/>
      <c r="N129" s="77"/>
      <c r="O129" s="77"/>
      <c r="P129" s="77"/>
      <c r="Q129" s="77"/>
      <c r="R129" s="77"/>
      <c r="S129" s="77"/>
    </row>
    <row r="130" spans="4:19" x14ac:dyDescent="0.25">
      <c r="D130" s="5" t="s">
        <v>958</v>
      </c>
      <c r="E130" s="453" t="s">
        <v>821</v>
      </c>
      <c r="F130" s="453"/>
      <c r="G130" s="212">
        <f>(2*PI()*G125*10^J125)/10^J130</f>
        <v>314.15926535897933</v>
      </c>
      <c r="H130" s="225" t="s">
        <v>703</v>
      </c>
      <c r="I130" s="5" t="s">
        <v>825</v>
      </c>
      <c r="J130" s="77">
        <f>VLOOKUP(H130, CHOOSE({1,2,3,4,5}, Einheitenvorsätze!A:A, Einheitenvorsätze!B:B, Einheitenvorsätze!C:C, Einheitenvorsätze!D:D, Einheitenvorsätze!E:E), 5, FALSE)</f>
        <v>0</v>
      </c>
      <c r="K130" s="77"/>
      <c r="L130" s="77"/>
      <c r="M130" s="77"/>
      <c r="N130" s="77"/>
      <c r="O130" s="77"/>
      <c r="P130" s="77"/>
      <c r="Q130" s="77"/>
      <c r="R130" s="77"/>
      <c r="S130" s="77"/>
    </row>
    <row r="131" spans="4:19" x14ac:dyDescent="0.25">
      <c r="D131" s="5" t="s">
        <v>965</v>
      </c>
      <c r="E131" s="453" t="s">
        <v>822</v>
      </c>
      <c r="F131" s="453"/>
      <c r="G131" s="212">
        <f>G126*10^J126*G129*10^J129/10^J131</f>
        <v>6000</v>
      </c>
      <c r="H131" s="225" t="s">
        <v>694</v>
      </c>
      <c r="I131" s="5" t="s">
        <v>712</v>
      </c>
      <c r="J131" s="77">
        <f>VLOOKUP(H131, CHOOSE({1,2,3,4,5}, Einheitenvorsätze!A:A, Einheitenvorsätze!B:B, Einheitenvorsätze!C:C, Einheitenvorsätze!D:D, Einheitenvorsätze!E:E), 5, FALSE)</f>
        <v>3</v>
      </c>
      <c r="K131" s="77"/>
      <c r="L131" s="77"/>
      <c r="M131" s="77"/>
      <c r="N131" s="77"/>
      <c r="O131" s="77"/>
      <c r="P131" s="77"/>
      <c r="Q131" s="77"/>
      <c r="R131" s="77"/>
      <c r="S131" s="77"/>
    </row>
    <row r="132" spans="4:19" x14ac:dyDescent="0.25">
      <c r="D132" s="5" t="s">
        <v>964</v>
      </c>
      <c r="E132" s="453" t="s">
        <v>823</v>
      </c>
      <c r="F132" s="453"/>
      <c r="G132" s="212">
        <f>(G128*10^J128)*SIN(2 * PI()*G125*10^J125*G127*10^J127)/10^J132</f>
        <v>2.0919642059861284E-13</v>
      </c>
      <c r="H132" s="225" t="s">
        <v>694</v>
      </c>
      <c r="I132" s="5" t="str">
        <f>I124</f>
        <v>V</v>
      </c>
      <c r="J132" s="77">
        <f>VLOOKUP(H132, CHOOSE({1,2,3,4,5}, Einheitenvorsätze!A:A, Einheitenvorsätze!B:B, Einheitenvorsätze!C:C, Einheitenvorsätze!D:D, Einheitenvorsätze!E:E), 5, FALSE)</f>
        <v>3</v>
      </c>
      <c r="K132" s="77"/>
      <c r="L132" s="77"/>
      <c r="M132" s="77"/>
      <c r="N132" s="77"/>
      <c r="O132" s="77"/>
      <c r="P132" s="77"/>
      <c r="Q132" s="77"/>
      <c r="R132" s="77"/>
      <c r="S132" s="77"/>
    </row>
  </sheetData>
  <mergeCells count="8">
    <mergeCell ref="M92:P92"/>
    <mergeCell ref="Q92:S92"/>
    <mergeCell ref="E132:F132"/>
    <mergeCell ref="E127:F127"/>
    <mergeCell ref="E128:F128"/>
    <mergeCell ref="E129:F129"/>
    <mergeCell ref="E130:F130"/>
    <mergeCell ref="E131:F131"/>
  </mergeCells>
  <dataValidations count="4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AX12:AX13 Q92:S92 AX16:AX17 D16:D17" xr:uid="{8FB8006F-A5AB-41B5-B544-F9B479F8D761}">
      <formula1>$L$3:$L$4</formula1>
    </dataValidation>
    <dataValidation type="list" allowBlank="1" showInputMessage="1" showErrorMessage="1" sqref="E12:E13 E16:E17" xr:uid="{DF0FFC0D-C82C-4ADF-A3F9-AE2CF1C358A0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 H124:H132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/>
  </sheetViews>
  <sheetFormatPr baseColWidth="10" defaultRowHeight="15" x14ac:dyDescent="0.25"/>
  <cols>
    <col min="2" max="2" width="12.140625" customWidth="1"/>
    <col min="5" max="7" width="16.5703125" customWidth="1"/>
    <col min="8" max="8" width="26.42578125" customWidth="1"/>
    <col min="9" max="9" width="7.85546875" style="55" customWidth="1"/>
  </cols>
  <sheetData>
    <row r="2" spans="2:50" ht="26.25" x14ac:dyDescent="0.4">
      <c r="C2" s="29" t="s">
        <v>913</v>
      </c>
    </row>
    <row r="3" spans="2:50" x14ac:dyDescent="0.25">
      <c r="L3" s="5" t="s">
        <v>64</v>
      </c>
      <c r="M3" s="5" t="s">
        <v>298</v>
      </c>
      <c r="N3" s="5" t="s">
        <v>63</v>
      </c>
    </row>
    <row r="4" spans="2:50" x14ac:dyDescent="0.25">
      <c r="L4" s="5" t="s">
        <v>65</v>
      </c>
      <c r="M4" s="5" t="s">
        <v>300</v>
      </c>
      <c r="N4" s="5" t="s">
        <v>260</v>
      </c>
    </row>
    <row r="8" spans="2:50" x14ac:dyDescent="0.2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2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>K9+$J$8</f>
        <v>30</v>
      </c>
      <c r="M9" s="77">
        <f>L9+$J$8</f>
        <v>40</v>
      </c>
      <c r="N9" s="77">
        <f t="shared" ref="N9:AX9" si="0">M9+$J$8</f>
        <v>50</v>
      </c>
      <c r="O9" s="77">
        <f t="shared" si="0"/>
        <v>60</v>
      </c>
      <c r="P9" s="77">
        <f t="shared" si="0"/>
        <v>70</v>
      </c>
      <c r="Q9" s="77">
        <f t="shared" si="0"/>
        <v>80</v>
      </c>
      <c r="R9" s="77">
        <f t="shared" si="0"/>
        <v>90</v>
      </c>
      <c r="S9" s="77">
        <f t="shared" si="0"/>
        <v>100</v>
      </c>
      <c r="T9" s="77">
        <f t="shared" si="0"/>
        <v>110</v>
      </c>
      <c r="U9" s="77">
        <f t="shared" si="0"/>
        <v>120</v>
      </c>
      <c r="V9" s="77">
        <f t="shared" si="0"/>
        <v>130</v>
      </c>
      <c r="W9" s="77">
        <f t="shared" si="0"/>
        <v>140</v>
      </c>
      <c r="X9" s="77">
        <f t="shared" si="0"/>
        <v>150</v>
      </c>
      <c r="Y9" s="77">
        <f t="shared" si="0"/>
        <v>160</v>
      </c>
      <c r="Z9" s="77">
        <f t="shared" si="0"/>
        <v>170</v>
      </c>
      <c r="AA9" s="77">
        <f t="shared" si="0"/>
        <v>180</v>
      </c>
      <c r="AB9" s="77">
        <f t="shared" si="0"/>
        <v>190</v>
      </c>
      <c r="AC9" s="77">
        <f t="shared" si="0"/>
        <v>200</v>
      </c>
      <c r="AD9" s="77">
        <f t="shared" si="0"/>
        <v>210</v>
      </c>
      <c r="AE9" s="77">
        <f t="shared" si="0"/>
        <v>220</v>
      </c>
      <c r="AF9" s="77">
        <f t="shared" si="0"/>
        <v>230</v>
      </c>
      <c r="AG9" s="77">
        <f t="shared" si="0"/>
        <v>240</v>
      </c>
      <c r="AH9" s="77">
        <f t="shared" si="0"/>
        <v>250</v>
      </c>
      <c r="AI9" s="77">
        <f t="shared" si="0"/>
        <v>260</v>
      </c>
      <c r="AJ9" s="77">
        <f t="shared" si="0"/>
        <v>270</v>
      </c>
      <c r="AK9" s="77">
        <f t="shared" si="0"/>
        <v>280</v>
      </c>
      <c r="AL9" s="77">
        <f t="shared" si="0"/>
        <v>290</v>
      </c>
      <c r="AM9" s="77">
        <f t="shared" si="0"/>
        <v>300</v>
      </c>
      <c r="AN9" s="77">
        <f t="shared" si="0"/>
        <v>310</v>
      </c>
      <c r="AO9" s="77">
        <f t="shared" si="0"/>
        <v>320</v>
      </c>
      <c r="AP9" s="77">
        <f t="shared" si="0"/>
        <v>330</v>
      </c>
      <c r="AQ9" s="77">
        <f t="shared" si="0"/>
        <v>340</v>
      </c>
      <c r="AR9" s="77">
        <f t="shared" si="0"/>
        <v>350</v>
      </c>
      <c r="AS9" s="77">
        <f t="shared" si="0"/>
        <v>360</v>
      </c>
      <c r="AT9" s="77">
        <f t="shared" si="0"/>
        <v>370</v>
      </c>
      <c r="AU9" s="77">
        <f t="shared" si="0"/>
        <v>380</v>
      </c>
      <c r="AV9" s="77">
        <f t="shared" si="0"/>
        <v>390</v>
      </c>
      <c r="AW9" s="77">
        <f t="shared" si="0"/>
        <v>400</v>
      </c>
      <c r="AX9" s="77">
        <f t="shared" si="0"/>
        <v>410</v>
      </c>
    </row>
    <row r="10" spans="2:50" x14ac:dyDescent="0.25">
      <c r="H10" s="5" t="str">
        <f>_xlfn.CONCAT("Winkel ",Einheitenvorsätze!C38," [rad]")</f>
        <v>Winkel α [rad]</v>
      </c>
      <c r="I10" s="95"/>
      <c r="J10" s="425">
        <f>PI()*J9/180</f>
        <v>0.17453292519943295</v>
      </c>
      <c r="K10" s="425">
        <f t="shared" ref="K10:AX10" si="1">PI()*K9/180</f>
        <v>0.3490658503988659</v>
      </c>
      <c r="L10" s="425">
        <f t="shared" si="1"/>
        <v>0.52359877559829882</v>
      </c>
      <c r="M10" s="425">
        <f t="shared" si="1"/>
        <v>0.69813170079773179</v>
      </c>
      <c r="N10" s="425">
        <f t="shared" si="1"/>
        <v>0.87266462599716477</v>
      </c>
      <c r="O10" s="425">
        <f>PI()*O9/180</f>
        <v>1.0471975511965976</v>
      </c>
      <c r="P10" s="425">
        <f t="shared" si="1"/>
        <v>1.2217304763960306</v>
      </c>
      <c r="Q10" s="425">
        <f t="shared" si="1"/>
        <v>1.3962634015954636</v>
      </c>
      <c r="R10" s="425">
        <f t="shared" si="1"/>
        <v>1.5707963267948966</v>
      </c>
      <c r="S10" s="425">
        <f t="shared" si="1"/>
        <v>1.7453292519943295</v>
      </c>
      <c r="T10" s="425">
        <f t="shared" si="1"/>
        <v>1.9198621771937625</v>
      </c>
      <c r="U10" s="425">
        <f t="shared" si="1"/>
        <v>2.0943951023931953</v>
      </c>
      <c r="V10" s="425">
        <f t="shared" si="1"/>
        <v>2.2689280275926285</v>
      </c>
      <c r="W10" s="425">
        <f t="shared" si="1"/>
        <v>2.4434609527920612</v>
      </c>
      <c r="X10" s="425">
        <f t="shared" si="1"/>
        <v>2.6179938779914944</v>
      </c>
      <c r="Y10" s="425">
        <f t="shared" si="1"/>
        <v>2.7925268031909272</v>
      </c>
      <c r="Z10" s="425">
        <f t="shared" si="1"/>
        <v>2.9670597283903604</v>
      </c>
      <c r="AA10" s="425">
        <f t="shared" si="1"/>
        <v>3.1415926535897931</v>
      </c>
      <c r="AB10" s="425">
        <f t="shared" si="1"/>
        <v>3.3161255787892263</v>
      </c>
      <c r="AC10" s="425">
        <f t="shared" si="1"/>
        <v>3.4906585039886591</v>
      </c>
      <c r="AD10" s="425">
        <f t="shared" si="1"/>
        <v>3.6651914291880923</v>
      </c>
      <c r="AE10" s="425">
        <f t="shared" si="1"/>
        <v>3.839724354387525</v>
      </c>
      <c r="AF10" s="425">
        <f t="shared" si="1"/>
        <v>4.0142572795869578</v>
      </c>
      <c r="AG10" s="425">
        <f t="shared" si="1"/>
        <v>4.1887902047863905</v>
      </c>
      <c r="AH10" s="425">
        <f t="shared" si="1"/>
        <v>4.3633231299858233</v>
      </c>
      <c r="AI10" s="425">
        <f t="shared" si="1"/>
        <v>4.5378560551852569</v>
      </c>
      <c r="AJ10" s="425">
        <f t="shared" si="1"/>
        <v>4.7123889803846897</v>
      </c>
      <c r="AK10" s="425">
        <f t="shared" si="1"/>
        <v>4.8869219055841224</v>
      </c>
      <c r="AL10" s="425">
        <f t="shared" si="1"/>
        <v>5.0614548307835552</v>
      </c>
      <c r="AM10" s="425">
        <f t="shared" si="1"/>
        <v>5.2359877559829888</v>
      </c>
      <c r="AN10" s="425">
        <f t="shared" si="1"/>
        <v>5.4105206811824216</v>
      </c>
      <c r="AO10" s="425">
        <f t="shared" si="1"/>
        <v>5.5850536063818543</v>
      </c>
      <c r="AP10" s="425">
        <f t="shared" si="1"/>
        <v>5.7595865315812871</v>
      </c>
      <c r="AQ10" s="425">
        <f t="shared" si="1"/>
        <v>5.9341194567807207</v>
      </c>
      <c r="AR10" s="425">
        <f t="shared" si="1"/>
        <v>6.1086523819801526</v>
      </c>
      <c r="AS10" s="425">
        <f t="shared" si="1"/>
        <v>6.2831853071795862</v>
      </c>
      <c r="AT10" s="425">
        <f t="shared" si="1"/>
        <v>6.457718232379019</v>
      </c>
      <c r="AU10" s="425">
        <f t="shared" si="1"/>
        <v>6.6322511575784526</v>
      </c>
      <c r="AV10" s="425">
        <f t="shared" si="1"/>
        <v>6.8067840827778845</v>
      </c>
      <c r="AW10" s="425">
        <f t="shared" si="1"/>
        <v>6.9813170079773181</v>
      </c>
      <c r="AX10" s="425">
        <f t="shared" si="1"/>
        <v>7.1558499331767509</v>
      </c>
    </row>
    <row r="11" spans="2:50" x14ac:dyDescent="0.25">
      <c r="H11" s="5" t="s">
        <v>914</v>
      </c>
      <c r="I11" s="95" t="s">
        <v>298</v>
      </c>
      <c r="J11" s="425">
        <f>IF($I$11=$M$3,J9,J10)</f>
        <v>10</v>
      </c>
      <c r="K11" s="425">
        <f t="shared" ref="K11:AX11" si="2">IF($I$11=$M$3,K9,K10)</f>
        <v>20</v>
      </c>
      <c r="L11" s="425">
        <f t="shared" si="2"/>
        <v>30</v>
      </c>
      <c r="M11" s="425">
        <f t="shared" si="2"/>
        <v>40</v>
      </c>
      <c r="N11" s="425">
        <f t="shared" si="2"/>
        <v>50</v>
      </c>
      <c r="O11" s="425">
        <f t="shared" si="2"/>
        <v>60</v>
      </c>
      <c r="P11" s="425">
        <f t="shared" si="2"/>
        <v>70</v>
      </c>
      <c r="Q11" s="425">
        <f t="shared" si="2"/>
        <v>80</v>
      </c>
      <c r="R11" s="425">
        <f t="shared" si="2"/>
        <v>90</v>
      </c>
      <c r="S11" s="425">
        <f t="shared" si="2"/>
        <v>100</v>
      </c>
      <c r="T11" s="425">
        <f t="shared" si="2"/>
        <v>110</v>
      </c>
      <c r="U11" s="425">
        <f t="shared" si="2"/>
        <v>120</v>
      </c>
      <c r="V11" s="425">
        <f t="shared" si="2"/>
        <v>130</v>
      </c>
      <c r="W11" s="425">
        <f t="shared" si="2"/>
        <v>140</v>
      </c>
      <c r="X11" s="425">
        <f t="shared" si="2"/>
        <v>150</v>
      </c>
      <c r="Y11" s="425">
        <f t="shared" si="2"/>
        <v>160</v>
      </c>
      <c r="Z11" s="425">
        <f t="shared" si="2"/>
        <v>170</v>
      </c>
      <c r="AA11" s="425">
        <f t="shared" si="2"/>
        <v>180</v>
      </c>
      <c r="AB11" s="425">
        <f t="shared" si="2"/>
        <v>190</v>
      </c>
      <c r="AC11" s="425">
        <f t="shared" si="2"/>
        <v>200</v>
      </c>
      <c r="AD11" s="425">
        <f t="shared" si="2"/>
        <v>210</v>
      </c>
      <c r="AE11" s="425">
        <f t="shared" si="2"/>
        <v>220</v>
      </c>
      <c r="AF11" s="425">
        <f t="shared" si="2"/>
        <v>230</v>
      </c>
      <c r="AG11" s="425">
        <f t="shared" si="2"/>
        <v>240</v>
      </c>
      <c r="AH11" s="425">
        <f t="shared" si="2"/>
        <v>250</v>
      </c>
      <c r="AI11" s="425">
        <f t="shared" si="2"/>
        <v>260</v>
      </c>
      <c r="AJ11" s="425">
        <f t="shared" si="2"/>
        <v>270</v>
      </c>
      <c r="AK11" s="425">
        <f t="shared" si="2"/>
        <v>280</v>
      </c>
      <c r="AL11" s="425">
        <f t="shared" si="2"/>
        <v>290</v>
      </c>
      <c r="AM11" s="425">
        <f t="shared" si="2"/>
        <v>300</v>
      </c>
      <c r="AN11" s="425">
        <f t="shared" si="2"/>
        <v>310</v>
      </c>
      <c r="AO11" s="425">
        <f t="shared" si="2"/>
        <v>320</v>
      </c>
      <c r="AP11" s="425">
        <f t="shared" si="2"/>
        <v>330</v>
      </c>
      <c r="AQ11" s="425">
        <f t="shared" si="2"/>
        <v>340</v>
      </c>
      <c r="AR11" s="425">
        <f t="shared" si="2"/>
        <v>350</v>
      </c>
      <c r="AS11" s="425">
        <f t="shared" si="2"/>
        <v>360</v>
      </c>
      <c r="AT11" s="425">
        <f t="shared" si="2"/>
        <v>370</v>
      </c>
      <c r="AU11" s="425">
        <f t="shared" si="2"/>
        <v>380</v>
      </c>
      <c r="AV11" s="425">
        <f t="shared" si="2"/>
        <v>390</v>
      </c>
      <c r="AW11" s="425">
        <f t="shared" si="2"/>
        <v>400</v>
      </c>
      <c r="AX11" s="425">
        <f t="shared" si="2"/>
        <v>410</v>
      </c>
    </row>
    <row r="12" spans="2:50" x14ac:dyDescent="0.25">
      <c r="B12" s="5" t="s">
        <v>614</v>
      </c>
      <c r="C12" s="5" t="str">
        <f>Einheitenvorsätze!C58</f>
        <v>φ</v>
      </c>
      <c r="D12" s="5" t="s">
        <v>410</v>
      </c>
      <c r="E12" s="5" t="s">
        <v>915</v>
      </c>
      <c r="F12" s="5" t="s">
        <v>917</v>
      </c>
      <c r="G12" s="423" t="s">
        <v>916</v>
      </c>
      <c r="H12" s="426" t="str">
        <f>_xlfn.CONCAT("y1 = sin(",Einheitenvorsätze!C38,")")</f>
        <v>y1 = sin(α)</v>
      </c>
      <c r="I12" s="427" t="s">
        <v>63</v>
      </c>
      <c r="J12" s="425">
        <f>IF($I$12=$N$3,SIN(J10),0)</f>
        <v>0.17364817766693033</v>
      </c>
      <c r="K12" s="425">
        <f t="shared" ref="K12:AX12" si="3">IF($I$12=$N$3,SIN(K10),0)</f>
        <v>0.34202014332566871</v>
      </c>
      <c r="L12" s="425">
        <f t="shared" si="3"/>
        <v>0.49999999999999994</v>
      </c>
      <c r="M12" s="425">
        <f t="shared" si="3"/>
        <v>0.64278760968653925</v>
      </c>
      <c r="N12" s="425">
        <f t="shared" si="3"/>
        <v>0.76604444311897801</v>
      </c>
      <c r="O12" s="425">
        <f t="shared" si="3"/>
        <v>0.8660254037844386</v>
      </c>
      <c r="P12" s="425">
        <f t="shared" si="3"/>
        <v>0.93969262078590832</v>
      </c>
      <c r="Q12" s="425">
        <f t="shared" si="3"/>
        <v>0.98480775301220802</v>
      </c>
      <c r="R12" s="425">
        <f t="shared" si="3"/>
        <v>1</v>
      </c>
      <c r="S12" s="425">
        <f t="shared" si="3"/>
        <v>0.98480775301220802</v>
      </c>
      <c r="T12" s="425">
        <f t="shared" si="3"/>
        <v>0.93969262078590843</v>
      </c>
      <c r="U12" s="425">
        <f t="shared" si="3"/>
        <v>0.86602540378443871</v>
      </c>
      <c r="V12" s="425">
        <f t="shared" si="3"/>
        <v>0.76604444311897801</v>
      </c>
      <c r="W12" s="425">
        <f t="shared" si="3"/>
        <v>0.64278760968653947</v>
      </c>
      <c r="X12" s="425">
        <f t="shared" si="3"/>
        <v>0.49999999999999994</v>
      </c>
      <c r="Y12" s="425">
        <f t="shared" si="3"/>
        <v>0.34202014332566888</v>
      </c>
      <c r="Z12" s="425">
        <f t="shared" si="3"/>
        <v>0.17364817766693028</v>
      </c>
      <c r="AA12" s="425">
        <f t="shared" si="3"/>
        <v>1.22514845490862E-16</v>
      </c>
      <c r="AB12" s="425">
        <f t="shared" si="3"/>
        <v>-0.17364817766693047</v>
      </c>
      <c r="AC12" s="425">
        <f t="shared" si="3"/>
        <v>-0.34202014332566866</v>
      </c>
      <c r="AD12" s="425">
        <f t="shared" si="3"/>
        <v>-0.50000000000000011</v>
      </c>
      <c r="AE12" s="425">
        <f t="shared" si="3"/>
        <v>-0.64278760968653925</v>
      </c>
      <c r="AF12" s="425">
        <f t="shared" si="3"/>
        <v>-0.7660444431189779</v>
      </c>
      <c r="AG12" s="425">
        <f t="shared" si="3"/>
        <v>-0.86602540378443837</v>
      </c>
      <c r="AH12" s="425">
        <f t="shared" si="3"/>
        <v>-0.93969262078590821</v>
      </c>
      <c r="AI12" s="425">
        <f t="shared" si="3"/>
        <v>-0.98480775301220802</v>
      </c>
      <c r="AJ12" s="425">
        <f t="shared" si="3"/>
        <v>-1</v>
      </c>
      <c r="AK12" s="425">
        <f t="shared" si="3"/>
        <v>-0.98480775301220813</v>
      </c>
      <c r="AL12" s="425">
        <f t="shared" si="3"/>
        <v>-0.93969262078590854</v>
      </c>
      <c r="AM12" s="425">
        <f t="shared" si="3"/>
        <v>-0.8660254037844386</v>
      </c>
      <c r="AN12" s="425">
        <f t="shared" si="3"/>
        <v>-0.76604444311897812</v>
      </c>
      <c r="AO12" s="425">
        <f t="shared" si="3"/>
        <v>-0.64278760968653958</v>
      </c>
      <c r="AP12" s="425">
        <f t="shared" si="3"/>
        <v>-0.50000000000000044</v>
      </c>
      <c r="AQ12" s="425">
        <f t="shared" si="3"/>
        <v>-0.3420201433256686</v>
      </c>
      <c r="AR12" s="425">
        <f t="shared" si="3"/>
        <v>-0.17364817766693127</v>
      </c>
      <c r="AS12" s="425">
        <f t="shared" si="3"/>
        <v>-2.45029690981724E-16</v>
      </c>
      <c r="AT12" s="425">
        <f t="shared" si="3"/>
        <v>0.17364817766692991</v>
      </c>
      <c r="AU12" s="425">
        <f t="shared" si="3"/>
        <v>0.34202014332566893</v>
      </c>
      <c r="AV12" s="425">
        <f t="shared" si="3"/>
        <v>0.49999999999999928</v>
      </c>
      <c r="AW12" s="425">
        <f t="shared" si="3"/>
        <v>0.64278760968653914</v>
      </c>
      <c r="AX12" s="425">
        <f t="shared" si="3"/>
        <v>0.76604444311897779</v>
      </c>
    </row>
    <row r="13" spans="2:50" x14ac:dyDescent="0.2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24">
        <v>3</v>
      </c>
      <c r="H13" s="428" t="str">
        <f>_xlfn.CONCAT("y2 = ",B13," * sin(",$G$13," * ",Einheitenvorsätze!C38," + ",_xlfn.CONCAT($C$13,MID($D$13,2,LEN($D$13)-2)),")")</f>
        <v>y2 = 5 * sin(3 * α + 90°)</v>
      </c>
      <c r="I13" s="429" t="s">
        <v>63</v>
      </c>
      <c r="J13" s="425">
        <f>IF($I$13=$N$3,$B$13*SIN($G$13*J10+$E$13),0)</f>
        <v>4.3301270189221936</v>
      </c>
      <c r="K13" s="425">
        <f>IF($I$13=$N$3,$B$13*SIN($G$13*K10+$E$13),0)</f>
        <v>2.5000000000000018</v>
      </c>
      <c r="L13" s="425">
        <f t="shared" ref="L13:AX13" si="4">IF($I$13=$N$3,$B$13*SIN($G$13*L10+$E$13),0)</f>
        <v>6.1257422745431001E-16</v>
      </c>
      <c r="M13" s="425">
        <f t="shared" si="4"/>
        <v>-2.4999999999999987</v>
      </c>
      <c r="N13" s="425">
        <f t="shared" si="4"/>
        <v>-4.3301270189221945</v>
      </c>
      <c r="O13" s="425">
        <f t="shared" si="4"/>
        <v>-5</v>
      </c>
      <c r="P13" s="425">
        <f t="shared" si="4"/>
        <v>-4.3301270189221954</v>
      </c>
      <c r="Q13" s="425">
        <f t="shared" si="4"/>
        <v>-2.5000000000000022</v>
      </c>
      <c r="R13" s="425">
        <f t="shared" si="4"/>
        <v>-1.22514845490862E-15</v>
      </c>
      <c r="S13" s="425">
        <f t="shared" si="4"/>
        <v>2.5</v>
      </c>
      <c r="T13" s="425">
        <f t="shared" si="4"/>
        <v>4.3301270189221945</v>
      </c>
      <c r="U13" s="425">
        <f t="shared" si="4"/>
        <v>5</v>
      </c>
      <c r="V13" s="425">
        <f t="shared" si="4"/>
        <v>4.330127018922191</v>
      </c>
      <c r="W13" s="425">
        <f t="shared" si="4"/>
        <v>2.4999999999999991</v>
      </c>
      <c r="X13" s="425">
        <f t="shared" si="4"/>
        <v>1.83772268236293E-15</v>
      </c>
      <c r="Y13" s="425">
        <f t="shared" si="4"/>
        <v>-2.499999999999996</v>
      </c>
      <c r="Z13" s="425">
        <f t="shared" si="4"/>
        <v>-4.3301270189221936</v>
      </c>
      <c r="AA13" s="425">
        <f t="shared" si="4"/>
        <v>-5</v>
      </c>
      <c r="AB13" s="425">
        <f t="shared" si="4"/>
        <v>-4.330127018922191</v>
      </c>
      <c r="AC13" s="425">
        <f t="shared" si="4"/>
        <v>-2.4999999999999996</v>
      </c>
      <c r="AD13" s="425">
        <f t="shared" si="4"/>
        <v>6.4314872871840123E-15</v>
      </c>
      <c r="AE13" s="425">
        <f t="shared" si="4"/>
        <v>2.5000000000000027</v>
      </c>
      <c r="AF13" s="425">
        <f t="shared" si="4"/>
        <v>4.3301270189221936</v>
      </c>
      <c r="AG13" s="425">
        <f t="shared" si="4"/>
        <v>5</v>
      </c>
      <c r="AH13" s="425">
        <f t="shared" si="4"/>
        <v>4.3301270189221963</v>
      </c>
      <c r="AI13" s="425">
        <f t="shared" si="4"/>
        <v>2.5</v>
      </c>
      <c r="AJ13" s="425">
        <f t="shared" si="4"/>
        <v>3.06287113727155E-15</v>
      </c>
      <c r="AK13" s="425">
        <f t="shared" si="4"/>
        <v>-2.4999999999999947</v>
      </c>
      <c r="AL13" s="425">
        <f t="shared" si="4"/>
        <v>-4.3301270189221883</v>
      </c>
      <c r="AM13" s="425">
        <f t="shared" si="4"/>
        <v>-5</v>
      </c>
      <c r="AN13" s="425">
        <f t="shared" si="4"/>
        <v>-4.3301270189221919</v>
      </c>
      <c r="AO13" s="425">
        <f t="shared" si="4"/>
        <v>-2.500000000000016</v>
      </c>
      <c r="AP13" s="425">
        <f t="shared" si="4"/>
        <v>-3.67544536472586E-15</v>
      </c>
      <c r="AQ13" s="425">
        <f t="shared" si="4"/>
        <v>2.5000000000000093</v>
      </c>
      <c r="AR13" s="425">
        <f t="shared" si="4"/>
        <v>4.3301270189221883</v>
      </c>
      <c r="AS13" s="425">
        <f t="shared" si="4"/>
        <v>5</v>
      </c>
      <c r="AT13" s="425">
        <f t="shared" si="4"/>
        <v>4.3301270189222016</v>
      </c>
      <c r="AU13" s="425">
        <f t="shared" si="4"/>
        <v>2.5000000000000009</v>
      </c>
      <c r="AV13" s="425">
        <f t="shared" si="4"/>
        <v>2.2051587986182675E-14</v>
      </c>
      <c r="AW13" s="425">
        <f t="shared" si="4"/>
        <v>-2.4999999999999938</v>
      </c>
      <c r="AX13" s="425">
        <f t="shared" si="4"/>
        <v>-4.3301270189221972</v>
      </c>
    </row>
    <row r="14" spans="2:50" x14ac:dyDescent="0.25">
      <c r="B14" s="1" t="s">
        <v>918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25">
      <c r="G15" s="431">
        <f>IF($I$13=$N$3,$B$13*SIN($G$13*$E$14+$E$13),0)</f>
        <v>-2.5000000000000022</v>
      </c>
    </row>
    <row r="22" spans="4:10" x14ac:dyDescent="0.25">
      <c r="H22" t="s">
        <v>921</v>
      </c>
    </row>
    <row r="23" spans="4:10" x14ac:dyDescent="0.2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2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2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25">
      <c r="D26" t="s">
        <v>919</v>
      </c>
      <c r="E26" s="430">
        <f>$J$11</f>
        <v>10</v>
      </c>
      <c r="F26" s="430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25">
      <c r="E27">
        <v>0</v>
      </c>
      <c r="F27">
        <v>0</v>
      </c>
    </row>
    <row r="29" spans="4:10" x14ac:dyDescent="0.25">
      <c r="D29" t="s">
        <v>920</v>
      </c>
      <c r="E29" s="430">
        <f>$J$11</f>
        <v>10</v>
      </c>
      <c r="F29" s="430">
        <f>E29</f>
        <v>10</v>
      </c>
      <c r="H29" t="str">
        <f>D26</f>
        <v>X-Achse:</v>
      </c>
    </row>
    <row r="30" spans="4:10" x14ac:dyDescent="0.25">
      <c r="E30" s="430">
        <f>MIN($J$12:$AX$13)</f>
        <v>-5</v>
      </c>
      <c r="F30" s="430">
        <f>1.05*MAX($J$12:$AX$13)</f>
        <v>5.25</v>
      </c>
    </row>
    <row r="32" spans="4:10" x14ac:dyDescent="0.2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10" zoomScale="70" zoomScaleNormal="70" workbookViewId="0">
      <selection activeCell="H17" sqref="H17"/>
    </sheetView>
  </sheetViews>
  <sheetFormatPr baseColWidth="10" defaultRowHeight="15" x14ac:dyDescent="0.25"/>
  <cols>
    <col min="1" max="1" width="3.85546875" customWidth="1"/>
    <col min="2" max="2" width="11.85546875" customWidth="1"/>
    <col min="3" max="3" width="19.85546875" customWidth="1"/>
    <col min="4" max="4" width="12.42578125" customWidth="1"/>
    <col min="5" max="5" width="9.85546875" customWidth="1"/>
    <col min="6" max="6" width="12.42578125" customWidth="1"/>
    <col min="7" max="7" width="9.85546875" customWidth="1"/>
    <col min="8" max="8" width="11.42578125" customWidth="1"/>
    <col min="9" max="10" width="16" customWidth="1"/>
    <col min="11" max="11" width="15.5703125" customWidth="1"/>
    <col min="12" max="12" width="15" customWidth="1"/>
    <col min="13" max="13" width="17.85546875" customWidth="1"/>
    <col min="14" max="14" width="13" customWidth="1"/>
    <col min="19" max="19" width="16.42578125" customWidth="1"/>
    <col min="20" max="20" width="16.85546875" customWidth="1"/>
  </cols>
  <sheetData>
    <row r="1" spans="3:29" ht="39.950000000000003" customHeight="1" x14ac:dyDescent="0.25"/>
    <row r="2" spans="3:29" ht="26.25" x14ac:dyDescent="0.4">
      <c r="C2" s="29" t="s">
        <v>327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25">
      <c r="R3" s="109" t="s">
        <v>235</v>
      </c>
      <c r="S3" s="5" t="s">
        <v>201</v>
      </c>
      <c r="T3" s="5" t="s">
        <v>212</v>
      </c>
      <c r="V3" s="74">
        <f>MIN(K14:L20)</f>
        <v>-209.99999999999997</v>
      </c>
      <c r="W3" s="74">
        <f>MAX(K14:L20)</f>
        <v>363.73066958946424</v>
      </c>
      <c r="Y3" s="5" t="s">
        <v>232</v>
      </c>
      <c r="Z3" s="5">
        <v>0</v>
      </c>
      <c r="AA3" s="5">
        <f>W5</f>
        <v>400.10373654841072</v>
      </c>
      <c r="AB3" s="5">
        <v>0</v>
      </c>
      <c r="AC3" s="5">
        <v>0</v>
      </c>
    </row>
    <row r="4" spans="3:29" x14ac:dyDescent="0.25">
      <c r="R4" s="109" t="s">
        <v>236</v>
      </c>
      <c r="S4" s="5" t="s">
        <v>202</v>
      </c>
      <c r="T4" s="5" t="s">
        <v>213</v>
      </c>
      <c r="V4" s="5">
        <f>ABS(V3)</f>
        <v>209.99999999999997</v>
      </c>
      <c r="W4" s="5">
        <f>ABS(W3)</f>
        <v>363.73066958946424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400.10373654841072</v>
      </c>
    </row>
    <row r="5" spans="3:29" x14ac:dyDescent="0.25">
      <c r="R5" s="109" t="s">
        <v>237</v>
      </c>
      <c r="S5" s="5" t="s">
        <v>205</v>
      </c>
      <c r="T5" s="5" t="s">
        <v>214</v>
      </c>
      <c r="V5" s="5">
        <f>MAX(V4:W4)</f>
        <v>363.73066958946424</v>
      </c>
      <c r="W5" s="5">
        <f>V5*1.1</f>
        <v>400.10373654841072</v>
      </c>
    </row>
    <row r="6" spans="3:29" x14ac:dyDescent="0.25">
      <c r="R6" s="5" t="s">
        <v>260</v>
      </c>
      <c r="S6" s="5"/>
      <c r="T6" s="5" t="s">
        <v>215</v>
      </c>
    </row>
    <row r="7" spans="3:29" x14ac:dyDescent="0.25">
      <c r="R7" s="5" t="s">
        <v>63</v>
      </c>
      <c r="S7" s="5"/>
      <c r="T7" s="5"/>
    </row>
    <row r="8" spans="3:29" x14ac:dyDescent="0.25">
      <c r="R8" s="5"/>
      <c r="S8" s="5"/>
      <c r="T8" s="5"/>
    </row>
    <row r="12" spans="3:29" x14ac:dyDescent="0.25">
      <c r="C12" s="455" t="s">
        <v>216</v>
      </c>
      <c r="D12" s="455"/>
      <c r="E12" s="455"/>
      <c r="F12" s="455"/>
      <c r="G12" s="455"/>
      <c r="H12" s="56"/>
      <c r="I12" s="455" t="s">
        <v>217</v>
      </c>
      <c r="J12" s="455"/>
      <c r="K12" s="455" t="s">
        <v>212</v>
      </c>
      <c r="L12" s="455"/>
      <c r="M12" s="455" t="s">
        <v>218</v>
      </c>
      <c r="N12" s="455"/>
      <c r="O12" s="455"/>
      <c r="P12" s="454" t="s">
        <v>229</v>
      </c>
      <c r="Q12" s="454"/>
      <c r="R12" s="454"/>
      <c r="S12" s="454"/>
      <c r="T12" s="454" t="s">
        <v>261</v>
      </c>
      <c r="U12" s="454"/>
      <c r="V12" s="454"/>
      <c r="W12" s="454"/>
    </row>
    <row r="13" spans="3:29" x14ac:dyDescent="0.2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25">
      <c r="C14" s="4" t="s">
        <v>204</v>
      </c>
      <c r="D14" s="4">
        <v>420</v>
      </c>
      <c r="E14" s="92" t="s">
        <v>205</v>
      </c>
      <c r="F14" s="4">
        <v>-30</v>
      </c>
      <c r="G14" s="4" t="s">
        <v>201</v>
      </c>
      <c r="H14" s="103"/>
      <c r="I14" s="5" t="str">
        <f>IF(AND(E14=$S$5,G14=$S$5),$T$3,IF(AND(E14=$S$5,G14=$S$4),$T$4,IF(AND(E14=$S$5,G14=$S$3),$T$5,$T$6)))</f>
        <v>Polar [°]</v>
      </c>
      <c r="J14" s="74">
        <f>IF(I14=$T$5,F14*PI()/180,IF(I14=$T$4,F14,""))</f>
        <v>-0.52359877559829882</v>
      </c>
      <c r="K14" s="101">
        <f>IF(I14=$T$3,D14,D14*COS(J14))</f>
        <v>363.73066958946424</v>
      </c>
      <c r="L14" s="101">
        <f>IF(I14=$T$3,F14,D14*SIN(J14))</f>
        <v>-209.99999999999997</v>
      </c>
      <c r="M14" s="102">
        <f>SQRT(K14^2 + L14^2)</f>
        <v>420</v>
      </c>
      <c r="N14" s="102">
        <f>DEGREES(ATAN2(K14,L14))</f>
        <v>-29.999999999999996</v>
      </c>
      <c r="O14" s="102">
        <f>ATAN2(K14,L14)</f>
        <v>-0.52359877559829882</v>
      </c>
      <c r="P14" s="74">
        <v>0</v>
      </c>
      <c r="Q14" s="74">
        <f>K14</f>
        <v>363.73066958946424</v>
      </c>
      <c r="R14" s="74">
        <v>0</v>
      </c>
      <c r="S14" s="74">
        <f>L14</f>
        <v>-209.99999999999997</v>
      </c>
      <c r="T14" s="110"/>
      <c r="U14" s="110"/>
      <c r="V14" s="110"/>
      <c r="W14" s="110"/>
    </row>
    <row r="15" spans="3:29" x14ac:dyDescent="0.25">
      <c r="C15" s="4" t="s">
        <v>219</v>
      </c>
      <c r="D15" s="4">
        <v>150</v>
      </c>
      <c r="E15" s="92" t="s">
        <v>205</v>
      </c>
      <c r="F15" s="4">
        <v>4</v>
      </c>
      <c r="G15" s="4" t="s">
        <v>202</v>
      </c>
      <c r="H15" s="104" t="s">
        <v>235</v>
      </c>
      <c r="I15" s="5" t="str">
        <f t="shared" ref="I15:I20" si="0">IF(AND(E15=$S$5,G15=$S$5),$T$3,IF(AND(E15=$S$5,G15=$S$4),$T$4,IF(AND(E15=$S$5,G15=$S$3),$T$5,$T$6)))</f>
        <v>Polar [rad]</v>
      </c>
      <c r="J15" s="74">
        <f t="shared" ref="J15:J20" si="1">IF(I15=$T$5,F15*PI()/180,IF(I15=$T$4,F15,""))</f>
        <v>4</v>
      </c>
      <c r="K15" s="101">
        <f t="shared" ref="K15:K20" si="2">IF(I15=$T$3,D15,D15*COS(J15))</f>
        <v>-98.046543129541789</v>
      </c>
      <c r="L15" s="101">
        <f t="shared" ref="L15:L20" si="3">IF(I15=$T$3,F15,D15*SIN(J15))</f>
        <v>-113.52037429618923</v>
      </c>
      <c r="M15" s="102">
        <f t="shared" ref="M15:M20" si="4">SQRT(K15^2 + L15^2)</f>
        <v>150</v>
      </c>
      <c r="N15" s="102">
        <f t="shared" ref="N15:N20" si="5">DEGREES(ATAN2(K15,L15))</f>
        <v>-130.81688194767071</v>
      </c>
      <c r="O15" s="102">
        <f t="shared" ref="O15:O20" si="6">ATAN2(K15,L15)</f>
        <v>-2.2831853071795862</v>
      </c>
      <c r="P15" s="74">
        <f t="shared" ref="P15:P20" si="7">IF(H15=$R$6,0,IF(H15=$R$3,Q14,0))</f>
        <v>363.73066958946424</v>
      </c>
      <c r="Q15" s="74">
        <f t="shared" ref="Q15:Q20" si="8">IF(H15=$R$6,0,IF(H15=$R$3,K15+Q14,K15))</f>
        <v>265.68412645992248</v>
      </c>
      <c r="R15" s="74">
        <f t="shared" ref="R15:R20" si="9">IF(H15=$R$6,0,IF(H15=$R$3,S14,0))</f>
        <v>-209.99999999999997</v>
      </c>
      <c r="S15" s="74">
        <f t="shared" ref="S15:S20" si="10">IF(H15=$R$6,0,IF(H15=$R$3,S14+L15,L15))</f>
        <v>-323.52037429618917</v>
      </c>
      <c r="T15" s="74">
        <v>0</v>
      </c>
      <c r="U15" s="74">
        <v>0</v>
      </c>
      <c r="V15" s="74">
        <f t="shared" ref="V15:V20" si="11">IF(P15&lt;&gt;0,Q15,0)</f>
        <v>265.68412645992248</v>
      </c>
      <c r="W15" s="74">
        <f t="shared" ref="W15:W20" si="12">IF(R15&lt;&gt;0,S15,0)</f>
        <v>-323.52037429618917</v>
      </c>
    </row>
    <row r="16" spans="3:29" x14ac:dyDescent="0.25">
      <c r="C16" s="4" t="s">
        <v>220</v>
      </c>
      <c r="D16" s="4">
        <v>200</v>
      </c>
      <c r="E16" s="92" t="s">
        <v>205</v>
      </c>
      <c r="F16" s="4">
        <v>3.1415000000000002</v>
      </c>
      <c r="G16" s="4" t="s">
        <v>202</v>
      </c>
      <c r="H16" s="104" t="s">
        <v>235</v>
      </c>
      <c r="I16" s="5" t="str">
        <f t="shared" si="0"/>
        <v>Polar [rad]</v>
      </c>
      <c r="J16" s="74">
        <f t="shared" si="1"/>
        <v>3.1415000000000002</v>
      </c>
      <c r="K16" s="101">
        <f t="shared" si="2"/>
        <v>-199.99999914153125</v>
      </c>
      <c r="L16" s="101">
        <f t="shared" si="3"/>
        <v>1.8530717932098061E-2</v>
      </c>
      <c r="M16" s="102">
        <f t="shared" si="4"/>
        <v>200.00000000000003</v>
      </c>
      <c r="N16" s="102">
        <f t="shared" si="5"/>
        <v>179.99469134034814</v>
      </c>
      <c r="O16" s="102">
        <f t="shared" si="6"/>
        <v>3.1415000000000002</v>
      </c>
      <c r="P16" s="74">
        <f t="shared" si="7"/>
        <v>265.68412645992248</v>
      </c>
      <c r="Q16" s="74">
        <f t="shared" si="8"/>
        <v>65.684127318391234</v>
      </c>
      <c r="R16" s="74">
        <f t="shared" si="9"/>
        <v>-323.52037429618917</v>
      </c>
      <c r="S16" s="74">
        <f t="shared" si="10"/>
        <v>-323.50184357825708</v>
      </c>
      <c r="T16" s="74">
        <v>0</v>
      </c>
      <c r="U16" s="74">
        <v>0</v>
      </c>
      <c r="V16" s="74">
        <f t="shared" si="11"/>
        <v>65.684127318391234</v>
      </c>
      <c r="W16" s="74">
        <f t="shared" si="12"/>
        <v>-323.50184357825708</v>
      </c>
    </row>
    <row r="17" spans="3:23" x14ac:dyDescent="0.25">
      <c r="C17" s="4" t="s">
        <v>221</v>
      </c>
      <c r="D17" s="4">
        <v>0</v>
      </c>
      <c r="E17" s="92" t="s">
        <v>205</v>
      </c>
      <c r="F17" s="4">
        <v>100</v>
      </c>
      <c r="G17" s="4" t="s">
        <v>205</v>
      </c>
      <c r="H17" s="104" t="s">
        <v>235</v>
      </c>
      <c r="I17" s="5" t="str">
        <f t="shared" si="0"/>
        <v>Kartesisch</v>
      </c>
      <c r="J17" s="74" t="str">
        <f t="shared" si="1"/>
        <v/>
      </c>
      <c r="K17" s="101">
        <f t="shared" si="2"/>
        <v>0</v>
      </c>
      <c r="L17" s="101">
        <f t="shared" si="3"/>
        <v>100</v>
      </c>
      <c r="M17" s="102">
        <f t="shared" si="4"/>
        <v>100</v>
      </c>
      <c r="N17" s="102">
        <f t="shared" si="5"/>
        <v>90</v>
      </c>
      <c r="O17" s="102">
        <f t="shared" si="6"/>
        <v>1.5707963267948966</v>
      </c>
      <c r="P17" s="74">
        <f t="shared" si="7"/>
        <v>65.684127318391234</v>
      </c>
      <c r="Q17" s="74">
        <f t="shared" si="8"/>
        <v>65.684127318391234</v>
      </c>
      <c r="R17" s="74">
        <f t="shared" si="9"/>
        <v>-323.50184357825708</v>
      </c>
      <c r="S17" s="74">
        <f t="shared" si="10"/>
        <v>-223.50184357825708</v>
      </c>
      <c r="T17" s="74">
        <v>0</v>
      </c>
      <c r="U17" s="74">
        <v>0</v>
      </c>
      <c r="V17" s="74">
        <f t="shared" si="11"/>
        <v>65.684127318391234</v>
      </c>
      <c r="W17" s="74">
        <f t="shared" si="12"/>
        <v>-223.50184357825708</v>
      </c>
    </row>
    <row r="18" spans="3:23" x14ac:dyDescent="0.2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2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2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D7" sqref="D7"/>
    </sheetView>
  </sheetViews>
  <sheetFormatPr baseColWidth="10" defaultRowHeight="15" x14ac:dyDescent="0.25"/>
  <cols>
    <col min="1" max="1" width="3.28515625" customWidth="1"/>
    <col min="2" max="2" width="9.85546875" customWidth="1"/>
    <col min="10" max="11" width="4.42578125" customWidth="1"/>
    <col min="12" max="15" width="8.85546875" style="218" customWidth="1"/>
    <col min="16" max="16" width="3.5703125" style="218" customWidth="1"/>
    <col min="17" max="21" width="5.5703125" style="218" customWidth="1"/>
  </cols>
  <sheetData>
    <row r="1" spans="2:21" ht="39.950000000000003" customHeight="1" x14ac:dyDescent="0.25"/>
    <row r="2" spans="2:21" ht="23.25" x14ac:dyDescent="0.35">
      <c r="C2" s="9" t="s">
        <v>841</v>
      </c>
      <c r="M2" s="217"/>
    </row>
    <row r="3" spans="2:21" ht="12" customHeight="1" x14ac:dyDescent="0.35">
      <c r="B3" s="9"/>
      <c r="M3" s="217"/>
    </row>
    <row r="4" spans="2:21" ht="12" customHeight="1" x14ac:dyDescent="0.35">
      <c r="B4" s="9"/>
      <c r="M4" s="217"/>
    </row>
    <row r="5" spans="2:21" x14ac:dyDescent="0.25">
      <c r="C5" s="210" t="s">
        <v>409</v>
      </c>
      <c r="D5" s="209"/>
      <c r="E5" s="209"/>
      <c r="F5" s="209"/>
      <c r="G5" s="209"/>
      <c r="M5" s="209" t="s">
        <v>254</v>
      </c>
    </row>
    <row r="6" spans="2:21" x14ac:dyDescent="0.25">
      <c r="C6" s="206">
        <v>180</v>
      </c>
      <c r="D6" s="5" t="str">
        <f>M6</f>
        <v>°</v>
      </c>
      <c r="E6" s="207" t="s">
        <v>326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25">
      <c r="C7" s="75">
        <v>4</v>
      </c>
      <c r="D7" s="5" t="str">
        <f>M7</f>
        <v>rad</v>
      </c>
      <c r="E7" s="207" t="s">
        <v>326</v>
      </c>
      <c r="F7" s="212">
        <f>180*C7/PI()</f>
        <v>229.18311805232929</v>
      </c>
      <c r="G7" s="5" t="str">
        <f>M6</f>
        <v>°</v>
      </c>
      <c r="M7" s="208" t="s">
        <v>202</v>
      </c>
    </row>
    <row r="8" spans="2:21" x14ac:dyDescent="0.25">
      <c r="C8" s="75">
        <v>180</v>
      </c>
      <c r="D8" s="4" t="s">
        <v>201</v>
      </c>
      <c r="E8" s="207" t="s">
        <v>326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25"/>
    <row r="10" spans="2:21" ht="4.5" customHeight="1" x14ac:dyDescent="0.25"/>
    <row r="11" spans="2:21" ht="4.5" customHeight="1" x14ac:dyDescent="0.25"/>
    <row r="12" spans="2:21" ht="4.5" customHeight="1" x14ac:dyDescent="0.25"/>
    <row r="13" spans="2:21" x14ac:dyDescent="0.25">
      <c r="B13" s="456" t="s">
        <v>413</v>
      </c>
      <c r="C13" s="458"/>
      <c r="D13" s="458"/>
      <c r="E13" s="458"/>
      <c r="F13" s="458"/>
      <c r="G13" s="458"/>
      <c r="H13" s="458"/>
      <c r="I13" s="458"/>
      <c r="L13" s="456" t="s">
        <v>414</v>
      </c>
      <c r="M13" s="457"/>
      <c r="N13" s="457"/>
      <c r="O13" s="457"/>
      <c r="Q13" s="456" t="s">
        <v>230</v>
      </c>
      <c r="R13" s="457"/>
      <c r="S13" s="457"/>
      <c r="T13" s="457"/>
      <c r="U13" s="457"/>
    </row>
    <row r="14" spans="2:21" x14ac:dyDescent="0.25">
      <c r="B14" s="214" t="s">
        <v>196</v>
      </c>
      <c r="C14" s="213" t="s">
        <v>206</v>
      </c>
      <c r="D14" s="213" t="s">
        <v>91</v>
      </c>
      <c r="E14" s="213" t="s">
        <v>410</v>
      </c>
      <c r="F14" s="213" t="s">
        <v>91</v>
      </c>
      <c r="G14" s="213" t="s">
        <v>410</v>
      </c>
      <c r="H14" s="213" t="s">
        <v>411</v>
      </c>
      <c r="I14" s="213" t="s">
        <v>412</v>
      </c>
      <c r="L14" s="219" t="s">
        <v>418</v>
      </c>
      <c r="M14" s="219" t="s">
        <v>419</v>
      </c>
      <c r="N14" s="219" t="s">
        <v>420</v>
      </c>
      <c r="O14" s="219" t="s">
        <v>421</v>
      </c>
      <c r="P14" s="217"/>
      <c r="Q14" s="223" t="s">
        <v>415</v>
      </c>
      <c r="R14" s="219"/>
      <c r="S14" s="219"/>
      <c r="T14" s="219"/>
      <c r="U14" s="219"/>
    </row>
    <row r="15" spans="2:21" x14ac:dyDescent="0.25">
      <c r="B15" s="215" t="s">
        <v>416</v>
      </c>
      <c r="C15" s="211">
        <v>3</v>
      </c>
      <c r="D15" s="75">
        <v>90</v>
      </c>
      <c r="E15" s="75" t="s">
        <v>201</v>
      </c>
      <c r="F15" s="212">
        <f>IF(E15=M7,D15,IF(D8=M6,D15*PI()/180,"Unknown"))</f>
        <v>1.5707963267948966</v>
      </c>
      <c r="G15" s="74" t="str">
        <f>M7</f>
        <v>rad</v>
      </c>
      <c r="H15" s="212">
        <f>C15*COS(F15)</f>
        <v>1.83772268236293E-16</v>
      </c>
      <c r="I15" s="212">
        <f>C15*SIN(F15)</f>
        <v>3</v>
      </c>
      <c r="L15" s="220">
        <v>0</v>
      </c>
      <c r="M15" s="220">
        <f>H15</f>
        <v>1.83772268236293E-16</v>
      </c>
      <c r="N15" s="220">
        <v>0</v>
      </c>
      <c r="O15" s="220">
        <f>I15</f>
        <v>3</v>
      </c>
      <c r="P15" s="221"/>
      <c r="Q15" s="222">
        <f>MAX(ABS(O15),ABS(M16),ABS(O16),ABS(M15),ABS(M17),ABS(O17))</f>
        <v>8</v>
      </c>
      <c r="R15" s="220">
        <f>Q16</f>
        <v>8.8000000000000007</v>
      </c>
      <c r="S15" s="220">
        <v>0</v>
      </c>
      <c r="T15" s="220">
        <f>-R15</f>
        <v>-8.8000000000000007</v>
      </c>
      <c r="U15" s="220">
        <v>0</v>
      </c>
    </row>
    <row r="16" spans="2:21" x14ac:dyDescent="0.25">
      <c r="B16" s="216" t="s">
        <v>417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8.8000000000000007</v>
      </c>
      <c r="R16" s="220">
        <v>0</v>
      </c>
      <c r="S16" s="220">
        <f>R15</f>
        <v>8.8000000000000007</v>
      </c>
      <c r="T16" s="220">
        <v>0</v>
      </c>
      <c r="U16" s="220">
        <f>T15</f>
        <v>-8.8000000000000007</v>
      </c>
    </row>
    <row r="17" spans="2:54" ht="18" x14ac:dyDescent="0.35">
      <c r="B17" s="224" t="s">
        <v>428</v>
      </c>
      <c r="C17" s="212">
        <f>SQRT(H17^2+I17^2)</f>
        <v>8.9442719099991592</v>
      </c>
      <c r="D17" s="212">
        <f>F17*180/PI()</f>
        <v>116.56505117707799</v>
      </c>
      <c r="E17" s="74" t="str">
        <f>E16</f>
        <v>°</v>
      </c>
      <c r="F17" s="212">
        <f>ATAN2(H17,I17)</f>
        <v>2.0344439357957027</v>
      </c>
      <c r="G17" s="74" t="str">
        <f>G16</f>
        <v>rad</v>
      </c>
      <c r="H17" s="212">
        <f>H16+H15</f>
        <v>-4</v>
      </c>
      <c r="I17" s="212">
        <f>I16+I15</f>
        <v>8</v>
      </c>
      <c r="L17" s="220">
        <v>0</v>
      </c>
      <c r="M17" s="220">
        <f>H17</f>
        <v>-4</v>
      </c>
      <c r="N17" s="220">
        <v>0</v>
      </c>
      <c r="O17" s="220">
        <f>I17</f>
        <v>8</v>
      </c>
    </row>
    <row r="18" spans="2:54" ht="18" x14ac:dyDescent="0.35">
      <c r="B18" s="8" t="s">
        <v>429</v>
      </c>
      <c r="C18" s="77">
        <f>C16*C15</f>
        <v>19.209372712298546</v>
      </c>
      <c r="D18" s="212">
        <f>D16+D15</f>
        <v>218.65980825409008</v>
      </c>
      <c r="E18" s="74" t="str">
        <f>E17</f>
        <v>°</v>
      </c>
      <c r="F18" s="212">
        <f>F15+F16</f>
        <v>3.8163335958133455</v>
      </c>
      <c r="G18" s="74" t="str">
        <f>G17</f>
        <v>rad</v>
      </c>
      <c r="H18" s="212">
        <f>C18*COS(F18)</f>
        <v>-15.000000000000005</v>
      </c>
      <c r="I18" s="212">
        <f>C18*SIN(F18)</f>
        <v>-11.999999999999995</v>
      </c>
    </row>
    <row r="21" spans="2:54" x14ac:dyDescent="0.2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2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25">
      <c r="L23" s="215" t="s">
        <v>416</v>
      </c>
      <c r="M23" s="218">
        <f>$C$15*SIN(M22+$F$15)</f>
        <v>3</v>
      </c>
      <c r="N23" s="218">
        <f t="shared" ref="N23:AW23" si="2">$C$15*SIN(N22+$F$15)</f>
        <v>2.9544232590366239</v>
      </c>
      <c r="O23" s="218">
        <f t="shared" si="2"/>
        <v>2.8190778623577253</v>
      </c>
      <c r="P23" s="218">
        <f t="shared" si="2"/>
        <v>2.598076211353316</v>
      </c>
      <c r="Q23" s="218">
        <f t="shared" si="2"/>
        <v>2.2981333293569342</v>
      </c>
      <c r="R23" s="218">
        <f t="shared" si="2"/>
        <v>1.9283628290596184</v>
      </c>
      <c r="S23" s="218">
        <f t="shared" si="2"/>
        <v>1.5000000000000009</v>
      </c>
      <c r="T23" s="218">
        <f t="shared" si="2"/>
        <v>1.0260604299770066</v>
      </c>
      <c r="U23" s="218">
        <f t="shared" si="2"/>
        <v>0.5209445330007908</v>
      </c>
      <c r="V23" s="218">
        <f t="shared" si="2"/>
        <v>3.67544536472586E-16</v>
      </c>
      <c r="W23" s="218">
        <f t="shared" si="2"/>
        <v>-0.52094453300079002</v>
      </c>
      <c r="X23" s="218">
        <f t="shared" si="2"/>
        <v>-1.026060429977006</v>
      </c>
      <c r="Y23" s="218">
        <f t="shared" si="2"/>
        <v>-1.4999999999999991</v>
      </c>
      <c r="Z23" s="218">
        <f t="shared" si="2"/>
        <v>-1.9283628290596178</v>
      </c>
      <c r="AA23" s="218">
        <f t="shared" si="2"/>
        <v>-2.2981333293569337</v>
      </c>
      <c r="AB23" s="218">
        <f t="shared" si="2"/>
        <v>-2.5980762113533165</v>
      </c>
      <c r="AC23" s="218">
        <f t="shared" si="2"/>
        <v>-2.8190778623577253</v>
      </c>
      <c r="AD23" s="218">
        <f t="shared" si="2"/>
        <v>-2.9544232590366239</v>
      </c>
      <c r="AE23" s="218">
        <f t="shared" si="2"/>
        <v>-3</v>
      </c>
      <c r="AF23" s="218">
        <f t="shared" si="2"/>
        <v>-2.9544232590366244</v>
      </c>
      <c r="AG23" s="218">
        <f t="shared" si="2"/>
        <v>-2.8190778623577257</v>
      </c>
      <c r="AH23" s="218">
        <f t="shared" si="2"/>
        <v>-2.598076211353316</v>
      </c>
      <c r="AI23" s="218">
        <f t="shared" si="2"/>
        <v>-2.2981333293569346</v>
      </c>
      <c r="AJ23" s="218">
        <f t="shared" si="2"/>
        <v>-1.9283628290596186</v>
      </c>
      <c r="AK23" s="218">
        <f t="shared" si="2"/>
        <v>-1.5000000000000013</v>
      </c>
      <c r="AL23" s="218">
        <f t="shared" si="2"/>
        <v>-1.0260604299770084</v>
      </c>
      <c r="AM23" s="218">
        <f t="shared" si="2"/>
        <v>-0.52094453300079113</v>
      </c>
      <c r="AN23" s="218">
        <f t="shared" si="2"/>
        <v>-7.3508907294517201E-16</v>
      </c>
      <c r="AO23" s="218">
        <f t="shared" si="2"/>
        <v>0.5209445330007898</v>
      </c>
      <c r="AP23" s="218">
        <f t="shared" si="2"/>
        <v>1.0260604299770044</v>
      </c>
      <c r="AQ23" s="218">
        <f t="shared" si="2"/>
        <v>1.5</v>
      </c>
      <c r="AR23" s="218">
        <f t="shared" si="2"/>
        <v>1.9283628290596173</v>
      </c>
      <c r="AS23" s="218">
        <f t="shared" si="2"/>
        <v>2.2981333293569333</v>
      </c>
      <c r="AT23" s="218">
        <f t="shared" si="2"/>
        <v>2.5980762113533151</v>
      </c>
      <c r="AU23" s="218">
        <f t="shared" si="2"/>
        <v>2.8190778623577253</v>
      </c>
      <c r="AV23" s="218">
        <f t="shared" si="2"/>
        <v>2.9544232590366235</v>
      </c>
      <c r="AW23" s="218">
        <f t="shared" si="2"/>
        <v>3</v>
      </c>
    </row>
    <row r="24" spans="2:54" ht="15.95" customHeight="1" x14ac:dyDescent="0.25">
      <c r="L24" s="216" t="s">
        <v>417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5.95" customHeight="1" x14ac:dyDescent="0.35">
      <c r="L25" s="224" t="s">
        <v>428</v>
      </c>
      <c r="M25" s="218">
        <f>M23+M24</f>
        <v>8</v>
      </c>
      <c r="N25" s="218">
        <f t="shared" ref="N25:AW25" si="4">N23+N24</f>
        <v>7.1838693134299447</v>
      </c>
      <c r="O25" s="218">
        <f t="shared" si="4"/>
        <v>6.1494603929845937</v>
      </c>
      <c r="P25" s="218">
        <f t="shared" si="4"/>
        <v>4.9282032302755123</v>
      </c>
      <c r="Q25" s="218">
        <f t="shared" si="4"/>
        <v>3.5572051062056684</v>
      </c>
      <c r="R25" s="218">
        <f t="shared" si="4"/>
        <v>2.078123105016406</v>
      </c>
      <c r="S25" s="218">
        <f t="shared" si="4"/>
        <v>0.53589838486225039</v>
      </c>
      <c r="T25" s="218">
        <f t="shared" si="4"/>
        <v>-1.0226093365382809</v>
      </c>
      <c r="U25" s="218">
        <f t="shared" si="4"/>
        <v>-2.5500455907133888</v>
      </c>
      <c r="V25" s="218">
        <f t="shared" si="4"/>
        <v>-3.9999999999999973</v>
      </c>
      <c r="W25" s="218">
        <f t="shared" si="4"/>
        <v>-5.3284164333842723</v>
      </c>
      <c r="X25" s="218">
        <f t="shared" si="4"/>
        <v>-6.4949316297489803</v>
      </c>
      <c r="Y25" s="218">
        <f t="shared" si="4"/>
        <v>-7.4641016151377508</v>
      </c>
      <c r="Z25" s="218">
        <f t="shared" si="4"/>
        <v>-8.2064786499682256</v>
      </c>
      <c r="AA25" s="218">
        <f t="shared" si="4"/>
        <v>-8.699505983697982</v>
      </c>
      <c r="AB25" s="218">
        <f t="shared" si="4"/>
        <v>-8.9282032302755088</v>
      </c>
      <c r="AC25" s="218">
        <f t="shared" si="4"/>
        <v>-8.8856215395899429</v>
      </c>
      <c r="AD25" s="218">
        <f t="shared" si="4"/>
        <v>-8.5730547347653872</v>
      </c>
      <c r="AE25" s="218">
        <f t="shared" si="4"/>
        <v>-8.0000000000000018</v>
      </c>
      <c r="AF25" s="218">
        <f t="shared" si="4"/>
        <v>-7.1838693134299465</v>
      </c>
      <c r="AG25" s="218">
        <f t="shared" si="4"/>
        <v>-6.1494603929845972</v>
      </c>
      <c r="AH25" s="218">
        <f t="shared" si="4"/>
        <v>-4.9282032302755105</v>
      </c>
      <c r="AI25" s="218">
        <f t="shared" si="4"/>
        <v>-3.5572051062056698</v>
      </c>
      <c r="AJ25" s="218">
        <f t="shared" si="4"/>
        <v>-2.0781231050164068</v>
      </c>
      <c r="AK25" s="218">
        <f t="shared" si="4"/>
        <v>-0.53589838486225172</v>
      </c>
      <c r="AL25" s="218">
        <f t="shared" si="4"/>
        <v>1.0226093365382756</v>
      </c>
      <c r="AM25" s="218">
        <f t="shared" si="4"/>
        <v>2.5500455907133879</v>
      </c>
      <c r="AN25" s="218">
        <f t="shared" si="4"/>
        <v>3.9999999999999964</v>
      </c>
      <c r="AO25" s="218">
        <f t="shared" si="4"/>
        <v>5.3284164333842714</v>
      </c>
      <c r="AP25" s="218">
        <f t="shared" si="4"/>
        <v>6.4949316297489785</v>
      </c>
      <c r="AQ25" s="218">
        <f t="shared" si="4"/>
        <v>7.4641016151377544</v>
      </c>
      <c r="AR25" s="218">
        <f t="shared" si="4"/>
        <v>8.2064786499682256</v>
      </c>
      <c r="AS25" s="218">
        <f t="shared" si="4"/>
        <v>8.6995059836979802</v>
      </c>
      <c r="AT25" s="218">
        <f t="shared" si="4"/>
        <v>8.928203230275507</v>
      </c>
      <c r="AU25" s="218">
        <f t="shared" si="4"/>
        <v>8.8856215395899429</v>
      </c>
      <c r="AV25" s="218">
        <f t="shared" si="4"/>
        <v>8.5730547347653854</v>
      </c>
      <c r="AW25" s="218">
        <f t="shared" si="4"/>
        <v>8.0000000000000036</v>
      </c>
    </row>
    <row r="26" spans="2:54" ht="15.95" customHeight="1" x14ac:dyDescent="0.25"/>
    <row r="44" spans="2:4" x14ac:dyDescent="0.25">
      <c r="B44" s="2" t="s">
        <v>422</v>
      </c>
      <c r="C44" s="2"/>
      <c r="D44" t="s">
        <v>423</v>
      </c>
    </row>
    <row r="45" spans="2:4" x14ac:dyDescent="0.25">
      <c r="B45" s="3" t="s">
        <v>424</v>
      </c>
      <c r="C45" s="3"/>
      <c r="D45" t="s">
        <v>427</v>
      </c>
    </row>
    <row r="46" spans="2:4" x14ac:dyDescent="0.25">
      <c r="B46" t="s">
        <v>425</v>
      </c>
      <c r="D46" t="s">
        <v>426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5" x14ac:dyDescent="0.25"/>
  <cols>
    <col min="2" max="2" width="14.5703125" customWidth="1"/>
    <col min="3" max="3" width="19.85546875" customWidth="1"/>
    <col min="4" max="4" width="22.42578125" customWidth="1"/>
    <col min="5" max="6" width="13.85546875" customWidth="1"/>
    <col min="7" max="7" width="16" customWidth="1"/>
    <col min="8" max="8" width="12.42578125" customWidth="1"/>
    <col min="10" max="10" width="23.140625" customWidth="1"/>
    <col min="11" max="11" width="34.7109375" customWidth="1"/>
  </cols>
  <sheetData>
    <row r="1" spans="1:11" ht="39.950000000000003" customHeight="1" x14ac:dyDescent="0.25"/>
    <row r="2" spans="1:11" ht="26.25" x14ac:dyDescent="0.4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46293.630755439815</v>
      </c>
    </row>
    <row r="3" spans="1:11" ht="26.25" x14ac:dyDescent="0.4">
      <c r="C3" s="29"/>
      <c r="D3" s="29"/>
      <c r="I3" s="26"/>
      <c r="J3" s="91"/>
    </row>
    <row r="4" spans="1:11" ht="28.5" customHeight="1" x14ac:dyDescent="0.2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45" customHeight="1" x14ac:dyDescent="0.2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45" customHeight="1" x14ac:dyDescent="0.2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45" customHeight="1" x14ac:dyDescent="0.2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2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2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2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2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2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2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2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2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2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2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2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2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2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2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2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46580</v>
      </c>
      <c r="E22" s="94">
        <f t="shared" ca="1" si="4"/>
        <v>52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Schon Geburtstag gehabt</v>
      </c>
    </row>
    <row r="23" spans="1:11" x14ac:dyDescent="0.2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46604</v>
      </c>
      <c r="E23" s="94">
        <f t="shared" ca="1" si="4"/>
        <v>66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Schon Geburtstag gehabt</v>
      </c>
    </row>
    <row r="24" spans="1:11" x14ac:dyDescent="0.2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46611</v>
      </c>
      <c r="E24" s="94">
        <f t="shared" ca="1" si="4"/>
        <v>57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Schon Geburtstag gehabt</v>
      </c>
    </row>
    <row r="25" spans="1:11" x14ac:dyDescent="0.2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46612</v>
      </c>
      <c r="E25" s="94">
        <f t="shared" ca="1" si="4"/>
        <v>84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Schon Geburtstag gehabt</v>
      </c>
    </row>
    <row r="26" spans="1:11" x14ac:dyDescent="0.2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46642</v>
      </c>
      <c r="E26" s="94">
        <f t="shared" ca="1" si="4"/>
        <v>57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Schon Geburtstag gehabt</v>
      </c>
    </row>
    <row r="27" spans="1:11" x14ac:dyDescent="0.2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46646</v>
      </c>
      <c r="E27" s="94">
        <f t="shared" ca="1" si="4"/>
        <v>65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Schon Geburtstag gehabt</v>
      </c>
    </row>
    <row r="28" spans="1:11" x14ac:dyDescent="0.2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2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2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2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2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2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2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5" x14ac:dyDescent="0.25"/>
  <cols>
    <col min="2" max="4" width="19.140625" customWidth="1"/>
    <col min="5" max="6" width="16.42578125" customWidth="1"/>
    <col min="7" max="7" width="18.85546875" customWidth="1"/>
    <col min="8" max="8" width="20.42578125" customWidth="1"/>
    <col min="9" max="11" width="16.42578125" customWidth="1"/>
  </cols>
  <sheetData>
    <row r="1" spans="2:3" ht="39.950000000000003" customHeight="1" x14ac:dyDescent="0.25"/>
    <row r="2" spans="2:3" ht="26.25" x14ac:dyDescent="0.4">
      <c r="B2" s="29" t="s">
        <v>125</v>
      </c>
      <c r="C2" s="29"/>
    </row>
    <row r="5" spans="2:3" x14ac:dyDescent="0.2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5" x14ac:dyDescent="0.25"/>
  <cols>
    <col min="2" max="4" width="19.140625" customWidth="1"/>
    <col min="5" max="6" width="16.42578125" customWidth="1"/>
    <col min="7" max="7" width="18.85546875" customWidth="1"/>
    <col min="8" max="8" width="20.42578125" customWidth="1"/>
    <col min="9" max="11" width="16.42578125" customWidth="1"/>
  </cols>
  <sheetData>
    <row r="1" spans="2:11" ht="39.950000000000003" customHeight="1" x14ac:dyDescent="0.25"/>
    <row r="2" spans="2:11" ht="26.25" x14ac:dyDescent="0.4">
      <c r="C2" s="29" t="s">
        <v>101</v>
      </c>
    </row>
    <row r="5" spans="2:11" ht="18.75" x14ac:dyDescent="0.3">
      <c r="B5" s="72" t="s">
        <v>102</v>
      </c>
      <c r="C5" s="72"/>
      <c r="G5" s="72" t="s">
        <v>103</v>
      </c>
      <c r="H5" s="72"/>
      <c r="I5" s="72"/>
    </row>
    <row r="6" spans="2:11" ht="17.25" x14ac:dyDescent="0.2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2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2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2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2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2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2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75" x14ac:dyDescent="0.3">
      <c r="B16" s="72" t="s">
        <v>110</v>
      </c>
    </row>
    <row r="17" spans="2:8" ht="18" x14ac:dyDescent="0.3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2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2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2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2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2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2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2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2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75" x14ac:dyDescent="0.3">
      <c r="B29" s="72" t="s">
        <v>118</v>
      </c>
    </row>
    <row r="30" spans="2:8" x14ac:dyDescent="0.2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25">
      <c r="B31" s="75"/>
      <c r="C31" s="75"/>
      <c r="D31" s="87"/>
      <c r="E31" s="87"/>
      <c r="F31" s="87"/>
      <c r="G31" s="87"/>
    </row>
    <row r="32" spans="2:8" x14ac:dyDescent="0.25">
      <c r="B32" s="75"/>
      <c r="C32" s="74"/>
      <c r="D32" s="75"/>
      <c r="E32" s="74"/>
      <c r="F32" s="74"/>
      <c r="G32" s="74"/>
    </row>
    <row r="33" spans="2:21" x14ac:dyDescent="0.25">
      <c r="B33" s="75"/>
      <c r="C33" s="74"/>
      <c r="D33" s="74"/>
      <c r="E33" s="75"/>
      <c r="F33" s="74"/>
      <c r="G33" s="74"/>
    </row>
    <row r="34" spans="2:21" x14ac:dyDescent="0.25">
      <c r="B34" s="75"/>
      <c r="C34" s="74"/>
      <c r="D34" s="74"/>
      <c r="E34" s="74"/>
      <c r="F34" s="75"/>
      <c r="G34" s="74"/>
    </row>
    <row r="35" spans="2:21" x14ac:dyDescent="0.25">
      <c r="B35" s="75"/>
      <c r="C35" s="74"/>
      <c r="D35" s="74"/>
      <c r="E35" s="74"/>
      <c r="F35" s="74"/>
      <c r="G35" s="75"/>
    </row>
    <row r="36" spans="2:21" x14ac:dyDescent="0.25">
      <c r="B36" s="74"/>
      <c r="C36" s="75"/>
      <c r="D36" s="75"/>
      <c r="E36" s="74"/>
      <c r="F36" s="74"/>
      <c r="G36" s="74"/>
    </row>
    <row r="37" spans="2:21" x14ac:dyDescent="0.25">
      <c r="B37" s="74"/>
      <c r="C37" s="75"/>
      <c r="D37" s="74"/>
      <c r="E37" s="75"/>
      <c r="F37" s="74"/>
      <c r="G37" s="74"/>
    </row>
    <row r="38" spans="2:21" x14ac:dyDescent="0.25">
      <c r="B38" s="74"/>
      <c r="C38" s="75"/>
      <c r="D38" s="74"/>
      <c r="E38" s="74"/>
      <c r="F38" s="75"/>
      <c r="G38" s="74"/>
    </row>
    <row r="39" spans="2:21" x14ac:dyDescent="0.25">
      <c r="B39" s="74"/>
      <c r="C39" s="75"/>
      <c r="D39" s="74"/>
      <c r="E39" s="74"/>
      <c r="F39" s="74"/>
      <c r="G39" s="75"/>
    </row>
    <row r="40" spans="2:21" x14ac:dyDescent="0.25">
      <c r="B40" s="74"/>
      <c r="C40" s="74"/>
      <c r="D40" s="75"/>
      <c r="E40" s="75"/>
      <c r="F40" s="74"/>
      <c r="G40" s="74"/>
    </row>
    <row r="41" spans="2:21" x14ac:dyDescent="0.25">
      <c r="B41" s="74"/>
      <c r="C41" s="74"/>
      <c r="D41" s="75"/>
      <c r="E41" s="74"/>
      <c r="F41" s="75"/>
      <c r="G41" s="74"/>
      <c r="U41" s="118"/>
    </row>
    <row r="42" spans="2:21" x14ac:dyDescent="0.25">
      <c r="B42" s="74"/>
      <c r="C42" s="74"/>
      <c r="D42" s="75"/>
      <c r="E42" s="74"/>
      <c r="F42" s="74"/>
      <c r="G42" s="75"/>
    </row>
    <row r="43" spans="2:21" x14ac:dyDescent="0.25">
      <c r="B43" s="88"/>
      <c r="C43" s="88"/>
      <c r="D43" s="88"/>
      <c r="E43" s="75"/>
      <c r="F43" s="75"/>
      <c r="G43" s="88"/>
    </row>
    <row r="44" spans="2:21" x14ac:dyDescent="0.25">
      <c r="B44" s="74"/>
      <c r="C44" s="74"/>
      <c r="D44" s="74"/>
      <c r="E44" s="75"/>
      <c r="F44" s="74"/>
      <c r="G44" s="75"/>
    </row>
    <row r="45" spans="2:21" x14ac:dyDescent="0.2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5" x14ac:dyDescent="0.25"/>
  <cols>
    <col min="2" max="2" width="25.5703125" customWidth="1"/>
    <col min="8" max="8" width="13.140625" customWidth="1"/>
    <col min="9" max="9" width="17.5703125" customWidth="1"/>
  </cols>
  <sheetData>
    <row r="2" spans="2:14" ht="64.5" customHeight="1" x14ac:dyDescent="0.25">
      <c r="C2" s="386" t="s">
        <v>836</v>
      </c>
    </row>
    <row r="3" spans="2:14" x14ac:dyDescent="0.25">
      <c r="B3" s="344" t="s">
        <v>5</v>
      </c>
    </row>
    <row r="4" spans="2:14" x14ac:dyDescent="0.2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2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2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2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1.95" customHeight="1" x14ac:dyDescent="0.25"/>
    <row r="10" spans="2:14" ht="15.75" thickBot="1" x14ac:dyDescent="0.3"/>
    <row r="11" spans="2:14" ht="26.25" x14ac:dyDescent="0.4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25">
      <c r="I12" s="328"/>
      <c r="J12" s="269"/>
      <c r="K12" s="269"/>
      <c r="L12" s="269"/>
      <c r="M12" s="269"/>
      <c r="N12" s="329"/>
    </row>
    <row r="13" spans="2:14" x14ac:dyDescent="0.2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.75" thickBot="1" x14ac:dyDescent="0.3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25">
      <c r="I16" s="345" t="s">
        <v>16</v>
      </c>
      <c r="J16" s="346">
        <v>0.5</v>
      </c>
    </row>
    <row r="17" spans="2:41" x14ac:dyDescent="0.2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75" x14ac:dyDescent="0.3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25" x14ac:dyDescent="0.35">
      <c r="H24" s="5"/>
      <c r="I24" s="382" t="s">
        <v>833</v>
      </c>
      <c r="J24" s="383" t="str">
        <f>IF($I$24=$R$24,"s [km]","s [m]")</f>
        <v>s [km]</v>
      </c>
      <c r="K24" s="383" t="str">
        <f>IF($I$24=$R$24,"v [km/h]","v [m/s]")</f>
        <v>v [km/h]</v>
      </c>
      <c r="L24" s="383" t="str">
        <f>IF($I$24=$R$24,"t [h]","t [s]")</f>
        <v>t [h]</v>
      </c>
      <c r="M24" s="383" t="str">
        <f>IF($I$24=$R$24,"s0 [km]","s0 [m]")</f>
        <v>s0 [km]</v>
      </c>
      <c r="R24" t="s">
        <v>833</v>
      </c>
    </row>
    <row r="25" spans="2:41" ht="21" x14ac:dyDescent="0.35">
      <c r="B25" s="245"/>
      <c r="H25" s="385" t="s">
        <v>830</v>
      </c>
      <c r="I25" s="384" t="s">
        <v>826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834</v>
      </c>
    </row>
    <row r="26" spans="2:41" ht="21" x14ac:dyDescent="0.35">
      <c r="B26" s="245"/>
      <c r="H26" s="385" t="s">
        <v>831</v>
      </c>
      <c r="I26" s="384" t="s">
        <v>827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35">
      <c r="B27" s="245"/>
      <c r="H27" s="385" t="s">
        <v>832</v>
      </c>
      <c r="I27" s="384" t="s">
        <v>828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35">
      <c r="B28" s="245"/>
      <c r="H28" s="385" t="s">
        <v>835</v>
      </c>
      <c r="I28" s="384" t="s">
        <v>829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5" x14ac:dyDescent="0.25"/>
  <cols>
    <col min="2" max="2" width="52.5703125" customWidth="1"/>
    <col min="3" max="3" width="9.140625" customWidth="1"/>
    <col min="9" max="9" width="13.140625" customWidth="1"/>
    <col min="10" max="10" width="15.42578125" customWidth="1"/>
  </cols>
  <sheetData>
    <row r="2" spans="2:26" ht="64.5" customHeight="1" x14ac:dyDescent="0.25">
      <c r="C2" s="386" t="s">
        <v>843</v>
      </c>
      <c r="D2" s="386"/>
    </row>
    <row r="4" spans="2:26" x14ac:dyDescent="0.25">
      <c r="J4" t="s">
        <v>641</v>
      </c>
    </row>
    <row r="5" spans="2:26" x14ac:dyDescent="0.25">
      <c r="J5" t="s">
        <v>867</v>
      </c>
    </row>
    <row r="10" spans="2:26" x14ac:dyDescent="0.2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25">
      <c r="B11" s="5"/>
      <c r="C11" s="5" t="s">
        <v>256</v>
      </c>
      <c r="D11" s="5" t="s">
        <v>867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25" x14ac:dyDescent="0.35">
      <c r="B12" s="335" t="s">
        <v>639</v>
      </c>
      <c r="C12" s="337" t="s">
        <v>868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25" x14ac:dyDescent="0.35">
      <c r="B13" s="337"/>
      <c r="C13" s="337" t="s">
        <v>869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25" x14ac:dyDescent="0.35">
      <c r="B14" s="338" t="s">
        <v>638</v>
      </c>
      <c r="C14" s="337" t="s">
        <v>870</v>
      </c>
      <c r="D14" s="337" t="str">
        <f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2">$E$14*G11+$E$15</f>
        <v>34.188032999999997</v>
      </c>
      <c r="H14" s="5">
        <f t="shared" si="2"/>
        <v>42.735040999999995</v>
      </c>
      <c r="I14" s="5">
        <f t="shared" si="2"/>
        <v>51.282049000000001</v>
      </c>
      <c r="J14" s="5">
        <f t="shared" si="2"/>
        <v>59.829056999999999</v>
      </c>
      <c r="K14" s="5">
        <f t="shared" si="2"/>
        <v>68.376064999999997</v>
      </c>
      <c r="L14" s="5">
        <f t="shared" si="2"/>
        <v>76.923073000000002</v>
      </c>
      <c r="M14" s="5">
        <f t="shared" si="2"/>
        <v>85.470080999999993</v>
      </c>
      <c r="N14" s="5">
        <f t="shared" si="2"/>
        <v>94.017088999999999</v>
      </c>
      <c r="O14" s="5">
        <f t="shared" si="2"/>
        <v>102.564097</v>
      </c>
      <c r="P14" s="5">
        <f t="shared" si="2"/>
        <v>111.11110499999999</v>
      </c>
      <c r="Q14" s="5">
        <f t="shared" si="2"/>
        <v>119.658113</v>
      </c>
      <c r="R14" s="5">
        <f t="shared" si="2"/>
        <v>128.20512100000002</v>
      </c>
      <c r="S14" s="5">
        <f t="shared" si="2"/>
        <v>136.752129</v>
      </c>
      <c r="T14" s="5">
        <f t="shared" si="2"/>
        <v>145.299137</v>
      </c>
      <c r="U14" s="5">
        <f t="shared" si="2"/>
        <v>153.84614499999998</v>
      </c>
      <c r="V14" s="5">
        <f t="shared" si="2"/>
        <v>162.39315299999998</v>
      </c>
      <c r="W14" s="5">
        <f t="shared" si="2"/>
        <v>170.94016099999999</v>
      </c>
      <c r="X14" s="5">
        <f t="shared" si="2"/>
        <v>179.48716899999999</v>
      </c>
      <c r="Y14" s="5">
        <f t="shared" si="2"/>
        <v>188.034177</v>
      </c>
      <c r="Z14" s="5">
        <f t="shared" si="2"/>
        <v>196.581185</v>
      </c>
    </row>
    <row r="15" spans="2:26" ht="20.25" x14ac:dyDescent="0.35">
      <c r="B15" s="337"/>
      <c r="C15" s="337" t="s">
        <v>871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75" x14ac:dyDescent="0.3">
      <c r="C17" s="339" t="str">
        <f>IF(E14*E12&lt;0,"Auf einander zufahren","Einander nachfahren")</f>
        <v>Einander nachfahren</v>
      </c>
      <c r="D17" s="339"/>
    </row>
    <row r="38" spans="2:9" ht="21" x14ac:dyDescent="0.35">
      <c r="B38" s="343" t="s">
        <v>644</v>
      </c>
      <c r="C38" s="92"/>
      <c r="D38" s="92"/>
      <c r="E38" s="92"/>
      <c r="G38" t="s">
        <v>645</v>
      </c>
    </row>
    <row r="39" spans="2:9" ht="18" x14ac:dyDescent="0.35">
      <c r="B39" s="8" t="s">
        <v>640</v>
      </c>
      <c r="C39" s="5">
        <f>(E15-E13)/(E12-E14)</f>
        <v>13.837633945532412</v>
      </c>
      <c r="D39" s="5"/>
      <c r="E39" s="5" t="s">
        <v>641</v>
      </c>
      <c r="F39" s="340"/>
      <c r="G39" t="s">
        <v>646</v>
      </c>
      <c r="H39">
        <v>0</v>
      </c>
      <c r="I39">
        <f>C39</f>
        <v>13.837633945532412</v>
      </c>
    </row>
    <row r="40" spans="2:9" x14ac:dyDescent="0.2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25">
      <c r="B41" s="342"/>
      <c r="C41" s="336"/>
      <c r="D41" s="336"/>
      <c r="E41" s="336"/>
    </row>
    <row r="42" spans="2:9" ht="18" x14ac:dyDescent="0.35">
      <c r="B42" s="8" t="s">
        <v>642</v>
      </c>
      <c r="C42" s="5">
        <f>E12*C39+E13</f>
        <v>143.91139303353708</v>
      </c>
      <c r="D42" s="5"/>
      <c r="E42" s="5" t="s">
        <v>643</v>
      </c>
      <c r="G42" t="s">
        <v>647</v>
      </c>
      <c r="H42">
        <f>I39</f>
        <v>13.837633945532412</v>
      </c>
      <c r="I42">
        <f>H42</f>
        <v>13.837633945532412</v>
      </c>
    </row>
    <row r="43" spans="2:9" ht="18" x14ac:dyDescent="0.35">
      <c r="B43" s="8" t="s">
        <v>642</v>
      </c>
      <c r="C43" s="5">
        <f>E14*C39+E15</f>
        <v>143.91139303353708</v>
      </c>
      <c r="D43" s="5"/>
      <c r="E43" s="5" t="s">
        <v>643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5" x14ac:dyDescent="0.25"/>
  <cols>
    <col min="3" max="3" width="13" customWidth="1"/>
    <col min="4" max="4" width="17.5703125" customWidth="1"/>
    <col min="5" max="5" width="16.5703125" bestFit="1" customWidth="1"/>
    <col min="7" max="7" width="14" customWidth="1"/>
  </cols>
  <sheetData>
    <row r="2" spans="2:28" ht="23.25" x14ac:dyDescent="0.35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35">
      <c r="B3" s="9"/>
      <c r="C3" s="459" t="s">
        <v>886</v>
      </c>
      <c r="D3" s="459" t="s">
        <v>663</v>
      </c>
      <c r="E3" s="410">
        <v>4</v>
      </c>
      <c r="F3" s="410" t="s">
        <v>867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35">
      <c r="B4" s="9"/>
      <c r="C4" s="459" t="s">
        <v>21</v>
      </c>
      <c r="D4" s="459"/>
      <c r="E4" s="410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35">
      <c r="B5" s="9"/>
      <c r="C5" s="459" t="s">
        <v>22</v>
      </c>
      <c r="D5" s="459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25">
      <c r="C6" s="459" t="s">
        <v>872</v>
      </c>
      <c r="D6" s="459"/>
      <c r="E6" s="410">
        <v>50</v>
      </c>
      <c r="F6" s="410" t="s">
        <v>852</v>
      </c>
      <c r="G6" s="77">
        <f>IF(F6=H6,E6,E6*1000)</f>
        <v>50</v>
      </c>
      <c r="H6" s="5" t="str">
        <f>O6</f>
        <v>[m]</v>
      </c>
      <c r="N6" t="s">
        <v>887</v>
      </c>
      <c r="O6" t="s">
        <v>852</v>
      </c>
      <c r="P6" t="s">
        <v>867</v>
      </c>
    </row>
    <row r="7" spans="2:28" ht="15.6" customHeight="1" x14ac:dyDescent="0.25">
      <c r="N7" t="s">
        <v>23</v>
      </c>
      <c r="O7" t="s">
        <v>643</v>
      </c>
      <c r="P7" t="s">
        <v>888</v>
      </c>
    </row>
    <row r="8" spans="2:28" ht="15.6" customHeight="1" x14ac:dyDescent="0.25">
      <c r="P8" t="s">
        <v>641</v>
      </c>
    </row>
    <row r="9" spans="2:28" ht="15.6" customHeight="1" x14ac:dyDescent="0.25"/>
    <row r="10" spans="2:28" ht="15.6" customHeight="1" x14ac:dyDescent="0.25"/>
    <row r="11" spans="2:28" ht="22.5" customHeight="1" x14ac:dyDescent="0.45">
      <c r="C11" s="460" t="s">
        <v>884</v>
      </c>
      <c r="D11" s="453"/>
      <c r="E11" s="408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883</v>
      </c>
    </row>
    <row r="12" spans="2:28" ht="22.5" customHeight="1" x14ac:dyDescent="0.45">
      <c r="C12" s="460" t="s">
        <v>885</v>
      </c>
      <c r="D12" s="453"/>
      <c r="E12" s="408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643</v>
      </c>
      <c r="N12" t="s">
        <v>882</v>
      </c>
    </row>
    <row r="13" spans="2:28" ht="15.6" customHeight="1" x14ac:dyDescent="0.25"/>
    <row r="14" spans="2:28" ht="15.6" customHeight="1" x14ac:dyDescent="0.25"/>
    <row r="15" spans="2:28" ht="15.6" customHeight="1" x14ac:dyDescent="0.25"/>
    <row r="16" spans="2:28" ht="15.6" customHeight="1" x14ac:dyDescent="0.25"/>
    <row r="17" spans="3:27" ht="15.6" customHeight="1" x14ac:dyDescent="0.25">
      <c r="F17" s="409"/>
    </row>
    <row r="18" spans="3:27" ht="15.6" customHeight="1" x14ac:dyDescent="0.25">
      <c r="C18" s="462" t="s">
        <v>1</v>
      </c>
      <c r="D18" s="463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25">
      <c r="C19" s="461" t="s">
        <v>19</v>
      </c>
      <c r="D19" s="461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25">
      <c r="C20" s="453" t="s">
        <v>24</v>
      </c>
      <c r="D20" s="453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7.25" x14ac:dyDescent="0.25">
      <c r="C21" s="453" t="s">
        <v>873</v>
      </c>
      <c r="D21" s="453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35">
      <c r="C43" s="245"/>
    </row>
    <row r="44" spans="3:3" ht="21" x14ac:dyDescent="0.35">
      <c r="C44" s="245"/>
    </row>
    <row r="45" spans="3:3" ht="21" x14ac:dyDescent="0.3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5" zoomScale="115" zoomScaleNormal="115" workbookViewId="0">
      <selection activeCell="A15" sqref="A15:XFD15"/>
    </sheetView>
  </sheetViews>
  <sheetFormatPr baseColWidth="10" defaultRowHeight="15" x14ac:dyDescent="0.2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40625" customWidth="1"/>
    <col min="10" max="10" width="13" customWidth="1"/>
    <col min="11" max="11" width="23" customWidth="1"/>
    <col min="12" max="12" width="13" customWidth="1"/>
    <col min="14" max="14" width="15.5703125" customWidth="1"/>
    <col min="15" max="15" width="35.140625" customWidth="1"/>
    <col min="18" max="18" width="5.5703125" customWidth="1"/>
  </cols>
  <sheetData>
    <row r="2" spans="1:19" ht="23.25" x14ac:dyDescent="0.35">
      <c r="B2" s="9" t="s">
        <v>18</v>
      </c>
    </row>
    <row r="3" spans="1:19" x14ac:dyDescent="0.25">
      <c r="Q3" t="s">
        <v>96</v>
      </c>
    </row>
    <row r="4" spans="1:19" x14ac:dyDescent="0.25">
      <c r="J4" t="s">
        <v>49</v>
      </c>
      <c r="K4" t="s">
        <v>48</v>
      </c>
      <c r="Q4" s="66" t="s">
        <v>97</v>
      </c>
    </row>
    <row r="5" spans="1:19" ht="15.75" thickBot="1" x14ac:dyDescent="0.3"/>
    <row r="6" spans="1:19" ht="29.1" customHeight="1" thickBot="1" x14ac:dyDescent="0.3">
      <c r="C6" s="475" t="str">
        <f>$O$8</f>
        <v>Anfangs-Geschwindigkeit</v>
      </c>
      <c r="D6" s="476"/>
      <c r="E6" s="479" t="str">
        <f>$O$9</f>
        <v>Geschwindigkeit</v>
      </c>
      <c r="F6" s="476"/>
      <c r="G6" s="479" t="str">
        <f>$O$10</f>
        <v>Strecke</v>
      </c>
      <c r="H6" s="476"/>
      <c r="I6" s="479" t="str">
        <f>$O$11</f>
        <v>Zeit</v>
      </c>
      <c r="J6" s="476"/>
      <c r="K6" s="479" t="str">
        <f>$O$12</f>
        <v>Beschleunigung</v>
      </c>
      <c r="L6" s="480"/>
    </row>
    <row r="7" spans="1:19" ht="15.75" thickBot="1" x14ac:dyDescent="0.3">
      <c r="B7" s="13" t="s">
        <v>37</v>
      </c>
      <c r="C7" s="477" t="str">
        <f>$P$8</f>
        <v>v0 [m/s]</v>
      </c>
      <c r="D7" s="478"/>
      <c r="E7" s="481" t="str">
        <f>$P$9</f>
        <v>v [m/s]</v>
      </c>
      <c r="F7" s="478"/>
      <c r="G7" s="481" t="str">
        <f>$P$10</f>
        <v>s [m]</v>
      </c>
      <c r="H7" s="478"/>
      <c r="I7" s="481" t="str">
        <f>$P$11</f>
        <v>t [s]</v>
      </c>
      <c r="J7" s="478"/>
      <c r="K7" s="481" t="str">
        <f>$P$12</f>
        <v>a [m/s2]</v>
      </c>
      <c r="L7" s="482"/>
      <c r="O7" s="61"/>
      <c r="S7" s="45"/>
    </row>
    <row r="8" spans="1:19" s="19" customFormat="1" ht="38.1" customHeight="1" x14ac:dyDescent="0.2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9">
        <v>119</v>
      </c>
      <c r="H8" s="470"/>
      <c r="I8" s="469">
        <v>7</v>
      </c>
      <c r="J8" s="470"/>
      <c r="K8" s="469">
        <v>2</v>
      </c>
      <c r="L8" s="474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" customHeight="1" x14ac:dyDescent="0.25">
      <c r="A9">
        <v>26</v>
      </c>
      <c r="B9" s="15" t="s">
        <v>39</v>
      </c>
      <c r="C9" s="57" t="s">
        <v>50</v>
      </c>
      <c r="D9" s="16">
        <f>E9-K9*I9</f>
        <v>10</v>
      </c>
      <c r="E9" s="466">
        <v>24</v>
      </c>
      <c r="F9" s="467"/>
      <c r="G9" s="16" t="s">
        <v>75</v>
      </c>
      <c r="H9" s="16">
        <f>E9*I9 - K9*I9^2/2</f>
        <v>119</v>
      </c>
      <c r="I9" s="466">
        <v>7</v>
      </c>
      <c r="J9" s="467"/>
      <c r="K9" s="466">
        <v>2</v>
      </c>
      <c r="L9" s="472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" customHeight="1" x14ac:dyDescent="0.2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6">
        <v>24</v>
      </c>
      <c r="F10" s="467"/>
      <c r="G10" s="466">
        <v>119</v>
      </c>
      <c r="H10" s="467"/>
      <c r="I10" s="16" t="s">
        <v>76</v>
      </c>
      <c r="J10" s="16">
        <f>(E10 - SQRT(E10^2 - 2*K10*G10))/K10</f>
        <v>7</v>
      </c>
      <c r="K10" s="466">
        <v>2</v>
      </c>
      <c r="L10" s="472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" customHeight="1" x14ac:dyDescent="0.25">
      <c r="A11">
        <v>14</v>
      </c>
      <c r="B11" s="15" t="s">
        <v>41</v>
      </c>
      <c r="C11" s="58" t="s">
        <v>79</v>
      </c>
      <c r="D11" s="16">
        <f>2*G11/I11 - E11</f>
        <v>10</v>
      </c>
      <c r="E11" s="466">
        <v>24</v>
      </c>
      <c r="F11" s="467"/>
      <c r="G11" s="466">
        <v>119</v>
      </c>
      <c r="H11" s="467"/>
      <c r="I11" s="466">
        <v>7</v>
      </c>
      <c r="J11" s="467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" customHeight="1" x14ac:dyDescent="0.25">
      <c r="A12" s="19">
        <v>25</v>
      </c>
      <c r="B12" s="15" t="s">
        <v>42</v>
      </c>
      <c r="C12" s="471">
        <v>10</v>
      </c>
      <c r="D12" s="467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6">
        <v>7</v>
      </c>
      <c r="J12" s="467"/>
      <c r="K12" s="466">
        <v>2</v>
      </c>
      <c r="L12" s="472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" customHeight="1" x14ac:dyDescent="0.25">
      <c r="A13">
        <v>21</v>
      </c>
      <c r="B13" s="15" t="s">
        <v>44</v>
      </c>
      <c r="C13" s="471">
        <v>10</v>
      </c>
      <c r="D13" s="467"/>
      <c r="E13" s="16" t="s">
        <v>80</v>
      </c>
      <c r="F13" s="16">
        <f>SQRT(C13^2 + 2*K13*G13)</f>
        <v>24</v>
      </c>
      <c r="G13" s="466">
        <v>119</v>
      </c>
      <c r="H13" s="467"/>
      <c r="I13" s="22" t="s">
        <v>55</v>
      </c>
      <c r="J13" s="16">
        <f xml:space="preserve"> (-C13 + SQRT(C13^2 + 2*K13*G13))/K13</f>
        <v>7</v>
      </c>
      <c r="K13" s="464">
        <v>2</v>
      </c>
      <c r="L13" s="472"/>
      <c r="O13" s="61" t="s">
        <v>89</v>
      </c>
      <c r="P13" s="62" t="s">
        <v>95</v>
      </c>
    </row>
    <row r="14" spans="1:19" ht="38.1" customHeight="1" x14ac:dyDescent="0.25">
      <c r="A14">
        <v>13</v>
      </c>
      <c r="B14" s="15" t="s">
        <v>43</v>
      </c>
      <c r="C14" s="471">
        <v>10</v>
      </c>
      <c r="D14" s="467"/>
      <c r="E14" s="16" t="s">
        <v>81</v>
      </c>
      <c r="F14" s="16">
        <f>2*G14/I14 - C14</f>
        <v>24</v>
      </c>
      <c r="G14" s="466">
        <v>119</v>
      </c>
      <c r="H14" s="467"/>
      <c r="I14" s="466">
        <v>7</v>
      </c>
      <c r="J14" s="473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" customHeight="1" x14ac:dyDescent="0.25">
      <c r="A15">
        <v>19</v>
      </c>
      <c r="B15" s="15" t="s">
        <v>45</v>
      </c>
      <c r="C15" s="471">
        <v>10</v>
      </c>
      <c r="D15" s="467"/>
      <c r="E15" s="466">
        <v>24</v>
      </c>
      <c r="F15" s="467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6">
        <v>2</v>
      </c>
      <c r="L15" s="472"/>
      <c r="O15" s="61" t="s">
        <v>91</v>
      </c>
      <c r="P15" s="62" t="s">
        <v>92</v>
      </c>
    </row>
    <row r="16" spans="1:19" ht="38.1" customHeight="1" x14ac:dyDescent="0.25">
      <c r="A16">
        <v>11</v>
      </c>
      <c r="B16" s="15" t="s">
        <v>46</v>
      </c>
      <c r="C16" s="471">
        <v>10</v>
      </c>
      <c r="D16" s="467"/>
      <c r="E16" s="466">
        <v>24</v>
      </c>
      <c r="F16" s="467"/>
      <c r="G16" s="16" t="s">
        <v>83</v>
      </c>
      <c r="H16" s="16">
        <f>(C16+E16)*I16/2</f>
        <v>119</v>
      </c>
      <c r="I16" s="466">
        <v>7</v>
      </c>
      <c r="J16" s="467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" customHeight="1" thickBot="1" x14ac:dyDescent="0.3">
      <c r="A17">
        <v>7</v>
      </c>
      <c r="B17" s="60" t="s">
        <v>47</v>
      </c>
      <c r="C17" s="468">
        <v>10</v>
      </c>
      <c r="D17" s="465"/>
      <c r="E17" s="464">
        <v>24</v>
      </c>
      <c r="F17" s="465"/>
      <c r="G17" s="464">
        <v>119</v>
      </c>
      <c r="H17" s="465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.75" thickBot="1" x14ac:dyDescent="0.3">
      <c r="B18" s="63" t="s">
        <v>37</v>
      </c>
      <c r="C18" s="483" t="str">
        <f>P13</f>
        <v>ω0 [rad/s]</v>
      </c>
      <c r="D18" s="484"/>
      <c r="E18" s="485" t="str">
        <f>P14</f>
        <v>ω [rad/s]</v>
      </c>
      <c r="F18" s="484"/>
      <c r="G18" s="485" t="str">
        <f>P15</f>
        <v>φ [rad]</v>
      </c>
      <c r="H18" s="484"/>
      <c r="I18" s="485" t="str">
        <f>P16</f>
        <v>t [s]</v>
      </c>
      <c r="J18" s="484"/>
      <c r="K18" s="485" t="str">
        <f>P17</f>
        <v>α [rad/s2]</v>
      </c>
      <c r="L18" s="486"/>
    </row>
    <row r="19" spans="1:16" ht="29.1" customHeight="1" thickBot="1" x14ac:dyDescent="0.3">
      <c r="C19" s="487" t="str">
        <f>O13</f>
        <v>Anfangs-Winkelgeschwindigkeit</v>
      </c>
      <c r="D19" s="488"/>
      <c r="E19" s="489" t="str">
        <f>O14</f>
        <v>Winkelgeschwindigkeit</v>
      </c>
      <c r="F19" s="488"/>
      <c r="G19" s="489" t="str">
        <f>O15</f>
        <v>Winkel</v>
      </c>
      <c r="H19" s="488"/>
      <c r="I19" s="489" t="str">
        <f>O16</f>
        <v>Zeit</v>
      </c>
      <c r="J19" s="488"/>
      <c r="K19" s="489" t="str">
        <f>O17</f>
        <v>Winkelbeschleunigung</v>
      </c>
      <c r="L19" s="490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5" x14ac:dyDescent="0.25"/>
  <cols>
    <col min="2" max="2" width="52.5703125" customWidth="1"/>
    <col min="3" max="3" width="13.5703125" customWidth="1"/>
    <col min="4" max="4" width="12.5703125" customWidth="1"/>
    <col min="10" max="10" width="13.140625" customWidth="1"/>
    <col min="11" max="11" width="15.42578125" customWidth="1"/>
  </cols>
  <sheetData>
    <row r="2" spans="2:27" ht="64.5" customHeight="1" x14ac:dyDescent="0.25">
      <c r="C2" s="386" t="s">
        <v>844</v>
      </c>
    </row>
    <row r="10" spans="2:27" x14ac:dyDescent="0.25">
      <c r="B10" s="5"/>
      <c r="C10" s="5"/>
      <c r="D10" s="5"/>
      <c r="E10" s="5"/>
      <c r="F10" s="5"/>
      <c r="G10" s="4">
        <v>0.5</v>
      </c>
      <c r="H10" s="387"/>
      <c r="I10" s="387"/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87"/>
      <c r="W10" s="387"/>
      <c r="X10" s="387"/>
      <c r="Y10" s="387"/>
      <c r="Z10" s="387"/>
      <c r="AA10" s="387"/>
    </row>
    <row r="11" spans="2:27" x14ac:dyDescent="0.2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1.5" x14ac:dyDescent="0.55000000000000004">
      <c r="B12" s="389" t="s">
        <v>853</v>
      </c>
      <c r="C12" s="5"/>
      <c r="D12" s="337" t="s">
        <v>850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.75" x14ac:dyDescent="0.55000000000000004">
      <c r="B13" s="389" t="s">
        <v>854</v>
      </c>
      <c r="C13" s="5"/>
      <c r="D13" s="337" t="s">
        <v>851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25" x14ac:dyDescent="0.35">
      <c r="B14" s="337"/>
      <c r="C14" s="337" t="s">
        <v>635</v>
      </c>
      <c r="D14" s="4">
        <v>36.6</v>
      </c>
      <c r="E14" s="77">
        <f>D14*1000</f>
        <v>36600</v>
      </c>
      <c r="F14" s="77" t="s">
        <v>852</v>
      </c>
      <c r="G14" s="387"/>
      <c r="H14" s="387"/>
      <c r="I14" s="387"/>
      <c r="J14" s="387"/>
      <c r="K14" s="387"/>
      <c r="L14" s="387"/>
      <c r="M14" s="387"/>
      <c r="N14" s="387"/>
      <c r="O14" s="387"/>
      <c r="P14" s="387"/>
      <c r="Q14" s="387"/>
      <c r="R14" s="387"/>
      <c r="S14" s="387"/>
      <c r="T14" s="387"/>
      <c r="U14" s="387"/>
      <c r="V14" s="387"/>
      <c r="W14" s="387"/>
      <c r="X14" s="387"/>
      <c r="Y14" s="387"/>
      <c r="Z14" s="387"/>
      <c r="AA14" s="387"/>
    </row>
    <row r="15" spans="2:27" ht="20.25" x14ac:dyDescent="0.35">
      <c r="B15" s="337"/>
      <c r="C15" s="337" t="s">
        <v>846</v>
      </c>
      <c r="D15" s="4">
        <v>30</v>
      </c>
      <c r="E15" s="77">
        <f>D15/3.6</f>
        <v>8.3333333333333339</v>
      </c>
      <c r="F15" s="77" t="s">
        <v>23</v>
      </c>
      <c r="G15" s="387"/>
      <c r="H15" s="387"/>
      <c r="I15" s="387"/>
      <c r="J15" s="387"/>
      <c r="K15" s="387"/>
      <c r="L15" s="387"/>
      <c r="M15" s="387"/>
      <c r="N15" s="387"/>
      <c r="O15" s="387"/>
      <c r="P15" s="387"/>
      <c r="Q15" s="387"/>
      <c r="R15" s="387"/>
      <c r="S15" s="387"/>
      <c r="T15" s="387"/>
      <c r="U15" s="387"/>
      <c r="V15" s="387"/>
      <c r="W15" s="387"/>
      <c r="X15" s="387"/>
      <c r="Y15" s="387"/>
      <c r="Z15" s="387"/>
      <c r="AA15" s="387"/>
    </row>
    <row r="16" spans="2:27" ht="21.75" x14ac:dyDescent="0.35">
      <c r="B16" s="337"/>
      <c r="C16" s="337" t="s">
        <v>845</v>
      </c>
      <c r="D16" s="4">
        <v>2</v>
      </c>
      <c r="E16" s="77">
        <f>D16</f>
        <v>2</v>
      </c>
      <c r="F16" s="77" t="s">
        <v>20</v>
      </c>
      <c r="G16" s="387"/>
      <c r="H16" s="387"/>
      <c r="I16" s="387"/>
      <c r="J16" s="387"/>
      <c r="K16" s="387"/>
      <c r="L16" s="387"/>
      <c r="M16" s="387"/>
      <c r="N16" s="387"/>
      <c r="O16" s="387"/>
      <c r="P16" s="387"/>
      <c r="Q16" s="387"/>
      <c r="R16" s="387"/>
      <c r="S16" s="387"/>
      <c r="T16" s="387"/>
      <c r="U16" s="387"/>
      <c r="V16" s="387"/>
      <c r="W16" s="387"/>
      <c r="X16" s="387"/>
      <c r="Y16" s="387"/>
      <c r="Z16" s="387"/>
      <c r="AA16" s="387"/>
    </row>
    <row r="17" spans="2:27" ht="18.75" x14ac:dyDescent="0.3">
      <c r="B17" s="390"/>
      <c r="C17" s="390"/>
      <c r="D17" s="387"/>
      <c r="E17" s="387"/>
      <c r="F17" s="387"/>
      <c r="G17" s="387"/>
      <c r="H17" s="387"/>
      <c r="I17" s="387"/>
      <c r="J17" s="387"/>
      <c r="K17" s="387"/>
      <c r="L17" s="387"/>
      <c r="M17" s="387"/>
      <c r="N17" s="387"/>
      <c r="O17" s="387"/>
      <c r="P17" s="387"/>
      <c r="Q17" s="387"/>
      <c r="R17" s="387"/>
      <c r="S17" s="387"/>
      <c r="T17" s="387"/>
      <c r="U17" s="387"/>
      <c r="V17" s="387"/>
      <c r="W17" s="387"/>
      <c r="X17" s="387"/>
      <c r="Y17" s="387"/>
      <c r="Z17" s="387"/>
      <c r="AA17" s="387"/>
    </row>
    <row r="18" spans="2:27" ht="30.75" x14ac:dyDescent="0.55000000000000004">
      <c r="B18" s="388" t="s">
        <v>847</v>
      </c>
      <c r="C18" s="337" t="s">
        <v>636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25" x14ac:dyDescent="0.35">
      <c r="B19" s="338"/>
      <c r="C19" s="337" t="s">
        <v>637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1.75" x14ac:dyDescent="0.35">
      <c r="B20" s="337"/>
      <c r="C20" s="337" t="s">
        <v>848</v>
      </c>
      <c r="D20" s="4"/>
      <c r="E20" s="4"/>
      <c r="F20" s="4"/>
      <c r="G20" s="387"/>
      <c r="H20" s="387"/>
      <c r="I20" s="387"/>
      <c r="J20" s="387"/>
      <c r="K20" s="387"/>
      <c r="L20" s="387"/>
      <c r="M20" s="387"/>
      <c r="N20" s="387"/>
      <c r="O20" s="387"/>
      <c r="P20" s="387"/>
      <c r="Q20" s="387"/>
      <c r="R20" s="387"/>
      <c r="S20" s="387"/>
      <c r="T20" s="387"/>
      <c r="U20" s="387"/>
      <c r="V20" s="387"/>
      <c r="W20" s="387"/>
      <c r="X20" s="387"/>
      <c r="Y20" s="387"/>
      <c r="Z20" s="387"/>
      <c r="AA20" s="387"/>
    </row>
    <row r="21" spans="2:27" ht="20.25" x14ac:dyDescent="0.35">
      <c r="B21" s="337"/>
      <c r="C21" s="337" t="s">
        <v>849</v>
      </c>
      <c r="D21" s="4"/>
      <c r="E21" s="4"/>
      <c r="F21" s="4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87"/>
    </row>
    <row r="23" spans="2:27" ht="18.75" x14ac:dyDescent="0.3">
      <c r="C23" s="339" t="e">
        <f>IF(D18*#REF!&lt;0,"Auf einander zufahren","Einander nachfahren")</f>
        <v>#REF!</v>
      </c>
    </row>
    <row r="44" spans="2:10" ht="21" x14ac:dyDescent="0.35">
      <c r="B44" s="343" t="s">
        <v>644</v>
      </c>
      <c r="C44" s="92"/>
      <c r="D44" s="92"/>
      <c r="E44" s="391"/>
      <c r="F44" s="391"/>
      <c r="H44" t="s">
        <v>645</v>
      </c>
    </row>
    <row r="45" spans="2:10" ht="18" x14ac:dyDescent="0.35">
      <c r="B45" s="8" t="s">
        <v>640</v>
      </c>
      <c r="C45" s="5" t="e">
        <f>(D21-D14)/(#REF!-D18)</f>
        <v>#REF!</v>
      </c>
      <c r="D45" s="5" t="s">
        <v>641</v>
      </c>
      <c r="G45" s="340"/>
      <c r="H45" t="s">
        <v>646</v>
      </c>
      <c r="I45">
        <v>0</v>
      </c>
      <c r="J45" t="e">
        <f>C45</f>
        <v>#REF!</v>
      </c>
    </row>
    <row r="46" spans="2:10" x14ac:dyDescent="0.2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25">
      <c r="B47" s="342"/>
      <c r="C47" s="336"/>
      <c r="D47" s="336"/>
      <c r="E47" s="392"/>
      <c r="F47" s="392"/>
    </row>
    <row r="48" spans="2:10" ht="18" x14ac:dyDescent="0.35">
      <c r="B48" s="8" t="s">
        <v>642</v>
      </c>
      <c r="C48" s="5" t="e">
        <f>#REF!*C45+D14</f>
        <v>#REF!</v>
      </c>
      <c r="D48" s="5" t="s">
        <v>643</v>
      </c>
      <c r="H48" t="s">
        <v>647</v>
      </c>
      <c r="I48" t="e">
        <f>J45</f>
        <v>#REF!</v>
      </c>
      <c r="J48" t="e">
        <f>I48</f>
        <v>#REF!</v>
      </c>
    </row>
    <row r="49" spans="2:10" ht="18" x14ac:dyDescent="0.35">
      <c r="B49" s="8" t="s">
        <v>642</v>
      </c>
      <c r="C49" s="5" t="e">
        <f>D18*C45+D21</f>
        <v>#REF!</v>
      </c>
      <c r="D49" s="5" t="s">
        <v>643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5546875" defaultRowHeight="15" x14ac:dyDescent="0.25"/>
  <cols>
    <col min="3" max="9" width="13.85546875" customWidth="1"/>
    <col min="10" max="12" width="3.28515625" customWidth="1"/>
    <col min="13" max="13" width="31" customWidth="1"/>
    <col min="14" max="14" width="19.85546875" customWidth="1"/>
    <col min="15" max="15" width="9.7109375" customWidth="1"/>
    <col min="16" max="16" width="6.42578125" customWidth="1"/>
    <col min="17" max="18" width="10" customWidth="1"/>
    <col min="19" max="54" width="6.42578125" customWidth="1"/>
  </cols>
  <sheetData>
    <row r="1" spans="3:54" ht="21.75" customHeight="1" x14ac:dyDescent="0.25"/>
    <row r="2" spans="3:54" ht="26.25" x14ac:dyDescent="0.4">
      <c r="C2" s="29" t="s">
        <v>60</v>
      </c>
    </row>
    <row r="4" spans="3:54" x14ac:dyDescent="0.25">
      <c r="U4" s="5"/>
      <c r="V4" s="5" t="s">
        <v>68</v>
      </c>
      <c r="W4" s="5"/>
      <c r="X4" s="5"/>
      <c r="Y4" s="5"/>
      <c r="Z4" s="5"/>
      <c r="AA4" s="5"/>
    </row>
    <row r="5" spans="3:54" x14ac:dyDescent="0.2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2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25">
      <c r="M7" t="s">
        <v>303</v>
      </c>
      <c r="N7" t="s">
        <v>305</v>
      </c>
      <c r="U7" s="453" t="s">
        <v>73</v>
      </c>
      <c r="V7" s="453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5.95" customHeight="1" x14ac:dyDescent="0.25">
      <c r="M8" s="118" t="s">
        <v>303</v>
      </c>
      <c r="N8" t="s">
        <v>304</v>
      </c>
      <c r="U8" s="1"/>
      <c r="V8" s="24"/>
      <c r="AL8" s="5" t="s">
        <v>65</v>
      </c>
    </row>
    <row r="9" spans="3:54" x14ac:dyDescent="0.25">
      <c r="M9" s="118" t="s">
        <v>307</v>
      </c>
      <c r="N9" t="s">
        <v>306</v>
      </c>
    </row>
    <row r="11" spans="3:54" ht="21" x14ac:dyDescent="0.25">
      <c r="C11" s="491"/>
      <c r="D11" s="491"/>
      <c r="E11" s="491"/>
      <c r="F11" s="491"/>
      <c r="G11" s="491"/>
      <c r="H11" s="491"/>
      <c r="I11" s="491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25">
      <c r="C12" s="492" t="s">
        <v>437</v>
      </c>
      <c r="D12" s="492"/>
      <c r="E12" s="492"/>
      <c r="F12" s="492"/>
      <c r="G12" s="492"/>
      <c r="H12" s="492"/>
      <c r="I12" s="492"/>
      <c r="J12" s="32"/>
      <c r="K12" s="32"/>
      <c r="M12" s="42" t="s">
        <v>431</v>
      </c>
      <c r="N12" s="23">
        <v>50</v>
      </c>
      <c r="O12" s="493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60" x14ac:dyDescent="0.25">
      <c r="C13" s="44" t="s">
        <v>66</v>
      </c>
      <c r="D13" s="44" t="s">
        <v>308</v>
      </c>
      <c r="E13" s="44" t="s">
        <v>435</v>
      </c>
      <c r="F13" s="44" t="s">
        <v>430</v>
      </c>
      <c r="G13" s="44" t="s">
        <v>433</v>
      </c>
      <c r="H13" s="44" t="s">
        <v>309</v>
      </c>
      <c r="I13" s="44" t="s">
        <v>310</v>
      </c>
      <c r="J13" s="45"/>
      <c r="K13" s="45"/>
      <c r="M13" s="53" t="s">
        <v>432</v>
      </c>
      <c r="N13" s="47">
        <f>PI()*N12/180</f>
        <v>0.87266462599716477</v>
      </c>
      <c r="O13" s="494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2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436</v>
      </c>
      <c r="N14" s="232">
        <f>$F$19 * N12 / 360</f>
        <v>2.7777777777777779E-3</v>
      </c>
      <c r="O14" s="495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2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2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2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.75" thickBot="1" x14ac:dyDescent="0.3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5.95" customHeight="1" thickBot="1" x14ac:dyDescent="0.3">
      <c r="C19" s="227" t="s">
        <v>434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4499999999999993" customHeight="1" x14ac:dyDescent="0.2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topLeftCell="A12" zoomScale="85" zoomScaleNormal="85" workbookViewId="0">
      <selection activeCell="A56" sqref="A56"/>
    </sheetView>
  </sheetViews>
  <sheetFormatPr baseColWidth="10" defaultColWidth="10.85546875" defaultRowHeight="15" x14ac:dyDescent="0.25"/>
  <cols>
    <col min="2" max="2" width="16.28515625" customWidth="1"/>
    <col min="3" max="6" width="13.85546875" customWidth="1"/>
    <col min="7" max="9" width="3.28515625" customWidth="1"/>
    <col min="10" max="10" width="25.5703125" customWidth="1"/>
    <col min="11" max="11" width="19.85546875" customWidth="1"/>
    <col min="12" max="12" width="9.7109375" customWidth="1"/>
    <col min="13" max="51" width="6.42578125" customWidth="1"/>
  </cols>
  <sheetData>
    <row r="1" spans="2:51" ht="21.75" customHeight="1" x14ac:dyDescent="0.25"/>
    <row r="2" spans="2:51" ht="26.25" x14ac:dyDescent="0.4">
      <c r="C2" s="29" t="s">
        <v>463</v>
      </c>
    </row>
    <row r="4" spans="2:51" x14ac:dyDescent="0.25">
      <c r="R4" s="5"/>
      <c r="S4" s="5" t="s">
        <v>68</v>
      </c>
      <c r="T4" s="5"/>
      <c r="U4" s="5"/>
      <c r="V4" s="5"/>
      <c r="W4" s="5"/>
      <c r="X4" s="5"/>
      <c r="Z4" s="5" t="s">
        <v>470</v>
      </c>
      <c r="AA4" s="5"/>
      <c r="AC4" s="5" t="s">
        <v>471</v>
      </c>
      <c r="AD4" s="5"/>
    </row>
    <row r="5" spans="2:51" x14ac:dyDescent="0.2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25">
      <c r="E6" t="s">
        <v>460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.75" thickBot="1" x14ac:dyDescent="0.3">
      <c r="E7" t="s">
        <v>461</v>
      </c>
      <c r="R7" s="453" t="s">
        <v>73</v>
      </c>
      <c r="S7" s="453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5.95" customHeight="1" thickBot="1" x14ac:dyDescent="0.3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25">
      <c r="C11" s="491"/>
      <c r="D11" s="491"/>
      <c r="E11" s="491"/>
      <c r="F11" s="491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25">
      <c r="C12" s="492" t="s">
        <v>472</v>
      </c>
      <c r="D12" s="492"/>
      <c r="E12" s="492"/>
      <c r="F12" s="492"/>
      <c r="G12" s="32"/>
      <c r="H12" s="32"/>
      <c r="J12" s="42" t="s">
        <v>62</v>
      </c>
      <c r="K12" s="23">
        <v>60</v>
      </c>
      <c r="L12" s="493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5" x14ac:dyDescent="0.2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5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45" customHeight="1" x14ac:dyDescent="0.25">
      <c r="B14" s="44" t="s">
        <v>462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45" customHeight="1" x14ac:dyDescent="0.2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45" customHeight="1" x14ac:dyDescent="0.25">
      <c r="B16" s="44" t="s">
        <v>464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45" customHeight="1" x14ac:dyDescent="0.25">
      <c r="B17" s="44" t="s">
        <v>465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45" customHeight="1" x14ac:dyDescent="0.2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466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4499999999999993" customHeight="1" x14ac:dyDescent="0.2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4499999999999993" customHeight="1" x14ac:dyDescent="0.2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25">
      <c r="J21" s="81" t="s">
        <v>467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8" x14ac:dyDescent="0.25">
      <c r="J22" s="81" t="s">
        <v>469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8" x14ac:dyDescent="0.25">
      <c r="J23" s="81" t="s">
        <v>468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8" x14ac:dyDescent="0.35">
      <c r="C59" t="s">
        <v>444</v>
      </c>
      <c r="E59" t="s">
        <v>447</v>
      </c>
      <c r="G59" t="s">
        <v>454</v>
      </c>
    </row>
    <row r="60" spans="3:10" ht="18" x14ac:dyDescent="0.35">
      <c r="C60" t="s">
        <v>445</v>
      </c>
      <c r="E60" t="s">
        <v>448</v>
      </c>
      <c r="G60" t="s">
        <v>455</v>
      </c>
    </row>
    <row r="61" spans="3:10" x14ac:dyDescent="0.25">
      <c r="C61" s="244" t="s">
        <v>446</v>
      </c>
      <c r="E61" t="s">
        <v>449</v>
      </c>
    </row>
    <row r="63" spans="3:10" x14ac:dyDescent="0.25">
      <c r="C63" t="s">
        <v>451</v>
      </c>
      <c r="E63" t="s">
        <v>450</v>
      </c>
      <c r="J63" t="s">
        <v>453</v>
      </c>
    </row>
    <row r="64" spans="3:10" ht="18.75" x14ac:dyDescent="0.3">
      <c r="C64" t="s">
        <v>452</v>
      </c>
      <c r="E64" t="s">
        <v>459</v>
      </c>
    </row>
    <row r="66" spans="3:5" ht="24" x14ac:dyDescent="0.45">
      <c r="E66" s="245" t="s">
        <v>457</v>
      </c>
    </row>
    <row r="68" spans="3:5" x14ac:dyDescent="0.25">
      <c r="C68" t="s">
        <v>456</v>
      </c>
    </row>
    <row r="74" spans="3:5" x14ac:dyDescent="0.25">
      <c r="C74" t="s">
        <v>458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5" x14ac:dyDescent="0.25"/>
  <cols>
    <col min="1" max="1" width="3.28515625" customWidth="1"/>
    <col min="2" max="2" width="9.85546875" customWidth="1"/>
    <col min="13" max="13" width="15.140625" customWidth="1"/>
    <col min="15" max="15" width="9.85546875" customWidth="1"/>
    <col min="16" max="16" width="4.42578125" customWidth="1"/>
    <col min="17" max="17" width="8.85546875" style="218" customWidth="1"/>
    <col min="18" max="18" width="11.28515625" style="218" customWidth="1"/>
    <col min="19" max="20" width="8.85546875" style="218" customWidth="1"/>
    <col min="21" max="21" width="5.7109375" style="218" customWidth="1"/>
    <col min="22" max="24" width="5.5703125" style="218" customWidth="1"/>
    <col min="25" max="25" width="10.140625" style="218" customWidth="1"/>
    <col min="26" max="26" width="5.5703125" style="218" customWidth="1"/>
  </cols>
  <sheetData>
    <row r="1" spans="2:43" ht="15" customHeight="1" x14ac:dyDescent="0.25"/>
    <row r="2" spans="2:43" ht="23.25" x14ac:dyDescent="0.35">
      <c r="C2" s="9" t="s">
        <v>441</v>
      </c>
      <c r="D2" s="9"/>
      <c r="R2" s="217"/>
      <c r="AD2" s="1"/>
      <c r="AG2" s="1"/>
      <c r="AQ2" t="s">
        <v>64</v>
      </c>
    </row>
    <row r="3" spans="2:43" ht="12" customHeight="1" x14ac:dyDescent="0.35">
      <c r="B3" s="9"/>
      <c r="R3" s="217"/>
      <c r="AA3" s="256" t="s">
        <v>474</v>
      </c>
      <c r="AB3" s="257">
        <f>SQRT(3)/2</f>
        <v>0.8660254037844386</v>
      </c>
      <c r="AD3" s="1"/>
      <c r="AE3" s="258"/>
      <c r="AG3" s="256" t="s">
        <v>478</v>
      </c>
      <c r="AH3" s="257">
        <f>1/SQRT(2)</f>
        <v>0.70710678118654746</v>
      </c>
      <c r="AQ3" t="s">
        <v>65</v>
      </c>
    </row>
    <row r="4" spans="2:43" ht="14.45" customHeight="1" x14ac:dyDescent="0.35">
      <c r="B4" s="9"/>
      <c r="R4" s="217"/>
      <c r="AA4" s="256" t="s">
        <v>473</v>
      </c>
      <c r="AB4" s="257">
        <f>COS(RADIANS(30))</f>
        <v>0.86602540378443871</v>
      </c>
      <c r="AD4" s="256" t="s">
        <v>476</v>
      </c>
      <c r="AE4" s="257">
        <f>COS(RADIANS(60))</f>
        <v>0.50000000000000011</v>
      </c>
      <c r="AG4" s="256" t="s">
        <v>477</v>
      </c>
      <c r="AH4" s="257">
        <f>COS(RADIANS(45))</f>
        <v>0.70710678118654757</v>
      </c>
    </row>
    <row r="5" spans="2:43" ht="14.45" customHeight="1" x14ac:dyDescent="0.25">
      <c r="AA5" s="256" t="s">
        <v>475</v>
      </c>
      <c r="AB5" s="257">
        <f>SIN(RADIANS(60))</f>
        <v>0.8660254037844386</v>
      </c>
      <c r="AD5" s="256" t="s">
        <v>473</v>
      </c>
      <c r="AE5" s="257">
        <f>SIN(RADIANS(30))</f>
        <v>0.49999999999999994</v>
      </c>
      <c r="AG5" s="256" t="s">
        <v>477</v>
      </c>
      <c r="AH5" s="257">
        <f>SIN(RADIANS(45))</f>
        <v>0.70710678118654746</v>
      </c>
    </row>
    <row r="6" spans="2:43" ht="14.45" customHeight="1" x14ac:dyDescent="0.25"/>
    <row r="7" spans="2:43" ht="4.5" customHeight="1" x14ac:dyDescent="0.25"/>
    <row r="8" spans="2:43" ht="4.5" customHeight="1" x14ac:dyDescent="0.25"/>
    <row r="9" spans="2:43" ht="18" x14ac:dyDescent="0.35">
      <c r="B9" s="210" t="s">
        <v>413</v>
      </c>
      <c r="C9" s="5"/>
      <c r="D9" s="5"/>
      <c r="E9" s="5"/>
      <c r="F9" s="5"/>
      <c r="G9" s="5"/>
      <c r="H9" s="5"/>
      <c r="I9" s="5"/>
      <c r="J9" s="5"/>
      <c r="M9" s="456" t="s">
        <v>414</v>
      </c>
      <c r="N9" s="457"/>
      <c r="O9" s="457"/>
      <c r="P9" s="457"/>
      <c r="R9" s="456" t="s">
        <v>230</v>
      </c>
      <c r="S9" s="457"/>
      <c r="T9" s="457"/>
      <c r="U9" s="457"/>
      <c r="V9" s="457"/>
      <c r="W9"/>
      <c r="X9" s="5" t="s">
        <v>480</v>
      </c>
      <c r="Y9" s="5"/>
      <c r="Z9"/>
      <c r="AA9" s="5" t="s">
        <v>479</v>
      </c>
      <c r="AB9" s="5"/>
    </row>
    <row r="10" spans="2:43" ht="18" x14ac:dyDescent="0.35">
      <c r="B10" s="214" t="s">
        <v>196</v>
      </c>
      <c r="C10" s="213" t="s">
        <v>608</v>
      </c>
      <c r="D10" s="213" t="s">
        <v>609</v>
      </c>
      <c r="E10" s="213" t="s">
        <v>91</v>
      </c>
      <c r="F10" s="213" t="s">
        <v>410</v>
      </c>
      <c r="G10" s="213" t="s">
        <v>91</v>
      </c>
      <c r="H10" s="213" t="s">
        <v>410</v>
      </c>
      <c r="I10" s="213" t="s">
        <v>411</v>
      </c>
      <c r="J10" s="213" t="s">
        <v>412</v>
      </c>
      <c r="M10" s="219" t="s">
        <v>418</v>
      </c>
      <c r="N10" s="219" t="s">
        <v>419</v>
      </c>
      <c r="O10" s="219" t="s">
        <v>420</v>
      </c>
      <c r="P10" s="219" t="s">
        <v>421</v>
      </c>
      <c r="Q10" s="217"/>
      <c r="R10" s="223" t="s">
        <v>415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25">
      <c r="B11" s="285" t="s">
        <v>438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25">
      <c r="B12" s="286" t="s">
        <v>439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25">
      <c r="B13" s="287" t="s">
        <v>559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8" x14ac:dyDescent="0.35">
      <c r="B14" s="224" t="s">
        <v>440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481</v>
      </c>
      <c r="Y14" s="259">
        <f>C11-Y10</f>
        <v>487.90367901871775</v>
      </c>
      <c r="Z14"/>
    </row>
    <row r="15" spans="2:43" ht="18" x14ac:dyDescent="0.35">
      <c r="AB15" s="1" t="s">
        <v>482</v>
      </c>
      <c r="AC15" s="259">
        <f>AB11</f>
        <v>281.69132042006549</v>
      </c>
    </row>
    <row r="16" spans="2:43" ht="18" x14ac:dyDescent="0.35">
      <c r="AB16" s="224" t="s">
        <v>483</v>
      </c>
      <c r="AC16" s="259">
        <f>SQRT(Y14^2+AC15^2)</f>
        <v>563.38264084013099</v>
      </c>
      <c r="AD16">
        <f>C11*SQRT(3)</f>
        <v>563.38264084013099</v>
      </c>
    </row>
    <row r="17" spans="17:59" x14ac:dyDescent="0.25">
      <c r="AB17" s="1"/>
      <c r="AC17" s="258"/>
    </row>
    <row r="18" spans="17:59" x14ac:dyDescent="0.25">
      <c r="AB18" s="1"/>
      <c r="AC18" s="258"/>
    </row>
    <row r="20" spans="17:59" x14ac:dyDescent="0.2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2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25">
      <c r="Q22" s="285" t="s">
        <v>442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5.95" customHeight="1" x14ac:dyDescent="0.25">
      <c r="Q23" s="286" t="s">
        <v>560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5.95" customHeight="1" x14ac:dyDescent="0.25">
      <c r="Q24" s="287" t="s">
        <v>559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5.95" hidden="1" customHeight="1" x14ac:dyDescent="0.35">
      <c r="Q25" s="224" t="s">
        <v>443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5.95" customHeight="1" x14ac:dyDescent="0.35">
      <c r="Q26" s="224" t="s">
        <v>440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25">
      <c r="B44" s="2" t="s">
        <v>422</v>
      </c>
      <c r="C44" s="2"/>
      <c r="D44" t="s">
        <v>423</v>
      </c>
      <c r="P44" s="218"/>
      <c r="Z44"/>
    </row>
    <row r="45" spans="2:26" x14ac:dyDescent="0.25">
      <c r="B45" s="3" t="s">
        <v>424</v>
      </c>
      <c r="C45" s="3"/>
      <c r="D45" t="s">
        <v>427</v>
      </c>
      <c r="P45" s="218"/>
      <c r="Z45"/>
    </row>
    <row r="46" spans="2:26" x14ac:dyDescent="0.25">
      <c r="B46" t="s">
        <v>425</v>
      </c>
      <c r="D46" t="s">
        <v>426</v>
      </c>
      <c r="P46" s="218"/>
      <c r="Z46"/>
    </row>
    <row r="49" spans="2:5" ht="15.75" thickBot="1" x14ac:dyDescent="0.3"/>
    <row r="50" spans="2:5" ht="18.75" thickBot="1" x14ac:dyDescent="0.4">
      <c r="B50" s="260" t="s">
        <v>483</v>
      </c>
      <c r="C50" s="227" t="s">
        <v>484</v>
      </c>
      <c r="D50" s="229"/>
      <c r="E50" s="230"/>
    </row>
    <row r="86" spans="2:20" ht="21" x14ac:dyDescent="0.35">
      <c r="B86" s="69" t="s">
        <v>563</v>
      </c>
      <c r="M86" s="8" t="s">
        <v>567</v>
      </c>
      <c r="N86" s="4">
        <v>300</v>
      </c>
      <c r="O86" s="5" t="s">
        <v>568</v>
      </c>
      <c r="P86" s="5"/>
      <c r="Q86" s="288">
        <f>N86*SQRT(2)</f>
        <v>424.26406871192853</v>
      </c>
      <c r="R86" s="107" t="s">
        <v>570</v>
      </c>
    </row>
    <row r="87" spans="2:20" ht="18" x14ac:dyDescent="0.35">
      <c r="M87" s="8" t="s">
        <v>569</v>
      </c>
      <c r="N87" s="288">
        <f>N86*SQRT(3)</f>
        <v>519.6152422706632</v>
      </c>
      <c r="O87" s="5" t="s">
        <v>568</v>
      </c>
      <c r="P87" s="5"/>
      <c r="Q87" s="288">
        <f>N87*SQRT(2)</f>
        <v>734.84692283495349</v>
      </c>
      <c r="R87" s="107" t="s">
        <v>570</v>
      </c>
    </row>
    <row r="88" spans="2:20" x14ac:dyDescent="0.25">
      <c r="M88" s="8" t="s">
        <v>564</v>
      </c>
      <c r="N88" s="4">
        <v>40</v>
      </c>
      <c r="O88" s="289" t="s">
        <v>317</v>
      </c>
      <c r="P88" s="5"/>
      <c r="Q88" s="107"/>
      <c r="R88" s="107"/>
    </row>
    <row r="89" spans="2:20" x14ac:dyDescent="0.25">
      <c r="M89" s="8" t="s">
        <v>565</v>
      </c>
      <c r="N89" s="4">
        <v>80</v>
      </c>
      <c r="O89" s="289" t="s">
        <v>317</v>
      </c>
      <c r="P89" s="5"/>
      <c r="Q89" s="107"/>
      <c r="R89" s="107"/>
    </row>
    <row r="90" spans="2:20" x14ac:dyDescent="0.25">
      <c r="M90" s="8" t="s">
        <v>566</v>
      </c>
      <c r="N90" s="4">
        <v>160</v>
      </c>
      <c r="O90" s="289" t="s">
        <v>317</v>
      </c>
      <c r="P90" s="5"/>
      <c r="Q90" s="107"/>
      <c r="R90" s="107"/>
    </row>
    <row r="94" spans="2:20" x14ac:dyDescent="0.25">
      <c r="J94" s="90" t="s">
        <v>571</v>
      </c>
      <c r="Q94" s="90" t="s">
        <v>581</v>
      </c>
    </row>
    <row r="96" spans="2:20" ht="18.75" x14ac:dyDescent="0.35">
      <c r="J96" s="8" t="s">
        <v>572</v>
      </c>
      <c r="K96" s="5" t="s">
        <v>573</v>
      </c>
      <c r="L96" s="290">
        <f>$N$86^2/$N$88</f>
        <v>2250</v>
      </c>
      <c r="M96" s="5" t="s">
        <v>574</v>
      </c>
      <c r="Q96" s="8"/>
      <c r="R96" s="5"/>
      <c r="S96" s="290"/>
      <c r="T96" s="5"/>
    </row>
    <row r="97" spans="10:14" ht="18.75" x14ac:dyDescent="0.35">
      <c r="J97" s="8" t="s">
        <v>575</v>
      </c>
      <c r="K97" s="5" t="s">
        <v>578</v>
      </c>
      <c r="L97" s="290">
        <f>$N$86^2/$N$89</f>
        <v>1125</v>
      </c>
      <c r="M97" s="5" t="s">
        <v>574</v>
      </c>
    </row>
    <row r="98" spans="10:14" ht="18.75" x14ac:dyDescent="0.35">
      <c r="J98" s="8" t="s">
        <v>576</v>
      </c>
      <c r="K98" s="5" t="s">
        <v>579</v>
      </c>
      <c r="L98" s="290">
        <f>$N$86^2/$N$90</f>
        <v>562.5</v>
      </c>
      <c r="M98" s="5" t="s">
        <v>574</v>
      </c>
    </row>
    <row r="99" spans="10:14" ht="18" x14ac:dyDescent="0.35">
      <c r="J99" s="8" t="s">
        <v>577</v>
      </c>
      <c r="K99" s="5" t="s">
        <v>580</v>
      </c>
      <c r="L99" s="290">
        <f>SUM(L96:L98)</f>
        <v>3937.5</v>
      </c>
      <c r="M99" s="5" t="s">
        <v>574</v>
      </c>
    </row>
    <row r="100" spans="10:14" ht="21.6" customHeight="1" x14ac:dyDescent="0.25"/>
    <row r="101" spans="10:14" ht="18" x14ac:dyDescent="0.35">
      <c r="J101" s="292" t="s">
        <v>598</v>
      </c>
      <c r="K101" s="298" t="s">
        <v>599</v>
      </c>
      <c r="L101" s="290">
        <f>$N$86/N88</f>
        <v>7.5</v>
      </c>
      <c r="M101" s="5" t="s">
        <v>38</v>
      </c>
    </row>
    <row r="102" spans="10:14" ht="18" x14ac:dyDescent="0.35">
      <c r="J102" s="292" t="s">
        <v>600</v>
      </c>
      <c r="K102" s="298" t="s">
        <v>601</v>
      </c>
      <c r="L102" s="290">
        <f>$N$86/N89</f>
        <v>3.75</v>
      </c>
      <c r="M102" s="5" t="s">
        <v>38</v>
      </c>
    </row>
    <row r="103" spans="10:14" ht="18" x14ac:dyDescent="0.35">
      <c r="J103" s="292" t="s">
        <v>602</v>
      </c>
      <c r="K103" s="298" t="s">
        <v>603</v>
      </c>
      <c r="L103" s="290">
        <f>$N$86/N90</f>
        <v>1.875</v>
      </c>
      <c r="M103" s="5" t="s">
        <v>38</v>
      </c>
    </row>
    <row r="106" spans="10:14" x14ac:dyDescent="0.25">
      <c r="J106" s="8" t="s">
        <v>195</v>
      </c>
      <c r="K106" s="95" t="s">
        <v>207</v>
      </c>
      <c r="L106" s="95" t="s">
        <v>206</v>
      </c>
      <c r="M106" s="95" t="s">
        <v>411</v>
      </c>
      <c r="N106" s="95" t="s">
        <v>412</v>
      </c>
    </row>
    <row r="107" spans="10:14" ht="18" x14ac:dyDescent="0.35">
      <c r="J107" s="292" t="s">
        <v>604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8" x14ac:dyDescent="0.35">
      <c r="J108" s="292" t="s">
        <v>605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8.75" thickBot="1" x14ac:dyDescent="0.4">
      <c r="J109" s="303" t="s">
        <v>606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8.75" thickBot="1" x14ac:dyDescent="0.4">
      <c r="J110" s="306" t="s">
        <v>597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25">
      <c r="J111" s="1"/>
      <c r="K111" s="291"/>
      <c r="L111" s="291"/>
      <c r="M111" s="291"/>
      <c r="N111" s="291"/>
    </row>
    <row r="112" spans="10:14" ht="7.5" customHeight="1" x14ac:dyDescent="0.25">
      <c r="J112" s="1"/>
      <c r="K112" s="291"/>
      <c r="L112" s="291"/>
      <c r="M112" s="291"/>
      <c r="N112" s="291"/>
    </row>
    <row r="113" spans="10:15" ht="7.5" customHeight="1" x14ac:dyDescent="0.25">
      <c r="J113" s="1"/>
      <c r="K113" s="291"/>
      <c r="L113" s="291"/>
      <c r="M113" s="291"/>
      <c r="N113" s="291"/>
    </row>
    <row r="114" spans="10:15" x14ac:dyDescent="0.2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8" x14ac:dyDescent="0.35">
      <c r="J115" s="292" t="s">
        <v>604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8" x14ac:dyDescent="0.35">
      <c r="J116" s="292" t="s">
        <v>605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8" x14ac:dyDescent="0.35">
      <c r="J117" s="292" t="s">
        <v>606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8" x14ac:dyDescent="0.35">
      <c r="J118" s="292" t="s">
        <v>597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25">
      <c r="M119" s="8" t="s">
        <v>607</v>
      </c>
      <c r="N119" s="299">
        <f>1.2*MAX(L107:N118,K115:K118)</f>
        <v>9</v>
      </c>
    </row>
    <row r="120" spans="10:15" ht="15.75" thickBot="1" x14ac:dyDescent="0.3">
      <c r="M120" s="1"/>
      <c r="N120" s="291"/>
    </row>
    <row r="121" spans="10:15" ht="15.75" thickBot="1" x14ac:dyDescent="0.3">
      <c r="J121" s="227"/>
      <c r="K121" s="300" t="s">
        <v>582</v>
      </c>
      <c r="L121" s="301" t="s">
        <v>65</v>
      </c>
    </row>
    <row r="123" spans="10:15" x14ac:dyDescent="0.25">
      <c r="M123" t="s">
        <v>595</v>
      </c>
      <c r="N123" s="291">
        <f>-N119</f>
        <v>-9</v>
      </c>
      <c r="O123" s="291">
        <f>N119</f>
        <v>9</v>
      </c>
    </row>
    <row r="124" spans="10:15" x14ac:dyDescent="0.25">
      <c r="N124">
        <v>0</v>
      </c>
      <c r="O124">
        <v>0</v>
      </c>
    </row>
    <row r="125" spans="10:15" x14ac:dyDescent="0.25">
      <c r="M125" t="s">
        <v>596</v>
      </c>
      <c r="N125">
        <v>0</v>
      </c>
      <c r="O125">
        <v>0</v>
      </c>
    </row>
    <row r="126" spans="10:15" x14ac:dyDescent="0.2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75" x14ac:dyDescent="0.25"/>
  <cols>
    <col min="16" max="16" width="50.5703125" style="120" customWidth="1"/>
    <col min="17" max="17" width="4.85546875" style="147" customWidth="1"/>
    <col min="18" max="18" width="34.5703125" style="121" customWidth="1"/>
    <col min="19" max="19" width="3.85546875" style="143" customWidth="1"/>
    <col min="20" max="20" width="12" customWidth="1"/>
    <col min="21" max="21" width="50.5703125" style="1" customWidth="1"/>
    <col min="22" max="22" width="4.85546875" style="37" customWidth="1"/>
    <col min="23" max="23" width="24.5703125" customWidth="1"/>
    <col min="24" max="24" width="3.85546875" customWidth="1"/>
    <col min="26" max="26" width="50.5703125" customWidth="1"/>
    <col min="27" max="27" width="4.85546875" style="55" customWidth="1"/>
    <col min="28" max="28" width="24.5703125" customWidth="1"/>
    <col min="29" max="29" width="3.85546875" customWidth="1"/>
  </cols>
  <sheetData>
    <row r="2" spans="3:29" ht="26.25" x14ac:dyDescent="0.4">
      <c r="C2" s="29" t="s">
        <v>318</v>
      </c>
    </row>
    <row r="5" spans="3:29" ht="24" x14ac:dyDescent="0.4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4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4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4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4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4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4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4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4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4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4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25">
      <c r="G16" s="119"/>
    </row>
    <row r="17" spans="16:24" ht="35.450000000000003" customHeight="1" x14ac:dyDescent="0.55000000000000004">
      <c r="U17" s="127" t="s">
        <v>385</v>
      </c>
      <c r="V17" s="198" t="s">
        <v>328</v>
      </c>
      <c r="W17" s="149" t="s">
        <v>391</v>
      </c>
      <c r="X17" s="5"/>
    </row>
    <row r="18" spans="16:24" ht="35.450000000000003" customHeight="1" x14ac:dyDescent="0.55000000000000004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</row>
    <row r="19" spans="16:24" ht="35.450000000000003" customHeight="1" x14ac:dyDescent="0.2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450000000000003" customHeight="1" x14ac:dyDescent="0.55000000000000004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</row>
    <row r="21" spans="16:24" ht="35.450000000000003" customHeight="1" x14ac:dyDescent="0.55000000000000004"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</row>
    <row r="22" spans="16:24" ht="35.450000000000003" customHeight="1" x14ac:dyDescent="0.2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450000000000003" customHeight="1" x14ac:dyDescent="0.55000000000000004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</row>
    <row r="24" spans="16:24" ht="35.450000000000003" customHeight="1" x14ac:dyDescent="0.55000000000000004"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</row>
    <row r="25" spans="16:24" ht="35.450000000000003" customHeight="1" x14ac:dyDescent="0.2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450000000000003" customHeight="1" x14ac:dyDescent="0.55000000000000004">
      <c r="U26" s="127" t="s">
        <v>388</v>
      </c>
      <c r="V26" s="198" t="s">
        <v>328</v>
      </c>
      <c r="W26" s="149" t="s">
        <v>394</v>
      </c>
      <c r="X26" s="5"/>
    </row>
    <row r="27" spans="16:24" ht="35.450000000000003" customHeight="1" x14ac:dyDescent="0.55000000000000004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</row>
    <row r="28" spans="16:24" ht="35.450000000000003" customHeight="1" x14ac:dyDescent="0.25"/>
    <row r="29" spans="16:24" ht="35.450000000000003" customHeight="1" x14ac:dyDescent="0.2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450000000000003" customHeight="1" x14ac:dyDescent="0.55000000000000004">
      <c r="U30" s="160" t="s">
        <v>389</v>
      </c>
      <c r="V30" s="198" t="s">
        <v>328</v>
      </c>
      <c r="W30" s="162" t="s">
        <v>395</v>
      </c>
      <c r="X30" s="193"/>
    </row>
    <row r="31" spans="16:24" ht="35.450000000000003" customHeight="1" x14ac:dyDescent="0.55000000000000004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</row>
    <row r="32" spans="16:24" ht="35.450000000000003" customHeight="1" x14ac:dyDescent="0.25"/>
    <row r="33" spans="3:24" ht="35.450000000000003" customHeight="1" x14ac:dyDescent="0.55000000000000004">
      <c r="U33" s="160" t="s">
        <v>390</v>
      </c>
      <c r="V33" s="198" t="s">
        <v>328</v>
      </c>
      <c r="W33" s="162" t="s">
        <v>396</v>
      </c>
      <c r="X33" s="193"/>
    </row>
    <row r="34" spans="3:24" ht="35.450000000000003" customHeight="1" x14ac:dyDescent="0.55000000000000004"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</row>
    <row r="35" spans="3:24" ht="35.450000000000003" customHeight="1" x14ac:dyDescent="0.25"/>
    <row r="36" spans="3:24" ht="35.450000000000003" customHeight="1" x14ac:dyDescent="0.25"/>
    <row r="37" spans="3:24" ht="35.450000000000003" customHeight="1" x14ac:dyDescent="0.25"/>
    <row r="38" spans="3:24" ht="35.450000000000003" customHeight="1" x14ac:dyDescent="0.25"/>
    <row r="39" spans="3:24" ht="35.450000000000003" customHeight="1" x14ac:dyDescent="0.25"/>
    <row r="40" spans="3:24" ht="35.450000000000003" customHeight="1" x14ac:dyDescent="0.25"/>
    <row r="41" spans="3:24" ht="12.95" customHeight="1" x14ac:dyDescent="0.25"/>
    <row r="42" spans="3:24" ht="12.95" customHeight="1" x14ac:dyDescent="0.25"/>
    <row r="45" spans="3:24" ht="26.25" x14ac:dyDescent="0.4">
      <c r="C45" s="29" t="s">
        <v>319</v>
      </c>
    </row>
    <row r="46" spans="3:24" x14ac:dyDescent="0.25">
      <c r="R46" s="120"/>
    </row>
    <row r="47" spans="3:24" x14ac:dyDescent="0.25">
      <c r="R47" s="120"/>
    </row>
    <row r="48" spans="3:24" ht="21" x14ac:dyDescent="0.3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3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3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3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3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3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25">
      <c r="R54" s="120"/>
    </row>
    <row r="55" spans="16:24" x14ac:dyDescent="0.25">
      <c r="R55" s="120"/>
    </row>
    <row r="58" spans="16:24" ht="31.5" x14ac:dyDescent="0.55000000000000004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</row>
    <row r="59" spans="16:24" ht="31.5" x14ac:dyDescent="0.55000000000000004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</row>
    <row r="61" spans="16:24" ht="31.5" x14ac:dyDescent="0.55000000000000004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</row>
    <row r="62" spans="16:24" ht="31.5" x14ac:dyDescent="0.55000000000000004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</row>
    <row r="64" spans="16:24" ht="30.75" x14ac:dyDescent="0.55000000000000004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</row>
    <row r="65" spans="16:24" ht="30.75" x14ac:dyDescent="0.55000000000000004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</row>
    <row r="67" spans="16:24" ht="30.75" x14ac:dyDescent="0.55000000000000004">
      <c r="U67" s="127" t="s">
        <v>377</v>
      </c>
      <c r="V67" s="198" t="s">
        <v>328</v>
      </c>
      <c r="W67" s="149" t="s">
        <v>384</v>
      </c>
      <c r="X67" s="5"/>
    </row>
    <row r="68" spans="16:24" ht="30.75" x14ac:dyDescent="0.55000000000000004"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</row>
    <row r="70" spans="16:24" ht="16.5" thickBot="1" x14ac:dyDescent="0.3"/>
    <row r="71" spans="16:24" ht="32.25" thickBot="1" x14ac:dyDescent="0.6">
      <c r="U71" s="134" t="s">
        <v>400</v>
      </c>
      <c r="V71" s="202">
        <f>IF(W59+W62=W88,1,-1)</f>
        <v>1</v>
      </c>
    </row>
    <row r="72" spans="16:24" ht="16.5" thickBot="1" x14ac:dyDescent="0.3"/>
    <row r="73" spans="16:24" ht="31.5" thickBot="1" x14ac:dyDescent="0.6">
      <c r="U73" s="130" t="s">
        <v>401</v>
      </c>
      <c r="V73" s="203">
        <f>IF(W65+W68=W180,1,-1)</f>
        <v>1</v>
      </c>
    </row>
    <row r="79" spans="16:24" ht="3.6" customHeight="1" x14ac:dyDescent="0.25"/>
    <row r="80" spans="16:24" ht="3.6" customHeight="1" x14ac:dyDescent="0.25"/>
    <row r="81" spans="3:24" ht="3.6" customHeight="1" x14ac:dyDescent="0.25"/>
    <row r="82" spans="3:24" ht="3.6" customHeight="1" x14ac:dyDescent="0.25"/>
    <row r="83" spans="3:24" ht="3.6" customHeight="1" x14ac:dyDescent="0.25"/>
    <row r="88" spans="3:24" ht="26.25" x14ac:dyDescent="0.4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2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2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2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.75" x14ac:dyDescent="0.55000000000000004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</row>
    <row r="98" spans="16:24" ht="30.75" x14ac:dyDescent="0.55000000000000004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</row>
    <row r="100" spans="16:24" ht="30.75" x14ac:dyDescent="0.55000000000000004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</row>
    <row r="101" spans="16:24" ht="30.75" x14ac:dyDescent="0.55000000000000004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</row>
    <row r="103" spans="16:24" ht="16.5" thickBot="1" x14ac:dyDescent="0.3"/>
    <row r="104" spans="16:24" ht="31.5" thickBot="1" x14ac:dyDescent="0.6">
      <c r="U104" s="130" t="s">
        <v>399</v>
      </c>
      <c r="V104" s="203">
        <f>IF(W98+W101=W137,1,-1)</f>
        <v>1</v>
      </c>
    </row>
    <row r="114" ht="3.6" customHeight="1" x14ac:dyDescent="0.25"/>
    <row r="115" ht="3.6" customHeight="1" x14ac:dyDescent="0.25"/>
    <row r="116" ht="3.6" customHeight="1" x14ac:dyDescent="0.25"/>
    <row r="117" ht="3.6" customHeight="1" x14ac:dyDescent="0.25"/>
    <row r="118" ht="3.6" customHeight="1" x14ac:dyDescent="0.25"/>
    <row r="119" ht="3.6" customHeight="1" x14ac:dyDescent="0.25"/>
    <row r="120" ht="3.6" customHeight="1" x14ac:dyDescent="0.25"/>
    <row r="121" ht="3.6" customHeight="1" x14ac:dyDescent="0.25"/>
    <row r="122" ht="3.6" customHeight="1" x14ac:dyDescent="0.25"/>
    <row r="123" ht="3.6" customHeight="1" x14ac:dyDescent="0.25"/>
    <row r="124" ht="3.6" customHeight="1" x14ac:dyDescent="0.25"/>
    <row r="125" ht="3.6" customHeight="1" x14ac:dyDescent="0.25"/>
    <row r="126" ht="3.6" customHeight="1" x14ac:dyDescent="0.25"/>
    <row r="127" ht="3.6" customHeight="1" x14ac:dyDescent="0.25"/>
    <row r="130" spans="3:24" ht="26.25" x14ac:dyDescent="0.4">
      <c r="C130" s="29" t="s">
        <v>323</v>
      </c>
    </row>
    <row r="134" spans="3:24" ht="28.5" x14ac:dyDescent="0.45">
      <c r="T134" s="132"/>
    </row>
    <row r="135" spans="3:24" ht="28.5" x14ac:dyDescent="0.4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4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4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1.5" x14ac:dyDescent="0.55000000000000004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</row>
    <row r="141" spans="3:24" ht="31.5" x14ac:dyDescent="0.55000000000000004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</row>
    <row r="143" spans="3:24" ht="31.5" x14ac:dyDescent="0.55000000000000004">
      <c r="U143" s="160" t="s">
        <v>371</v>
      </c>
      <c r="V143" s="198" t="s">
        <v>328</v>
      </c>
      <c r="W143" s="162" t="s">
        <v>366</v>
      </c>
      <c r="X143" s="193"/>
    </row>
    <row r="144" spans="3:24" ht="31.5" x14ac:dyDescent="0.55000000000000004"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</row>
    <row r="145" spans="21:24" ht="29.25" thickBot="1" x14ac:dyDescent="0.5">
      <c r="W145" s="153"/>
      <c r="X145" s="132"/>
    </row>
    <row r="146" spans="21:24" ht="32.25" thickBot="1" x14ac:dyDescent="0.6">
      <c r="U146" s="134" t="s">
        <v>372</v>
      </c>
      <c r="V146" s="202">
        <f>IF(W144+W141=W172,1,-1)</f>
        <v>1</v>
      </c>
    </row>
    <row r="155" spans="21:24" ht="5.0999999999999996" customHeight="1" x14ac:dyDescent="0.25"/>
    <row r="156" spans="21:24" ht="5.0999999999999996" customHeight="1" x14ac:dyDescent="0.25"/>
    <row r="157" spans="21:24" ht="5.0999999999999996" customHeight="1" x14ac:dyDescent="0.25"/>
    <row r="158" spans="21:24" ht="5.0999999999999996" customHeight="1" x14ac:dyDescent="0.25"/>
    <row r="159" spans="21:24" ht="5.0999999999999996" customHeight="1" x14ac:dyDescent="0.25"/>
    <row r="160" spans="21:24" ht="5.0999999999999996" customHeight="1" x14ac:dyDescent="0.25"/>
    <row r="161" spans="3:24" ht="5.0999999999999996" customHeight="1" x14ac:dyDescent="0.25"/>
    <row r="162" spans="3:24" ht="5.0999999999999996" customHeight="1" x14ac:dyDescent="0.25"/>
    <row r="163" spans="3:24" ht="5.0999999999999996" customHeight="1" x14ac:dyDescent="0.25"/>
    <row r="164" spans="3:24" ht="5.0999999999999996" customHeight="1" x14ac:dyDescent="0.25"/>
    <row r="165" spans="3:24" ht="5.0999999999999996" customHeight="1" x14ac:dyDescent="0.25"/>
    <row r="166" spans="3:24" ht="5.0999999999999996" customHeight="1" x14ac:dyDescent="0.25"/>
    <row r="167" spans="3:24" ht="5.0999999999999996" customHeight="1" x14ac:dyDescent="0.25"/>
    <row r="170" spans="3:24" ht="26.25" x14ac:dyDescent="0.4">
      <c r="C170" s="29" t="s">
        <v>322</v>
      </c>
    </row>
    <row r="171" spans="3:24" x14ac:dyDescent="0.25">
      <c r="E171" s="168">
        <f>$W$273</f>
        <v>7.8930481283422456</v>
      </c>
    </row>
    <row r="172" spans="3:24" ht="18.600000000000001" customHeight="1" x14ac:dyDescent="0.4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.25" x14ac:dyDescent="0.4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2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2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2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25">
      <c r="F177" s="163"/>
    </row>
    <row r="178" spans="4:24" x14ac:dyDescent="0.25">
      <c r="F178" s="163">
        <f>$W$226</f>
        <v>4.1069518716577544</v>
      </c>
      <c r="I178" s="163">
        <f>$W$226</f>
        <v>4.1069518716577544</v>
      </c>
    </row>
    <row r="179" spans="4:24" ht="30.75" x14ac:dyDescent="0.55000000000000004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</row>
    <row r="180" spans="4:24" ht="30.75" x14ac:dyDescent="0.55000000000000004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</row>
    <row r="182" spans="4:24" ht="30.75" x14ac:dyDescent="0.55000000000000004">
      <c r="U182" s="127" t="s">
        <v>363</v>
      </c>
      <c r="V182" s="198" t="s">
        <v>328</v>
      </c>
      <c r="W182" s="149" t="s">
        <v>362</v>
      </c>
      <c r="X182" s="194"/>
    </row>
    <row r="183" spans="4:24" ht="30.75" x14ac:dyDescent="0.55000000000000004"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</row>
    <row r="185" spans="4:24" ht="16.5" thickBot="1" x14ac:dyDescent="0.3"/>
    <row r="186" spans="4:24" ht="31.5" thickBot="1" x14ac:dyDescent="0.6">
      <c r="U186" s="130" t="s">
        <v>325</v>
      </c>
      <c r="V186" s="203">
        <f>IF(W180+W183=W273,1,-1)</f>
        <v>1</v>
      </c>
      <c r="W186" s="174"/>
      <c r="X186" s="190"/>
    </row>
    <row r="187" spans="4:24" ht="26.25" x14ac:dyDescent="0.4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.25" x14ac:dyDescent="0.4">
      <c r="W188" s="154"/>
      <c r="X188" s="128"/>
    </row>
    <row r="194" ht="8.1" customHeight="1" x14ac:dyDescent="0.25"/>
    <row r="195" ht="8.1" customHeight="1" x14ac:dyDescent="0.25"/>
    <row r="196" ht="8.1" customHeight="1" x14ac:dyDescent="0.25"/>
    <row r="197" ht="8.1" customHeight="1" x14ac:dyDescent="0.25"/>
    <row r="198" ht="8.1" customHeight="1" x14ac:dyDescent="0.25"/>
    <row r="199" ht="8.1" customHeight="1" x14ac:dyDescent="0.25"/>
    <row r="200" ht="8.1" customHeight="1" x14ac:dyDescent="0.25"/>
    <row r="201" ht="8.1" customHeight="1" x14ac:dyDescent="0.25"/>
    <row r="202" ht="8.1" customHeight="1" x14ac:dyDescent="0.25"/>
    <row r="203" ht="8.1" customHeight="1" x14ac:dyDescent="0.25"/>
    <row r="204" ht="8.1" customHeight="1" x14ac:dyDescent="0.25"/>
    <row r="205" ht="8.1" customHeight="1" x14ac:dyDescent="0.25"/>
    <row r="206" ht="8.1" customHeight="1" x14ac:dyDescent="0.25"/>
    <row r="207" ht="8.1" customHeight="1" x14ac:dyDescent="0.25"/>
    <row r="213" spans="3:24" ht="26.25" x14ac:dyDescent="0.4">
      <c r="C213" s="29" t="s">
        <v>321</v>
      </c>
    </row>
    <row r="217" spans="3:24" x14ac:dyDescent="0.2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2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2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25">
      <c r="D221" s="169">
        <f>$W$229</f>
        <v>7.8930481283422456</v>
      </c>
    </row>
    <row r="225" spans="9:24" ht="30.75" x14ac:dyDescent="0.55000000000000004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</row>
    <row r="226" spans="9:24" ht="30.75" x14ac:dyDescent="0.55000000000000004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</row>
    <row r="227" spans="9:24" ht="26.25" x14ac:dyDescent="0.4">
      <c r="P227" s="129"/>
      <c r="Q227" s="174"/>
      <c r="R227" s="128"/>
      <c r="S227" s="146"/>
      <c r="T227" s="128"/>
    </row>
    <row r="228" spans="9:24" ht="30.75" x14ac:dyDescent="0.55000000000000004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</row>
    <row r="229" spans="9:24" ht="30.75" x14ac:dyDescent="0.55000000000000004"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</row>
    <row r="230" spans="9:24" ht="26.25" x14ac:dyDescent="0.4">
      <c r="W230" s="154"/>
      <c r="X230" s="128"/>
    </row>
    <row r="231" spans="9:24" ht="16.5" thickBot="1" x14ac:dyDescent="0.3"/>
    <row r="232" spans="9:24" ht="31.5" thickBot="1" x14ac:dyDescent="0.6">
      <c r="U232" s="130" t="s">
        <v>369</v>
      </c>
      <c r="V232" s="203">
        <f>IF(W226+W229=W267,1,-1)</f>
        <v>1</v>
      </c>
    </row>
    <row r="239" spans="9:24" ht="3.95" customHeight="1" x14ac:dyDescent="0.25"/>
    <row r="240" spans="9:24" ht="3.95" customHeight="1" x14ac:dyDescent="0.25"/>
    <row r="241" ht="3.95" customHeight="1" x14ac:dyDescent="0.25"/>
    <row r="242" ht="3.95" customHeight="1" x14ac:dyDescent="0.25"/>
    <row r="243" ht="3.95" customHeight="1" x14ac:dyDescent="0.25"/>
    <row r="244" ht="3.95" customHeight="1" x14ac:dyDescent="0.25"/>
    <row r="245" ht="3.95" customHeight="1" x14ac:dyDescent="0.25"/>
    <row r="246" ht="3.95" customHeight="1" x14ac:dyDescent="0.25"/>
    <row r="247" ht="3.95" customHeight="1" x14ac:dyDescent="0.25"/>
    <row r="248" ht="3.95" customHeight="1" x14ac:dyDescent="0.25"/>
    <row r="249" ht="3.95" customHeight="1" x14ac:dyDescent="0.25"/>
    <row r="250" ht="3.95" customHeight="1" x14ac:dyDescent="0.25"/>
    <row r="251" ht="3.95" customHeight="1" x14ac:dyDescent="0.25"/>
    <row r="252" ht="3.95" customHeight="1" x14ac:dyDescent="0.25"/>
    <row r="253" ht="3.95" customHeight="1" x14ac:dyDescent="0.25"/>
    <row r="254" ht="3.95" customHeight="1" x14ac:dyDescent="0.25"/>
    <row r="255" ht="3.95" customHeight="1" x14ac:dyDescent="0.25"/>
    <row r="257" spans="3:24" ht="26.25" x14ac:dyDescent="0.4">
      <c r="C257" s="29" t="s">
        <v>320</v>
      </c>
    </row>
    <row r="258" spans="3:24" ht="6.6" customHeight="1" x14ac:dyDescent="0.25"/>
    <row r="259" spans="3:24" ht="6.6" customHeight="1" x14ac:dyDescent="0.25"/>
    <row r="260" spans="3:24" ht="6.6" customHeight="1" x14ac:dyDescent="0.25"/>
    <row r="261" spans="3:24" ht="6.6" customHeight="1" x14ac:dyDescent="0.25"/>
    <row r="262" spans="3:24" ht="6.6" customHeight="1" x14ac:dyDescent="0.25"/>
    <row r="263" spans="3:24" ht="6.95" customHeight="1" x14ac:dyDescent="0.25"/>
    <row r="264" spans="3:24" ht="6.95" customHeight="1" x14ac:dyDescent="0.25"/>
    <row r="265" spans="3:24" ht="6.95" customHeight="1" x14ac:dyDescent="0.25"/>
    <row r="267" spans="3:24" x14ac:dyDescent="0.2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2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.75" x14ac:dyDescent="0.55000000000000004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</row>
    <row r="273" spans="9:24" ht="30.75" x14ac:dyDescent="0.55000000000000004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5" x14ac:dyDescent="0.25"/>
  <sheetData>
    <row r="2" spans="3:3" ht="23.25" x14ac:dyDescent="0.35">
      <c r="C2" s="9" t="s">
        <v>485</v>
      </c>
    </row>
  </sheetData>
  <pageMargins left="0.7" right="0.7" top="0.78740157499999996" bottom="0.78740157499999996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5" x14ac:dyDescent="0.25"/>
  <sheetData>
    <row r="2" spans="3:3" ht="23.25" x14ac:dyDescent="0.35">
      <c r="C2" s="9" t="s">
        <v>486</v>
      </c>
    </row>
    <row r="21" spans="3:13" ht="15.75" thickBot="1" x14ac:dyDescent="0.3"/>
    <row r="22" spans="3:13" ht="18" x14ac:dyDescent="0.35">
      <c r="C22" s="261" t="s">
        <v>495</v>
      </c>
      <c r="D22" s="262" t="s">
        <v>411</v>
      </c>
      <c r="E22" s="262" t="s">
        <v>412</v>
      </c>
      <c r="F22" s="262" t="s">
        <v>487</v>
      </c>
      <c r="G22" s="262" t="s">
        <v>488</v>
      </c>
      <c r="H22" s="263" t="s">
        <v>489</v>
      </c>
      <c r="L22" t="s">
        <v>506</v>
      </c>
      <c r="M22" t="s">
        <v>507</v>
      </c>
    </row>
    <row r="23" spans="3:13" x14ac:dyDescent="0.25">
      <c r="C23" s="264" t="s">
        <v>491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25">
      <c r="C24" s="264" t="s">
        <v>492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25">
      <c r="C25" s="264" t="s">
        <v>493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25">
      <c r="C26" s="264" t="s">
        <v>494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25">
      <c r="C27" s="264" t="s">
        <v>496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25">
      <c r="C28" s="264" t="s">
        <v>497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25">
      <c r="C29" s="264" t="s">
        <v>498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25">
      <c r="C30" s="264" t="s">
        <v>499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25">
      <c r="C31" s="264" t="s">
        <v>500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25">
      <c r="C32" s="264" t="s">
        <v>501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25">
      <c r="C33" s="264" t="s">
        <v>502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25">
      <c r="C34" s="264" t="s">
        <v>503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25">
      <c r="C35" s="264" t="s">
        <v>504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25">
      <c r="C36" s="264" t="s">
        <v>505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.5" thickBot="1" x14ac:dyDescent="0.35">
      <c r="C37" s="265" t="s">
        <v>490</v>
      </c>
      <c r="D37" s="266"/>
      <c r="E37" s="266"/>
      <c r="F37" s="266"/>
      <c r="G37" s="266"/>
      <c r="H37" s="267">
        <f>ABS(SUM(H23:H36))/2</f>
        <v>7.5</v>
      </c>
    </row>
    <row r="38" spans="3:12" x14ac:dyDescent="0.25">
      <c r="C38" s="1"/>
    </row>
    <row r="39" spans="3:12" x14ac:dyDescent="0.25">
      <c r="C39" s="1"/>
    </row>
    <row r="40" spans="3:12" x14ac:dyDescent="0.25">
      <c r="C40" s="1"/>
    </row>
    <row r="41" spans="3:12" x14ac:dyDescent="0.25">
      <c r="C41" s="1"/>
    </row>
    <row r="42" spans="3:12" x14ac:dyDescent="0.25">
      <c r="C42" s="1"/>
      <c r="D42" s="270" t="s">
        <v>508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25">
      <c r="D43" s="270" t="s">
        <v>509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25">
      <c r="D44" s="270" t="s">
        <v>510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25">
      <c r="D45" s="270" t="s">
        <v>511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25">
      <c r="D46" s="270" t="s">
        <v>512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25">
      <c r="D47" s="270" t="s">
        <v>513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25">
      <c r="D48" s="270" t="s">
        <v>514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25">
      <c r="D49" s="270" t="s">
        <v>515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25">
      <c r="D50" s="270" t="s">
        <v>516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25">
      <c r="D51" s="270" t="s">
        <v>517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25">
      <c r="D52" s="270" t="s">
        <v>509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25">
      <c r="D53" s="270" t="s">
        <v>518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25">
      <c r="D54" s="270" t="s">
        <v>519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25">
      <c r="D55" s="270" t="s">
        <v>520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2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25">
      <c r="D57" s="270" t="s">
        <v>521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25">
      <c r="D58" s="270" t="s">
        <v>522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2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25">
      <c r="D60" s="270" t="s">
        <v>523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25">
      <c r="D61" s="270" t="s">
        <v>524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25">
      <c r="D62" s="270" t="s">
        <v>525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2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25">
      <c r="D64" s="270" t="s">
        <v>526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25">
      <c r="D65" s="270" t="s">
        <v>527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25">
      <c r="D66" s="270" t="s">
        <v>528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25">
      <c r="D67" s="270" t="s">
        <v>529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25">
      <c r="D68" s="270" t="s">
        <v>530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25">
      <c r="D69" s="270" t="s">
        <v>531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25">
      <c r="D70" s="270" t="s">
        <v>532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2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25">
      <c r="D72" s="270" t="s">
        <v>533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25">
      <c r="D73" s="270" t="s">
        <v>534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25">
      <c r="D74" s="270" t="s">
        <v>535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25">
      <c r="D75" s="270" t="s">
        <v>511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25">
      <c r="D76" s="270" t="s">
        <v>536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25">
      <c r="D77" s="270" t="s">
        <v>537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2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25">
      <c r="D79" s="270" t="s">
        <v>538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2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25">
      <c r="D82" s="270" t="s">
        <v>539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25">
      <c r="D83" s="270" t="s">
        <v>540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2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25">
      <c r="D85" s="270" t="s">
        <v>541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25">
      <c r="D86" s="270" t="s">
        <v>542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25">
      <c r="D88" s="270" t="s">
        <v>543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25">
      <c r="D89" s="270" t="s">
        <v>544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TOC</vt:lpstr>
      <vt:lpstr>Gemischte Schaltungen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 an Wechselspannung</vt:lpstr>
      <vt:lpstr>Kondensator an Gleichspannung</vt:lpstr>
      <vt:lpstr>Quelle mit Innenwiderstand</vt:lpstr>
      <vt:lpstr>Schiefeebene</vt:lpstr>
      <vt:lpstr>Leistung bei Wechselstrom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2026-09-28T13:16:44Z</dcterms:modified>
</cp:coreProperties>
</file>