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E34A026F-4A64-4AF0-8211-3A94B44CA9E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OC" sheetId="13" r:id="rId1"/>
    <sheet name="Flächenberechnungen" sheetId="14" r:id="rId2"/>
    <sheet name="Kinematik_1" sheetId="4" r:id="rId3"/>
    <sheet name="Kinematik_2" sheetId="9" r:id="rId4"/>
    <sheet name="Kinematik_2_Berechnungen" sheetId="11" r:id="rId5"/>
    <sheet name="Fourierreihe" sheetId="12" r:id="rId6"/>
    <sheet name="Scheinleistung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5" l="1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M15" i="15"/>
  <c r="N12" i="15"/>
  <c r="N13" i="15" s="1"/>
  <c r="J15" i="15"/>
  <c r="J14" i="15"/>
  <c r="F15" i="15"/>
  <c r="F14" i="15"/>
  <c r="R14" i="15" s="1"/>
  <c r="M13" i="15"/>
  <c r="K13" i="15"/>
  <c r="W5" i="15"/>
  <c r="X5" i="15" s="1"/>
  <c r="G11" i="14"/>
  <c r="H11" i="14" s="1"/>
  <c r="F24" i="14"/>
  <c r="F22" i="14"/>
  <c r="C22" i="14" s="1"/>
  <c r="E22" i="14"/>
  <c r="E24" i="14"/>
  <c r="C24" i="14" s="1"/>
  <c r="H21" i="14"/>
  <c r="B25" i="14"/>
  <c r="E25" i="14" s="1"/>
  <c r="C25" i="14" s="1"/>
  <c r="B23" i="14"/>
  <c r="F23" i="14" s="1"/>
  <c r="C23" i="14" s="1"/>
  <c r="D24" i="14"/>
  <c r="D22" i="14"/>
  <c r="D21" i="14"/>
  <c r="B21" i="14" s="1"/>
  <c r="E21" i="14" s="1"/>
  <c r="G21" i="14" s="1"/>
  <c r="G20" i="14"/>
  <c r="B20" i="14"/>
  <c r="D20" i="14" s="1"/>
  <c r="B19" i="14"/>
  <c r="F19" i="14" s="1"/>
  <c r="H19" i="14" s="1"/>
  <c r="E18" i="14"/>
  <c r="G18" i="14" s="1"/>
  <c r="F18" i="14"/>
  <c r="H18" i="14" s="1"/>
  <c r="D18" i="14"/>
  <c r="H12" i="14"/>
  <c r="G12" i="14" s="1"/>
  <c r="H10" i="14"/>
  <c r="J10" i="14" s="1"/>
  <c r="H9" i="14"/>
  <c r="I9" i="14" s="1"/>
  <c r="H8" i="14"/>
  <c r="J8" i="14" s="1"/>
  <c r="K7" i="14"/>
  <c r="J7" i="14"/>
  <c r="D8" i="14"/>
  <c r="I7" i="14"/>
  <c r="E7" i="14"/>
  <c r="D7" i="14"/>
  <c r="B10" i="14"/>
  <c r="D10" i="14" s="1"/>
  <c r="B9" i="14"/>
  <c r="E9" i="14" s="1"/>
  <c r="B8" i="14"/>
  <c r="E8" i="14" s="1"/>
  <c r="C7" i="14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N20" i="12"/>
  <c r="O20" i="12"/>
  <c r="M20" i="12"/>
  <c r="Q12" i="11"/>
  <c r="Q11" i="11"/>
  <c r="Q10" i="11"/>
  <c r="Q9" i="11"/>
  <c r="Q8" i="11"/>
  <c r="K19" i="11"/>
  <c r="I19" i="11"/>
  <c r="G19" i="11"/>
  <c r="E19" i="11"/>
  <c r="C19" i="11"/>
  <c r="K18" i="11"/>
  <c r="I18" i="11"/>
  <c r="G18" i="11"/>
  <c r="E18" i="11"/>
  <c r="C18" i="11"/>
  <c r="K6" i="11"/>
  <c r="I6" i="11"/>
  <c r="G7" i="11"/>
  <c r="G6" i="11"/>
  <c r="E6" i="11"/>
  <c r="K7" i="11"/>
  <c r="I7" i="11"/>
  <c r="E7" i="11"/>
  <c r="C7" i="11"/>
  <c r="C6" i="11"/>
  <c r="L17" i="11"/>
  <c r="J17" i="11"/>
  <c r="H16" i="11"/>
  <c r="H15" i="11"/>
  <c r="F8" i="11"/>
  <c r="F14" i="11"/>
  <c r="F13" i="11"/>
  <c r="D11" i="11"/>
  <c r="L11" i="11"/>
  <c r="J10" i="11"/>
  <c r="H9" i="11"/>
  <c r="D10" i="11"/>
  <c r="W5" i="12"/>
  <c r="X5" i="12" s="1"/>
  <c r="F15" i="12"/>
  <c r="F16" i="12"/>
  <c r="F17" i="12"/>
  <c r="F14" i="12"/>
  <c r="M13" i="12"/>
  <c r="M14" i="12" s="1"/>
  <c r="K13" i="12"/>
  <c r="K15" i="12" s="1"/>
  <c r="N12" i="12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AI12" i="12" s="1"/>
  <c r="AJ12" i="12" s="1"/>
  <c r="AK12" i="12" s="1"/>
  <c r="AL12" i="12" s="1"/>
  <c r="AM12" i="12" s="1"/>
  <c r="AN12" i="12" s="1"/>
  <c r="AO12" i="12" s="1"/>
  <c r="AP12" i="12" s="1"/>
  <c r="AQ12" i="12" s="1"/>
  <c r="AR12" i="12" s="1"/>
  <c r="AS12" i="12" s="1"/>
  <c r="AT12" i="12" s="1"/>
  <c r="AU12" i="12" s="1"/>
  <c r="AV12" i="12" s="1"/>
  <c r="AW12" i="12" s="1"/>
  <c r="AX12" i="12" s="1"/>
  <c r="AY12" i="12" s="1"/>
  <c r="AY13" i="12" s="1"/>
  <c r="AV14" i="15" l="1"/>
  <c r="AF14" i="15"/>
  <c r="AU14" i="15"/>
  <c r="AE14" i="15"/>
  <c r="AP14" i="15"/>
  <c r="AP18" i="15" s="1"/>
  <c r="Z14" i="15"/>
  <c r="Z18" i="15" s="1"/>
  <c r="AO14" i="15"/>
  <c r="Y14" i="15"/>
  <c r="AN14" i="15"/>
  <c r="X14" i="15"/>
  <c r="AM14" i="15"/>
  <c r="W14" i="15"/>
  <c r="W18" i="15" s="1"/>
  <c r="M14" i="15"/>
  <c r="AX14" i="15"/>
  <c r="AX18" i="15" s="1"/>
  <c r="AH14" i="15"/>
  <c r="AH18" i="15" s="1"/>
  <c r="Q14" i="15"/>
  <c r="K14" i="15"/>
  <c r="AW14" i="15"/>
  <c r="AG14" i="15"/>
  <c r="P14" i="15"/>
  <c r="I10" i="14"/>
  <c r="E23" i="14"/>
  <c r="G23" i="14" s="1"/>
  <c r="R18" i="15"/>
  <c r="AO18" i="15"/>
  <c r="Y18" i="15"/>
  <c r="Q18" i="15"/>
  <c r="AW18" i="15"/>
  <c r="AG18" i="15"/>
  <c r="AV18" i="15"/>
  <c r="AN18" i="15"/>
  <c r="AF18" i="15"/>
  <c r="X18" i="15"/>
  <c r="P18" i="15"/>
  <c r="AT14" i="15"/>
  <c r="AT18" i="15" s="1"/>
  <c r="AL14" i="15"/>
  <c r="AL18" i="15" s="1"/>
  <c r="AD14" i="15"/>
  <c r="AD18" i="15" s="1"/>
  <c r="V14" i="15"/>
  <c r="V18" i="15" s="1"/>
  <c r="N14" i="15"/>
  <c r="N18" i="15" s="1"/>
  <c r="AU18" i="15"/>
  <c r="AM18" i="15"/>
  <c r="AE18" i="15"/>
  <c r="AS14" i="15"/>
  <c r="AS18" i="15" s="1"/>
  <c r="AK14" i="15"/>
  <c r="AK18" i="15" s="1"/>
  <c r="AC14" i="15"/>
  <c r="AC18" i="15" s="1"/>
  <c r="U14" i="15"/>
  <c r="U18" i="15" s="1"/>
  <c r="AR14" i="15"/>
  <c r="AR18" i="15" s="1"/>
  <c r="AJ14" i="15"/>
  <c r="AJ18" i="15" s="1"/>
  <c r="AB14" i="15"/>
  <c r="AB18" i="15" s="1"/>
  <c r="T14" i="15"/>
  <c r="T18" i="15" s="1"/>
  <c r="O14" i="15"/>
  <c r="O18" i="15" s="1"/>
  <c r="AY14" i="15"/>
  <c r="AY18" i="15" s="1"/>
  <c r="AQ14" i="15"/>
  <c r="AQ18" i="15" s="1"/>
  <c r="AI14" i="15"/>
  <c r="AI18" i="15" s="1"/>
  <c r="AA14" i="15"/>
  <c r="AA18" i="15" s="1"/>
  <c r="S14" i="15"/>
  <c r="S18" i="15" s="1"/>
  <c r="O12" i="15"/>
  <c r="M18" i="15"/>
  <c r="K15" i="15"/>
  <c r="G22" i="14"/>
  <c r="H24" i="14"/>
  <c r="E19" i="14"/>
  <c r="G19" i="14" s="1"/>
  <c r="C9" i="14"/>
  <c r="F20" i="14"/>
  <c r="H20" i="14" s="1"/>
  <c r="F25" i="14"/>
  <c r="H25" i="14" s="1"/>
  <c r="K9" i="14"/>
  <c r="K8" i="14"/>
  <c r="J12" i="14"/>
  <c r="C10" i="14"/>
  <c r="S12" i="11"/>
  <c r="K14" i="12"/>
  <c r="AY14" i="12"/>
  <c r="W13" i="12"/>
  <c r="W14" i="12" s="1"/>
  <c r="AT13" i="12"/>
  <c r="AT14" i="12" s="1"/>
  <c r="V13" i="12"/>
  <c r="V14" i="12" s="1"/>
  <c r="Q13" i="12"/>
  <c r="Q14" i="12" s="1"/>
  <c r="AD13" i="12"/>
  <c r="AD14" i="12" s="1"/>
  <c r="AM13" i="12"/>
  <c r="AM14" i="12" s="1"/>
  <c r="AL13" i="12"/>
  <c r="AL14" i="12" s="1"/>
  <c r="O13" i="12"/>
  <c r="O14" i="12" s="1"/>
  <c r="Y13" i="12"/>
  <c r="Y14" i="12" s="1"/>
  <c r="AG13" i="12"/>
  <c r="AG14" i="12" s="1"/>
  <c r="N13" i="12"/>
  <c r="N14" i="12" s="1"/>
  <c r="AU13" i="12"/>
  <c r="AU14" i="12" s="1"/>
  <c r="AE13" i="12"/>
  <c r="AE14" i="12" s="1"/>
  <c r="AO13" i="12"/>
  <c r="AO14" i="12" s="1"/>
  <c r="AV13" i="12"/>
  <c r="AV14" i="12" s="1"/>
  <c r="AN13" i="12"/>
  <c r="AN14" i="12" s="1"/>
  <c r="AF13" i="12"/>
  <c r="AF14" i="12" s="1"/>
  <c r="X13" i="12"/>
  <c r="X14" i="12" s="1"/>
  <c r="P13" i="12"/>
  <c r="P14" i="12" s="1"/>
  <c r="AC13" i="12"/>
  <c r="AC14" i="12" s="1"/>
  <c r="AR13" i="12"/>
  <c r="AR14" i="12" s="1"/>
  <c r="AJ13" i="12"/>
  <c r="AJ14" i="12" s="1"/>
  <c r="AB13" i="12"/>
  <c r="AB14" i="12" s="1"/>
  <c r="T13" i="12"/>
  <c r="T14" i="12" s="1"/>
  <c r="AS13" i="12"/>
  <c r="AS14" i="12" s="1"/>
  <c r="U13" i="12"/>
  <c r="U14" i="12" s="1"/>
  <c r="AQ13" i="12"/>
  <c r="AQ14" i="12" s="1"/>
  <c r="AI13" i="12"/>
  <c r="AI14" i="12" s="1"/>
  <c r="AA13" i="12"/>
  <c r="AA14" i="12" s="1"/>
  <c r="S13" i="12"/>
  <c r="S14" i="12" s="1"/>
  <c r="AK13" i="12"/>
  <c r="AK14" i="12" s="1"/>
  <c r="AX13" i="12"/>
  <c r="AX14" i="12" s="1"/>
  <c r="AP13" i="12"/>
  <c r="AP14" i="12" s="1"/>
  <c r="AH13" i="12"/>
  <c r="AH14" i="12" s="1"/>
  <c r="Z13" i="12"/>
  <c r="Z14" i="12" s="1"/>
  <c r="R13" i="12"/>
  <c r="R14" i="12" s="1"/>
  <c r="AW13" i="12"/>
  <c r="AW14" i="12" s="1"/>
  <c r="J14" i="12"/>
  <c r="C15" i="12"/>
  <c r="C16" i="12"/>
  <c r="K16" i="12" s="1"/>
  <c r="C17" i="12"/>
  <c r="K17" i="12" s="1"/>
  <c r="J13" i="11"/>
  <c r="F12" i="11"/>
  <c r="L14" i="11"/>
  <c r="D8" i="11"/>
  <c r="J15" i="11"/>
  <c r="L16" i="11"/>
  <c r="D9" i="11"/>
  <c r="H12" i="11"/>
  <c r="E11" i="9"/>
  <c r="AA4" i="9"/>
  <c r="X4" i="9"/>
  <c r="Z4" i="9" s="1"/>
  <c r="Q4" i="9"/>
  <c r="P4" i="9"/>
  <c r="Q3" i="9"/>
  <c r="W3" i="9" s="1"/>
  <c r="X3" i="9" s="1"/>
  <c r="AA3" i="9" s="1"/>
  <c r="N4" i="9"/>
  <c r="S4" i="9" s="1"/>
  <c r="T4" i="9" s="1"/>
  <c r="M3" i="9"/>
  <c r="N3" i="9" s="1"/>
  <c r="T3" i="9" s="1"/>
  <c r="E10" i="9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Y11" i="9" s="1"/>
  <c r="E44" i="4"/>
  <c r="F42" i="4"/>
  <c r="E42" i="4"/>
  <c r="F41" i="4"/>
  <c r="F44" i="4" s="1"/>
  <c r="J18" i="4"/>
  <c r="K17" i="4"/>
  <c r="K18" i="4" s="1"/>
  <c r="D8" i="4"/>
  <c r="E8" i="4"/>
  <c r="F8" i="4"/>
  <c r="C8" i="4"/>
  <c r="K18" i="15" l="1"/>
  <c r="T6" i="15" s="1"/>
  <c r="W6" i="15" s="1"/>
  <c r="P12" i="15"/>
  <c r="O13" i="15"/>
  <c r="K20" i="12"/>
  <c r="T5" i="12" s="1"/>
  <c r="M16" i="12"/>
  <c r="M15" i="12"/>
  <c r="M17" i="12"/>
  <c r="J16" i="12"/>
  <c r="N16" i="12"/>
  <c r="AT16" i="12"/>
  <c r="AJ16" i="12"/>
  <c r="O16" i="12"/>
  <c r="W16" i="12"/>
  <c r="AE16" i="12"/>
  <c r="AM16" i="12"/>
  <c r="AU16" i="12"/>
  <c r="AH16" i="12"/>
  <c r="S16" i="12"/>
  <c r="AQ16" i="12"/>
  <c r="T16" i="12"/>
  <c r="P16" i="12"/>
  <c r="X16" i="12"/>
  <c r="AF16" i="12"/>
  <c r="AN16" i="12"/>
  <c r="AV16" i="12"/>
  <c r="Z16" i="12"/>
  <c r="AX16" i="12"/>
  <c r="AA16" i="12"/>
  <c r="AY16" i="12"/>
  <c r="AR16" i="12"/>
  <c r="Q16" i="12"/>
  <c r="Y16" i="12"/>
  <c r="AG16" i="12"/>
  <c r="AO16" i="12"/>
  <c r="AW16" i="12"/>
  <c r="R16" i="12"/>
  <c r="AP16" i="12"/>
  <c r="AI16" i="12"/>
  <c r="U16" i="12"/>
  <c r="AC16" i="12"/>
  <c r="AK16" i="12"/>
  <c r="AS16" i="12"/>
  <c r="V16" i="12"/>
  <c r="AD16" i="12"/>
  <c r="AL16" i="12"/>
  <c r="AB16" i="12"/>
  <c r="J17" i="12"/>
  <c r="X17" i="12"/>
  <c r="AN17" i="12"/>
  <c r="V17" i="12"/>
  <c r="Q17" i="12"/>
  <c r="Y17" i="12"/>
  <c r="AG17" i="12"/>
  <c r="AO17" i="12"/>
  <c r="AW17" i="12"/>
  <c r="T17" i="12"/>
  <c r="AC17" i="12"/>
  <c r="N17" i="12"/>
  <c r="AT17" i="12"/>
  <c r="R17" i="12"/>
  <c r="Z17" i="12"/>
  <c r="AH17" i="12"/>
  <c r="AP17" i="12"/>
  <c r="AX17" i="12"/>
  <c r="AB17" i="12"/>
  <c r="AR17" i="12"/>
  <c r="U17" i="12"/>
  <c r="AS17" i="12"/>
  <c r="AL17" i="12"/>
  <c r="S17" i="12"/>
  <c r="AA17" i="12"/>
  <c r="AI17" i="12"/>
  <c r="AQ17" i="12"/>
  <c r="AY17" i="12"/>
  <c r="AJ17" i="12"/>
  <c r="AK17" i="12"/>
  <c r="O17" i="12"/>
  <c r="W17" i="12"/>
  <c r="AE17" i="12"/>
  <c r="AM17" i="12"/>
  <c r="AU17" i="12"/>
  <c r="P17" i="12"/>
  <c r="AF17" i="12"/>
  <c r="AV17" i="12"/>
  <c r="AD17" i="12"/>
  <c r="J15" i="12"/>
  <c r="R15" i="12"/>
  <c r="AX15" i="12"/>
  <c r="U15" i="12"/>
  <c r="AC15" i="12"/>
  <c r="AK15" i="12"/>
  <c r="AS15" i="12"/>
  <c r="X15" i="12"/>
  <c r="AV15" i="12"/>
  <c r="Y15" i="12"/>
  <c r="AO15" i="12"/>
  <c r="AH15" i="12"/>
  <c r="N15" i="12"/>
  <c r="V15" i="12"/>
  <c r="AD15" i="12"/>
  <c r="AL15" i="12"/>
  <c r="AT15" i="12"/>
  <c r="AF15" i="12"/>
  <c r="Q15" i="12"/>
  <c r="AW15" i="12"/>
  <c r="AP15" i="12"/>
  <c r="O15" i="12"/>
  <c r="W15" i="12"/>
  <c r="AE15" i="12"/>
  <c r="AM15" i="12"/>
  <c r="AU15" i="12"/>
  <c r="AN15" i="12"/>
  <c r="P15" i="12"/>
  <c r="AG15" i="12"/>
  <c r="S15" i="12"/>
  <c r="AA15" i="12"/>
  <c r="AI15" i="12"/>
  <c r="AQ15" i="12"/>
  <c r="AY15" i="12"/>
  <c r="T15" i="12"/>
  <c r="AB15" i="12"/>
  <c r="AJ15" i="12"/>
  <c r="AR15" i="12"/>
  <c r="Z15" i="12"/>
  <c r="Z9" i="9"/>
  <c r="Z11" i="9" s="1"/>
  <c r="L11" i="9"/>
  <c r="Y10" i="9"/>
  <c r="Q10" i="9"/>
  <c r="I10" i="9"/>
  <c r="Q11" i="9"/>
  <c r="I11" i="9"/>
  <c r="L10" i="9"/>
  <c r="S11" i="9"/>
  <c r="R10" i="9"/>
  <c r="X10" i="9"/>
  <c r="P10" i="9"/>
  <c r="H10" i="9"/>
  <c r="X11" i="9"/>
  <c r="P11" i="9"/>
  <c r="H11" i="9"/>
  <c r="T10" i="9"/>
  <c r="T11" i="9"/>
  <c r="K10" i="9"/>
  <c r="K11" i="9"/>
  <c r="R11" i="9"/>
  <c r="W10" i="9"/>
  <c r="O10" i="9"/>
  <c r="G10" i="9"/>
  <c r="W11" i="9"/>
  <c r="O11" i="9"/>
  <c r="G11" i="9"/>
  <c r="J11" i="9"/>
  <c r="V10" i="9"/>
  <c r="N10" i="9"/>
  <c r="F10" i="9"/>
  <c r="V11" i="9"/>
  <c r="N11" i="9"/>
  <c r="F11" i="9"/>
  <c r="S10" i="9"/>
  <c r="J10" i="9"/>
  <c r="U10" i="9"/>
  <c r="M10" i="9"/>
  <c r="U11" i="9"/>
  <c r="M11" i="9"/>
  <c r="G41" i="4"/>
  <c r="L17" i="4"/>
  <c r="I7" i="4"/>
  <c r="C7" i="4"/>
  <c r="D7" i="4"/>
  <c r="E7" i="4"/>
  <c r="F7" i="4"/>
  <c r="T5" i="15" l="1"/>
  <c r="X6" i="15" s="1"/>
  <c r="Q12" i="15"/>
  <c r="P13" i="15"/>
  <c r="T6" i="12"/>
  <c r="T7" i="12" s="1"/>
  <c r="X6" i="12" s="1"/>
  <c r="Z10" i="9"/>
  <c r="AA9" i="9"/>
  <c r="G42" i="4"/>
  <c r="G44" i="4"/>
  <c r="H41" i="4"/>
  <c r="M17" i="4"/>
  <c r="L18" i="4"/>
  <c r="T7" i="15" l="1"/>
  <c r="R12" i="15"/>
  <c r="Q13" i="15"/>
  <c r="AA10" i="9"/>
  <c r="AA11" i="9"/>
  <c r="H44" i="4"/>
  <c r="H42" i="4"/>
  <c r="I41" i="4"/>
  <c r="N17" i="4"/>
  <c r="M18" i="4"/>
  <c r="R13" i="15" l="1"/>
  <c r="S12" i="15"/>
  <c r="J41" i="4"/>
  <c r="I42" i="4"/>
  <c r="I44" i="4"/>
  <c r="O17" i="4"/>
  <c r="N18" i="4"/>
  <c r="T12" i="15" l="1"/>
  <c r="S13" i="15"/>
  <c r="J42" i="4"/>
  <c r="K41" i="4"/>
  <c r="J44" i="4"/>
  <c r="P17" i="4"/>
  <c r="O18" i="4"/>
  <c r="U12" i="15" l="1"/>
  <c r="T13" i="15"/>
  <c r="K42" i="4"/>
  <c r="L41" i="4"/>
  <c r="K44" i="4"/>
  <c r="Q17" i="4"/>
  <c r="P18" i="4"/>
  <c r="U13" i="15" l="1"/>
  <c r="V12" i="15"/>
  <c r="L42" i="4"/>
  <c r="L44" i="4"/>
  <c r="M41" i="4"/>
  <c r="R17" i="4"/>
  <c r="Q18" i="4"/>
  <c r="V13" i="15" l="1"/>
  <c r="W12" i="15"/>
  <c r="M42" i="4"/>
  <c r="M44" i="4"/>
  <c r="N41" i="4"/>
  <c r="S17" i="4"/>
  <c r="R18" i="4"/>
  <c r="X12" i="15" l="1"/>
  <c r="W13" i="15"/>
  <c r="O41" i="4"/>
  <c r="N42" i="4"/>
  <c r="N44" i="4"/>
  <c r="T17" i="4"/>
  <c r="S18" i="4"/>
  <c r="Y12" i="15" l="1"/>
  <c r="X13" i="15"/>
  <c r="P41" i="4"/>
  <c r="O44" i="4"/>
  <c r="O42" i="4"/>
  <c r="U17" i="4"/>
  <c r="T18" i="4"/>
  <c r="Z12" i="15" l="1"/>
  <c r="Y13" i="15"/>
  <c r="P44" i="4"/>
  <c r="Q41" i="4"/>
  <c r="P42" i="4"/>
  <c r="V17" i="4"/>
  <c r="U18" i="4"/>
  <c r="AA12" i="15" l="1"/>
  <c r="Z13" i="15"/>
  <c r="R41" i="4"/>
  <c r="Q44" i="4"/>
  <c r="Q42" i="4"/>
  <c r="W17" i="4"/>
  <c r="V18" i="4"/>
  <c r="AB12" i="15" l="1"/>
  <c r="AA13" i="15"/>
  <c r="R42" i="4"/>
  <c r="R44" i="4"/>
  <c r="S41" i="4"/>
  <c r="X17" i="4"/>
  <c r="W18" i="4"/>
  <c r="AC12" i="15" l="1"/>
  <c r="AB13" i="15"/>
  <c r="S44" i="4"/>
  <c r="S42" i="4"/>
  <c r="T41" i="4"/>
  <c r="Y17" i="4"/>
  <c r="X18" i="4"/>
  <c r="AC13" i="15" l="1"/>
  <c r="AD12" i="15"/>
  <c r="T44" i="4"/>
  <c r="U41" i="4"/>
  <c r="T42" i="4"/>
  <c r="Z17" i="4"/>
  <c r="Y18" i="4"/>
  <c r="AD13" i="15" l="1"/>
  <c r="AE12" i="15"/>
  <c r="U42" i="4"/>
  <c r="U44" i="4"/>
  <c r="V41" i="4"/>
  <c r="AA17" i="4"/>
  <c r="Z18" i="4"/>
  <c r="AF12" i="15" l="1"/>
  <c r="AE13" i="15"/>
  <c r="V44" i="4"/>
  <c r="W41" i="4"/>
  <c r="V42" i="4"/>
  <c r="AB17" i="4"/>
  <c r="AA18" i="4"/>
  <c r="AG12" i="15" l="1"/>
  <c r="AF13" i="15"/>
  <c r="W42" i="4"/>
  <c r="W44" i="4"/>
  <c r="X41" i="4"/>
  <c r="AC17" i="4"/>
  <c r="AB18" i="4"/>
  <c r="AH12" i="15" l="1"/>
  <c r="AG13" i="15"/>
  <c r="X44" i="4"/>
  <c r="X42" i="4"/>
  <c r="Y41" i="4"/>
  <c r="AD17" i="4"/>
  <c r="AC18" i="4"/>
  <c r="AH13" i="15" l="1"/>
  <c r="AI12" i="15"/>
  <c r="Y44" i="4"/>
  <c r="Y42" i="4"/>
  <c r="AE17" i="4"/>
  <c r="AD18" i="4"/>
  <c r="AJ12" i="15" l="1"/>
  <c r="AI13" i="15"/>
  <c r="AF17" i="4"/>
  <c r="AE18" i="4"/>
  <c r="AK12" i="15" l="1"/>
  <c r="AJ13" i="15"/>
  <c r="AG17" i="4"/>
  <c r="AF18" i="4"/>
  <c r="AK13" i="15" l="1"/>
  <c r="AL12" i="15"/>
  <c r="AH17" i="4"/>
  <c r="AG18" i="4"/>
  <c r="AM12" i="15" l="1"/>
  <c r="AL13" i="15"/>
  <c r="AI17" i="4"/>
  <c r="AH18" i="4"/>
  <c r="AN12" i="15" l="1"/>
  <c r="AM13" i="15"/>
  <c r="AJ17" i="4"/>
  <c r="AI18" i="4"/>
  <c r="AO12" i="15" l="1"/>
  <c r="AN13" i="15"/>
  <c r="AK17" i="4"/>
  <c r="AJ18" i="4"/>
  <c r="AP12" i="15" l="1"/>
  <c r="AO13" i="15"/>
  <c r="AL17" i="4"/>
  <c r="AK18" i="4"/>
  <c r="AQ12" i="15" l="1"/>
  <c r="AP13" i="15"/>
  <c r="AM17" i="4"/>
  <c r="AL18" i="4"/>
  <c r="AR12" i="15" l="1"/>
  <c r="AQ13" i="15"/>
  <c r="AN17" i="4"/>
  <c r="AM18" i="4"/>
  <c r="AS12" i="15" l="1"/>
  <c r="AR13" i="15"/>
  <c r="AO17" i="4"/>
  <c r="AO18" i="4" s="1"/>
  <c r="AN18" i="4"/>
  <c r="K11" i="14"/>
  <c r="AS13" i="15" l="1"/>
  <c r="AT12" i="15"/>
  <c r="AT13" i="15" l="1"/>
  <c r="AU12" i="15"/>
  <c r="AV12" i="15" l="1"/>
  <c r="AU13" i="15"/>
  <c r="AW12" i="15" l="1"/>
  <c r="AV13" i="15"/>
  <c r="AW13" i="15" l="1"/>
  <c r="AX12" i="15"/>
  <c r="AY12" i="15" l="1"/>
  <c r="AY13" i="15" s="1"/>
  <c r="AX1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<sst xmlns="http://schemas.openxmlformats.org/spreadsheetml/2006/main" count="174" uniqueCount="138">
  <si>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</si>
  <si>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</si>
  <si>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</si>
  <si>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</si>
  <si>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</si>
  <si>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</si>
  <si>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</si>
  <si>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</si>
  <si>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</si>
  <si>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</si>
  <si>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</si>
  <si>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</si>
  <si>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</si>
  <si>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</si>
  <si>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</si>
  <si>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</si>
  <si>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</si>
  <si>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</si>
  <si>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</si>
  <si>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</si>
  <si>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</si>
  <si>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</si>
  <si>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</si>
  <si>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</si>
  <si>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</si>
  <si>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</si>
  <si>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</si>
  <si>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</si>
  <si>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</si>
  <si>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</si>
  <si>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</si>
  <si>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</si>
  <si>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</si>
  <si>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</si>
  <si>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</si>
  <si>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</si>
  <si>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</si>
  <si>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</si>
  <si>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</si>
  <si>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</si>
  <si>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</si>
  <si>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</si>
  <si>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</si>
  <si>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</si>
  <si>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</si>
  <si>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</si>
  <si>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</si>
  <si>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</si>
  <si>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</si>
  <si>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</si>
  <si>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</si>
  <si>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</si>
  <si>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</si>
  <si>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</si>
  <si>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</si>
  <si>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</si>
  <si>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</si>
  <si>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</si>
  <si>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</si>
  <si>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</si>
  <si>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</si>
  <si>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</si>
  <si>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</si>
  <si>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</si>
  <si>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</si>
  <si>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</si>
  <si>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</si>
  <si>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</si>
  <si>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</si>
  <si>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</si>
  <si>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</si>
  <si>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</si>
  <si>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</si>
  <si>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</si>
  <si>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</si>
  <si>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</si>
  <si>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</si>
  <si>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</si>
  <si>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</si>
  <si>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</si>
  <si>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</si>
  <si>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</si>
  <si>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</si>
  <si>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</si>
  <si>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</si>
  <si>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</si>
  <si>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</si>
  <si>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</si>
  <si>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</si>
  <si>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</si>
  <si>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</si>
  <si>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</si>
  <si>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</si>
  <si>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</si>
  <si>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</si>
  <si>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</si>
  <si>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</si>
  <si>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</si>
  <si>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</si>
  <si>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</si>
  <si>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</si>
  <si>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</si>
  <si>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</si>
  <si>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</si>
  <si>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</si>
  <si>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</si>
  <si>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</si>
  <si>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</si>
  <si>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</si>
  <si>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</si>
  <si>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</si>
  <si>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</si>
  <si>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</si>
  <si>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</si>
  <si>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</si>
  <si>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</si>
  <si>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</si>
  <si>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</si>
  <si>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</si>
  <si>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</si>
  <si>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</si>
  <si>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</si>
  <si>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</si>
  <si>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</si>
  <si>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</si>
  <si>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</si>
  <si>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</si>
  <si>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</si>
  <si>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Schein- / Blind-Leistung</t>
  </si>
  <si>
    <t>Scheinleistung</t>
  </si>
  <si>
    <t xml:space="preserve">Leistung P = U *I = </t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</si>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</sst>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"/>
    <numFmt numFmtId="165" formatCode="#,##0.000000000"/>
    <numFmt numFmtId="166" formatCode="#,##0.0000000"/>
  </numFmts>
  <fonts count="3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0" xfId="0" applyFill="1"/>
    <xf numFmtId="165" fontId="0" fillId="3" borderId="2" xfId="0" applyNumberFormat="1" applyFill="1" applyBorder="1"/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0.23570226039551581</c:v>
                </c:pt>
                <c:pt idx="2">
                  <c:v>0.33333333333333331</c:v>
                </c:pt>
                <c:pt idx="3">
                  <c:v>0.23570226039551584</c:v>
                </c:pt>
                <c:pt idx="4">
                  <c:v>4.083828183028733E-17</c:v>
                </c:pt>
                <c:pt idx="5">
                  <c:v>-0.23570226039551581</c:v>
                </c:pt>
                <c:pt idx="6">
                  <c:v>-0.33333333333333331</c:v>
                </c:pt>
                <c:pt idx="7">
                  <c:v>-0.23570226039551567</c:v>
                </c:pt>
                <c:pt idx="8">
                  <c:v>-8.1676563660574659E-17</c:v>
                </c:pt>
                <c:pt idx="9">
                  <c:v>0.23570226039551578</c:v>
                </c:pt>
                <c:pt idx="10">
                  <c:v>0.33333333333333331</c:v>
                </c:pt>
                <c:pt idx="11">
                  <c:v>0.23570226039551612</c:v>
                </c:pt>
                <c:pt idx="12">
                  <c:v>1.22514845490862E-16</c:v>
                </c:pt>
                <c:pt idx="13">
                  <c:v>-0.23570226039551551</c:v>
                </c:pt>
                <c:pt idx="14">
                  <c:v>-0.33333333333333331</c:v>
                </c:pt>
                <c:pt idx="15">
                  <c:v>-0.23570226039551614</c:v>
                </c:pt>
                <c:pt idx="16">
                  <c:v>-1.6335312732114932E-16</c:v>
                </c:pt>
                <c:pt idx="17">
                  <c:v>0.23570226039551592</c:v>
                </c:pt>
                <c:pt idx="18">
                  <c:v>0.33333333333333331</c:v>
                </c:pt>
                <c:pt idx="19">
                  <c:v>0.23570226039551534</c:v>
                </c:pt>
                <c:pt idx="20">
                  <c:v>2.0419140915143666E-16</c:v>
                </c:pt>
                <c:pt idx="21">
                  <c:v>-0.23570226039551589</c:v>
                </c:pt>
                <c:pt idx="22">
                  <c:v>-0.33333333333333331</c:v>
                </c:pt>
                <c:pt idx="23">
                  <c:v>-0.23570226039551537</c:v>
                </c:pt>
                <c:pt idx="24">
                  <c:v>-2.45029690981724E-16</c:v>
                </c:pt>
                <c:pt idx="25">
                  <c:v>0.23570226039551503</c:v>
                </c:pt>
                <c:pt idx="26">
                  <c:v>0.33333333333333331</c:v>
                </c:pt>
                <c:pt idx="27">
                  <c:v>0.23570226039551623</c:v>
                </c:pt>
                <c:pt idx="28">
                  <c:v>-8.9836992012148897E-16</c:v>
                </c:pt>
                <c:pt idx="29">
                  <c:v>-0.23570226039551584</c:v>
                </c:pt>
                <c:pt idx="30">
                  <c:v>-0.33333333333333331</c:v>
                </c:pt>
                <c:pt idx="31">
                  <c:v>-0.23570226039551626</c:v>
                </c:pt>
                <c:pt idx="32">
                  <c:v>-3.2670625464229864E-16</c:v>
                </c:pt>
                <c:pt idx="33">
                  <c:v>0.23570226039551662</c:v>
                </c:pt>
                <c:pt idx="34">
                  <c:v>0.33333333333333331</c:v>
                </c:pt>
                <c:pt idx="35">
                  <c:v>0.23570226039551628</c:v>
                </c:pt>
                <c:pt idx="36">
                  <c:v>3.67544536472586E-16</c:v>
                </c:pt>
                <c:pt idx="37">
                  <c:v>-0.23570226039551662</c:v>
                </c:pt>
                <c:pt idx="38">
                  <c:v>-0.33333333333333331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0.19318516525781365</c:v>
                </c:pt>
                <c:pt idx="2">
                  <c:v>0.10000000000000007</c:v>
                </c:pt>
                <c:pt idx="3">
                  <c:v>-0.1414213562373095</c:v>
                </c:pt>
                <c:pt idx="4">
                  <c:v>-0.17320508075688781</c:v>
                </c:pt>
                <c:pt idx="5">
                  <c:v>5.1763809020504217E-2</c:v>
                </c:pt>
                <c:pt idx="6">
                  <c:v>0.2</c:v>
                </c:pt>
                <c:pt idx="7">
                  <c:v>5.1763809020504162E-2</c:v>
                </c:pt>
                <c:pt idx="8">
                  <c:v>-0.17320508075688756</c:v>
                </c:pt>
                <c:pt idx="9">
                  <c:v>-0.1414213562373097</c:v>
                </c:pt>
                <c:pt idx="10">
                  <c:v>0.10000000000000012</c:v>
                </c:pt>
                <c:pt idx="11">
                  <c:v>0.19318516525781371</c:v>
                </c:pt>
                <c:pt idx="12">
                  <c:v>1.22514845490862E-16</c:v>
                </c:pt>
                <c:pt idx="13">
                  <c:v>-0.19318516525781348</c:v>
                </c:pt>
                <c:pt idx="14">
                  <c:v>-0.10000000000000003</c:v>
                </c:pt>
                <c:pt idx="15">
                  <c:v>0.14142135623730953</c:v>
                </c:pt>
                <c:pt idx="16">
                  <c:v>0.17320508075688806</c:v>
                </c:pt>
                <c:pt idx="17">
                  <c:v>-5.1763809020504273E-2</c:v>
                </c:pt>
                <c:pt idx="18">
                  <c:v>-0.2</c:v>
                </c:pt>
                <c:pt idx="19">
                  <c:v>-5.176380902050394E-2</c:v>
                </c:pt>
                <c:pt idx="20">
                  <c:v>0.1732050807568879</c:v>
                </c:pt>
                <c:pt idx="21">
                  <c:v>0.14142135623730978</c:v>
                </c:pt>
                <c:pt idx="22">
                  <c:v>-9.99999999999997E-2</c:v>
                </c:pt>
                <c:pt idx="23">
                  <c:v>-0.19318516525781373</c:v>
                </c:pt>
                <c:pt idx="24">
                  <c:v>-2.45029690981724E-16</c:v>
                </c:pt>
                <c:pt idx="25">
                  <c:v>0.1931851652578136</c:v>
                </c:pt>
                <c:pt idx="26">
                  <c:v>0.10000000000000137</c:v>
                </c:pt>
                <c:pt idx="27">
                  <c:v>-0.14142135623730842</c:v>
                </c:pt>
                <c:pt idx="28">
                  <c:v>-0.17320508075688779</c:v>
                </c:pt>
                <c:pt idx="29">
                  <c:v>5.1763809020504148E-2</c:v>
                </c:pt>
                <c:pt idx="30">
                  <c:v>0.2</c:v>
                </c:pt>
                <c:pt idx="31">
                  <c:v>5.1763809020505439E-2</c:v>
                </c:pt>
                <c:pt idx="32">
                  <c:v>-0.17320508075688712</c:v>
                </c:pt>
                <c:pt idx="33">
                  <c:v>-0.14142135623730936</c:v>
                </c:pt>
                <c:pt idx="34">
                  <c:v>0.10000000000000023</c:v>
                </c:pt>
                <c:pt idx="35">
                  <c:v>0.1931851652578136</c:v>
                </c:pt>
                <c:pt idx="36">
                  <c:v>1.0780872722326862E-15</c:v>
                </c:pt>
                <c:pt idx="37">
                  <c:v>-0.19318516525781415</c:v>
                </c:pt>
                <c:pt idx="38">
                  <c:v>-9.9999999999999631E-2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0.13798940375558119</c:v>
                </c:pt>
                <c:pt idx="2">
                  <c:v>-7.1428571428571383E-2</c:v>
                </c:pt>
                <c:pt idx="3">
                  <c:v>-0.1010152544552211</c:v>
                </c:pt>
                <c:pt idx="4">
                  <c:v>0.12371791482634834</c:v>
                </c:pt>
                <c:pt idx="5">
                  <c:v>3.697414930036011E-2</c:v>
                </c:pt>
                <c:pt idx="6">
                  <c:v>-0.14285714285714285</c:v>
                </c:pt>
                <c:pt idx="7">
                  <c:v>3.6974149300360241E-2</c:v>
                </c:pt>
                <c:pt idx="8">
                  <c:v>0.12371791482634846</c:v>
                </c:pt>
                <c:pt idx="9">
                  <c:v>-0.1010152544552211</c:v>
                </c:pt>
                <c:pt idx="10">
                  <c:v>-7.1428571428571438E-2</c:v>
                </c:pt>
                <c:pt idx="11">
                  <c:v>0.13798940375558116</c:v>
                </c:pt>
                <c:pt idx="12">
                  <c:v>1.22514845490862E-16</c:v>
                </c:pt>
                <c:pt idx="13">
                  <c:v>-0.13798940375558122</c:v>
                </c:pt>
                <c:pt idx="14">
                  <c:v>7.1428571428571661E-2</c:v>
                </c:pt>
                <c:pt idx="15">
                  <c:v>0.10101525445522126</c:v>
                </c:pt>
                <c:pt idx="16">
                  <c:v>-0.12371791482634821</c:v>
                </c:pt>
                <c:pt idx="17">
                  <c:v>-3.6974149300359985E-2</c:v>
                </c:pt>
                <c:pt idx="18">
                  <c:v>0.14285714285714285</c:v>
                </c:pt>
                <c:pt idx="19">
                  <c:v>-3.6974149300360609E-2</c:v>
                </c:pt>
                <c:pt idx="20">
                  <c:v>-0.12371791482634839</c:v>
                </c:pt>
                <c:pt idx="21">
                  <c:v>0.10101525445522065</c:v>
                </c:pt>
                <c:pt idx="22">
                  <c:v>7.142857142857155E-2</c:v>
                </c:pt>
                <c:pt idx="23">
                  <c:v>-0.13798940375558125</c:v>
                </c:pt>
                <c:pt idx="24">
                  <c:v>-2.45029690981724E-16</c:v>
                </c:pt>
                <c:pt idx="25">
                  <c:v>0.13798940375558139</c:v>
                </c:pt>
                <c:pt idx="26">
                  <c:v>-7.1428571428571119E-2</c:v>
                </c:pt>
                <c:pt idx="27">
                  <c:v>-0.10101525445522171</c:v>
                </c:pt>
                <c:pt idx="28">
                  <c:v>0.12371791482634865</c:v>
                </c:pt>
                <c:pt idx="29">
                  <c:v>3.6974149300360103E-2</c:v>
                </c:pt>
                <c:pt idx="30">
                  <c:v>-0.14285714285714285</c:v>
                </c:pt>
                <c:pt idx="31">
                  <c:v>3.6974149300360006E-2</c:v>
                </c:pt>
                <c:pt idx="32">
                  <c:v>0.1237179148263487</c:v>
                </c:pt>
                <c:pt idx="33">
                  <c:v>-0.10101525445522164</c:v>
                </c:pt>
                <c:pt idx="34">
                  <c:v>-7.1428571428571216E-2</c:v>
                </c:pt>
                <c:pt idx="35">
                  <c:v>0.13798940375558111</c:v>
                </c:pt>
                <c:pt idx="36">
                  <c:v>-1.399859890703427E-16</c:v>
                </c:pt>
                <c:pt idx="37">
                  <c:v>-0.13798940375558102</c:v>
                </c:pt>
                <c:pt idx="38">
                  <c:v>7.1428571428572327E-2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0.82569587451143145</c:v>
                </c:pt>
                <c:pt idx="2">
                  <c:v>0.86190476190476195</c:v>
                </c:pt>
                <c:pt idx="3">
                  <c:v>0.70037243088953283</c:v>
                </c:pt>
                <c:pt idx="4">
                  <c:v>0.81653823785389912</c:v>
                </c:pt>
                <c:pt idx="5">
                  <c:v>0.81896152421441692</c:v>
                </c:pt>
                <c:pt idx="6">
                  <c:v>0.7238095238095239</c:v>
                </c:pt>
                <c:pt idx="7">
                  <c:v>0.81896152421441704</c:v>
                </c:pt>
                <c:pt idx="8">
                  <c:v>0.81653823785389945</c:v>
                </c:pt>
                <c:pt idx="9">
                  <c:v>0.7003724308895326</c:v>
                </c:pt>
                <c:pt idx="10">
                  <c:v>0.86190476190476195</c:v>
                </c:pt>
                <c:pt idx="11">
                  <c:v>0.825695874511432</c:v>
                </c:pt>
                <c:pt idx="12">
                  <c:v>4.90059381963448E-16</c:v>
                </c:pt>
                <c:pt idx="13">
                  <c:v>-0.82569587451143056</c:v>
                </c:pt>
                <c:pt idx="14">
                  <c:v>-0.86190476190476195</c:v>
                </c:pt>
                <c:pt idx="15">
                  <c:v>-0.70037243088953272</c:v>
                </c:pt>
                <c:pt idx="16">
                  <c:v>-0.81653823785389867</c:v>
                </c:pt>
                <c:pt idx="17">
                  <c:v>-0.8189615242144167</c:v>
                </c:pt>
                <c:pt idx="18">
                  <c:v>-0.7238095238095239</c:v>
                </c:pt>
                <c:pt idx="19">
                  <c:v>-0.81896152421441737</c:v>
                </c:pt>
                <c:pt idx="20">
                  <c:v>-0.8165382378538989</c:v>
                </c:pt>
                <c:pt idx="21">
                  <c:v>-0.70037243088953316</c:v>
                </c:pt>
                <c:pt idx="22">
                  <c:v>-0.86190476190476184</c:v>
                </c:pt>
                <c:pt idx="23">
                  <c:v>-0.825695874511431</c:v>
                </c:pt>
                <c:pt idx="24">
                  <c:v>-9.8011876392689601E-16</c:v>
                </c:pt>
                <c:pt idx="25">
                  <c:v>0.82569587451143023</c:v>
                </c:pt>
                <c:pt idx="26">
                  <c:v>0.86190476190476284</c:v>
                </c:pt>
                <c:pt idx="27">
                  <c:v>0.70037243088953272</c:v>
                </c:pt>
                <c:pt idx="28">
                  <c:v>0.81653823785389879</c:v>
                </c:pt>
                <c:pt idx="29">
                  <c:v>0.81896152421441681</c:v>
                </c:pt>
                <c:pt idx="30">
                  <c:v>0.7238095238095239</c:v>
                </c:pt>
                <c:pt idx="31">
                  <c:v>0.8189615242144177</c:v>
                </c:pt>
                <c:pt idx="32">
                  <c:v>0.81653823785390034</c:v>
                </c:pt>
                <c:pt idx="33">
                  <c:v>0.70037243088953283</c:v>
                </c:pt>
                <c:pt idx="34">
                  <c:v>0.86190476190476206</c:v>
                </c:pt>
                <c:pt idx="35">
                  <c:v>0.82569587451143178</c:v>
                </c:pt>
                <c:pt idx="36">
                  <c:v>1.6731903561075154E-15</c:v>
                </c:pt>
                <c:pt idx="37">
                  <c:v>-0.82569587451143367</c:v>
                </c:pt>
                <c:pt idx="38">
                  <c:v>-0.86190476190476129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20 * sin(50*x  + 1.57)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20</c:v>
                </c:pt>
                <c:pt idx="1">
                  <c:v>17.320508075688785</c:v>
                </c:pt>
                <c:pt idx="2">
                  <c:v>10.000000000000009</c:v>
                </c:pt>
                <c:pt idx="3">
                  <c:v>-3.9200413748385898E-14</c:v>
                </c:pt>
                <c:pt idx="4">
                  <c:v>-9.9999999999999538</c:v>
                </c:pt>
                <c:pt idx="5">
                  <c:v>-17.3205080756887</c:v>
                </c:pt>
                <c:pt idx="6">
                  <c:v>-20</c:v>
                </c:pt>
                <c:pt idx="7">
                  <c:v>-17.320508075688796</c:v>
                </c:pt>
                <c:pt idx="8">
                  <c:v>-10.000000000000247</c:v>
                </c:pt>
                <c:pt idx="9">
                  <c:v>-2.3521982972507516E-13</c:v>
                </c:pt>
                <c:pt idx="10">
                  <c:v>9.9999999999998384</c:v>
                </c:pt>
                <c:pt idx="11">
                  <c:v>17.320508075688707</c:v>
                </c:pt>
                <c:pt idx="12">
                  <c:v>20</c:v>
                </c:pt>
                <c:pt idx="13">
                  <c:v>17.320508075689077</c:v>
                </c:pt>
                <c:pt idx="14">
                  <c:v>9.9999999999999911</c:v>
                </c:pt>
                <c:pt idx="15">
                  <c:v>5.0964007319853621E-13</c:v>
                </c:pt>
                <c:pt idx="16">
                  <c:v>-9.9999999999996021</c:v>
                </c:pt>
                <c:pt idx="17">
                  <c:v>-17.320508075688853</c:v>
                </c:pt>
                <c:pt idx="18">
                  <c:v>-20</c:v>
                </c:pt>
                <c:pt idx="19">
                  <c:v>-17.320508075688647</c:v>
                </c:pt>
                <c:pt idx="20">
                  <c:v>-10.000000000000229</c:v>
                </c:pt>
                <c:pt idx="21">
                  <c:v>-7.8406031667199727E-13</c:v>
                </c:pt>
                <c:pt idx="22">
                  <c:v>9.9999999999998561</c:v>
                </c:pt>
                <c:pt idx="23">
                  <c:v>17.320508075688998</c:v>
                </c:pt>
                <c:pt idx="24">
                  <c:v>20</c:v>
                </c:pt>
                <c:pt idx="25">
                  <c:v>17.320508075689066</c:v>
                </c:pt>
                <c:pt idx="26">
                  <c:v>10.000000000000959</c:v>
                </c:pt>
                <c:pt idx="27">
                  <c:v>1.6269147487535385E-12</c:v>
                </c:pt>
                <c:pt idx="28">
                  <c:v>-10.00000000000011</c:v>
                </c:pt>
                <c:pt idx="29">
                  <c:v>-17.320508075688576</c:v>
                </c:pt>
                <c:pt idx="30">
                  <c:v>-20</c:v>
                </c:pt>
                <c:pt idx="31">
                  <c:v>-17.32050807568892</c:v>
                </c:pt>
                <c:pt idx="32">
                  <c:v>-10.000000000000703</c:v>
                </c:pt>
                <c:pt idx="33">
                  <c:v>9.4083595081340121E-13</c:v>
                </c:pt>
                <c:pt idx="34">
                  <c:v>10.000000000000364</c:v>
                </c:pt>
                <c:pt idx="35">
                  <c:v>17.320508075688721</c:v>
                </c:pt>
                <c:pt idx="36">
                  <c:v>20</c:v>
                </c:pt>
                <c:pt idx="37">
                  <c:v>17.320508075688203</c:v>
                </c:pt>
                <c:pt idx="38">
                  <c:v>9.9999999999994653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 sin(50*x 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0</c:v>
                </c:pt>
                <c:pt idx="1">
                  <c:v>0.49999999999999906</c:v>
                </c:pt>
                <c:pt idx="2">
                  <c:v>0.8660254037844376</c:v>
                </c:pt>
                <c:pt idx="3">
                  <c:v>1</c:v>
                </c:pt>
                <c:pt idx="4">
                  <c:v>0.86602540378444082</c:v>
                </c:pt>
                <c:pt idx="5">
                  <c:v>0.50000000000000167</c:v>
                </c:pt>
                <c:pt idx="6">
                  <c:v>-4.898425415289509E-16</c:v>
                </c:pt>
                <c:pt idx="7">
                  <c:v>-0.50000000000000255</c:v>
                </c:pt>
                <c:pt idx="8">
                  <c:v>-0.86602540378443427</c:v>
                </c:pt>
                <c:pt idx="9">
                  <c:v>-1</c:v>
                </c:pt>
                <c:pt idx="10">
                  <c:v>-0.86602540378444059</c:v>
                </c:pt>
                <c:pt idx="11">
                  <c:v>-0.50000000000000122</c:v>
                </c:pt>
                <c:pt idx="12">
                  <c:v>9.7968508305790181E-16</c:v>
                </c:pt>
                <c:pt idx="13">
                  <c:v>0.49999999999997835</c:v>
                </c:pt>
                <c:pt idx="14">
                  <c:v>0.86602540378444159</c:v>
                </c:pt>
                <c:pt idx="15">
                  <c:v>1</c:v>
                </c:pt>
                <c:pt idx="16">
                  <c:v>0.86602540378444748</c:v>
                </c:pt>
                <c:pt idx="17">
                  <c:v>0.49999999999998856</c:v>
                </c:pt>
                <c:pt idx="18">
                  <c:v>1.2741327090615151E-14</c:v>
                </c:pt>
                <c:pt idx="19">
                  <c:v>-0.50000000000001565</c:v>
                </c:pt>
                <c:pt idx="20">
                  <c:v>-0.86602540378443471</c:v>
                </c:pt>
                <c:pt idx="21">
                  <c:v>-1</c:v>
                </c:pt>
                <c:pt idx="22">
                  <c:v>-0.86602540378444015</c:v>
                </c:pt>
                <c:pt idx="23">
                  <c:v>-0.4999999999999758</c:v>
                </c:pt>
                <c:pt idx="24">
                  <c:v>1.9593701661158036E-15</c:v>
                </c:pt>
                <c:pt idx="25">
                  <c:v>0.49999999999997918</c:v>
                </c:pt>
                <c:pt idx="26">
                  <c:v>0.86602540378441362</c:v>
                </c:pt>
                <c:pt idx="27">
                  <c:v>1</c:v>
                </c:pt>
                <c:pt idx="28">
                  <c:v>0.86602540378443271</c:v>
                </c:pt>
                <c:pt idx="29">
                  <c:v>0.50000000000001232</c:v>
                </c:pt>
                <c:pt idx="30">
                  <c:v>4.0183351437961257E-14</c:v>
                </c:pt>
                <c:pt idx="31">
                  <c:v>-0.49999999999999195</c:v>
                </c:pt>
                <c:pt idx="32">
                  <c:v>-0.86602540378442106</c:v>
                </c:pt>
                <c:pt idx="33">
                  <c:v>-1</c:v>
                </c:pt>
                <c:pt idx="34">
                  <c:v>-0.86602540378442538</c:v>
                </c:pt>
                <c:pt idx="35">
                  <c:v>-0.49999999999999956</c:v>
                </c:pt>
                <c:pt idx="36">
                  <c:v>-2.5482654181230302E-14</c:v>
                </c:pt>
                <c:pt idx="37">
                  <c:v>0.50000000000005385</c:v>
                </c:pt>
                <c:pt idx="38">
                  <c:v>0.8660254037844568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Scheinleistung!$J$18</c:f>
              <c:strCache>
                <c:ptCount val="1"/>
                <c:pt idx="0">
                  <c:v>Leistung P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8.6602540378443766</c:v>
                </c:pt>
                <c:pt idx="2">
                  <c:v>8.6602540378443837</c:v>
                </c:pt>
                <c:pt idx="3">
                  <c:v>-3.9200413748385898E-14</c:v>
                </c:pt>
                <c:pt idx="4">
                  <c:v>-8.6602540378443678</c:v>
                </c:pt>
                <c:pt idx="5">
                  <c:v>-8.6602540378443784</c:v>
                </c:pt>
                <c:pt idx="6">
                  <c:v>9.7968508305790181E-15</c:v>
                </c:pt>
                <c:pt idx="7">
                  <c:v>8.6602540378444424</c:v>
                </c:pt>
                <c:pt idx="8">
                  <c:v>8.6602540378445561</c:v>
                </c:pt>
                <c:pt idx="9">
                  <c:v>2.3521982972507516E-13</c:v>
                </c:pt>
                <c:pt idx="10">
                  <c:v>-8.6602540378442665</c:v>
                </c:pt>
                <c:pt idx="11">
                  <c:v>-8.6602540378443749</c:v>
                </c:pt>
                <c:pt idx="12">
                  <c:v>1.9593701661158036E-14</c:v>
                </c:pt>
                <c:pt idx="13">
                  <c:v>8.6602540378441635</c:v>
                </c:pt>
                <c:pt idx="14">
                  <c:v>8.6602540378444086</c:v>
                </c:pt>
                <c:pt idx="15">
                  <c:v>5.0964007319853621E-13</c:v>
                </c:pt>
                <c:pt idx="16">
                  <c:v>-8.6602540378441297</c:v>
                </c:pt>
                <c:pt idx="17">
                  <c:v>-8.6602540378442274</c:v>
                </c:pt>
                <c:pt idx="18">
                  <c:v>-2.5482654181230302E-13</c:v>
                </c:pt>
                <c:pt idx="19">
                  <c:v>8.6602540378445951</c:v>
                </c:pt>
                <c:pt idx="20">
                  <c:v>8.6602540378445454</c:v>
                </c:pt>
                <c:pt idx="21">
                  <c:v>7.8406031667199727E-13</c:v>
                </c:pt>
                <c:pt idx="22">
                  <c:v>-8.6602540378442772</c:v>
                </c:pt>
                <c:pt idx="23">
                  <c:v>-8.66025403784408</c:v>
                </c:pt>
                <c:pt idx="24">
                  <c:v>3.9187403322316072E-14</c:v>
                </c:pt>
                <c:pt idx="25">
                  <c:v>8.6602540378441724</c:v>
                </c:pt>
                <c:pt idx="26">
                  <c:v>8.6602540378449664</c:v>
                </c:pt>
                <c:pt idx="27">
                  <c:v>1.6269147487535385E-12</c:v>
                </c:pt>
                <c:pt idx="28">
                  <c:v>-8.6602540378444228</c:v>
                </c:pt>
                <c:pt idx="29">
                  <c:v>-8.660254037844501</c:v>
                </c:pt>
                <c:pt idx="30">
                  <c:v>-8.0366702875922513E-13</c:v>
                </c:pt>
                <c:pt idx="31">
                  <c:v>8.6602540378443216</c:v>
                </c:pt>
                <c:pt idx="32">
                  <c:v>8.660254037844819</c:v>
                </c:pt>
                <c:pt idx="33">
                  <c:v>-9.4083595081340121E-13</c:v>
                </c:pt>
                <c:pt idx="34">
                  <c:v>-8.6602540378445685</c:v>
                </c:pt>
                <c:pt idx="35">
                  <c:v>-8.6602540378443535</c:v>
                </c:pt>
                <c:pt idx="36">
                  <c:v>-5.0965308362460604E-13</c:v>
                </c:pt>
                <c:pt idx="37">
                  <c:v>8.6602540378450339</c:v>
                </c:pt>
                <c:pt idx="38">
                  <c:v>8.6602540378441049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210</c:v>
                </c:pt>
                <c:pt idx="1">
                  <c:v>210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0.86602540378444159</c:v>
                </c:pt>
                <c:pt idx="1">
                  <c:v>9.9999999999999911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Spannung / Stromstärke / 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898518426161177E-2"/>
          <c:y val="0.84164438344576964"/>
          <c:w val="0.74177067188956602"/>
          <c:h val="0.1118117997654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hyperlink" Target="#TOC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50</xdr:col>
      <xdr:colOff>412749</xdr:colOff>
      <xdr:row>68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619125" y="650875"/>
          <a:ext cx="1682750" cy="10636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33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19125" y="650875"/>
          <a:ext cx="1670050" cy="1031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127001</xdr:colOff>
      <xdr:row>20</xdr:row>
      <xdr:rowOff>57148</xdr:rowOff>
    </xdr:from>
    <xdr:to>
      <xdr:col>35</xdr:col>
      <xdr:colOff>381000</xdr:colOff>
      <xdr:row>51</xdr:row>
      <xdr:rowOff>80818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10"/>
  <sheetViews>
    <sheetView workbookViewId="0">
      <selection activeCell="C9" sqref="C9"/>
    </sheetView>
  </sheetViews>
  <sheetFormatPr baseColWidth="10" defaultRowHeight="14.5" x14ac:dyDescent="0.35"/>
  <cols>
    <col min="2" max="2" width="12.6328125" customWidth="1"/>
    <col min="3" max="3" width="23.26953125" customWidth="1"/>
  </cols>
  <sheetData>
    <row r="2" spans="2:4" ht="21" x14ac:dyDescent="0.5">
      <c r="B2" s="88" t="s">
        <v>106</v>
      </c>
    </row>
    <row r="5" spans="2:4" x14ac:dyDescent="0.35">
      <c r="B5" s="89">
        <v>45695</v>
      </c>
      <c r="C5" s="90" t="s">
        <v>107</v>
      </c>
    </row>
    <row r="6" spans="2:4" x14ac:dyDescent="0.35">
      <c r="B6" s="89">
        <v>45701</v>
      </c>
      <c r="C6" s="90" t="s">
        <v>108</v>
      </c>
    </row>
    <row r="7" spans="2:4" x14ac:dyDescent="0.35">
      <c r="B7" s="89">
        <v>45701</v>
      </c>
      <c r="C7" s="90" t="s">
        <v>109</v>
      </c>
    </row>
    <row r="8" spans="2:4" x14ac:dyDescent="0.35">
      <c r="B8" s="89">
        <v>45701</v>
      </c>
      <c r="C8" s="90" t="s">
        <v>110</v>
      </c>
    </row>
    <row r="9" spans="2:4" x14ac:dyDescent="0.35">
      <c r="B9" s="89">
        <v>45730</v>
      </c>
      <c r="C9" s="90" t="s">
        <v>111</v>
      </c>
      <c r="D9" s="89"/>
    </row>
    <row r="10" spans="2:4" x14ac:dyDescent="0.35">
      <c r="B10" s="89">
        <v>45737</v>
      </c>
      <c r="C10" s="90" t="s">
        <v>129</v>
      </c>
      <c r="D10" s="89"/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</hyperlink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abSelected="1" topLeftCell="A13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111</v>
      </c>
      <c r="C2" s="44"/>
    </row>
    <row r="5" spans="2:11" ht="18.5" x14ac:dyDescent="0.45">
      <c r="B5" s="91" t="s">
        <v>112</v>
      </c>
      <c r="C5" s="91"/>
      <c r="G5" s="91" t="s">
        <v>113</v>
      </c>
      <c r="H5" s="91"/>
      <c r="I5" s="91"/>
    </row>
    <row r="6" spans="2:11" ht="16.5" x14ac:dyDescent="0.35">
      <c r="B6" s="92" t="s">
        <v>114</v>
      </c>
      <c r="C6" s="92" t="s">
        <v>115</v>
      </c>
      <c r="D6" s="92" t="s">
        <v>116</v>
      </c>
      <c r="E6" s="92" t="s">
        <v>117</v>
      </c>
      <c r="G6" s="92" t="s">
        <v>118</v>
      </c>
      <c r="H6" s="92" t="s">
        <v>119</v>
      </c>
      <c r="I6" s="92" t="s">
        <v>115</v>
      </c>
      <c r="J6" s="92" t="s">
        <v>116</v>
      </c>
      <c r="K6" s="92" t="s">
        <v>117</v>
      </c>
    </row>
    <row r="7" spans="2:11" x14ac:dyDescent="0.35">
      <c r="B7" s="94">
        <v>10</v>
      </c>
      <c r="C7" s="104">
        <f>SQRT(2) * B7</f>
        <v>14.142135623730951</v>
      </c>
      <c r="D7" s="93">
        <f>B7^2</f>
        <v>100</v>
      </c>
      <c r="E7" s="93">
        <f>4*B7</f>
        <v>40</v>
      </c>
      <c r="G7" s="94">
        <v>2</v>
      </c>
      <c r="H7" s="94">
        <v>3</v>
      </c>
      <c r="I7" s="95">
        <f>SQRT(G7^2 + H7^2)</f>
        <v>3.6055512754639891</v>
      </c>
      <c r="J7" s="93">
        <f>G7*H7</f>
        <v>6</v>
      </c>
      <c r="K7" s="93">
        <f>2*(G7+H7)</f>
        <v>10</v>
      </c>
    </row>
    <row r="8" spans="2:11" x14ac:dyDescent="0.35">
      <c r="B8" s="93">
        <f>C8/SQRT(2)</f>
        <v>10.000000000190246</v>
      </c>
      <c r="C8" s="94">
        <v>14.142135624</v>
      </c>
      <c r="D8" s="93">
        <f>C8^2 / 2</f>
        <v>100.00000000380493</v>
      </c>
      <c r="E8" s="93">
        <f>4*B8</f>
        <v>40.000000000760984</v>
      </c>
      <c r="G8" s="94">
        <v>2</v>
      </c>
      <c r="H8" s="93">
        <f>SQRT(I8^2-G8^2)</f>
        <v>3.0000000054516063</v>
      </c>
      <c r="I8" s="94">
        <v>3.6055512799999998</v>
      </c>
      <c r="J8" s="93">
        <f>G8*H8</f>
        <v>6.0000000109032126</v>
      </c>
      <c r="K8" s="93">
        <f t="shared" ref="K8:K11" si="0">2*(G8+H8)</f>
        <v>10.000000010903213</v>
      </c>
    </row>
    <row r="9" spans="2:11" x14ac:dyDescent="0.35">
      <c r="B9" s="93">
        <f>SQRT(D9)</f>
        <v>10</v>
      </c>
      <c r="C9" s="93">
        <f>SQRT(2) * B9</f>
        <v>14.142135623730951</v>
      </c>
      <c r="D9" s="94">
        <v>100</v>
      </c>
      <c r="E9" s="93">
        <f>4*B9</f>
        <v>40</v>
      </c>
      <c r="G9" s="94">
        <v>2</v>
      </c>
      <c r="H9" s="93">
        <f>J9/G9</f>
        <v>3</v>
      </c>
      <c r="I9" s="93">
        <f>SQRT(G9^2 + H9^2)</f>
        <v>3.6055512754639891</v>
      </c>
      <c r="J9" s="94">
        <v>6</v>
      </c>
      <c r="K9" s="93">
        <f t="shared" si="0"/>
        <v>10</v>
      </c>
    </row>
    <row r="10" spans="2:11" x14ac:dyDescent="0.35">
      <c r="B10" s="93">
        <f>E10/4</f>
        <v>10</v>
      </c>
      <c r="C10" s="93">
        <f>SQRT(2) * B10</f>
        <v>14.142135623730951</v>
      </c>
      <c r="D10" s="93">
        <f>B10^2</f>
        <v>100</v>
      </c>
      <c r="E10" s="94">
        <v>40</v>
      </c>
      <c r="G10" s="94">
        <v>2</v>
      </c>
      <c r="H10" s="93">
        <f>(K10/2)-G10</f>
        <v>3</v>
      </c>
      <c r="I10" s="93">
        <f>SQRT(G10^2 + H10^2)</f>
        <v>3.6055512754639891</v>
      </c>
      <c r="J10" s="93">
        <f>G10*H10</f>
        <v>6</v>
      </c>
      <c r="K10" s="94">
        <v>10</v>
      </c>
    </row>
    <row r="11" spans="2:11" x14ac:dyDescent="0.35">
      <c r="G11" s="93">
        <f>SQRT((I11^2 - SQRT(I11^4 - 4*J11^2))/2)</f>
        <v>1.9936428724026451</v>
      </c>
      <c r="H11" s="93">
        <f>J11/G11</f>
        <v>3.0095660978483476</v>
      </c>
      <c r="I11" s="94">
        <v>3.61</v>
      </c>
      <c r="J11" s="94">
        <v>6</v>
      </c>
      <c r="K11" s="93">
        <f t="shared" si="0"/>
        <v>10.006417940501986</v>
      </c>
    </row>
    <row r="12" spans="2:11" x14ac:dyDescent="0.35">
      <c r="G12" s="93">
        <f>SQRT(I12^2 - H12^2)</f>
        <v>1.9841996510276481</v>
      </c>
      <c r="H12" s="93">
        <f>(K12+SQRT(8*I12^2 - K12^2))/4</f>
        <v>3.0158003489723519</v>
      </c>
      <c r="I12" s="94">
        <v>3.61</v>
      </c>
      <c r="J12" s="93">
        <f>G12*H12</f>
        <v>5.9839500000000001</v>
      </c>
      <c r="K12" s="94">
        <v>10</v>
      </c>
    </row>
    <row r="16" spans="2:11" ht="18.5" x14ac:dyDescent="0.45">
      <c r="B16" s="91" t="s">
        <v>120</v>
      </c>
    </row>
    <row r="17" spans="2:8" ht="16.5" x14ac:dyDescent="0.45">
      <c r="B17" s="92" t="s">
        <v>121</v>
      </c>
      <c r="C17" s="92" t="s">
        <v>122</v>
      </c>
      <c r="D17" s="92" t="s">
        <v>123</v>
      </c>
      <c r="E17" s="92" t="s">
        <v>125</v>
      </c>
      <c r="F17" s="92" t="s">
        <v>126</v>
      </c>
      <c r="G17" s="92" t="s">
        <v>127</v>
      </c>
      <c r="H17" s="92" t="s">
        <v>124</v>
      </c>
    </row>
    <row r="18" spans="2:8" x14ac:dyDescent="0.35">
      <c r="B18" s="94">
        <v>10</v>
      </c>
      <c r="C18" s="94">
        <v>180</v>
      </c>
      <c r="D18" s="93">
        <f>2*B18</f>
        <v>20</v>
      </c>
      <c r="E18" s="96">
        <f>B18^2*PI()</f>
        <v>314.15926535897933</v>
      </c>
      <c r="F18" s="96">
        <f>2*B18*PI()</f>
        <v>62.831853071795862</v>
      </c>
      <c r="G18" s="96">
        <f>E18*C18/360</f>
        <v>157.07963267948966</v>
      </c>
      <c r="H18" s="96">
        <f>F18*C18/360</f>
        <v>31.415926535897931</v>
      </c>
    </row>
    <row r="19" spans="2:8" x14ac:dyDescent="0.35">
      <c r="B19" s="93">
        <f>D19/2</f>
        <v>10</v>
      </c>
      <c r="C19" s="94">
        <v>180</v>
      </c>
      <c r="D19" s="94">
        <v>20</v>
      </c>
      <c r="E19" s="93">
        <f>B19^2*PI()</f>
        <v>314.15926535897933</v>
      </c>
      <c r="F19" s="93">
        <f>2*B19*PI()</f>
        <v>62.831853071795862</v>
      </c>
      <c r="G19" s="93">
        <f>E19*C19/360</f>
        <v>157.07963267948966</v>
      </c>
      <c r="H19" s="93">
        <f>F19*C19/360</f>
        <v>31.415926535897931</v>
      </c>
    </row>
    <row r="20" spans="2:8" x14ac:dyDescent="0.35">
      <c r="B20" s="93">
        <f>SQRT(E20/PI())</f>
        <v>10.000000000652864</v>
      </c>
      <c r="C20" s="94">
        <v>180</v>
      </c>
      <c r="D20" s="93">
        <f>2*B20</f>
        <v>20.000000001305729</v>
      </c>
      <c r="E20" s="94">
        <v>314.15926539999998</v>
      </c>
      <c r="F20" s="93">
        <f>2*B20*PI()</f>
        <v>62.831853075897932</v>
      </c>
      <c r="G20" s="93">
        <f>E20*C20/360</f>
        <v>157.07963269999999</v>
      </c>
      <c r="H20" s="93">
        <f>F20*C20/360</f>
        <v>31.415926537948966</v>
      </c>
    </row>
    <row r="21" spans="2:8" x14ac:dyDescent="0.35">
      <c r="B21" s="93">
        <f>D21/2</f>
        <v>9.9999999997141806</v>
      </c>
      <c r="C21" s="94">
        <v>180</v>
      </c>
      <c r="D21" s="93">
        <f>F21/PI()</f>
        <v>19.999999999428361</v>
      </c>
      <c r="E21" s="93">
        <f>B21^2*PI()</f>
        <v>314.15926534102073</v>
      </c>
      <c r="F21" s="94">
        <v>62.831853070000001</v>
      </c>
      <c r="G21" s="93">
        <f>E21*C21/360</f>
        <v>157.07963267051036</v>
      </c>
      <c r="H21" s="93">
        <f>F21*C21/360</f>
        <v>31.415926535000001</v>
      </c>
    </row>
    <row r="22" spans="2:8" x14ac:dyDescent="0.35">
      <c r="B22" s="94">
        <v>10</v>
      </c>
      <c r="C22" s="93">
        <f>360/(F22/H22)</f>
        <v>179.99999999485524</v>
      </c>
      <c r="D22" s="93">
        <f>2*B22</f>
        <v>20</v>
      </c>
      <c r="E22" s="93">
        <f t="shared" ref="E22:E25" si="1">B22^2*PI()</f>
        <v>314.15926535897933</v>
      </c>
      <c r="F22" s="93">
        <f t="shared" ref="F22:F25" si="2">2*B22*PI()</f>
        <v>62.831853071795862</v>
      </c>
      <c r="G22" s="93">
        <f t="shared" ref="G22:G23" si="3">E22*C22/360</f>
        <v>157.07963267500003</v>
      </c>
      <c r="H22" s="94">
        <v>31.415926535000001</v>
      </c>
    </row>
    <row r="23" spans="2:8" x14ac:dyDescent="0.35">
      <c r="B23" s="93">
        <f>D23/2</f>
        <v>10</v>
      </c>
      <c r="C23" s="93">
        <f>360/(F23/H23)</f>
        <v>179.99999999485524</v>
      </c>
      <c r="D23" s="94">
        <v>20</v>
      </c>
      <c r="E23" s="93">
        <f t="shared" si="1"/>
        <v>314.15926535897933</v>
      </c>
      <c r="F23" s="93">
        <f t="shared" si="2"/>
        <v>62.831853071795862</v>
      </c>
      <c r="G23" s="93">
        <f t="shared" si="3"/>
        <v>157.07963267500003</v>
      </c>
      <c r="H23" s="94">
        <v>31.415926535000001</v>
      </c>
    </row>
    <row r="24" spans="2:8" x14ac:dyDescent="0.35">
      <c r="B24" s="94">
        <v>10</v>
      </c>
      <c r="C24" s="93">
        <f>360/(E24/G24)</f>
        <v>179.99999999485527</v>
      </c>
      <c r="D24" s="93">
        <f>2*B24</f>
        <v>20</v>
      </c>
      <c r="E24" s="93">
        <f t="shared" si="1"/>
        <v>314.15926535897933</v>
      </c>
      <c r="F24" s="93">
        <f t="shared" si="2"/>
        <v>62.831853071795862</v>
      </c>
      <c r="G24" s="94">
        <v>157.07963267500003</v>
      </c>
      <c r="H24" s="93">
        <f t="shared" ref="H24:H25" si="4">F24*C24/360</f>
        <v>31.415926535000008</v>
      </c>
    </row>
    <row r="25" spans="2:8" x14ac:dyDescent="0.35">
      <c r="B25" s="93">
        <f>D25/2</f>
        <v>10</v>
      </c>
      <c r="C25" s="93">
        <f>360/(E25/G25)</f>
        <v>179.99999999485527</v>
      </c>
      <c r="D25" s="94">
        <v>20</v>
      </c>
      <c r="E25" s="93">
        <f t="shared" si="1"/>
        <v>314.15926535897933</v>
      </c>
      <c r="F25" s="93">
        <f t="shared" si="2"/>
        <v>62.831853071795862</v>
      </c>
      <c r="G25" s="94">
        <v>157.07963267500003</v>
      </c>
      <c r="H25" s="93">
        <f t="shared" si="4"/>
        <v>31.415926535000008</v>
      </c>
    </row>
    <row r="29" spans="2:8" ht="18.5" x14ac:dyDescent="0.45">
      <c r="B29" s="91" t="s">
        <v>131</v>
      </c>
    </row>
    <row r="30" spans="2:8" x14ac:dyDescent="0.35">
      <c r="B30" s="92" t="s">
        <v>136</v>
      </c>
      <c r="C30" s="92" t="s">
        <v>135</v>
      </c>
      <c r="D30" s="92" t="s">
        <v>132</v>
      </c>
      <c r="E30" s="144" t="s">
        <v>133</v>
      </c>
      <c r="F30" s="145" t="s">
        <v>134</v>
      </c>
      <c r="G30" s="144" t="s">
        <v>137</v>
      </c>
    </row>
    <row r="31" spans="2:8" x14ac:dyDescent="0.35">
      <c r="B31" s="94"/>
      <c r="C31" s="94"/>
      <c r="D31" s="146"/>
      <c r="E31" s="146"/>
      <c r="F31" s="146"/>
      <c r="G31" s="146"/>
    </row>
    <row r="32" spans="2:8" x14ac:dyDescent="0.35">
      <c r="B32" s="94"/>
      <c r="C32" s="93"/>
      <c r="D32" s="94"/>
      <c r="E32" s="93"/>
      <c r="F32" s="93"/>
      <c r="G32" s="93"/>
    </row>
    <row r="33" spans="2:7" x14ac:dyDescent="0.35">
      <c r="B33" s="94"/>
      <c r="C33" s="93"/>
      <c r="D33" s="93"/>
      <c r="E33" s="94"/>
      <c r="F33" s="93"/>
      <c r="G33" s="93"/>
    </row>
    <row r="34" spans="2:7" x14ac:dyDescent="0.35">
      <c r="B34" s="94"/>
      <c r="C34" s="93"/>
      <c r="D34" s="93"/>
      <c r="E34" s="93"/>
      <c r="F34" s="94"/>
      <c r="G34" s="93"/>
    </row>
    <row r="35" spans="2:7" x14ac:dyDescent="0.35">
      <c r="B35" s="94"/>
      <c r="C35" s="93"/>
      <c r="D35" s="93"/>
      <c r="E35" s="93"/>
      <c r="F35" s="93"/>
      <c r="G35" s="94"/>
    </row>
    <row r="36" spans="2:7" x14ac:dyDescent="0.35">
      <c r="B36" s="93"/>
      <c r="C36" s="94"/>
      <c r="D36" s="94"/>
      <c r="E36" s="93"/>
      <c r="F36" s="93"/>
      <c r="G36" s="93"/>
    </row>
    <row r="37" spans="2:7" x14ac:dyDescent="0.35">
      <c r="B37" s="93"/>
      <c r="C37" s="94"/>
      <c r="D37" s="93"/>
      <c r="E37" s="94"/>
      <c r="F37" s="93"/>
      <c r="G37" s="93"/>
    </row>
    <row r="38" spans="2:7" x14ac:dyDescent="0.35">
      <c r="B38" s="93"/>
      <c r="C38" s="94"/>
      <c r="D38" s="93"/>
      <c r="E38" s="93"/>
      <c r="F38" s="94"/>
      <c r="G38" s="93"/>
    </row>
    <row r="39" spans="2:7" x14ac:dyDescent="0.35">
      <c r="B39" s="93"/>
      <c r="C39" s="94"/>
      <c r="D39" s="93"/>
      <c r="E39" s="93"/>
      <c r="F39" s="93"/>
      <c r="G39" s="94"/>
    </row>
    <row r="40" spans="2:7" x14ac:dyDescent="0.35">
      <c r="B40" s="93"/>
      <c r="C40" s="93"/>
      <c r="D40" s="94"/>
      <c r="E40" s="94"/>
      <c r="F40" s="93"/>
      <c r="G40" s="93"/>
    </row>
    <row r="41" spans="2:7" x14ac:dyDescent="0.35">
      <c r="B41" s="93"/>
      <c r="C41" s="93"/>
      <c r="D41" s="94"/>
      <c r="E41" s="93"/>
      <c r="F41" s="94"/>
      <c r="G41" s="93"/>
    </row>
    <row r="42" spans="2:7" x14ac:dyDescent="0.35">
      <c r="B42" s="93"/>
      <c r="C42" s="93"/>
      <c r="D42" s="94"/>
      <c r="E42" s="93"/>
      <c r="F42" s="93"/>
      <c r="G42" s="94"/>
    </row>
    <row r="43" spans="2:7" x14ac:dyDescent="0.35">
      <c r="B43" s="147"/>
      <c r="C43" s="147"/>
      <c r="D43" s="147"/>
      <c r="E43" s="94"/>
      <c r="F43" s="94"/>
      <c r="G43" s="147"/>
    </row>
    <row r="44" spans="2:7" x14ac:dyDescent="0.35">
      <c r="B44" s="93"/>
      <c r="C44" s="93"/>
      <c r="D44" s="93"/>
      <c r="E44" s="94"/>
      <c r="F44" s="93"/>
      <c r="G44" s="94"/>
    </row>
    <row r="45" spans="2:7" x14ac:dyDescent="0.35">
      <c r="B45" s="93"/>
      <c r="C45" s="93"/>
      <c r="D45" s="93"/>
      <c r="E45" s="93"/>
      <c r="F45" s="94"/>
      <c r="G45" s="94"/>
    </row>
  </sheetData>
  <pageMargins left="0.7" right="0.7" top="0.78740157499999996" bottom="0.78740157499999996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>
      <selection activeCell="B2" sqref="B2"/>
    </sheetView>
  </sheetViews>
  <sheetFormatPr baseColWidth="10" defaultRowHeight="14.5" x14ac:dyDescent="0.35"/>
  <cols>
    <col min="2" max="2" width="26.90625" customWidth="1"/>
    <col min="8" max="8" width="13.179687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 t="shared" ref="D7:F7" si="0">D5/D4</f>
        <v>9.9499999999999993</v>
      </c>
      <c r="E7" s="3">
        <f t="shared" si="0"/>
        <v>10.016666666666667</v>
      </c>
      <c r="F7" s="3">
        <f t="shared" si="0"/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109" t="s">
        <v>26</v>
      </c>
      <c r="D4" s="110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111" t="s">
        <v>27</v>
      </c>
      <c r="D5" s="112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107" t="s">
        <v>1</v>
      </c>
      <c r="D8" s="108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105" t="s">
        <v>24</v>
      </c>
      <c r="D9" s="105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 t="shared" ref="Z9" si="1">Y9+$E$8</f>
        <v>21</v>
      </c>
      <c r="AA9" s="27">
        <f t="shared" ref="AA9" si="2">Z9+$E$8</f>
        <v>22</v>
      </c>
    </row>
    <row r="10" spans="2:27" x14ac:dyDescent="0.35">
      <c r="C10" s="106" t="s">
        <v>29</v>
      </c>
      <c r="D10" s="106"/>
      <c r="E10" s="5">
        <f t="shared" ref="E10:Y10" si="3">$E$4*E9+$E$5</f>
        <v>10</v>
      </c>
      <c r="F10" s="5">
        <f t="shared" si="3"/>
        <v>12</v>
      </c>
      <c r="G10" s="5">
        <f t="shared" si="3"/>
        <v>14</v>
      </c>
      <c r="H10" s="5">
        <f t="shared" si="3"/>
        <v>16</v>
      </c>
      <c r="I10" s="5">
        <f t="shared" si="3"/>
        <v>18</v>
      </c>
      <c r="J10" s="5">
        <f t="shared" si="3"/>
        <v>20</v>
      </c>
      <c r="K10" s="5">
        <f t="shared" si="3"/>
        <v>22</v>
      </c>
      <c r="L10" s="5">
        <f t="shared" si="3"/>
        <v>24</v>
      </c>
      <c r="M10" s="5">
        <f t="shared" si="3"/>
        <v>26</v>
      </c>
      <c r="N10" s="5">
        <f t="shared" si="3"/>
        <v>28</v>
      </c>
      <c r="O10" s="5">
        <f t="shared" si="3"/>
        <v>30</v>
      </c>
      <c r="P10" s="5">
        <f t="shared" si="3"/>
        <v>32</v>
      </c>
      <c r="Q10" s="5">
        <f t="shared" si="3"/>
        <v>34</v>
      </c>
      <c r="R10" s="5">
        <f t="shared" si="3"/>
        <v>36</v>
      </c>
      <c r="S10" s="5">
        <f t="shared" si="3"/>
        <v>38</v>
      </c>
      <c r="T10" s="5">
        <f t="shared" si="3"/>
        <v>40</v>
      </c>
      <c r="U10" s="5">
        <f t="shared" si="3"/>
        <v>42</v>
      </c>
      <c r="V10" s="5">
        <f t="shared" si="3"/>
        <v>44</v>
      </c>
      <c r="W10" s="5">
        <f t="shared" si="3"/>
        <v>46</v>
      </c>
      <c r="X10" s="5">
        <f t="shared" si="3"/>
        <v>48</v>
      </c>
      <c r="Y10" s="5">
        <f t="shared" si="3"/>
        <v>50</v>
      </c>
      <c r="Z10" s="5">
        <f t="shared" ref="Z10:AA10" si="4">$E$4*Z9+$E$5</f>
        <v>52</v>
      </c>
      <c r="AA10" s="5">
        <f t="shared" si="4"/>
        <v>54</v>
      </c>
    </row>
    <row r="11" spans="2:27" ht="16.5" x14ac:dyDescent="0.35">
      <c r="C11" s="106" t="s">
        <v>56</v>
      </c>
      <c r="D11" s="106"/>
      <c r="E11" s="5">
        <f t="shared" ref="E11:Y11" si="5">$E$4/2 * E9^2 + $E$5*E9</f>
        <v>0</v>
      </c>
      <c r="F11" s="5">
        <f t="shared" si="5"/>
        <v>11</v>
      </c>
      <c r="G11" s="5">
        <f t="shared" si="5"/>
        <v>24</v>
      </c>
      <c r="H11" s="5">
        <f t="shared" si="5"/>
        <v>39</v>
      </c>
      <c r="I11" s="5">
        <f t="shared" si="5"/>
        <v>56</v>
      </c>
      <c r="J11" s="5">
        <f t="shared" si="5"/>
        <v>75</v>
      </c>
      <c r="K11" s="5">
        <f t="shared" si="5"/>
        <v>96</v>
      </c>
      <c r="L11" s="5">
        <f t="shared" si="5"/>
        <v>119</v>
      </c>
      <c r="M11" s="5">
        <f t="shared" si="5"/>
        <v>144</v>
      </c>
      <c r="N11" s="5">
        <f t="shared" si="5"/>
        <v>171</v>
      </c>
      <c r="O11" s="5">
        <f t="shared" si="5"/>
        <v>200</v>
      </c>
      <c r="P11" s="5">
        <f t="shared" si="5"/>
        <v>231</v>
      </c>
      <c r="Q11" s="5">
        <f t="shared" si="5"/>
        <v>264</v>
      </c>
      <c r="R11" s="5">
        <f t="shared" si="5"/>
        <v>299</v>
      </c>
      <c r="S11" s="5">
        <f t="shared" si="5"/>
        <v>336</v>
      </c>
      <c r="T11" s="5">
        <f t="shared" si="5"/>
        <v>375</v>
      </c>
      <c r="U11" s="5">
        <f t="shared" si="5"/>
        <v>416</v>
      </c>
      <c r="V11" s="5">
        <f t="shared" si="5"/>
        <v>459</v>
      </c>
      <c r="W11" s="5">
        <f t="shared" si="5"/>
        <v>504</v>
      </c>
      <c r="X11" s="5">
        <f t="shared" si="5"/>
        <v>551</v>
      </c>
      <c r="Y11" s="5">
        <f t="shared" si="5"/>
        <v>600</v>
      </c>
      <c r="Z11" s="5">
        <f t="shared" ref="Z11:AA11" si="6">$E$4/2 * Z9^2 + $E$5*Z9</f>
        <v>651</v>
      </c>
      <c r="AA11" s="5">
        <f t="shared" si="6"/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topLeftCell="A5" zoomScale="55" zoomScaleNormal="55" workbookViewId="0">
      <selection activeCell="D8" sqref="D8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85" t="s">
        <v>105</v>
      </c>
    </row>
    <row r="5" spans="1:19" ht="15" thickBot="1" x14ac:dyDescent="0.4"/>
    <row r="6" spans="1:19" ht="29" customHeight="1" thickBot="1" x14ac:dyDescent="0.4">
      <c r="C6" s="121" t="str">
        <f>$O$8</f>
        <v>Anfangs-Geschwindigkeit</v>
      </c>
      <c r="D6" s="122"/>
      <c r="E6" s="125" t="str">
        <f>$O$9</f>
        <v>Geschwindigkeit</v>
      </c>
      <c r="F6" s="122"/>
      <c r="G6" s="125" t="str">
        <f>$O$10</f>
        <v>Strecke</v>
      </c>
      <c r="H6" s="122"/>
      <c r="I6" s="125" t="str">
        <f>$O$11</f>
        <v>Zeit</v>
      </c>
      <c r="J6" s="122"/>
      <c r="K6" s="125" t="str">
        <f>$O$12</f>
        <v>Beschleunigung</v>
      </c>
      <c r="L6" s="126"/>
    </row>
    <row r="7" spans="1:19" ht="15" thickBot="1" x14ac:dyDescent="0.4">
      <c r="B7" s="28" t="s">
        <v>43</v>
      </c>
      <c r="C7" s="123" t="str">
        <f>$P$8</f>
        <v>v0 [m/s]</v>
      </c>
      <c r="D7" s="124"/>
      <c r="E7" s="127" t="str">
        <f>$P$9</f>
        <v>v [m/s]</v>
      </c>
      <c r="F7" s="124"/>
      <c r="G7" s="127" t="str">
        <f>$P$10</f>
        <v>s [m]</v>
      </c>
      <c r="H7" s="124"/>
      <c r="I7" s="127" t="str">
        <f>$P$11</f>
        <v>t [s]</v>
      </c>
      <c r="J7" s="124"/>
      <c r="K7" s="127" t="str">
        <f>$P$12</f>
        <v>a [m/s2]</v>
      </c>
      <c r="L7" s="128"/>
      <c r="O7" s="80"/>
      <c r="S7" s="63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129">
        <v>119</v>
      </c>
      <c r="H8" s="134"/>
      <c r="I8" s="129">
        <v>7</v>
      </c>
      <c r="J8" s="134"/>
      <c r="K8" s="129">
        <v>2</v>
      </c>
      <c r="L8" s="130"/>
      <c r="N8" s="86" t="s">
        <v>104</v>
      </c>
      <c r="O8" s="80" t="s">
        <v>94</v>
      </c>
      <c r="P8" s="80" t="s">
        <v>95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6" t="s">
        <v>57</v>
      </c>
      <c r="D9" s="31">
        <f>E9-K9*I9</f>
        <v>10</v>
      </c>
      <c r="E9" s="131">
        <v>24</v>
      </c>
      <c r="F9" s="135"/>
      <c r="G9" s="31" t="s">
        <v>83</v>
      </c>
      <c r="H9" s="31">
        <f>E9*I9 - K9*I9^2/2</f>
        <v>119</v>
      </c>
      <c r="I9" s="131">
        <v>7</v>
      </c>
      <c r="J9" s="135"/>
      <c r="K9" s="131">
        <v>2</v>
      </c>
      <c r="L9" s="132"/>
      <c r="N9" s="86" t="s">
        <v>104</v>
      </c>
      <c r="O9" s="80" t="s">
        <v>37</v>
      </c>
      <c r="P9" s="80" t="s">
        <v>41</v>
      </c>
      <c r="Q9" s="52">
        <f>IF(N9=$Q$3,2,0)</f>
        <v>2</v>
      </c>
      <c r="R9" s="52"/>
      <c r="S9" s="74"/>
    </row>
    <row r="10" spans="1:19" ht="38" customHeight="1" x14ac:dyDescent="0.35">
      <c r="A10">
        <v>22</v>
      </c>
      <c r="B10" s="30" t="s">
        <v>46</v>
      </c>
      <c r="C10" s="77" t="s">
        <v>86</v>
      </c>
      <c r="D10" s="31">
        <f>SQRT(E10^2 - 2*K10*G10)</f>
        <v>10</v>
      </c>
      <c r="E10" s="131">
        <v>24</v>
      </c>
      <c r="F10" s="135"/>
      <c r="G10" s="131">
        <v>119</v>
      </c>
      <c r="H10" s="135"/>
      <c r="I10" s="31" t="s">
        <v>84</v>
      </c>
      <c r="J10" s="31">
        <f>(E10 - SQRT(E10^2 - 2*K10*G10))/K10</f>
        <v>7</v>
      </c>
      <c r="K10" s="131">
        <v>2</v>
      </c>
      <c r="L10" s="132"/>
      <c r="N10" s="86" t="s">
        <v>104</v>
      </c>
      <c r="O10" s="80" t="s">
        <v>38</v>
      </c>
      <c r="P10" s="80" t="s">
        <v>42</v>
      </c>
      <c r="Q10" s="52">
        <f>IF(N10=$Q$3,4,0)</f>
        <v>4</v>
      </c>
      <c r="R10" s="74"/>
      <c r="S10" s="74"/>
    </row>
    <row r="11" spans="1:19" ht="38" customHeight="1" x14ac:dyDescent="0.35">
      <c r="A11">
        <v>14</v>
      </c>
      <c r="B11" s="30" t="s">
        <v>47</v>
      </c>
      <c r="C11" s="77" t="s">
        <v>87</v>
      </c>
      <c r="D11" s="31">
        <f>2*G11/I11 - E11</f>
        <v>10</v>
      </c>
      <c r="E11" s="131">
        <v>24</v>
      </c>
      <c r="F11" s="135"/>
      <c r="G11" s="131">
        <v>119</v>
      </c>
      <c r="H11" s="135"/>
      <c r="I11" s="131">
        <v>7</v>
      </c>
      <c r="J11" s="135"/>
      <c r="K11" s="31" t="s">
        <v>85</v>
      </c>
      <c r="L11" s="45">
        <f xml:space="preserve"> 2/I11 * (E11 - G11/I11)</f>
        <v>2</v>
      </c>
      <c r="N11" s="86" t="s">
        <v>105</v>
      </c>
      <c r="O11" s="80" t="s">
        <v>39</v>
      </c>
      <c r="P11" s="80" t="s">
        <v>24</v>
      </c>
      <c r="Q11" s="52">
        <f>IF(N11=$Q$3,8,0)</f>
        <v>0</v>
      </c>
      <c r="R11" s="74"/>
      <c r="S11" s="74"/>
    </row>
    <row r="12" spans="1:19" s="34" customFormat="1" ht="38" customHeight="1" x14ac:dyDescent="0.35">
      <c r="A12" s="34">
        <v>25</v>
      </c>
      <c r="B12" s="30" t="s">
        <v>48</v>
      </c>
      <c r="C12" s="137">
        <v>10</v>
      </c>
      <c r="D12" s="135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131">
        <v>7</v>
      </c>
      <c r="J12" s="135"/>
      <c r="K12" s="131">
        <v>2</v>
      </c>
      <c r="L12" s="132"/>
      <c r="N12" s="86" t="s">
        <v>105</v>
      </c>
      <c r="O12" s="80" t="s">
        <v>40</v>
      </c>
      <c r="P12" s="80" t="s">
        <v>65</v>
      </c>
      <c r="Q12" s="52">
        <f>IF(N12=$Q$3,16,0)</f>
        <v>0</v>
      </c>
      <c r="R12" s="74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137">
        <v>10</v>
      </c>
      <c r="D13" s="135"/>
      <c r="E13" s="31" t="s">
        <v>88</v>
      </c>
      <c r="F13" s="31">
        <f>SQRT(C13^2 + 2*K13*G13)</f>
        <v>24</v>
      </c>
      <c r="G13" s="131">
        <v>119</v>
      </c>
      <c r="H13" s="135"/>
      <c r="I13" s="37" t="s">
        <v>62</v>
      </c>
      <c r="J13" s="31">
        <f xml:space="preserve"> (-C13 + SQRT(C13^2 + 2*K13*G13))/K13</f>
        <v>7</v>
      </c>
      <c r="K13" s="133">
        <v>2</v>
      </c>
      <c r="L13" s="132"/>
      <c r="O13" s="80" t="s">
        <v>97</v>
      </c>
      <c r="P13" s="81" t="s">
        <v>103</v>
      </c>
    </row>
    <row r="14" spans="1:19" ht="38" customHeight="1" x14ac:dyDescent="0.35">
      <c r="A14">
        <v>13</v>
      </c>
      <c r="B14" s="30" t="s">
        <v>49</v>
      </c>
      <c r="C14" s="137">
        <v>10</v>
      </c>
      <c r="D14" s="135"/>
      <c r="E14" s="31" t="s">
        <v>89</v>
      </c>
      <c r="F14" s="31">
        <f>2*G14/I14 - C14</f>
        <v>24</v>
      </c>
      <c r="G14" s="131">
        <v>119</v>
      </c>
      <c r="H14" s="135"/>
      <c r="I14" s="131">
        <v>7</v>
      </c>
      <c r="J14" s="136"/>
      <c r="K14" s="87" t="s">
        <v>61</v>
      </c>
      <c r="L14" s="45">
        <f>2*((G14-C14*I14)/I14^2)</f>
        <v>2</v>
      </c>
      <c r="O14" s="80" t="s">
        <v>98</v>
      </c>
      <c r="P14" s="81" t="s">
        <v>102</v>
      </c>
    </row>
    <row r="15" spans="1:19" ht="38" customHeight="1" x14ac:dyDescent="0.35">
      <c r="A15">
        <v>19</v>
      </c>
      <c r="B15" s="30" t="s">
        <v>51</v>
      </c>
      <c r="C15" s="137">
        <v>10</v>
      </c>
      <c r="D15" s="135"/>
      <c r="E15" s="131">
        <v>24</v>
      </c>
      <c r="F15" s="135"/>
      <c r="G15" s="31" t="s">
        <v>90</v>
      </c>
      <c r="H15" s="31">
        <f>(E15^2 - C15^2)/(2*K15)</f>
        <v>119</v>
      </c>
      <c r="I15" s="78" t="s">
        <v>59</v>
      </c>
      <c r="J15" s="31">
        <f>(E15-C15)/K15</f>
        <v>7</v>
      </c>
      <c r="K15" s="131">
        <v>2</v>
      </c>
      <c r="L15" s="132"/>
      <c r="O15" s="80" t="s">
        <v>99</v>
      </c>
      <c r="P15" s="81" t="s">
        <v>100</v>
      </c>
    </row>
    <row r="16" spans="1:19" ht="38" customHeight="1" x14ac:dyDescent="0.35">
      <c r="A16">
        <v>11</v>
      </c>
      <c r="B16" s="30" t="s">
        <v>52</v>
      </c>
      <c r="C16" s="137">
        <v>10</v>
      </c>
      <c r="D16" s="135"/>
      <c r="E16" s="131">
        <v>24</v>
      </c>
      <c r="F16" s="135"/>
      <c r="G16" s="31" t="s">
        <v>91</v>
      </c>
      <c r="H16" s="31">
        <f>(C16+E16)*I16/2</f>
        <v>119</v>
      </c>
      <c r="I16" s="131">
        <v>7</v>
      </c>
      <c r="J16" s="135"/>
      <c r="K16" s="78" t="s">
        <v>58</v>
      </c>
      <c r="L16" s="45">
        <f>(E16-C16)/I16</f>
        <v>2</v>
      </c>
      <c r="O16" s="80" t="s">
        <v>39</v>
      </c>
      <c r="P16" s="81" t="s">
        <v>24</v>
      </c>
    </row>
    <row r="17" spans="1:16" ht="38" customHeight="1" thickBot="1" x14ac:dyDescent="0.4">
      <c r="A17">
        <v>7</v>
      </c>
      <c r="B17" s="79" t="s">
        <v>53</v>
      </c>
      <c r="C17" s="139">
        <v>10</v>
      </c>
      <c r="D17" s="138"/>
      <c r="E17" s="133">
        <v>24</v>
      </c>
      <c r="F17" s="138"/>
      <c r="G17" s="133">
        <v>119</v>
      </c>
      <c r="H17" s="138"/>
      <c r="I17" s="83" t="s">
        <v>92</v>
      </c>
      <c r="J17" s="83">
        <f>2*G17/(C17+E17)</f>
        <v>7</v>
      </c>
      <c r="K17" s="83" t="s">
        <v>93</v>
      </c>
      <c r="L17" s="84">
        <f>(E17^2 - C17^2)/(2*G17)</f>
        <v>2</v>
      </c>
      <c r="O17" s="80" t="s">
        <v>96</v>
      </c>
      <c r="P17" s="81" t="s">
        <v>101</v>
      </c>
    </row>
    <row r="18" spans="1:16" ht="15" thickBot="1" x14ac:dyDescent="0.4">
      <c r="B18" s="82" t="s">
        <v>43</v>
      </c>
      <c r="C18" s="117" t="str">
        <f>P13</f>
        <v>ω0 [rad/s]</v>
      </c>
      <c r="D18" s="118"/>
      <c r="E18" s="119" t="str">
        <f>P14</f>
        <v>ω [rad/s]</v>
      </c>
      <c r="F18" s="118"/>
      <c r="G18" s="119" t="str">
        <f>P15</f>
        <v>φ [rad]</v>
      </c>
      <c r="H18" s="118"/>
      <c r="I18" s="119" t="str">
        <f>P16</f>
        <v>t [s]</v>
      </c>
      <c r="J18" s="118"/>
      <c r="K18" s="119" t="str">
        <f>P17</f>
        <v>α [rad/s2]</v>
      </c>
      <c r="L18" s="120"/>
    </row>
    <row r="19" spans="1:16" ht="29" customHeight="1" thickBot="1" x14ac:dyDescent="0.4">
      <c r="C19" s="113" t="str">
        <f>O13</f>
        <v>Anfangs-Winkelgeschwindigkeit</v>
      </c>
      <c r="D19" s="114"/>
      <c r="E19" s="115" t="str">
        <f>O14</f>
        <v>Winkelgeschwindigkeit</v>
      </c>
      <c r="F19" s="114"/>
      <c r="G19" s="115" t="str">
        <f>O15</f>
        <v>Winkel</v>
      </c>
      <c r="H19" s="114"/>
      <c r="I19" s="115" t="str">
        <f>O16</f>
        <v>Zeit</v>
      </c>
      <c r="J19" s="114"/>
      <c r="K19" s="115" t="str">
        <f>O17</f>
        <v>Winkelbeschleunigung</v>
      </c>
      <c r="L19" s="116"/>
    </row>
  </sheetData>
  <mergeCells count="50">
    <mergeCell ref="G17:H17"/>
    <mergeCell ref="E16:F16"/>
    <mergeCell ref="E17:F17"/>
    <mergeCell ref="C17:D17"/>
    <mergeCell ref="I16:J16"/>
    <mergeCell ref="G8:H8"/>
    <mergeCell ref="G10:H10"/>
    <mergeCell ref="G11:H11"/>
    <mergeCell ref="G13:H13"/>
    <mergeCell ref="G14:H14"/>
    <mergeCell ref="C12:D12"/>
    <mergeCell ref="C13:D13"/>
    <mergeCell ref="C14:D14"/>
    <mergeCell ref="C15:D15"/>
    <mergeCell ref="C16:D16"/>
    <mergeCell ref="E9:F9"/>
    <mergeCell ref="E10:F10"/>
    <mergeCell ref="E11:F11"/>
    <mergeCell ref="E15:F15"/>
    <mergeCell ref="K15:L15"/>
    <mergeCell ref="I8:J8"/>
    <mergeCell ref="I9:J9"/>
    <mergeCell ref="I11:J11"/>
    <mergeCell ref="I12:J12"/>
    <mergeCell ref="I14:J14"/>
    <mergeCell ref="K8:L8"/>
    <mergeCell ref="K9:L9"/>
    <mergeCell ref="K10:L10"/>
    <mergeCell ref="K12:L12"/>
    <mergeCell ref="K13:L13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C18:D18"/>
    <mergeCell ref="E18:F18"/>
    <mergeCell ref="G18:H18"/>
    <mergeCell ref="I18:J18"/>
    <mergeCell ref="K18:L18"/>
    <mergeCell ref="C19:D19"/>
    <mergeCell ref="E19:F19"/>
    <mergeCell ref="G19:H19"/>
    <mergeCell ref="I19:J19"/>
    <mergeCell ref="K19:L19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52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AY21"/>
  <sheetViews>
    <sheetView showGridLines="0" zoomScale="40" zoomScaleNormal="40" workbookViewId="0">
      <selection activeCell="K13" sqref="K13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68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MAX(K14:K20)</f>
        <v>0.33333333333333331</v>
      </c>
      <c r="U5" s="5"/>
      <c r="V5" s="5"/>
      <c r="W5" s="5">
        <f>K12</f>
        <v>270</v>
      </c>
      <c r="X5" s="5">
        <f>W5</f>
        <v>270</v>
      </c>
    </row>
    <row r="6" spans="3:51" x14ac:dyDescent="0.35">
      <c r="R6" s="5"/>
      <c r="S6" s="19" t="s">
        <v>79</v>
      </c>
      <c r="T6" s="55">
        <f>MIN(K14:K20)</f>
        <v>-1</v>
      </c>
      <c r="U6" s="5"/>
      <c r="V6" s="5"/>
      <c r="W6" s="5">
        <v>0</v>
      </c>
      <c r="X6" s="5">
        <f>T7</f>
        <v>-1</v>
      </c>
    </row>
    <row r="7" spans="3:51" x14ac:dyDescent="0.35">
      <c r="R7" s="106" t="s">
        <v>81</v>
      </c>
      <c r="S7" s="106"/>
      <c r="T7" s="5">
        <f>IF(ABS(T5)&gt;ABS(T6),T5,T6)</f>
        <v>-1</v>
      </c>
      <c r="U7" s="5"/>
      <c r="V7" s="5"/>
      <c r="W7" s="5"/>
      <c r="X7" s="5"/>
      <c r="AI7" s="5" t="s">
        <v>72</v>
      </c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40"/>
      <c r="D11" s="140"/>
      <c r="E11" s="140"/>
      <c r="F11" s="140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41" t="s">
        <v>67</v>
      </c>
      <c r="D12" s="141"/>
      <c r="E12" s="141"/>
      <c r="F12" s="141"/>
      <c r="G12" s="47"/>
      <c r="H12" s="47"/>
      <c r="J12" s="57" t="s">
        <v>70</v>
      </c>
      <c r="K12" s="38">
        <v>270</v>
      </c>
      <c r="L12" s="142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4.7123889803846897</v>
      </c>
      <c r="L13" s="143"/>
      <c r="M13" s="64">
        <f>PI()*M12/180</f>
        <v>0</v>
      </c>
      <c r="N13" s="64">
        <f t="shared" ref="N13:AY13" si="2">PI()*N12/180</f>
        <v>0.26179938779914941</v>
      </c>
      <c r="O13" s="64">
        <f t="shared" si="2"/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1</v>
      </c>
      <c r="D14" s="42">
        <v>1</v>
      </c>
      <c r="E14" s="42">
        <v>0</v>
      </c>
      <c r="F14" s="73">
        <f>PI()*E14/180</f>
        <v>0</v>
      </c>
      <c r="G14" s="56"/>
      <c r="H14" s="56"/>
      <c r="J14" s="5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66">
        <f>IF($L$14=$AI$7,$C$14*SIN($D$14*K13 + $F$14),"")</f>
        <v>-1</v>
      </c>
      <c r="L14" s="48" t="s">
        <v>72</v>
      </c>
      <c r="M14" s="54">
        <f>IF($L$14=$AI$7,$C$14*SIN($D$14*M13 + $F$14),"")</f>
        <v>0</v>
      </c>
      <c r="N14" s="54">
        <f t="shared" ref="N14:AY14" si="3">IF($L$14=$AI$7,$C$14*SIN($D$14*N13 + $F$14),"")</f>
        <v>0.25881904510252074</v>
      </c>
      <c r="O14" s="54">
        <f t="shared" si="3"/>
        <v>0.49999999999999994</v>
      </c>
      <c r="P14" s="54">
        <f t="shared" si="3"/>
        <v>0.70710678118654746</v>
      </c>
      <c r="Q14" s="54">
        <f t="shared" si="3"/>
        <v>0.8660254037844386</v>
      </c>
      <c r="R14" s="54">
        <f t="shared" si="3"/>
        <v>0.96592582628906831</v>
      </c>
      <c r="S14" s="54">
        <f t="shared" si="3"/>
        <v>1</v>
      </c>
      <c r="T14" s="54">
        <f t="shared" si="3"/>
        <v>0.96592582628906831</v>
      </c>
      <c r="U14" s="54">
        <f t="shared" si="3"/>
        <v>0.86602540378443871</v>
      </c>
      <c r="V14" s="54">
        <f t="shared" si="3"/>
        <v>0.70710678118654757</v>
      </c>
      <c r="W14" s="54">
        <f t="shared" si="3"/>
        <v>0.49999999999999994</v>
      </c>
      <c r="X14" s="54">
        <f t="shared" si="3"/>
        <v>0.25881904510252102</v>
      </c>
      <c r="Y14" s="54">
        <f t="shared" si="3"/>
        <v>1.22514845490862E-16</v>
      </c>
      <c r="Z14" s="54">
        <f t="shared" si="3"/>
        <v>-0.25881904510252035</v>
      </c>
      <c r="AA14" s="54">
        <f t="shared" si="3"/>
        <v>-0.50000000000000011</v>
      </c>
      <c r="AB14" s="54">
        <f t="shared" si="3"/>
        <v>-0.70710678118654746</v>
      </c>
      <c r="AC14" s="54">
        <f t="shared" si="3"/>
        <v>-0.86602540378443837</v>
      </c>
      <c r="AD14" s="54">
        <f t="shared" si="3"/>
        <v>-0.96592582628906831</v>
      </c>
      <c r="AE14" s="54">
        <f t="shared" si="3"/>
        <v>-1</v>
      </c>
      <c r="AF14" s="54">
        <f t="shared" si="3"/>
        <v>-0.9659258262890682</v>
      </c>
      <c r="AG14" s="54">
        <f t="shared" si="3"/>
        <v>-0.8660254037844386</v>
      </c>
      <c r="AH14" s="54">
        <f t="shared" si="3"/>
        <v>-0.70710678118654768</v>
      </c>
      <c r="AI14" s="54">
        <f t="shared" si="3"/>
        <v>-0.50000000000000044</v>
      </c>
      <c r="AJ14" s="54">
        <f t="shared" si="3"/>
        <v>-0.25881904510252068</v>
      </c>
      <c r="AK14" s="54">
        <f t="shared" si="3"/>
        <v>-2.45029690981724E-16</v>
      </c>
      <c r="AL14" s="54">
        <f t="shared" si="3"/>
        <v>0.25881904510252024</v>
      </c>
      <c r="AM14" s="54">
        <f t="shared" si="3"/>
        <v>0.49999999999999928</v>
      </c>
      <c r="AN14" s="54">
        <f t="shared" si="3"/>
        <v>0.70710678118654668</v>
      </c>
      <c r="AO14" s="54">
        <f t="shared" si="3"/>
        <v>0.86602540378443882</v>
      </c>
      <c r="AP14" s="54">
        <f t="shared" si="3"/>
        <v>0.96592582628906831</v>
      </c>
      <c r="AQ14" s="54">
        <f t="shared" si="3"/>
        <v>1</v>
      </c>
      <c r="AR14" s="54">
        <f t="shared" si="3"/>
        <v>0.96592582628906842</v>
      </c>
      <c r="AS14" s="54">
        <f t="shared" si="3"/>
        <v>0.86602540378443915</v>
      </c>
      <c r="AT14" s="54">
        <f t="shared" si="3"/>
        <v>0.70710678118654713</v>
      </c>
      <c r="AU14" s="54">
        <f t="shared" si="3"/>
        <v>0.49999999999999978</v>
      </c>
      <c r="AV14" s="54">
        <f t="shared" si="3"/>
        <v>0.25881904510252079</v>
      </c>
      <c r="AW14" s="54">
        <f t="shared" si="3"/>
        <v>3.67544536472586E-16</v>
      </c>
      <c r="AX14" s="54">
        <f t="shared" si="3"/>
        <v>-0.25881904510252185</v>
      </c>
      <c r="AY14" s="54">
        <f t="shared" si="3"/>
        <v>-0.50000000000000067</v>
      </c>
    </row>
    <row r="15" spans="3:51" x14ac:dyDescent="0.35">
      <c r="C15" s="42">
        <f>1/3</f>
        <v>0.33333333333333331</v>
      </c>
      <c r="D15" s="42">
        <v>3</v>
      </c>
      <c r="E15" s="42">
        <v>0</v>
      </c>
      <c r="F15" s="73">
        <f t="shared" ref="F15:F17" si="4">PI()*E15/180</f>
        <v>0</v>
      </c>
      <c r="G15" s="56"/>
      <c r="H15" s="56"/>
      <c r="J15" s="59" t="str">
        <f t="shared" ref="J15:J17" si="5"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67">
        <f>IF($L$15=$AI$7,$C$15*SIN($D$15*K13 + $F$15),"")</f>
        <v>0.33333333333333331</v>
      </c>
      <c r="L15" s="49" t="s">
        <v>72</v>
      </c>
      <c r="M15" s="55">
        <f t="shared" ref="M15:AY15" si="6">IF($L$15=$AI$7,$C$15*SIN($D$15*M13 + $F$15),"")</f>
        <v>0</v>
      </c>
      <c r="N15" s="55">
        <f t="shared" si="6"/>
        <v>0.23570226039551581</v>
      </c>
      <c r="O15" s="55">
        <f t="shared" si="6"/>
        <v>0.33333333333333331</v>
      </c>
      <c r="P15" s="55">
        <f t="shared" si="6"/>
        <v>0.23570226039551584</v>
      </c>
      <c r="Q15" s="55">
        <f t="shared" si="6"/>
        <v>4.083828183028733E-17</v>
      </c>
      <c r="R15" s="55">
        <f t="shared" si="6"/>
        <v>-0.23570226039551581</v>
      </c>
      <c r="S15" s="55">
        <f t="shared" si="6"/>
        <v>-0.33333333333333331</v>
      </c>
      <c r="T15" s="55">
        <f t="shared" si="6"/>
        <v>-0.23570226039551567</v>
      </c>
      <c r="U15" s="55">
        <f t="shared" si="6"/>
        <v>-8.1676563660574659E-17</v>
      </c>
      <c r="V15" s="55">
        <f t="shared" si="6"/>
        <v>0.23570226039551578</v>
      </c>
      <c r="W15" s="55">
        <f t="shared" si="6"/>
        <v>0.33333333333333331</v>
      </c>
      <c r="X15" s="55">
        <f t="shared" si="6"/>
        <v>0.23570226039551612</v>
      </c>
      <c r="Y15" s="55">
        <f t="shared" si="6"/>
        <v>1.22514845490862E-16</v>
      </c>
      <c r="Z15" s="55">
        <f t="shared" si="6"/>
        <v>-0.23570226039551551</v>
      </c>
      <c r="AA15" s="55">
        <f t="shared" si="6"/>
        <v>-0.33333333333333331</v>
      </c>
      <c r="AB15" s="55">
        <f t="shared" si="6"/>
        <v>-0.23570226039551614</v>
      </c>
      <c r="AC15" s="55">
        <f t="shared" si="6"/>
        <v>-1.6335312732114932E-16</v>
      </c>
      <c r="AD15" s="55">
        <f t="shared" si="6"/>
        <v>0.23570226039551592</v>
      </c>
      <c r="AE15" s="55">
        <f t="shared" si="6"/>
        <v>0.33333333333333331</v>
      </c>
      <c r="AF15" s="55">
        <f t="shared" si="6"/>
        <v>0.23570226039551534</v>
      </c>
      <c r="AG15" s="55">
        <f t="shared" si="6"/>
        <v>2.0419140915143666E-16</v>
      </c>
      <c r="AH15" s="55">
        <f t="shared" si="6"/>
        <v>-0.23570226039551589</v>
      </c>
      <c r="AI15" s="55">
        <f t="shared" si="6"/>
        <v>-0.33333333333333331</v>
      </c>
      <c r="AJ15" s="55">
        <f t="shared" si="6"/>
        <v>-0.23570226039551537</v>
      </c>
      <c r="AK15" s="55">
        <f t="shared" si="6"/>
        <v>-2.45029690981724E-16</v>
      </c>
      <c r="AL15" s="55">
        <f t="shared" si="6"/>
        <v>0.23570226039551503</v>
      </c>
      <c r="AM15" s="55">
        <f t="shared" si="6"/>
        <v>0.33333333333333331</v>
      </c>
      <c r="AN15" s="55">
        <f t="shared" si="6"/>
        <v>0.23570226039551623</v>
      </c>
      <c r="AO15" s="55">
        <f t="shared" si="6"/>
        <v>-8.9836992012148897E-16</v>
      </c>
      <c r="AP15" s="55">
        <f t="shared" si="6"/>
        <v>-0.23570226039551584</v>
      </c>
      <c r="AQ15" s="55">
        <f t="shared" si="6"/>
        <v>-0.33333333333333331</v>
      </c>
      <c r="AR15" s="55">
        <f t="shared" si="6"/>
        <v>-0.23570226039551626</v>
      </c>
      <c r="AS15" s="55">
        <f t="shared" si="6"/>
        <v>-3.2670625464229864E-16</v>
      </c>
      <c r="AT15" s="55">
        <f t="shared" si="6"/>
        <v>0.23570226039551662</v>
      </c>
      <c r="AU15" s="55">
        <f t="shared" si="6"/>
        <v>0.33333333333333331</v>
      </c>
      <c r="AV15" s="55">
        <f t="shared" si="6"/>
        <v>0.23570226039551628</v>
      </c>
      <c r="AW15" s="55">
        <f t="shared" si="6"/>
        <v>3.67544536472586E-16</v>
      </c>
      <c r="AX15" s="55">
        <f t="shared" si="6"/>
        <v>-0.23570226039551662</v>
      </c>
      <c r="AY15" s="55">
        <f t="shared" si="6"/>
        <v>-0.33333333333333331</v>
      </c>
    </row>
    <row r="16" spans="3:51" x14ac:dyDescent="0.35">
      <c r="C16" s="42">
        <f>1/5</f>
        <v>0.2</v>
      </c>
      <c r="D16" s="42">
        <v>5</v>
      </c>
      <c r="E16" s="42">
        <v>0</v>
      </c>
      <c r="F16" s="73">
        <f t="shared" si="4"/>
        <v>0</v>
      </c>
      <c r="G16" s="56"/>
      <c r="H16" s="56"/>
      <c r="J16" s="60" t="str">
        <f t="shared" si="5"/>
        <v xml:space="preserve">y0 = 0.2 * sin(5*x ) = </v>
      </c>
      <c r="K16" s="68">
        <f>IF($L$16=$AI$7,$C$16*SIN($D$16*K13 + $F$16),"")</f>
        <v>-0.2</v>
      </c>
      <c r="L16" s="50" t="s">
        <v>72</v>
      </c>
      <c r="M16" s="55">
        <f t="shared" ref="M16:AY16" si="7">IF($L$16=$AI$7,$C$16*SIN($D$16*M13 + $F$16),"")</f>
        <v>0</v>
      </c>
      <c r="N16" s="55">
        <f t="shared" si="7"/>
        <v>0.19318516525781365</v>
      </c>
      <c r="O16" s="55">
        <f t="shared" si="7"/>
        <v>0.10000000000000007</v>
      </c>
      <c r="P16" s="55">
        <f t="shared" si="7"/>
        <v>-0.1414213562373095</v>
      </c>
      <c r="Q16" s="55">
        <f t="shared" si="7"/>
        <v>-0.17320508075688781</v>
      </c>
      <c r="R16" s="55">
        <f t="shared" si="7"/>
        <v>5.1763809020504217E-2</v>
      </c>
      <c r="S16" s="55">
        <f t="shared" si="7"/>
        <v>0.2</v>
      </c>
      <c r="T16" s="55">
        <f t="shared" si="7"/>
        <v>5.1763809020504162E-2</v>
      </c>
      <c r="U16" s="55">
        <f t="shared" si="7"/>
        <v>-0.17320508075688756</v>
      </c>
      <c r="V16" s="55">
        <f t="shared" si="7"/>
        <v>-0.1414213562373097</v>
      </c>
      <c r="W16" s="55">
        <f t="shared" si="7"/>
        <v>0.10000000000000012</v>
      </c>
      <c r="X16" s="55">
        <f t="shared" si="7"/>
        <v>0.19318516525781371</v>
      </c>
      <c r="Y16" s="55">
        <f t="shared" si="7"/>
        <v>1.22514845490862E-16</v>
      </c>
      <c r="Z16" s="55">
        <f t="shared" si="7"/>
        <v>-0.19318516525781348</v>
      </c>
      <c r="AA16" s="55">
        <f t="shared" si="7"/>
        <v>-0.10000000000000003</v>
      </c>
      <c r="AB16" s="55">
        <f t="shared" si="7"/>
        <v>0.14142135623730953</v>
      </c>
      <c r="AC16" s="55">
        <f t="shared" si="7"/>
        <v>0.17320508075688806</v>
      </c>
      <c r="AD16" s="55">
        <f t="shared" si="7"/>
        <v>-5.1763809020504273E-2</v>
      </c>
      <c r="AE16" s="55">
        <f t="shared" si="7"/>
        <v>-0.2</v>
      </c>
      <c r="AF16" s="55">
        <f t="shared" si="7"/>
        <v>-5.176380902050394E-2</v>
      </c>
      <c r="AG16" s="55">
        <f t="shared" si="7"/>
        <v>0.1732050807568879</v>
      </c>
      <c r="AH16" s="55">
        <f t="shared" si="7"/>
        <v>0.14142135623730978</v>
      </c>
      <c r="AI16" s="55">
        <f t="shared" si="7"/>
        <v>-9.99999999999997E-2</v>
      </c>
      <c r="AJ16" s="55">
        <f t="shared" si="7"/>
        <v>-0.19318516525781373</v>
      </c>
      <c r="AK16" s="55">
        <f t="shared" si="7"/>
        <v>-2.45029690981724E-16</v>
      </c>
      <c r="AL16" s="55">
        <f t="shared" si="7"/>
        <v>0.1931851652578136</v>
      </c>
      <c r="AM16" s="55">
        <f t="shared" si="7"/>
        <v>0.10000000000000137</v>
      </c>
      <c r="AN16" s="55">
        <f t="shared" si="7"/>
        <v>-0.14142135623730842</v>
      </c>
      <c r="AO16" s="55">
        <f t="shared" si="7"/>
        <v>-0.17320508075688779</v>
      </c>
      <c r="AP16" s="55">
        <f t="shared" si="7"/>
        <v>5.1763809020504148E-2</v>
      </c>
      <c r="AQ16" s="55">
        <f t="shared" si="7"/>
        <v>0.2</v>
      </c>
      <c r="AR16" s="55">
        <f t="shared" si="7"/>
        <v>5.1763809020505439E-2</v>
      </c>
      <c r="AS16" s="55">
        <f t="shared" si="7"/>
        <v>-0.17320508075688712</v>
      </c>
      <c r="AT16" s="55">
        <f t="shared" si="7"/>
        <v>-0.14142135623730936</v>
      </c>
      <c r="AU16" s="55">
        <f t="shared" si="7"/>
        <v>0.10000000000000023</v>
      </c>
      <c r="AV16" s="55">
        <f t="shared" si="7"/>
        <v>0.1931851652578136</v>
      </c>
      <c r="AW16" s="55">
        <f t="shared" si="7"/>
        <v>1.0780872722326862E-15</v>
      </c>
      <c r="AX16" s="55">
        <f t="shared" si="7"/>
        <v>-0.19318516525781415</v>
      </c>
      <c r="AY16" s="55">
        <f t="shared" si="7"/>
        <v>-9.9999999999999631E-2</v>
      </c>
    </row>
    <row r="17" spans="3:51" x14ac:dyDescent="0.35">
      <c r="C17" s="42">
        <f>1/7</f>
        <v>0.14285714285714285</v>
      </c>
      <c r="D17" s="42">
        <v>7</v>
      </c>
      <c r="E17" s="42">
        <v>0</v>
      </c>
      <c r="F17" s="73">
        <f t="shared" si="4"/>
        <v>0</v>
      </c>
      <c r="G17" s="56"/>
      <c r="H17" s="56"/>
      <c r="J17" s="61" t="str">
        <f t="shared" si="5"/>
        <v xml:space="preserve">y0 = 0.14 * sin(7*x ) = </v>
      </c>
      <c r="K17" s="69">
        <f>IF($L$17=$AI$7,$C$17*SIN($D$17*K13 + $F$17),"")</f>
        <v>0.14285714285714285</v>
      </c>
      <c r="L17" s="51" t="s">
        <v>72</v>
      </c>
      <c r="M17" s="55">
        <f t="shared" ref="M17:AY17" si="8">IF($L$17=$AI$7,$C$17*SIN($D$17*M13 + $F$17),"")</f>
        <v>0</v>
      </c>
      <c r="N17" s="55">
        <f t="shared" si="8"/>
        <v>0.13798940375558119</v>
      </c>
      <c r="O17" s="55">
        <f t="shared" si="8"/>
        <v>-7.1428571428571383E-2</v>
      </c>
      <c r="P17" s="55">
        <f t="shared" si="8"/>
        <v>-0.1010152544552211</v>
      </c>
      <c r="Q17" s="55">
        <f t="shared" si="8"/>
        <v>0.12371791482634834</v>
      </c>
      <c r="R17" s="55">
        <f t="shared" si="8"/>
        <v>3.697414930036011E-2</v>
      </c>
      <c r="S17" s="55">
        <f t="shared" si="8"/>
        <v>-0.14285714285714285</v>
      </c>
      <c r="T17" s="55">
        <f t="shared" si="8"/>
        <v>3.6974149300360241E-2</v>
      </c>
      <c r="U17" s="55">
        <f t="shared" si="8"/>
        <v>0.12371791482634846</v>
      </c>
      <c r="V17" s="55">
        <f t="shared" si="8"/>
        <v>-0.1010152544552211</v>
      </c>
      <c r="W17" s="55">
        <f t="shared" si="8"/>
        <v>-7.1428571428571438E-2</v>
      </c>
      <c r="X17" s="55">
        <f t="shared" si="8"/>
        <v>0.13798940375558116</v>
      </c>
      <c r="Y17" s="55">
        <f t="shared" si="8"/>
        <v>1.22514845490862E-16</v>
      </c>
      <c r="Z17" s="55">
        <f t="shared" si="8"/>
        <v>-0.13798940375558122</v>
      </c>
      <c r="AA17" s="55">
        <f t="shared" si="8"/>
        <v>7.1428571428571661E-2</v>
      </c>
      <c r="AB17" s="55">
        <f t="shared" si="8"/>
        <v>0.10101525445522126</v>
      </c>
      <c r="AC17" s="55">
        <f t="shared" si="8"/>
        <v>-0.12371791482634821</v>
      </c>
      <c r="AD17" s="55">
        <f t="shared" si="8"/>
        <v>-3.6974149300359985E-2</v>
      </c>
      <c r="AE17" s="55">
        <f t="shared" si="8"/>
        <v>0.14285714285714285</v>
      </c>
      <c r="AF17" s="55">
        <f t="shared" si="8"/>
        <v>-3.6974149300360609E-2</v>
      </c>
      <c r="AG17" s="55">
        <f t="shared" si="8"/>
        <v>-0.12371791482634839</v>
      </c>
      <c r="AH17" s="55">
        <f t="shared" si="8"/>
        <v>0.10101525445522065</v>
      </c>
      <c r="AI17" s="55">
        <f t="shared" si="8"/>
        <v>7.142857142857155E-2</v>
      </c>
      <c r="AJ17" s="55">
        <f t="shared" si="8"/>
        <v>-0.13798940375558125</v>
      </c>
      <c r="AK17" s="55">
        <f t="shared" si="8"/>
        <v>-2.45029690981724E-16</v>
      </c>
      <c r="AL17" s="55">
        <f t="shared" si="8"/>
        <v>0.13798940375558139</v>
      </c>
      <c r="AM17" s="55">
        <f t="shared" si="8"/>
        <v>-7.1428571428571119E-2</v>
      </c>
      <c r="AN17" s="55">
        <f t="shared" si="8"/>
        <v>-0.10101525445522171</v>
      </c>
      <c r="AO17" s="55">
        <f t="shared" si="8"/>
        <v>0.12371791482634865</v>
      </c>
      <c r="AP17" s="55">
        <f t="shared" si="8"/>
        <v>3.6974149300360103E-2</v>
      </c>
      <c r="AQ17" s="55">
        <f t="shared" si="8"/>
        <v>-0.14285714285714285</v>
      </c>
      <c r="AR17" s="55">
        <f t="shared" si="8"/>
        <v>3.6974149300360006E-2</v>
      </c>
      <c r="AS17" s="55">
        <f t="shared" si="8"/>
        <v>0.1237179148263487</v>
      </c>
      <c r="AT17" s="55">
        <f t="shared" si="8"/>
        <v>-0.10101525445522164</v>
      </c>
      <c r="AU17" s="55">
        <f t="shared" si="8"/>
        <v>-7.1428571428571216E-2</v>
      </c>
      <c r="AV17" s="55">
        <f t="shared" si="8"/>
        <v>0.13798940375558111</v>
      </c>
      <c r="AW17" s="55">
        <f t="shared" si="8"/>
        <v>-1.399859890703427E-16</v>
      </c>
      <c r="AX17" s="55">
        <f t="shared" si="8"/>
        <v>-0.13798940375558102</v>
      </c>
      <c r="AY17" s="55">
        <f t="shared" si="8"/>
        <v>7.1428571428572327E-2</v>
      </c>
    </row>
    <row r="18" spans="3:51" ht="8.5" customHeight="1" x14ac:dyDescent="0.35">
      <c r="J18" s="41"/>
      <c r="K18" s="70"/>
      <c r="L18" s="52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ht="8.5" customHeight="1" x14ac:dyDescent="0.35">
      <c r="J19" s="41"/>
      <c r="K19" s="70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ht="16.5" x14ac:dyDescent="0.35">
      <c r="J20" s="40" t="s">
        <v>66</v>
      </c>
      <c r="K20" s="71">
        <f>IF($L$20=$AI$7,SUM(K14:K17),"")</f>
        <v>-0.7238095238095239</v>
      </c>
      <c r="L20" s="53" t="s">
        <v>72</v>
      </c>
      <c r="M20" s="55">
        <f>IF($L$20=$AI$7,SUM(M14:M17),0)</f>
        <v>0</v>
      </c>
      <c r="N20" s="55">
        <f t="shared" ref="N20:AY20" si="9">IF($L$20=$AI$7,SUM(N14:N17),0)</f>
        <v>0.82569587451143145</v>
      </c>
      <c r="O20" s="55">
        <f t="shared" si="9"/>
        <v>0.86190476190476195</v>
      </c>
      <c r="P20" s="55">
        <f t="shared" si="9"/>
        <v>0.70037243088953283</v>
      </c>
      <c r="Q20" s="55">
        <f t="shared" si="9"/>
        <v>0.81653823785389912</v>
      </c>
      <c r="R20" s="55">
        <f t="shared" si="9"/>
        <v>0.81896152421441692</v>
      </c>
      <c r="S20" s="55">
        <f t="shared" si="9"/>
        <v>0.7238095238095239</v>
      </c>
      <c r="T20" s="55">
        <f t="shared" si="9"/>
        <v>0.81896152421441704</v>
      </c>
      <c r="U20" s="55">
        <f t="shared" si="9"/>
        <v>0.81653823785389945</v>
      </c>
      <c r="V20" s="55">
        <f t="shared" si="9"/>
        <v>0.7003724308895326</v>
      </c>
      <c r="W20" s="55">
        <f t="shared" si="9"/>
        <v>0.86190476190476195</v>
      </c>
      <c r="X20" s="55">
        <f t="shared" si="9"/>
        <v>0.825695874511432</v>
      </c>
      <c r="Y20" s="55">
        <f t="shared" si="9"/>
        <v>4.90059381963448E-16</v>
      </c>
      <c r="Z20" s="55">
        <f t="shared" si="9"/>
        <v>-0.82569587451143056</v>
      </c>
      <c r="AA20" s="55">
        <f t="shared" si="9"/>
        <v>-0.86190476190476195</v>
      </c>
      <c r="AB20" s="55">
        <f t="shared" si="9"/>
        <v>-0.70037243088953272</v>
      </c>
      <c r="AC20" s="55">
        <f t="shared" si="9"/>
        <v>-0.81653823785389867</v>
      </c>
      <c r="AD20" s="55">
        <f t="shared" si="9"/>
        <v>-0.8189615242144167</v>
      </c>
      <c r="AE20" s="55">
        <f t="shared" si="9"/>
        <v>-0.7238095238095239</v>
      </c>
      <c r="AF20" s="55">
        <f t="shared" si="9"/>
        <v>-0.81896152421441737</v>
      </c>
      <c r="AG20" s="55">
        <f t="shared" si="9"/>
        <v>-0.8165382378538989</v>
      </c>
      <c r="AH20" s="55">
        <f t="shared" si="9"/>
        <v>-0.70037243088953316</v>
      </c>
      <c r="AI20" s="55">
        <f t="shared" si="9"/>
        <v>-0.86190476190476184</v>
      </c>
      <c r="AJ20" s="55">
        <f t="shared" si="9"/>
        <v>-0.825695874511431</v>
      </c>
      <c r="AK20" s="55">
        <f t="shared" si="9"/>
        <v>-9.8011876392689601E-16</v>
      </c>
      <c r="AL20" s="55">
        <f t="shared" si="9"/>
        <v>0.82569587451143023</v>
      </c>
      <c r="AM20" s="55">
        <f t="shared" si="9"/>
        <v>0.86190476190476284</v>
      </c>
      <c r="AN20" s="55">
        <f t="shared" si="9"/>
        <v>0.70037243088953272</v>
      </c>
      <c r="AO20" s="55">
        <f t="shared" si="9"/>
        <v>0.81653823785389879</v>
      </c>
      <c r="AP20" s="55">
        <f t="shared" si="9"/>
        <v>0.81896152421441681</v>
      </c>
      <c r="AQ20" s="55">
        <f t="shared" si="9"/>
        <v>0.7238095238095239</v>
      </c>
      <c r="AR20" s="55">
        <f t="shared" si="9"/>
        <v>0.8189615242144177</v>
      </c>
      <c r="AS20" s="55">
        <f t="shared" si="9"/>
        <v>0.81653823785390034</v>
      </c>
      <c r="AT20" s="55">
        <f t="shared" si="9"/>
        <v>0.70037243088953283</v>
      </c>
      <c r="AU20" s="55">
        <f t="shared" si="9"/>
        <v>0.86190476190476206</v>
      </c>
      <c r="AV20" s="55">
        <f t="shared" si="9"/>
        <v>0.82569587451143178</v>
      </c>
      <c r="AW20" s="55">
        <f t="shared" si="9"/>
        <v>1.6731903561075154E-15</v>
      </c>
      <c r="AX20" s="55">
        <f t="shared" si="9"/>
        <v>-0.82569587451143367</v>
      </c>
      <c r="AY20" s="55">
        <f t="shared" si="9"/>
        <v>-0.86190476190476129</v>
      </c>
    </row>
    <row r="21" spans="3:51" x14ac:dyDescent="0.35">
      <c r="J21" s="39"/>
      <c r="K21" s="39"/>
      <c r="L21" s="39"/>
    </row>
  </sheetData>
  <mergeCells count="4">
    <mergeCell ref="C11:F11"/>
    <mergeCell ref="C12:F12"/>
    <mergeCell ref="L12:L13"/>
    <mergeCell ref="R7:S7"/>
  </mergeCells>
  <dataValidations count="1">
    <dataValidation type="list" allowBlank="1" showInputMessage="1" showErrorMessage="1" sqref="L14:L17 L20" xr:uid="{14030FAE-C205-4F99-A125-F98CBE2B09BD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C1:AY19"/>
  <sheetViews>
    <sheetView showGridLines="0" zoomScale="40" zoomScaleNormal="40" workbookViewId="0">
      <selection activeCell="E15" sqref="E15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128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MAX(K14:K18)</f>
        <v>9.9999999999999911</v>
      </c>
      <c r="U5" s="5"/>
      <c r="V5" s="5"/>
      <c r="W5" s="5">
        <f>K12</f>
        <v>210</v>
      </c>
      <c r="X5" s="5">
        <f>W5</f>
        <v>210</v>
      </c>
    </row>
    <row r="6" spans="3:51" x14ac:dyDescent="0.35">
      <c r="R6" s="5"/>
      <c r="S6" s="19" t="s">
        <v>79</v>
      </c>
      <c r="T6" s="55">
        <f>MIN(K14:K18)</f>
        <v>0.86602540378444159</v>
      </c>
      <c r="U6" s="5"/>
      <c r="V6" s="5"/>
      <c r="W6" s="55">
        <f>T6</f>
        <v>0.86602540378444159</v>
      </c>
      <c r="X6" s="55">
        <f>T5</f>
        <v>9.9999999999999911</v>
      </c>
    </row>
    <row r="7" spans="3:51" x14ac:dyDescent="0.35">
      <c r="R7" s="106" t="s">
        <v>81</v>
      </c>
      <c r="S7" s="106"/>
      <c r="T7" s="5">
        <f>IF(ABS(T5)&gt;ABS(T6),T5,T6)</f>
        <v>9.9999999999999911</v>
      </c>
      <c r="U7" s="5"/>
      <c r="V7" s="5"/>
      <c r="W7" s="5"/>
      <c r="X7" s="5"/>
      <c r="AI7" s="5" t="s">
        <v>72</v>
      </c>
      <c r="AP7" s="103"/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40"/>
      <c r="D11" s="140"/>
      <c r="E11" s="140"/>
      <c r="F11" s="140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41" t="s">
        <v>67</v>
      </c>
      <c r="D12" s="141"/>
      <c r="E12" s="141"/>
      <c r="F12" s="141"/>
      <c r="G12" s="47"/>
      <c r="H12" s="47"/>
      <c r="J12" s="57" t="s">
        <v>70</v>
      </c>
      <c r="K12" s="38">
        <v>210</v>
      </c>
      <c r="L12" s="142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3.6651914291880923</v>
      </c>
      <c r="L13" s="143"/>
      <c r="M13" s="64">
        <f>PI()*M12/180</f>
        <v>0</v>
      </c>
      <c r="N13" s="64">
        <f>PI()*N12/180</f>
        <v>0.26179938779914941</v>
      </c>
      <c r="O13" s="64">
        <f t="shared" ref="O13:AY13" si="2">PI()*O12/180</f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20</v>
      </c>
      <c r="D14" s="42">
        <v>50</v>
      </c>
      <c r="E14" s="42">
        <v>90</v>
      </c>
      <c r="F14" s="73">
        <f>PI()*E14/180</f>
        <v>1.5707963267948966</v>
      </c>
      <c r="G14" s="56"/>
      <c r="H14" s="56"/>
      <c r="J14" s="58" t="str">
        <f>_xlfn.CONCAT("U = ",IF(C14&lt;&gt;1,_xlfn.CONCAT(ROUND(C14,2)," *"),"")," sin(",IF(D14&lt;&gt;1,_xlfn.CONCAT(ROUND(D14,2),"*"),""),"x ",IF(F14&lt;&gt;0,_xlfn.CONCAT(" + ",ROUND(F14,2),""),""),") = ")</f>
        <v xml:space="preserve">U = 20 * sin(50*x  + 1.57) = </v>
      </c>
      <c r="K14" s="66">
        <f>IF($L$14=$AI$7,$C$14*SIN($D$14*K13 + $F$14),0)</f>
        <v>9.9999999999999911</v>
      </c>
      <c r="L14" s="48" t="s">
        <v>72</v>
      </c>
      <c r="M14" s="54">
        <f>IF($L$14=$AI$7,$C$14*SIN($D$14*M13 + $F$14),0)</f>
        <v>20</v>
      </c>
      <c r="N14" s="54">
        <f t="shared" ref="N14:AY14" si="3">IF($L$14=$AI$7,$C$14*SIN($D$14*N13 + $F$14),0)</f>
        <v>17.320508075688785</v>
      </c>
      <c r="O14" s="54">
        <f t="shared" si="3"/>
        <v>10.000000000000009</v>
      </c>
      <c r="P14" s="54">
        <f t="shared" si="3"/>
        <v>-3.9200413748385898E-14</v>
      </c>
      <c r="Q14" s="54">
        <f t="shared" si="3"/>
        <v>-9.9999999999999538</v>
      </c>
      <c r="R14" s="54">
        <f t="shared" si="3"/>
        <v>-17.3205080756887</v>
      </c>
      <c r="S14" s="54">
        <f t="shared" si="3"/>
        <v>-20</v>
      </c>
      <c r="T14" s="54">
        <f t="shared" si="3"/>
        <v>-17.320508075688796</v>
      </c>
      <c r="U14" s="54">
        <f t="shared" si="3"/>
        <v>-10.000000000000247</v>
      </c>
      <c r="V14" s="54">
        <f t="shared" si="3"/>
        <v>-2.3521982972507516E-13</v>
      </c>
      <c r="W14" s="54">
        <f t="shared" si="3"/>
        <v>9.9999999999998384</v>
      </c>
      <c r="X14" s="54">
        <f t="shared" si="3"/>
        <v>17.320508075688707</v>
      </c>
      <c r="Y14" s="54">
        <f t="shared" si="3"/>
        <v>20</v>
      </c>
      <c r="Z14" s="54">
        <f t="shared" si="3"/>
        <v>17.320508075689077</v>
      </c>
      <c r="AA14" s="54">
        <f t="shared" si="3"/>
        <v>9.9999999999999911</v>
      </c>
      <c r="AB14" s="54">
        <f t="shared" si="3"/>
        <v>5.0964007319853621E-13</v>
      </c>
      <c r="AC14" s="54">
        <f t="shared" si="3"/>
        <v>-9.9999999999996021</v>
      </c>
      <c r="AD14" s="54">
        <f t="shared" si="3"/>
        <v>-17.320508075688853</v>
      </c>
      <c r="AE14" s="54">
        <f t="shared" si="3"/>
        <v>-20</v>
      </c>
      <c r="AF14" s="54">
        <f t="shared" si="3"/>
        <v>-17.320508075688647</v>
      </c>
      <c r="AG14" s="54">
        <f t="shared" si="3"/>
        <v>-10.000000000000229</v>
      </c>
      <c r="AH14" s="54">
        <f t="shared" si="3"/>
        <v>-7.8406031667199727E-13</v>
      </c>
      <c r="AI14" s="54">
        <f t="shared" si="3"/>
        <v>9.9999999999998561</v>
      </c>
      <c r="AJ14" s="54">
        <f t="shared" si="3"/>
        <v>17.320508075688998</v>
      </c>
      <c r="AK14" s="54">
        <f t="shared" si="3"/>
        <v>20</v>
      </c>
      <c r="AL14" s="54">
        <f t="shared" si="3"/>
        <v>17.320508075689066</v>
      </c>
      <c r="AM14" s="54">
        <f t="shared" si="3"/>
        <v>10.000000000000959</v>
      </c>
      <c r="AN14" s="54">
        <f t="shared" si="3"/>
        <v>1.6269147487535385E-12</v>
      </c>
      <c r="AO14" s="54">
        <f t="shared" si="3"/>
        <v>-10.00000000000011</v>
      </c>
      <c r="AP14" s="54">
        <f t="shared" si="3"/>
        <v>-17.320508075688576</v>
      </c>
      <c r="AQ14" s="54">
        <f t="shared" si="3"/>
        <v>-20</v>
      </c>
      <c r="AR14" s="54">
        <f t="shared" si="3"/>
        <v>-17.32050807568892</v>
      </c>
      <c r="AS14" s="54">
        <f t="shared" si="3"/>
        <v>-10.000000000000703</v>
      </c>
      <c r="AT14" s="54">
        <f t="shared" si="3"/>
        <v>9.4083595081340121E-13</v>
      </c>
      <c r="AU14" s="54">
        <f t="shared" si="3"/>
        <v>10.000000000000364</v>
      </c>
      <c r="AV14" s="54">
        <f t="shared" si="3"/>
        <v>17.320508075688721</v>
      </c>
      <c r="AW14" s="54">
        <f t="shared" si="3"/>
        <v>20</v>
      </c>
      <c r="AX14" s="54">
        <f t="shared" si="3"/>
        <v>17.320508075688203</v>
      </c>
      <c r="AY14" s="54">
        <f t="shared" si="3"/>
        <v>9.9999999999994653</v>
      </c>
    </row>
    <row r="15" spans="3:51" x14ac:dyDescent="0.35">
      <c r="C15" s="42">
        <v>1</v>
      </c>
      <c r="D15" s="42">
        <v>50</v>
      </c>
      <c r="E15" s="42">
        <v>0</v>
      </c>
      <c r="F15" s="73">
        <f t="shared" ref="F15" si="4">PI()*E15/180</f>
        <v>0</v>
      </c>
      <c r="G15" s="56"/>
      <c r="H15" s="56"/>
      <c r="J15" s="97" t="str">
        <f>_xlfn.CONCAT("I = ",IF(C15&lt;&gt;1,_xlfn.CONCAT(ROUND(C15,2)," *"),"")," sin(",IF(D15&lt;&gt;1,_xlfn.CONCAT(ROUND(D15,2),"*"),""),"x ",IF(F15&lt;&gt;0,_xlfn.CONCAT(" + ",ROUND(F15,2),""),""),") = ")</f>
        <v xml:space="preserve">I =  sin(50*x ) = </v>
      </c>
      <c r="K15" s="98">
        <f>IF($L$15=$AI$7,$C$15*SIN($D$15*K13 + $F$15),"")</f>
        <v>0.86602540378444159</v>
      </c>
      <c r="L15" s="99" t="s">
        <v>72</v>
      </c>
      <c r="M15" s="55">
        <f>IF($L$15=$AI$7,$C$15*SIN($D$15*M13 + $F$15),0)</f>
        <v>0</v>
      </c>
      <c r="N15" s="55">
        <f t="shared" ref="N15:AY15" si="5">IF($L$15=$AI$7,$C$15*SIN($D$15*N13 + $F$15),0)</f>
        <v>0.49999999999999906</v>
      </c>
      <c r="O15" s="55">
        <f t="shared" si="5"/>
        <v>0.8660254037844376</v>
      </c>
      <c r="P15" s="55">
        <f t="shared" si="5"/>
        <v>1</v>
      </c>
      <c r="Q15" s="55">
        <f t="shared" si="5"/>
        <v>0.86602540378444082</v>
      </c>
      <c r="R15" s="55">
        <f t="shared" si="5"/>
        <v>0.50000000000000167</v>
      </c>
      <c r="S15" s="55">
        <f t="shared" si="5"/>
        <v>-4.898425415289509E-16</v>
      </c>
      <c r="T15" s="55">
        <f t="shared" si="5"/>
        <v>-0.50000000000000255</v>
      </c>
      <c r="U15" s="55">
        <f t="shared" si="5"/>
        <v>-0.86602540378443427</v>
      </c>
      <c r="V15" s="55">
        <f t="shared" si="5"/>
        <v>-1</v>
      </c>
      <c r="W15" s="55">
        <f t="shared" si="5"/>
        <v>-0.86602540378444059</v>
      </c>
      <c r="X15" s="55">
        <f t="shared" si="5"/>
        <v>-0.50000000000000122</v>
      </c>
      <c r="Y15" s="55">
        <f t="shared" si="5"/>
        <v>9.7968508305790181E-16</v>
      </c>
      <c r="Z15" s="55">
        <f t="shared" si="5"/>
        <v>0.49999999999997835</v>
      </c>
      <c r="AA15" s="55">
        <f t="shared" si="5"/>
        <v>0.86602540378444159</v>
      </c>
      <c r="AB15" s="55">
        <f t="shared" si="5"/>
        <v>1</v>
      </c>
      <c r="AC15" s="55">
        <f t="shared" si="5"/>
        <v>0.86602540378444748</v>
      </c>
      <c r="AD15" s="55">
        <f t="shared" si="5"/>
        <v>0.49999999999998856</v>
      </c>
      <c r="AE15" s="55">
        <f t="shared" si="5"/>
        <v>1.2741327090615151E-14</v>
      </c>
      <c r="AF15" s="55">
        <f t="shared" si="5"/>
        <v>-0.50000000000001565</v>
      </c>
      <c r="AG15" s="55">
        <f t="shared" si="5"/>
        <v>-0.86602540378443471</v>
      </c>
      <c r="AH15" s="55">
        <f t="shared" si="5"/>
        <v>-1</v>
      </c>
      <c r="AI15" s="55">
        <f t="shared" si="5"/>
        <v>-0.86602540378444015</v>
      </c>
      <c r="AJ15" s="55">
        <f t="shared" si="5"/>
        <v>-0.4999999999999758</v>
      </c>
      <c r="AK15" s="55">
        <f t="shared" si="5"/>
        <v>1.9593701661158036E-15</v>
      </c>
      <c r="AL15" s="55">
        <f t="shared" si="5"/>
        <v>0.49999999999997918</v>
      </c>
      <c r="AM15" s="55">
        <f t="shared" si="5"/>
        <v>0.86602540378441362</v>
      </c>
      <c r="AN15" s="55">
        <f t="shared" si="5"/>
        <v>1</v>
      </c>
      <c r="AO15" s="55">
        <f t="shared" si="5"/>
        <v>0.86602540378443271</v>
      </c>
      <c r="AP15" s="55">
        <f t="shared" si="5"/>
        <v>0.50000000000001232</v>
      </c>
      <c r="AQ15" s="55">
        <f t="shared" si="5"/>
        <v>4.0183351437961257E-14</v>
      </c>
      <c r="AR15" s="55">
        <f t="shared" si="5"/>
        <v>-0.49999999999999195</v>
      </c>
      <c r="AS15" s="55">
        <f t="shared" si="5"/>
        <v>-0.86602540378442106</v>
      </c>
      <c r="AT15" s="55">
        <f t="shared" si="5"/>
        <v>-1</v>
      </c>
      <c r="AU15" s="55">
        <f t="shared" si="5"/>
        <v>-0.86602540378442538</v>
      </c>
      <c r="AV15" s="55">
        <f t="shared" si="5"/>
        <v>-0.49999999999999956</v>
      </c>
      <c r="AW15" s="55">
        <f t="shared" si="5"/>
        <v>-2.5482654181230302E-14</v>
      </c>
      <c r="AX15" s="55">
        <f t="shared" si="5"/>
        <v>0.50000000000005385</v>
      </c>
      <c r="AY15" s="55">
        <f t="shared" si="5"/>
        <v>0.8660254037844568</v>
      </c>
    </row>
    <row r="16" spans="3:51" ht="8.5" customHeight="1" x14ac:dyDescent="0.35">
      <c r="J16" s="41"/>
      <c r="K16" s="70"/>
      <c r="L16" s="52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0:51" ht="8.5" customHeight="1" x14ac:dyDescent="0.35">
      <c r="J17" s="41"/>
      <c r="K17" s="70"/>
      <c r="L17" s="52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0:51" ht="16.5" x14ac:dyDescent="0.35">
      <c r="J18" s="100" t="s">
        <v>130</v>
      </c>
      <c r="K18" s="101">
        <f>IF($L$18=$AI$7,K14*K15,"")</f>
        <v>8.6602540378444086</v>
      </c>
      <c r="L18" s="102" t="s">
        <v>72</v>
      </c>
      <c r="M18" s="55">
        <f>IF($L$18=$AI$7,M14*M15,0)</f>
        <v>0</v>
      </c>
      <c r="N18" s="55">
        <f t="shared" ref="N18:AY18" si="6">IF($L$18=$AI$7,N14*N15,0)</f>
        <v>8.6602540378443766</v>
      </c>
      <c r="O18" s="55">
        <f t="shared" si="6"/>
        <v>8.6602540378443837</v>
      </c>
      <c r="P18" s="55">
        <f t="shared" si="6"/>
        <v>-3.9200413748385898E-14</v>
      </c>
      <c r="Q18" s="55">
        <f t="shared" si="6"/>
        <v>-8.6602540378443678</v>
      </c>
      <c r="R18" s="55">
        <f t="shared" si="6"/>
        <v>-8.6602540378443784</v>
      </c>
      <c r="S18" s="55">
        <f t="shared" si="6"/>
        <v>9.7968508305790181E-15</v>
      </c>
      <c r="T18" s="55">
        <f t="shared" si="6"/>
        <v>8.6602540378444424</v>
      </c>
      <c r="U18" s="55">
        <f t="shared" si="6"/>
        <v>8.6602540378445561</v>
      </c>
      <c r="V18" s="55">
        <f t="shared" si="6"/>
        <v>2.3521982972507516E-13</v>
      </c>
      <c r="W18" s="55">
        <f t="shared" si="6"/>
        <v>-8.6602540378442665</v>
      </c>
      <c r="X18" s="55">
        <f t="shared" si="6"/>
        <v>-8.6602540378443749</v>
      </c>
      <c r="Y18" s="55">
        <f t="shared" si="6"/>
        <v>1.9593701661158036E-14</v>
      </c>
      <c r="Z18" s="55">
        <f t="shared" si="6"/>
        <v>8.6602540378441635</v>
      </c>
      <c r="AA18" s="55">
        <f t="shared" si="6"/>
        <v>8.6602540378444086</v>
      </c>
      <c r="AB18" s="55">
        <f t="shared" si="6"/>
        <v>5.0964007319853621E-13</v>
      </c>
      <c r="AC18" s="55">
        <f t="shared" si="6"/>
        <v>-8.6602540378441297</v>
      </c>
      <c r="AD18" s="55">
        <f t="shared" si="6"/>
        <v>-8.6602540378442274</v>
      </c>
      <c r="AE18" s="55">
        <f t="shared" si="6"/>
        <v>-2.5482654181230302E-13</v>
      </c>
      <c r="AF18" s="55">
        <f t="shared" si="6"/>
        <v>8.6602540378445951</v>
      </c>
      <c r="AG18" s="55">
        <f t="shared" si="6"/>
        <v>8.6602540378445454</v>
      </c>
      <c r="AH18" s="55">
        <f t="shared" si="6"/>
        <v>7.8406031667199727E-13</v>
      </c>
      <c r="AI18" s="55">
        <f t="shared" si="6"/>
        <v>-8.6602540378442772</v>
      </c>
      <c r="AJ18" s="55">
        <f t="shared" si="6"/>
        <v>-8.66025403784408</v>
      </c>
      <c r="AK18" s="55">
        <f t="shared" si="6"/>
        <v>3.9187403322316072E-14</v>
      </c>
      <c r="AL18" s="55">
        <f t="shared" si="6"/>
        <v>8.6602540378441724</v>
      </c>
      <c r="AM18" s="55">
        <f t="shared" si="6"/>
        <v>8.6602540378449664</v>
      </c>
      <c r="AN18" s="55">
        <f t="shared" si="6"/>
        <v>1.6269147487535385E-12</v>
      </c>
      <c r="AO18" s="55">
        <f t="shared" si="6"/>
        <v>-8.6602540378444228</v>
      </c>
      <c r="AP18" s="55">
        <f t="shared" si="6"/>
        <v>-8.660254037844501</v>
      </c>
      <c r="AQ18" s="55">
        <f t="shared" si="6"/>
        <v>-8.0366702875922513E-13</v>
      </c>
      <c r="AR18" s="55">
        <f t="shared" si="6"/>
        <v>8.6602540378443216</v>
      </c>
      <c r="AS18" s="55">
        <f t="shared" si="6"/>
        <v>8.660254037844819</v>
      </c>
      <c r="AT18" s="55">
        <f t="shared" si="6"/>
        <v>-9.4083595081340121E-13</v>
      </c>
      <c r="AU18" s="55">
        <f t="shared" si="6"/>
        <v>-8.6602540378445685</v>
      </c>
      <c r="AV18" s="55">
        <f t="shared" si="6"/>
        <v>-8.6602540378443535</v>
      </c>
      <c r="AW18" s="55">
        <f t="shared" si="6"/>
        <v>-5.0965308362460604E-13</v>
      </c>
      <c r="AX18" s="55">
        <f t="shared" si="6"/>
        <v>8.6602540378450339</v>
      </c>
      <c r="AY18" s="55">
        <f t="shared" si="6"/>
        <v>8.6602540378441049</v>
      </c>
    </row>
    <row r="19" spans="10:51" x14ac:dyDescent="0.35">
      <c r="J19" s="39"/>
      <c r="K19" s="39"/>
      <c r="L19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5 L18 AP7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TOC</vt:lpstr>
      <vt:lpstr>Flächenberechnungen</vt:lpstr>
      <vt:lpstr>Kinematik_1</vt:lpstr>
      <vt:lpstr>Kinematik_2</vt:lpstr>
      <vt:lpstr>Kinematik_2_Berechnungen</vt:lpstr>
      <vt:lpstr>Fourierreihe</vt:lpstr>
      <vt:lpstr>Scheinleistung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2025-01-16T10:01:35Z</cp:lastPrinted>
  <dcterms:created xsi:type="dcterms:W3CDTF">2015-06-05T18:19:34Z</dcterms:created>
  <dcterms:modified xsi:type="dcterms:W3CDTF">2025-03-21T10:47:25Z</dcterms:modified>
</cp:coreProperties>
</file>