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EDD5B87A-3F5E-473A-B6B6-EAFA93E7B43E}" xr6:coauthVersionLast="47" xr6:coauthVersionMax="47" xr10:uidLastSave="{00000000-0000-0000-0000-000000000000}"/>
  <bookViews>
    <workbookView xWindow="-110" yWindow="-110" windowWidth="19420" windowHeight="10300" firstSheet="6" activeTab="9" xr2:uid="{00000000-000D-0000-FFFF-FFFF00000000}"/>
  </bookViews>
  <sheets>
    <sheet name="Kinematik_1_A" sheetId="3" r:id="rId1"/>
    <sheet name="Kinematik_2_A" sheetId="6" r:id="rId2"/>
    <sheet name="Kinematik_1_B" sheetId="4" r:id="rId3"/>
    <sheet name="Kinematik_2_B" sheetId="7" r:id="rId4"/>
    <sheet name="Kinematik_1_C" sheetId="5" r:id="rId5"/>
    <sheet name="Kinematik_2_C" sheetId="8" r:id="rId6"/>
    <sheet name="Kinematik_1_D" sheetId="2" r:id="rId7"/>
    <sheet name="Kinematik_2_D" sheetId="9" r:id="rId8"/>
    <sheet name="Kinematik_2_Berechnungen_D" sheetId="11" r:id="rId9"/>
    <sheet name="Fourierreihe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1" l="1"/>
  <c r="J17" i="11"/>
  <c r="H16" i="11"/>
  <c r="H15" i="11"/>
  <c r="F8" i="11"/>
  <c r="F14" i="11"/>
  <c r="F13" i="11"/>
  <c r="D11" i="11"/>
  <c r="L11" i="11"/>
  <c r="J10" i="11"/>
  <c r="H9" i="11"/>
  <c r="D10" i="11"/>
  <c r="W5" i="12"/>
  <c r="X5" i="12" s="1"/>
  <c r="F15" i="12"/>
  <c r="F16" i="12"/>
  <c r="F17" i="12"/>
  <c r="F14" i="12"/>
  <c r="M13" i="12"/>
  <c r="M14" i="12" s="1"/>
  <c r="K13" i="12"/>
  <c r="K15" i="12" s="1"/>
  <c r="N12" i="12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Y13" i="12" s="1"/>
  <c r="K14" i="12" l="1"/>
  <c r="AY14" i="12"/>
  <c r="W13" i="12"/>
  <c r="W14" i="12" s="1"/>
  <c r="AT13" i="12"/>
  <c r="AT14" i="12" s="1"/>
  <c r="V13" i="12"/>
  <c r="V14" i="12" s="1"/>
  <c r="Q13" i="12"/>
  <c r="Q14" i="12" s="1"/>
  <c r="AD13" i="12"/>
  <c r="AD14" i="12" s="1"/>
  <c r="AM13" i="12"/>
  <c r="AM14" i="12" s="1"/>
  <c r="AL13" i="12"/>
  <c r="AL14" i="12" s="1"/>
  <c r="O13" i="12"/>
  <c r="O14" i="12" s="1"/>
  <c r="Y13" i="12"/>
  <c r="Y14" i="12" s="1"/>
  <c r="AG13" i="12"/>
  <c r="AG14" i="12" s="1"/>
  <c r="N13" i="12"/>
  <c r="N14" i="12" s="1"/>
  <c r="AU13" i="12"/>
  <c r="AU14" i="12" s="1"/>
  <c r="AE13" i="12"/>
  <c r="AE14" i="12" s="1"/>
  <c r="AO13" i="12"/>
  <c r="AO14" i="12" s="1"/>
  <c r="AV13" i="12"/>
  <c r="AV14" i="12" s="1"/>
  <c r="AN13" i="12"/>
  <c r="AN14" i="12" s="1"/>
  <c r="AF13" i="12"/>
  <c r="AF14" i="12" s="1"/>
  <c r="X13" i="12"/>
  <c r="X14" i="12" s="1"/>
  <c r="P13" i="12"/>
  <c r="P14" i="12" s="1"/>
  <c r="AC13" i="12"/>
  <c r="AC14" i="12" s="1"/>
  <c r="AR13" i="12"/>
  <c r="AR14" i="12" s="1"/>
  <c r="AJ13" i="12"/>
  <c r="AJ14" i="12" s="1"/>
  <c r="AB13" i="12"/>
  <c r="AB14" i="12" s="1"/>
  <c r="T13" i="12"/>
  <c r="T14" i="12" s="1"/>
  <c r="AS13" i="12"/>
  <c r="AS14" i="12" s="1"/>
  <c r="U13" i="12"/>
  <c r="U14" i="12" s="1"/>
  <c r="AQ13" i="12"/>
  <c r="AQ14" i="12" s="1"/>
  <c r="AI13" i="12"/>
  <c r="AI14" i="12" s="1"/>
  <c r="AA13" i="12"/>
  <c r="AA14" i="12" s="1"/>
  <c r="S13" i="12"/>
  <c r="S14" i="12" s="1"/>
  <c r="AK13" i="12"/>
  <c r="AK14" i="12" s="1"/>
  <c r="AX13" i="12"/>
  <c r="AX14" i="12" s="1"/>
  <c r="AP13" i="12"/>
  <c r="AP14" i="12" s="1"/>
  <c r="AH13" i="12"/>
  <c r="AH14" i="12" s="1"/>
  <c r="Z13" i="12"/>
  <c r="Z14" i="12" s="1"/>
  <c r="R13" i="12"/>
  <c r="R14" i="12" s="1"/>
  <c r="AW13" i="12"/>
  <c r="AW14" i="12" s="1"/>
  <c r="J14" i="12"/>
  <c r="C15" i="12"/>
  <c r="C16" i="12"/>
  <c r="K16" i="12" s="1"/>
  <c r="C17" i="12"/>
  <c r="K17" i="12" s="1"/>
  <c r="K7" i="11"/>
  <c r="I7" i="11"/>
  <c r="G7" i="11"/>
  <c r="E7" i="11"/>
  <c r="C7" i="11"/>
  <c r="J13" i="11"/>
  <c r="F12" i="11"/>
  <c r="L14" i="11"/>
  <c r="D8" i="11"/>
  <c r="J15" i="11"/>
  <c r="L16" i="11"/>
  <c r="D9" i="11"/>
  <c r="H12" i="11"/>
  <c r="E11" i="9"/>
  <c r="AA4" i="9"/>
  <c r="X4" i="9"/>
  <c r="Z4" i="9" s="1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D12" i="8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D12" i="7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C10" i="6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Q4" i="8"/>
  <c r="R4" i="8" s="1"/>
  <c r="R3" i="8"/>
  <c r="N4" i="8"/>
  <c r="N3" i="8"/>
  <c r="M3" i="8"/>
  <c r="E11" i="8"/>
  <c r="G11" i="8"/>
  <c r="M11" i="8"/>
  <c r="O11" i="8"/>
  <c r="V11" i="8"/>
  <c r="D11" i="8"/>
  <c r="E10" i="8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X11" i="8" s="1"/>
  <c r="R5" i="7"/>
  <c r="S5" i="7" s="1"/>
  <c r="S4" i="7"/>
  <c r="O5" i="7"/>
  <c r="O4" i="7"/>
  <c r="N4" i="7"/>
  <c r="H11" i="7"/>
  <c r="D11" i="7"/>
  <c r="E10" i="7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X11" i="7" s="1"/>
  <c r="N4" i="6"/>
  <c r="M4" i="6"/>
  <c r="N5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C9" i="6"/>
  <c r="D8" i="6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F54" i="2"/>
  <c r="Y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E54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E52" i="2"/>
  <c r="F51" i="2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C17" i="2"/>
  <c r="D16" i="2"/>
  <c r="D17" i="2" s="1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F41" i="5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W41" i="5" s="1"/>
  <c r="X41" i="5" s="1"/>
  <c r="Y41" i="5" s="1"/>
  <c r="E44" i="4"/>
  <c r="F42" i="4"/>
  <c r="E42" i="4"/>
  <c r="F41" i="4"/>
  <c r="F44" i="4" s="1"/>
  <c r="E44" i="3"/>
  <c r="E42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W41" i="3"/>
  <c r="X41" i="3" s="1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G41" i="3"/>
  <c r="H41" i="3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F41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L25" i="3"/>
  <c r="C7" i="2"/>
  <c r="D7" i="2"/>
  <c r="E7" i="2"/>
  <c r="F7" i="2"/>
  <c r="J18" i="5"/>
  <c r="K17" i="5"/>
  <c r="L17" i="5" s="1"/>
  <c r="M17" i="5" s="1"/>
  <c r="N17" i="5" s="1"/>
  <c r="O17" i="5" s="1"/>
  <c r="P17" i="5" s="1"/>
  <c r="Q17" i="5" s="1"/>
  <c r="R17" i="5" s="1"/>
  <c r="S17" i="5" s="1"/>
  <c r="T17" i="5" s="1"/>
  <c r="T18" i="5" s="1"/>
  <c r="J18" i="4"/>
  <c r="K17" i="4"/>
  <c r="K18" i="4" s="1"/>
  <c r="D8" i="4"/>
  <c r="E8" i="4"/>
  <c r="F8" i="4"/>
  <c r="C8" i="4"/>
  <c r="M24" i="3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C9" i="3"/>
  <c r="K20" i="12" l="1"/>
  <c r="T5" i="12" s="1"/>
  <c r="M16" i="12"/>
  <c r="M15" i="12"/>
  <c r="M17" i="12"/>
  <c r="J16" i="12"/>
  <c r="N16" i="12"/>
  <c r="AT16" i="12"/>
  <c r="AJ16" i="12"/>
  <c r="O16" i="12"/>
  <c r="W16" i="12"/>
  <c r="AE16" i="12"/>
  <c r="AM16" i="12"/>
  <c r="AU16" i="12"/>
  <c r="AH16" i="12"/>
  <c r="S16" i="12"/>
  <c r="AQ16" i="12"/>
  <c r="T16" i="12"/>
  <c r="P16" i="12"/>
  <c r="X16" i="12"/>
  <c r="AF16" i="12"/>
  <c r="AN16" i="12"/>
  <c r="AV16" i="12"/>
  <c r="Z16" i="12"/>
  <c r="AX16" i="12"/>
  <c r="AA16" i="12"/>
  <c r="AY16" i="12"/>
  <c r="AR16" i="12"/>
  <c r="Q16" i="12"/>
  <c r="Y16" i="12"/>
  <c r="AG16" i="12"/>
  <c r="AO16" i="12"/>
  <c r="AW16" i="12"/>
  <c r="R16" i="12"/>
  <c r="AP16" i="12"/>
  <c r="AI16" i="12"/>
  <c r="U16" i="12"/>
  <c r="AC16" i="12"/>
  <c r="AK16" i="12"/>
  <c r="AS16" i="12"/>
  <c r="V16" i="12"/>
  <c r="AD16" i="12"/>
  <c r="AL16" i="12"/>
  <c r="AB16" i="12"/>
  <c r="J17" i="12"/>
  <c r="X17" i="12"/>
  <c r="AN17" i="12"/>
  <c r="V17" i="12"/>
  <c r="Q17" i="12"/>
  <c r="Y17" i="12"/>
  <c r="AG17" i="12"/>
  <c r="AO17" i="12"/>
  <c r="AW17" i="12"/>
  <c r="T17" i="12"/>
  <c r="AC17" i="12"/>
  <c r="N17" i="12"/>
  <c r="AT17" i="12"/>
  <c r="R17" i="12"/>
  <c r="Z17" i="12"/>
  <c r="AH17" i="12"/>
  <c r="AP17" i="12"/>
  <c r="AX17" i="12"/>
  <c r="AB17" i="12"/>
  <c r="AR17" i="12"/>
  <c r="U17" i="12"/>
  <c r="AS17" i="12"/>
  <c r="AL17" i="12"/>
  <c r="S17" i="12"/>
  <c r="AA17" i="12"/>
  <c r="AI17" i="12"/>
  <c r="AQ17" i="12"/>
  <c r="AY17" i="12"/>
  <c r="AJ17" i="12"/>
  <c r="AK17" i="12"/>
  <c r="O17" i="12"/>
  <c r="W17" i="12"/>
  <c r="AE17" i="12"/>
  <c r="AM17" i="12"/>
  <c r="AU17" i="12"/>
  <c r="P17" i="12"/>
  <c r="AF17" i="12"/>
  <c r="AV17" i="12"/>
  <c r="AD17" i="12"/>
  <c r="J15" i="12"/>
  <c r="R15" i="12"/>
  <c r="AX15" i="12"/>
  <c r="U15" i="12"/>
  <c r="AC15" i="12"/>
  <c r="AK15" i="12"/>
  <c r="AS15" i="12"/>
  <c r="X15" i="12"/>
  <c r="AV15" i="12"/>
  <c r="Y15" i="12"/>
  <c r="AO15" i="12"/>
  <c r="AH15" i="12"/>
  <c r="N15" i="12"/>
  <c r="V15" i="12"/>
  <c r="AD15" i="12"/>
  <c r="AL15" i="12"/>
  <c r="AT15" i="12"/>
  <c r="AF15" i="12"/>
  <c r="Q15" i="12"/>
  <c r="AW15" i="12"/>
  <c r="AP15" i="12"/>
  <c r="O15" i="12"/>
  <c r="W15" i="12"/>
  <c r="AE15" i="12"/>
  <c r="AM15" i="12"/>
  <c r="AU15" i="12"/>
  <c r="AN15" i="12"/>
  <c r="P15" i="12"/>
  <c r="AG15" i="12"/>
  <c r="S15" i="12"/>
  <c r="AA15" i="12"/>
  <c r="AI15" i="12"/>
  <c r="AQ15" i="12"/>
  <c r="AY15" i="12"/>
  <c r="T15" i="12"/>
  <c r="AB15" i="12"/>
  <c r="AJ15" i="12"/>
  <c r="AR15" i="12"/>
  <c r="Z15" i="12"/>
  <c r="Z9" i="9"/>
  <c r="Z11" i="9" s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W11" i="8"/>
  <c r="U11" i="8"/>
  <c r="T11" i="8"/>
  <c r="S11" i="8"/>
  <c r="N11" i="8"/>
  <c r="F11" i="8"/>
  <c r="L11" i="8"/>
  <c r="K11" i="8"/>
  <c r="R11" i="8"/>
  <c r="J11" i="8"/>
  <c r="Q11" i="8"/>
  <c r="I11" i="8"/>
  <c r="P11" i="8"/>
  <c r="H11" i="8"/>
  <c r="U11" i="7"/>
  <c r="F11" i="7"/>
  <c r="S11" i="7"/>
  <c r="E11" i="7"/>
  <c r="V11" i="7"/>
  <c r="P11" i="7"/>
  <c r="O11" i="7"/>
  <c r="N11" i="7"/>
  <c r="M11" i="7"/>
  <c r="W11" i="7"/>
  <c r="K11" i="7"/>
  <c r="G11" i="7"/>
  <c r="T11" i="7"/>
  <c r="L11" i="7"/>
  <c r="R11" i="7"/>
  <c r="J11" i="7"/>
  <c r="Q11" i="7"/>
  <c r="I11" i="7"/>
  <c r="G41" i="4"/>
  <c r="Y41" i="3"/>
  <c r="Y42" i="3" s="1"/>
  <c r="X42" i="3"/>
  <c r="W42" i="3"/>
  <c r="K18" i="5"/>
  <c r="P18" i="5"/>
  <c r="N18" i="5"/>
  <c r="S18" i="5"/>
  <c r="R18" i="5"/>
  <c r="Q18" i="5"/>
  <c r="O18" i="5"/>
  <c r="M18" i="5"/>
  <c r="L18" i="5"/>
  <c r="L17" i="4"/>
  <c r="I7" i="5"/>
  <c r="F9" i="5" s="1"/>
  <c r="D7" i="5"/>
  <c r="E7" i="5"/>
  <c r="F7" i="5"/>
  <c r="C7" i="5"/>
  <c r="I7" i="4"/>
  <c r="C7" i="4"/>
  <c r="D7" i="4"/>
  <c r="E7" i="4"/>
  <c r="F7" i="4"/>
  <c r="D9" i="3"/>
  <c r="E9" i="3"/>
  <c r="F9" i="3"/>
  <c r="I7" i="3"/>
  <c r="D7" i="3"/>
  <c r="E7" i="3"/>
  <c r="F7" i="3"/>
  <c r="C7" i="3"/>
  <c r="C6" i="2"/>
  <c r="D6" i="2"/>
  <c r="E6" i="2"/>
  <c r="F6" i="2"/>
  <c r="E16" i="2"/>
  <c r="V20" i="12" l="1"/>
  <c r="T6" i="12"/>
  <c r="T7" i="12" s="1"/>
  <c r="X6" i="12" s="1"/>
  <c r="AD20" i="12"/>
  <c r="AS20" i="12"/>
  <c r="AC20" i="12"/>
  <c r="T20" i="12"/>
  <c r="AJ20" i="12"/>
  <c r="M20" i="12"/>
  <c r="AT20" i="12"/>
  <c r="Y20" i="12"/>
  <c r="AE20" i="12"/>
  <c r="AA20" i="12"/>
  <c r="AV20" i="12"/>
  <c r="AQ20" i="12"/>
  <c r="AK20" i="12"/>
  <c r="N20" i="12"/>
  <c r="AR20" i="12"/>
  <c r="AX20" i="12"/>
  <c r="R20" i="12"/>
  <c r="AI20" i="12"/>
  <c r="AL20" i="12"/>
  <c r="AW20" i="12"/>
  <c r="U20" i="12"/>
  <c r="AG20" i="12"/>
  <c r="AP20" i="12"/>
  <c r="AF20" i="12"/>
  <c r="AB20" i="12"/>
  <c r="AH20" i="12"/>
  <c r="P20" i="12"/>
  <c r="O20" i="12"/>
  <c r="Q20" i="12"/>
  <c r="AY20" i="12"/>
  <c r="AU20" i="12"/>
  <c r="AN20" i="12"/>
  <c r="W20" i="12"/>
  <c r="Z20" i="12"/>
  <c r="S20" i="12"/>
  <c r="AO20" i="12"/>
  <c r="AM20" i="12"/>
  <c r="X20" i="12"/>
  <c r="Z10" i="9"/>
  <c r="AA9" i="9"/>
  <c r="F16" i="2"/>
  <c r="E17" i="2"/>
  <c r="G42" i="4"/>
  <c r="G44" i="4"/>
  <c r="H41" i="4"/>
  <c r="H6" i="2"/>
  <c r="C9" i="5"/>
  <c r="E9" i="5"/>
  <c r="D9" i="5"/>
  <c r="M17" i="4"/>
  <c r="L18" i="4"/>
  <c r="AA10" i="9" l="1"/>
  <c r="AA11" i="9"/>
  <c r="G16" i="2"/>
  <c r="F17" i="2"/>
  <c r="H44" i="4"/>
  <c r="H42" i="4"/>
  <c r="I41" i="4"/>
  <c r="N17" i="4"/>
  <c r="M18" i="4"/>
  <c r="H16" i="2" l="1"/>
  <c r="G17" i="2"/>
  <c r="J41" i="4"/>
  <c r="I42" i="4"/>
  <c r="I44" i="4"/>
  <c r="O17" i="4"/>
  <c r="N18" i="4"/>
  <c r="I16" i="2" l="1"/>
  <c r="H17" i="2"/>
  <c r="J42" i="4"/>
  <c r="K41" i="4"/>
  <c r="J44" i="4"/>
  <c r="P17" i="4"/>
  <c r="O18" i="4"/>
  <c r="J16" i="2" l="1"/>
  <c r="I17" i="2"/>
  <c r="K42" i="4"/>
  <c r="L41" i="4"/>
  <c r="K44" i="4"/>
  <c r="Q17" i="4"/>
  <c r="P18" i="4"/>
  <c r="K16" i="2" l="1"/>
  <c r="J17" i="2"/>
  <c r="L42" i="4"/>
  <c r="L44" i="4"/>
  <c r="M41" i="4"/>
  <c r="R17" i="4"/>
  <c r="Q18" i="4"/>
  <c r="L16" i="2" l="1"/>
  <c r="K17" i="2"/>
  <c r="M42" i="4"/>
  <c r="M44" i="4"/>
  <c r="N41" i="4"/>
  <c r="S17" i="4"/>
  <c r="R18" i="4"/>
  <c r="M16" i="2" l="1"/>
  <c r="L17" i="2"/>
  <c r="O41" i="4"/>
  <c r="N42" i="4"/>
  <c r="N44" i="4"/>
  <c r="T17" i="4"/>
  <c r="S18" i="4"/>
  <c r="N16" i="2" l="1"/>
  <c r="M17" i="2"/>
  <c r="P41" i="4"/>
  <c r="O44" i="4"/>
  <c r="O42" i="4"/>
  <c r="U17" i="4"/>
  <c r="T18" i="4"/>
  <c r="O16" i="2" l="1"/>
  <c r="N17" i="2"/>
  <c r="P44" i="4"/>
  <c r="Q41" i="4"/>
  <c r="P42" i="4"/>
  <c r="V17" i="4"/>
  <c r="U18" i="4"/>
  <c r="P16" i="2" l="1"/>
  <c r="O17" i="2"/>
  <c r="R41" i="4"/>
  <c r="Q44" i="4"/>
  <c r="Q42" i="4"/>
  <c r="W17" i="4"/>
  <c r="V18" i="4"/>
  <c r="Q16" i="2" l="1"/>
  <c r="P17" i="2"/>
  <c r="R42" i="4"/>
  <c r="R44" i="4"/>
  <c r="S41" i="4"/>
  <c r="X17" i="4"/>
  <c r="W18" i="4"/>
  <c r="R16" i="2" l="1"/>
  <c r="Q17" i="2"/>
  <c r="S44" i="4"/>
  <c r="S42" i="4"/>
  <c r="T41" i="4"/>
  <c r="Y17" i="4"/>
  <c r="X18" i="4"/>
  <c r="S16" i="2" l="1"/>
  <c r="R17" i="2"/>
  <c r="T44" i="4"/>
  <c r="U41" i="4"/>
  <c r="T42" i="4"/>
  <c r="Z17" i="4"/>
  <c r="Y18" i="4"/>
  <c r="T16" i="2" l="1"/>
  <c r="S17" i="2"/>
  <c r="U42" i="4"/>
  <c r="U44" i="4"/>
  <c r="V41" i="4"/>
  <c r="AA17" i="4"/>
  <c r="Z18" i="4"/>
  <c r="U16" i="2" l="1"/>
  <c r="T17" i="2"/>
  <c r="V44" i="4"/>
  <c r="W41" i="4"/>
  <c r="V42" i="4"/>
  <c r="AB17" i="4"/>
  <c r="AA18" i="4"/>
  <c r="V16" i="2" l="1"/>
  <c r="U17" i="2"/>
  <c r="W42" i="4"/>
  <c r="W44" i="4"/>
  <c r="X41" i="4"/>
  <c r="AC17" i="4"/>
  <c r="AB18" i="4"/>
  <c r="W16" i="2" l="1"/>
  <c r="W17" i="2" s="1"/>
  <c r="V17" i="2"/>
  <c r="X44" i="4"/>
  <c r="X42" i="4"/>
  <c r="Y41" i="4"/>
  <c r="AD17" i="4"/>
  <c r="AC18" i="4"/>
  <c r="Y44" i="4" l="1"/>
  <c r="Y42" i="4"/>
  <c r="AE17" i="4"/>
  <c r="AD18" i="4"/>
  <c r="AF17" i="4" l="1"/>
  <c r="AE18" i="4"/>
  <c r="AG17" i="4" l="1"/>
  <c r="AF18" i="4"/>
  <c r="AH17" i="4" l="1"/>
  <c r="AG18" i="4"/>
  <c r="AI17" i="4" l="1"/>
  <c r="AH18" i="4"/>
  <c r="AJ17" i="4" l="1"/>
  <c r="AI18" i="4"/>
  <c r="AK17" i="4" l="1"/>
  <c r="AJ18" i="4"/>
  <c r="AL17" i="4" l="1"/>
  <c r="AK18" i="4"/>
  <c r="AM17" i="4" l="1"/>
  <c r="AL18" i="4"/>
  <c r="AN17" i="4" l="1"/>
  <c r="AM18" i="4"/>
  <c r="AO17" i="4" l="1"/>
  <c r="AO18" i="4" s="1"/>
  <c r="AN1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<sst xmlns="http://schemas.openxmlformats.org/spreadsheetml/2006/main" count="190" uniqueCount="144">
  <si>
    <t>y:</t>
  </si>
  <si>
    <t>x:</t>
  </si>
  <si>
    <t>Increment:</t>
  </si>
  <si>
    <t>b = y-Achsenabschnitt:</t>
  </si>
  <si>
    <t>m = Steigung:</t>
  </si>
  <si>
    <t>v = s/t [m/s]</t>
  </si>
  <si>
    <t>Weg s = v * t</t>
  </si>
  <si>
    <t>Zeit t [s]</t>
  </si>
  <si>
    <t>Messprotokoll:</t>
  </si>
  <si>
    <t>Geschwindigkeit v [m/s] = s/t</t>
  </si>
  <si>
    <t>Durchschnitt:</t>
  </si>
  <si>
    <t>Weg s [m] gemessen</t>
  </si>
  <si>
    <t>Messprotokoll</t>
  </si>
  <si>
    <t>Weg-Zeit Diagramm</t>
  </si>
  <si>
    <t>Geschwindigkeit v = s/t [m/s]</t>
  </si>
  <si>
    <t>Weg s = v*t [m] gerechnet</t>
  </si>
  <si>
    <t>Geschwindigkeit v = s/t  [m/s]</t>
  </si>
  <si>
    <t>Durchschnittsgeschwindigkeit:</t>
  </si>
  <si>
    <t xml:space="preserve">y = m*x + b  </t>
  </si>
  <si>
    <t>Weg-Zeit (gemessen)</t>
  </si>
  <si>
    <t>Weg s = v * t [m] (berechnet)</t>
  </si>
  <si>
    <t>Lineare Funktion:</t>
  </si>
  <si>
    <r>
      <rPr>
        <b/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Steigung</t>
    </r>
  </si>
  <si>
    <r>
      <rPr>
        <b/>
        <sz val="11"/>
        <color rgb="FFFFC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y-Achsenabschnitt (Bias)</t>
    </r>
  </si>
  <si>
    <r>
      <t xml:space="preserve">y = </t>
    </r>
    <r>
      <rPr>
        <sz val="20"/>
        <color rgb="FFFF0000"/>
        <rFont val="Calibri"/>
        <family val="2"/>
        <scheme val="minor"/>
      </rPr>
      <t>m</t>
    </r>
    <r>
      <rPr>
        <sz val="20"/>
        <color theme="1"/>
        <rFont val="Calibri"/>
        <family val="2"/>
        <scheme val="minor"/>
      </rPr>
      <t xml:space="preserve"> * x + </t>
    </r>
    <r>
      <rPr>
        <b/>
        <sz val="20"/>
        <color rgb="FFFFC000"/>
        <rFont val="Calibri"/>
        <family val="2"/>
        <scheme val="minor"/>
      </rPr>
      <t>b</t>
    </r>
  </si>
  <si>
    <t xml:space="preserve">x = 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</si>
  <si>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</si>
  <si>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</si>
  <si>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</si>
  <si>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</si>
  <si>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</si>
  <si>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</si>
  <si>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</si>
  <si>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</si>
  <si>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</si>
  <si>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Weg s = v * t [m] gerechnet</t>
  </si>
  <si>
    <t>Lineare Funktion y = f(x)</t>
  </si>
  <si>
    <t>m =</t>
  </si>
  <si>
    <t>b =</t>
  </si>
  <si>
    <t>Steigung</t>
  </si>
  <si>
    <t>y-Achsenabschnitt (Bias)</t>
  </si>
  <si>
    <r>
      <t xml:space="preserve">y = </t>
    </r>
    <r>
      <rPr>
        <sz val="18"/>
        <color rgb="FFFF0000"/>
        <rFont val="Calibri"/>
        <family val="2"/>
        <scheme val="minor"/>
      </rPr>
      <t>m</t>
    </r>
    <r>
      <rPr>
        <sz val="18"/>
        <color theme="1"/>
        <rFont val="Calibri"/>
        <family val="2"/>
        <scheme val="minor"/>
      </rPr>
      <t xml:space="preserve"> x + </t>
    </r>
    <r>
      <rPr>
        <sz val="18"/>
        <color rgb="FFFFC000"/>
        <rFont val="Calibri"/>
        <family val="2"/>
        <scheme val="minor"/>
      </rPr>
      <t>b</t>
    </r>
  </si>
  <si>
    <r>
      <t xml:space="preserve">y = </t>
    </r>
    <r>
      <rPr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x + </t>
    </r>
    <r>
      <rPr>
        <sz val="11"/>
        <color rgb="FFFFC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</t>
    </r>
  </si>
  <si>
    <t>Weg s = v * t [m] berechnet</t>
  </si>
  <si>
    <t xml:space="preserve">y = m * x + b = 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</si>
  <si>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</si>
  <si>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</si>
  <si>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</si>
  <si>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</si>
  <si>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</si>
  <si>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</si>
  <si>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 </t>
    </r>
  </si>
  <si>
    <r>
      <t>s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[km]</t>
    </r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</si>
  <si>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    </t>
    </r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</si>
  <si>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</si>
  <si>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</si>
  <si>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</si>
  <si>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</si>
  <si>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</si>
  <si>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</si>
  <si>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r>
      <t xml:space="preserve">Beschleunigung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:</t>
    </r>
  </si>
  <si>
    <r>
      <t xml:space="preserve">Anfangsgeschwindigkeit </t>
    </r>
    <r>
      <rPr>
        <sz val="11"/>
        <color rgb="FFFFC000"/>
        <rFont val="Calibri"/>
        <family val="2"/>
        <scheme val="minor"/>
      </rPr>
      <t>v</t>
    </r>
    <r>
      <rPr>
        <vertAlign val="subscript"/>
        <sz val="11"/>
        <color rgb="FFFFC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</t>
    </r>
  </si>
  <si>
    <r>
      <t xml:space="preserve">v = </t>
    </r>
    <r>
      <rPr>
        <sz val="11"/>
        <color rgb="FFFF0000"/>
        <rFont val="Calibri"/>
        <family val="2"/>
        <scheme val="minor"/>
      </rPr>
      <t>a</t>
    </r>
    <r>
      <rPr>
        <sz val="11"/>
        <color rgb="FF0070C0"/>
        <rFont val="Calibri"/>
        <family val="2"/>
        <scheme val="minor"/>
      </rPr>
      <t xml:space="preserve"> * t +</t>
    </r>
    <r>
      <rPr>
        <sz val="11"/>
        <color rgb="FFFFC000"/>
        <rFont val="Calibri"/>
        <family val="2"/>
        <scheme val="minor"/>
      </rPr>
      <t xml:space="preserve"> v</t>
    </r>
    <r>
      <rPr>
        <vertAlign val="subscript"/>
        <sz val="11"/>
        <color rgb="FFFFC000"/>
        <rFont val="Calibri"/>
        <family val="2"/>
        <scheme val="minor"/>
      </rPr>
      <t>0</t>
    </r>
  </si>
  <si>
    <t>Senkrechte Linie</t>
  </si>
  <si>
    <r>
      <t>Beschleunigung 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</si>
  <si>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Anfangsgeschwindigkeit v0 [m/s]</t>
  </si>
  <si>
    <t>v = a * t + v0  [m/s]</t>
  </si>
  <si>
    <t>Senkrechte Linie:</t>
  </si>
  <si>
    <t>t</t>
  </si>
  <si>
    <t>Waagrechte Linie:</t>
  </si>
  <si>
    <t>tx [s]</t>
  </si>
  <si>
    <t>Horizontal Linie:</t>
  </si>
  <si>
    <t>v = a * t + v0</t>
  </si>
  <si>
    <t>Vertikale Hilfslinie</t>
  </si>
  <si>
    <r>
      <t xml:space="preserve">s =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theme="7" tint="0.39994506668294322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 xml:space="preserve">*t </t>
    </r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</si>
  <si>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 * t [m]</t>
    </r>
  </si>
  <si>
    <r>
      <t xml:space="preserve">Anfangsgeschwindigkeit </t>
    </r>
    <r>
      <rPr>
        <sz val="11"/>
        <color rgb="FFFFC000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>:</t>
    </r>
  </si>
  <si>
    <r>
      <t xml:space="preserve">v =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* t + </t>
    </r>
    <r>
      <rPr>
        <sz val="11"/>
        <color rgb="FFFFC000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 xml:space="preserve"> [m/s]</t>
    </r>
  </si>
  <si>
    <r>
      <t xml:space="preserve">s =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rgb="FFFFC000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 xml:space="preserve"> * t [m]</t>
    </r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</si>
  <si>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</si>
  <si>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</si>
  <si>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</si>
  <si>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</si>
  <si>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</si>
  <si>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</si>
  <si>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Anfangs
geschwindigkeit</t>
  </si>
  <si>
    <t>Geschwindigkeit</t>
  </si>
  <si>
    <t>Strecke</t>
  </si>
  <si>
    <t>Zeit</t>
  </si>
  <si>
    <t>Beschleunigung</t>
  </si>
  <si>
    <t>v0 [m/s]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</si>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</sst>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vertAlign val="subscript"/>
      <sz val="11"/>
      <color rgb="FFFFC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7" tint="0.39994506668294322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3" borderId="0" xfId="0" applyFill="1"/>
    <xf numFmtId="0" fontId="0" fillId="2" borderId="3" xfId="0" applyFill="1" applyBorder="1"/>
    <xf numFmtId="0" fontId="0" fillId="0" borderId="3" xfId="0" applyBorder="1"/>
    <xf numFmtId="0" fontId="0" fillId="3" borderId="3" xfId="0" applyFill="1" applyBorder="1"/>
    <xf numFmtId="0" fontId="0" fillId="4" borderId="3" xfId="0" applyFill="1" applyBorder="1"/>
    <xf numFmtId="0" fontId="1" fillId="5" borderId="2" xfId="0" applyFont="1" applyFill="1" applyBorder="1"/>
    <xf numFmtId="0" fontId="0" fillId="5" borderId="4" xfId="0" applyFill="1" applyBorder="1"/>
    <xf numFmtId="0" fontId="4" fillId="5" borderId="4" xfId="0" applyFont="1" applyFill="1" applyBorder="1"/>
    <xf numFmtId="0" fontId="0" fillId="5" borderId="1" xfId="0" applyFill="1" applyBorder="1"/>
    <xf numFmtId="0" fontId="0" fillId="0" borderId="5" xfId="0" applyBorder="1"/>
    <xf numFmtId="0" fontId="3" fillId="0" borderId="6" xfId="0" applyFont="1" applyBorder="1"/>
    <xf numFmtId="0" fontId="0" fillId="0" borderId="6" xfId="0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right"/>
    </xf>
    <xf numFmtId="0" fontId="7" fillId="0" borderId="10" xfId="0" applyFont="1" applyBorder="1"/>
    <xf numFmtId="0" fontId="7" fillId="0" borderId="11" xfId="0" applyFont="1" applyBorder="1" applyAlignment="1">
      <alignment horizontal="right"/>
    </xf>
    <xf numFmtId="0" fontId="0" fillId="2" borderId="11" xfId="0" applyFill="1" applyBorder="1"/>
    <xf numFmtId="0" fontId="0" fillId="0" borderId="11" xfId="0" applyBorder="1"/>
    <xf numFmtId="0" fontId="0" fillId="0" borderId="12" xfId="0" applyBorder="1"/>
    <xf numFmtId="0" fontId="3" fillId="0" borderId="5" xfId="0" applyFont="1" applyBorder="1"/>
    <xf numFmtId="0" fontId="0" fillId="2" borderId="9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2" fillId="0" borderId="8" xfId="0" applyFont="1" applyBorder="1"/>
    <xf numFmtId="0" fontId="0" fillId="0" borderId="13" xfId="0" applyBorder="1"/>
    <xf numFmtId="0" fontId="0" fillId="2" borderId="14" xfId="0" applyFill="1" applyBorder="1"/>
    <xf numFmtId="0" fontId="0" fillId="0" borderId="15" xfId="0" applyBorder="1"/>
    <xf numFmtId="0" fontId="0" fillId="2" borderId="16" xfId="0" applyFill="1" applyBorder="1"/>
    <xf numFmtId="0" fontId="0" fillId="0" borderId="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2" borderId="17" xfId="0" applyFill="1" applyBorder="1"/>
    <xf numFmtId="0" fontId="0" fillId="0" borderId="18" xfId="0" applyBorder="1" applyAlignment="1">
      <alignment horizontal="right"/>
    </xf>
    <xf numFmtId="0" fontId="0" fillId="2" borderId="19" xfId="0" applyFill="1" applyBorder="1"/>
    <xf numFmtId="0" fontId="0" fillId="0" borderId="0" xfId="0" applyAlignment="1">
      <alignment horizontal="right" vertical="top"/>
    </xf>
    <xf numFmtId="0" fontId="14" fillId="0" borderId="0" xfId="0" applyFont="1"/>
    <xf numFmtId="0" fontId="0" fillId="0" borderId="2" xfId="0" applyBorder="1"/>
    <xf numFmtId="0" fontId="0" fillId="0" borderId="4" xfId="0" applyBorder="1" applyAlignment="1">
      <alignment horizontal="right"/>
    </xf>
    <xf numFmtId="0" fontId="0" fillId="2" borderId="4" xfId="0" applyFill="1" applyBorder="1"/>
    <xf numFmtId="0" fontId="0" fillId="0" borderId="10" xfId="0" applyBorder="1"/>
    <xf numFmtId="0" fontId="0" fillId="0" borderId="11" xfId="0" applyBorder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/>
    <xf numFmtId="0" fontId="0" fillId="2" borderId="21" xfId="0" applyFill="1" applyBorder="1"/>
    <xf numFmtId="0" fontId="0" fillId="0" borderId="14" xfId="0" applyBorder="1"/>
    <xf numFmtId="0" fontId="0" fillId="2" borderId="22" xfId="0" applyFill="1" applyBorder="1"/>
    <xf numFmtId="0" fontId="0" fillId="0" borderId="16" xfId="0" applyBorder="1"/>
    <xf numFmtId="0" fontId="0" fillId="6" borderId="3" xfId="0" applyFill="1" applyBorder="1"/>
    <xf numFmtId="0" fontId="0" fillId="6" borderId="20" xfId="0" applyFill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7" fillId="0" borderId="13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0" borderId="0" xfId="0" applyNumberFormat="1"/>
    <xf numFmtId="0" fontId="0" fillId="7" borderId="3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3" xfId="0" applyNumberFormat="1" applyFill="1" applyBorder="1" applyAlignment="1">
      <alignment horizontal="center"/>
    </xf>
    <xf numFmtId="0" fontId="0" fillId="0" borderId="39" xfId="0" applyBorder="1" applyAlignment="1">
      <alignment horizontal="right" vertical="center"/>
    </xf>
    <xf numFmtId="0" fontId="33" fillId="0" borderId="0" xfId="0" applyFont="1"/>
    <xf numFmtId="0" fontId="0" fillId="0" borderId="30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2" fontId="0" fillId="0" borderId="17" xfId="0" applyNumberFormat="1" applyBorder="1"/>
    <xf numFmtId="2" fontId="0" fillId="0" borderId="3" xfId="0" applyNumberFormat="1" applyBorder="1"/>
    <xf numFmtId="2" fontId="0" fillId="0" borderId="0" xfId="0" applyNumberFormat="1" applyAlignment="1">
      <alignment horizontal="center"/>
    </xf>
    <xf numFmtId="0" fontId="0" fillId="6" borderId="3" xfId="0" applyFill="1" applyBorder="1" applyAlignment="1">
      <alignment horizontal="right" vertical="center"/>
    </xf>
    <xf numFmtId="0" fontId="0" fillId="11" borderId="3" xfId="0" applyFill="1" applyBorder="1" applyAlignment="1">
      <alignment horizontal="right" vertical="center"/>
    </xf>
    <xf numFmtId="0" fontId="0" fillId="10" borderId="3" xfId="0" applyFill="1" applyBorder="1" applyAlignment="1">
      <alignment horizontal="right" vertical="center"/>
    </xf>
    <xf numFmtId="0" fontId="0" fillId="9" borderId="3" xfId="0" applyFill="1" applyBorder="1" applyAlignment="1">
      <alignment horizontal="right" vertical="center"/>
    </xf>
    <xf numFmtId="0" fontId="0" fillId="8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2" borderId="17" xfId="0" applyNumberFormat="1" applyFill="1" applyBorder="1" applyAlignment="1">
      <alignment vertical="center"/>
    </xf>
    <xf numFmtId="2" fontId="0" fillId="12" borderId="17" xfId="0" applyNumberFormat="1" applyFill="1" applyBorder="1" applyAlignment="1">
      <alignment horizontal="center" vertical="center"/>
    </xf>
    <xf numFmtId="2" fontId="0" fillId="11" borderId="17" xfId="0" applyNumberFormat="1" applyFill="1" applyBorder="1" applyAlignment="1">
      <alignment horizontal="center" vertical="center"/>
    </xf>
    <xf numFmtId="2" fontId="0" fillId="10" borderId="17" xfId="0" applyNumberFormat="1" applyFill="1" applyBorder="1" applyAlignment="1">
      <alignment horizontal="center" vertical="center"/>
    </xf>
    <xf numFmtId="2" fontId="0" fillId="9" borderId="17" xfId="0" applyNumberFormat="1" applyFill="1" applyBorder="1" applyAlignment="1">
      <alignment horizontal="center" vertical="center"/>
    </xf>
    <xf numFmtId="2" fontId="0" fillId="8" borderId="17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0" fontId="0" fillId="12" borderId="3" xfId="0" applyFill="1" applyBorder="1" applyAlignment="1">
      <alignment horizontal="right" vertical="center"/>
    </xf>
    <xf numFmtId="2" fontId="0" fillId="13" borderId="3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3" fillId="0" borderId="6" xfId="0" applyFont="1" applyBorder="1"/>
    <xf numFmtId="0" fontId="0" fillId="0" borderId="7" xfId="0" applyBorder="1"/>
    <xf numFmtId="0" fontId="0" fillId="6" borderId="3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6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2" borderId="2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12" borderId="3" xfId="0" applyFont="1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6" borderId="31" xfId="0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Kinematik_1_A!$B$3</c:f>
              <c:strCache>
                <c:ptCount val="1"/>
                <c:pt idx="0">
                  <c:v>Weg-Zeit (gemessen)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Kinematik_1_A!$C$4:$F$4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Kinematik_1_A!$C$5:$F$5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9-426D-BA22-847A84337B0B}"/>
            </c:ext>
          </c:extLst>
        </c:ser>
        <c:ser>
          <c:idx val="1"/>
          <c:order val="1"/>
          <c:tx>
            <c:strRef>
              <c:f>Kinematik_1_A!$B$9</c:f>
              <c:strCache>
                <c:ptCount val="1"/>
                <c:pt idx="0">
                  <c:v>Weg s = v * t [m] (berechnet)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Kinematik_1_A!$C$4:$F$4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Kinematik_1_A!$C$9:$F$9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8-4127-8C61-1485D326D7A1}"/>
            </c:ext>
          </c:extLst>
        </c:ser>
        <c:ser>
          <c:idx val="2"/>
          <c:order val="2"/>
          <c:tx>
            <c:strRef>
              <c:f>Kinematik_1_A!$K$25</c:f>
              <c:strCache>
                <c:ptCount val="1"/>
                <c:pt idx="0">
                  <c:v>y = m * x + b = 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Kinematik_1_A!$L$24:$AG$24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Kinematik_1_A!$L$25:$AG$25</c:f>
              <c:numCache>
                <c:formatCode>General</c:formatCode>
                <c:ptCount val="22"/>
                <c:pt idx="0">
                  <c:v>0.2</c:v>
                </c:pt>
                <c:pt idx="1">
                  <c:v>2.7</c:v>
                </c:pt>
                <c:pt idx="2">
                  <c:v>5.2</c:v>
                </c:pt>
                <c:pt idx="3">
                  <c:v>7.7</c:v>
                </c:pt>
                <c:pt idx="4">
                  <c:v>10.199999999999999</c:v>
                </c:pt>
                <c:pt idx="5">
                  <c:v>12.7</c:v>
                </c:pt>
                <c:pt idx="6">
                  <c:v>15.2</c:v>
                </c:pt>
                <c:pt idx="7">
                  <c:v>17.7</c:v>
                </c:pt>
                <c:pt idx="8">
                  <c:v>20.2</c:v>
                </c:pt>
                <c:pt idx="9">
                  <c:v>22.7</c:v>
                </c:pt>
                <c:pt idx="10">
                  <c:v>25.2</c:v>
                </c:pt>
                <c:pt idx="11">
                  <c:v>27.7</c:v>
                </c:pt>
                <c:pt idx="12">
                  <c:v>30.2</c:v>
                </c:pt>
                <c:pt idx="13">
                  <c:v>32.700000000000003</c:v>
                </c:pt>
                <c:pt idx="14">
                  <c:v>35.200000000000003</c:v>
                </c:pt>
                <c:pt idx="15">
                  <c:v>37.700000000000003</c:v>
                </c:pt>
                <c:pt idx="16">
                  <c:v>40.200000000000003</c:v>
                </c:pt>
                <c:pt idx="17">
                  <c:v>42.7</c:v>
                </c:pt>
                <c:pt idx="18">
                  <c:v>45.2</c:v>
                </c:pt>
                <c:pt idx="19">
                  <c:v>47.7</c:v>
                </c:pt>
                <c:pt idx="20">
                  <c:v>50.2</c:v>
                </c:pt>
                <c:pt idx="21">
                  <c:v>52.7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D-46D3-AB09-14E700D0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83600"/>
        <c:axId val="367490320"/>
      </c:scatterChart>
      <c:valAx>
        <c:axId val="3674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490320"/>
        <c:crosses val="autoZero"/>
        <c:crossBetween val="midCat"/>
      </c:valAx>
      <c:valAx>
        <c:axId val="3674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48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Kinematik_1_D!$B$2</c:f>
              <c:strCache>
                <c:ptCount val="1"/>
                <c:pt idx="0">
                  <c:v>Messprotokoll: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Kinematik_1_D!$C$3:$F$3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Kinematik_1_D!$C$4:$F$4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0-4A03-8635-F2FD59A6C0D4}"/>
            </c:ext>
          </c:extLst>
        </c:ser>
        <c:ser>
          <c:idx val="1"/>
          <c:order val="1"/>
          <c:tx>
            <c:strRef>
              <c:f>Kinematik_1_D!$B$7</c:f>
              <c:strCache>
                <c:ptCount val="1"/>
                <c:pt idx="0">
                  <c:v>Weg s = v * t [m] berechnet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Kinematik_1_D!$C$3:$F$3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Kinematik_1_D!$C$7:$F$7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0-4490-A89B-18AEA382067C}"/>
            </c:ext>
          </c:extLst>
        </c:ser>
        <c:ser>
          <c:idx val="2"/>
          <c:order val="2"/>
          <c:tx>
            <c:strRef>
              <c:f>Kinematik_1_D!$D$13</c:f>
              <c:strCache>
                <c:ptCount val="1"/>
                <c:pt idx="0">
                  <c:v>y = m*x + b  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Kinematik_1_D!$C$16:$W$16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</c:numCache>
            </c:numRef>
          </c:xVal>
          <c:yVal>
            <c:numRef>
              <c:f>Kinematik_1_D!$C$17:$W$17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26.999999999999996</c:v>
                </c:pt>
                <c:pt idx="10">
                  <c:v>29.999999999999996</c:v>
                </c:pt>
                <c:pt idx="11">
                  <c:v>32.999999999999993</c:v>
                </c:pt>
                <c:pt idx="12">
                  <c:v>35.999999999999993</c:v>
                </c:pt>
                <c:pt idx="13">
                  <c:v>38.999999999999993</c:v>
                </c:pt>
                <c:pt idx="14">
                  <c:v>41.999999999999993</c:v>
                </c:pt>
                <c:pt idx="15">
                  <c:v>44.999999999999993</c:v>
                </c:pt>
                <c:pt idx="16">
                  <c:v>47.999999999999986</c:v>
                </c:pt>
                <c:pt idx="17">
                  <c:v>50.999999999999986</c:v>
                </c:pt>
                <c:pt idx="18">
                  <c:v>53.999999999999986</c:v>
                </c:pt>
                <c:pt idx="19">
                  <c:v>56.999999999999986</c:v>
                </c:pt>
                <c:pt idx="20">
                  <c:v>59.999999999999986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95-4DB4-86A6-B058E756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82640"/>
        <c:axId val="508584080"/>
      </c:scatterChart>
      <c:valAx>
        <c:axId val="5085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84080"/>
        <c:crosses val="autoZero"/>
        <c:crossBetween val="midCat"/>
      </c:valAx>
      <c:valAx>
        <c:axId val="5085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Kinematik_1_D!$B$52</c:f>
              <c:strCache>
                <c:ptCount val="1"/>
                <c:pt idx="0">
                  <c:v>Fz_1: s1 = v1 * t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Kinematik_1_D!$E$51:$Y$51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</c:numCache>
            </c:numRef>
          </c:xVal>
          <c:yVal>
            <c:numRef>
              <c:f>Kinematik_1_D!$E$52:$Y$52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18.000000000000004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47.999999999999993</c:v>
                </c:pt>
                <c:pt idx="9">
                  <c:v>53.999999999999993</c:v>
                </c:pt>
                <c:pt idx="10">
                  <c:v>59.999999999999993</c:v>
                </c:pt>
                <c:pt idx="11">
                  <c:v>65.999999999999986</c:v>
                </c:pt>
                <c:pt idx="12">
                  <c:v>72</c:v>
                </c:pt>
                <c:pt idx="13">
                  <c:v>78</c:v>
                </c:pt>
                <c:pt idx="14">
                  <c:v>84.000000000000014</c:v>
                </c:pt>
                <c:pt idx="15">
                  <c:v>90.000000000000014</c:v>
                </c:pt>
                <c:pt idx="16">
                  <c:v>96.000000000000014</c:v>
                </c:pt>
                <c:pt idx="17">
                  <c:v>102.00000000000003</c:v>
                </c:pt>
                <c:pt idx="18">
                  <c:v>108.00000000000003</c:v>
                </c:pt>
                <c:pt idx="19">
                  <c:v>114.00000000000003</c:v>
                </c:pt>
                <c:pt idx="20">
                  <c:v>120.00000000000003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E-4CE0-B2CD-C04041C4193F}"/>
            </c:ext>
          </c:extLst>
        </c:ser>
        <c:ser>
          <c:idx val="1"/>
          <c:order val="1"/>
          <c:tx>
            <c:strRef>
              <c:f>Kinematik_1_D!$B$54</c:f>
              <c:strCache>
                <c:ptCount val="1"/>
                <c:pt idx="0">
                  <c:v>Fz_2: s2 = v2 * t + s20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Kinematik_1_D!$E$51:$Y$51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</c:numCache>
            </c:numRef>
          </c:xVal>
          <c:yVal>
            <c:numRef>
              <c:f>Kinematik_1_D!$E$54:$Y$54</c:f>
              <c:numCache>
                <c:formatCode>General</c:formatCode>
                <c:ptCount val="2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10.000000000000014</c:v>
                </c:pt>
                <c:pt idx="10">
                  <c:v>0</c:v>
                </c:pt>
                <c:pt idx="11">
                  <c:v>-9.9999999999999858</c:v>
                </c:pt>
                <c:pt idx="12">
                  <c:v>-20</c:v>
                </c:pt>
                <c:pt idx="13">
                  <c:v>-30</c:v>
                </c:pt>
                <c:pt idx="14">
                  <c:v>-40</c:v>
                </c:pt>
                <c:pt idx="15">
                  <c:v>-50.000000000000028</c:v>
                </c:pt>
                <c:pt idx="16">
                  <c:v>-60.000000000000028</c:v>
                </c:pt>
                <c:pt idx="17">
                  <c:v>-70.000000000000028</c:v>
                </c:pt>
                <c:pt idx="18">
                  <c:v>-80.000000000000057</c:v>
                </c:pt>
                <c:pt idx="19">
                  <c:v>-90.000000000000057</c:v>
                </c:pt>
                <c:pt idx="20">
                  <c:v>-100.00000000000006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E-4CE0-B2CD-C04041C41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7039"/>
        <c:axId val="58129839"/>
      </c:scatterChart>
      <c:valAx>
        <c:axId val="5813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9839"/>
        <c:crosses val="autoZero"/>
        <c:crossBetween val="midCat"/>
      </c:valAx>
      <c:valAx>
        <c:axId val="581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Kinematik_2_D!$C$10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Kinematik_2_D!$E$9:$Y$9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Kinematik_2_D!$E$10:$Y$10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Kinematik_2_D!$M$2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Kinematik_2_D!$M$3:$N$3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Kinematik_2_D!$M$4:$N$4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Kinematik_2_D!$P$2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Kinematik_2_D!$P$3:$Q$3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Kinematik_2_D!$P$4:$Q$4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Kinematik_2_D!$S$2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Kinematik_2_D!$S$3:$T$3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Kinematik_2_D!$S$4:$T$4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Kinematik_2_D!$C$11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Kinematik_2_D!$E$9:$Y$9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Kinematik_2_D!$E$11:$Y$11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Kinematik_2_D!$W$2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Kinematik_2_D!$W$3:$X$3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Kinematik_2_D!$W$4:$X$4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Kinematik_2_D!$Z$2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Kinematik_2_D!$Z$3:$AA$3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Kinematik_2_D!$Z$4:$AA$4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  <c:pt idx="37">
                  <c:v>0.17364817766692991</c:v>
                </c:pt>
                <c:pt idx="38">
                  <c:v>0.34202014332566893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0.16666666666666663</c:v>
                </c:pt>
                <c:pt idx="2">
                  <c:v>0.28867513459481287</c:v>
                </c:pt>
                <c:pt idx="3">
                  <c:v>0.33333333333333331</c:v>
                </c:pt>
                <c:pt idx="4">
                  <c:v>0.28867513459481287</c:v>
                </c:pt>
                <c:pt idx="5">
                  <c:v>0.16666666666666663</c:v>
                </c:pt>
                <c:pt idx="6">
                  <c:v>4.083828183028733E-17</c:v>
                </c:pt>
                <c:pt idx="7">
                  <c:v>-0.16666666666666657</c:v>
                </c:pt>
                <c:pt idx="8">
                  <c:v>-0.28867513459481275</c:v>
                </c:pt>
                <c:pt idx="9">
                  <c:v>-0.33333333333333331</c:v>
                </c:pt>
                <c:pt idx="10">
                  <c:v>-0.28867513459481287</c:v>
                </c:pt>
                <c:pt idx="11">
                  <c:v>-0.16666666666666655</c:v>
                </c:pt>
                <c:pt idx="12">
                  <c:v>-8.1676563660574659E-17</c:v>
                </c:pt>
                <c:pt idx="13">
                  <c:v>0.16666666666666666</c:v>
                </c:pt>
                <c:pt idx="14">
                  <c:v>0.28867513459481275</c:v>
                </c:pt>
                <c:pt idx="15">
                  <c:v>0.33333333333333331</c:v>
                </c:pt>
                <c:pt idx="16">
                  <c:v>0.28867513459481303</c:v>
                </c:pt>
                <c:pt idx="17">
                  <c:v>0.16666666666666657</c:v>
                </c:pt>
                <c:pt idx="18">
                  <c:v>1.22514845490862E-16</c:v>
                </c:pt>
                <c:pt idx="19">
                  <c:v>-0.16666666666666688</c:v>
                </c:pt>
                <c:pt idx="20">
                  <c:v>-0.28867513459481287</c:v>
                </c:pt>
                <c:pt idx="21">
                  <c:v>-0.33333333333333331</c:v>
                </c:pt>
                <c:pt idx="22">
                  <c:v>-0.28867513459481275</c:v>
                </c:pt>
                <c:pt idx="23">
                  <c:v>-0.16666666666666663</c:v>
                </c:pt>
                <c:pt idx="24">
                  <c:v>-1.6335312732114932E-16</c:v>
                </c:pt>
                <c:pt idx="25">
                  <c:v>0.16666666666666635</c:v>
                </c:pt>
                <c:pt idx="26">
                  <c:v>0.28867513459481287</c:v>
                </c:pt>
                <c:pt idx="27">
                  <c:v>0.33333333333333331</c:v>
                </c:pt>
                <c:pt idx="28">
                  <c:v>0.28867513459481309</c:v>
                </c:pt>
                <c:pt idx="29">
                  <c:v>0.16666666666666718</c:v>
                </c:pt>
                <c:pt idx="30">
                  <c:v>2.0419140915143666E-16</c:v>
                </c:pt>
                <c:pt idx="31">
                  <c:v>-0.1666666666666663</c:v>
                </c:pt>
                <c:pt idx="32">
                  <c:v>-0.28867513459481253</c:v>
                </c:pt>
                <c:pt idx="33">
                  <c:v>-0.33333333333333331</c:v>
                </c:pt>
                <c:pt idx="34">
                  <c:v>-0.28867513459481275</c:v>
                </c:pt>
                <c:pt idx="35">
                  <c:v>-0.16666666666666774</c:v>
                </c:pt>
                <c:pt idx="36">
                  <c:v>-2.45029690981724E-16</c:v>
                </c:pt>
                <c:pt idx="37">
                  <c:v>0.16666666666666627</c:v>
                </c:pt>
                <c:pt idx="38">
                  <c:v>0.28867513459481314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0.15320888862379561</c:v>
                </c:pt>
                <c:pt idx="2">
                  <c:v>0.19696155060244161</c:v>
                </c:pt>
                <c:pt idx="3">
                  <c:v>0.10000000000000007</c:v>
                </c:pt>
                <c:pt idx="4">
                  <c:v>-6.8404028665133731E-2</c:v>
                </c:pt>
                <c:pt idx="5">
                  <c:v>-0.18793852415718171</c:v>
                </c:pt>
                <c:pt idx="6">
                  <c:v>-0.17320508075688781</c:v>
                </c:pt>
                <c:pt idx="7">
                  <c:v>-3.472963553338608E-2</c:v>
                </c:pt>
                <c:pt idx="8">
                  <c:v>0.12855752193730782</c:v>
                </c:pt>
                <c:pt idx="9">
                  <c:v>0.2</c:v>
                </c:pt>
                <c:pt idx="10">
                  <c:v>0.12855752193730782</c:v>
                </c:pt>
                <c:pt idx="11">
                  <c:v>-3.4729635533385955E-2</c:v>
                </c:pt>
                <c:pt idx="12">
                  <c:v>-0.17320508075688756</c:v>
                </c:pt>
                <c:pt idx="13">
                  <c:v>-0.18793852415718162</c:v>
                </c:pt>
                <c:pt idx="14">
                  <c:v>-6.8404028665133773E-2</c:v>
                </c:pt>
                <c:pt idx="15">
                  <c:v>0.10000000000000012</c:v>
                </c:pt>
                <c:pt idx="16">
                  <c:v>0.19696155060244161</c:v>
                </c:pt>
                <c:pt idx="17">
                  <c:v>0.15320888862379556</c:v>
                </c:pt>
                <c:pt idx="18">
                  <c:v>1.22514845490862E-16</c:v>
                </c:pt>
                <c:pt idx="19">
                  <c:v>-0.15320888862379586</c:v>
                </c:pt>
                <c:pt idx="20">
                  <c:v>-0.19696155060244158</c:v>
                </c:pt>
                <c:pt idx="21">
                  <c:v>-0.10000000000000003</c:v>
                </c:pt>
                <c:pt idx="22">
                  <c:v>6.8404028665133537E-2</c:v>
                </c:pt>
                <c:pt idx="23">
                  <c:v>0.18793852415718154</c:v>
                </c:pt>
                <c:pt idx="24">
                  <c:v>0.17320508075688806</c:v>
                </c:pt>
                <c:pt idx="25">
                  <c:v>3.4729635533386899E-2</c:v>
                </c:pt>
                <c:pt idx="26">
                  <c:v>-0.12855752193730816</c:v>
                </c:pt>
                <c:pt idx="27">
                  <c:v>-0.2</c:v>
                </c:pt>
                <c:pt idx="28">
                  <c:v>-0.12855752193730791</c:v>
                </c:pt>
                <c:pt idx="29">
                  <c:v>3.4729635533385143E-2</c:v>
                </c:pt>
                <c:pt idx="30">
                  <c:v>0.1732050807568879</c:v>
                </c:pt>
                <c:pt idx="31">
                  <c:v>0.18793852415718168</c:v>
                </c:pt>
                <c:pt idx="32">
                  <c:v>6.8404028665133884E-2</c:v>
                </c:pt>
                <c:pt idx="33">
                  <c:v>-9.99999999999997E-2</c:v>
                </c:pt>
                <c:pt idx="34">
                  <c:v>-0.19696155060244167</c:v>
                </c:pt>
                <c:pt idx="35">
                  <c:v>-0.15320888862379611</c:v>
                </c:pt>
                <c:pt idx="36">
                  <c:v>-2.45029690981724E-16</c:v>
                </c:pt>
                <c:pt idx="37">
                  <c:v>0.15320888862379578</c:v>
                </c:pt>
                <c:pt idx="38">
                  <c:v>0.19696155060244147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0.13424180296941546</c:v>
                </c:pt>
                <c:pt idx="2">
                  <c:v>9.1826801383791345E-2</c:v>
                </c:pt>
                <c:pt idx="3">
                  <c:v>-7.1428571428571383E-2</c:v>
                </c:pt>
                <c:pt idx="4">
                  <c:v>-0.14068682185888687</c:v>
                </c:pt>
                <c:pt idx="5">
                  <c:v>-2.4806882523847197E-2</c:v>
                </c:pt>
                <c:pt idx="6">
                  <c:v>0.12371791482634834</c:v>
                </c:pt>
                <c:pt idx="7">
                  <c:v>0.10943492044556839</c:v>
                </c:pt>
                <c:pt idx="8">
                  <c:v>-4.8860020475095425E-2</c:v>
                </c:pt>
                <c:pt idx="9">
                  <c:v>-0.14285714285714285</c:v>
                </c:pt>
                <c:pt idx="10">
                  <c:v>-4.8860020475095543E-2</c:v>
                </c:pt>
                <c:pt idx="11">
                  <c:v>0.10943492044556831</c:v>
                </c:pt>
                <c:pt idx="12">
                  <c:v>0.12371791482634846</c:v>
                </c:pt>
                <c:pt idx="13">
                  <c:v>-2.4806882523847079E-2</c:v>
                </c:pt>
                <c:pt idx="14">
                  <c:v>-0.14068682185888681</c:v>
                </c:pt>
                <c:pt idx="15">
                  <c:v>-7.1428571428571438E-2</c:v>
                </c:pt>
                <c:pt idx="16">
                  <c:v>9.1826801383791151E-2</c:v>
                </c:pt>
                <c:pt idx="17">
                  <c:v>0.13424180296941546</c:v>
                </c:pt>
                <c:pt idx="18">
                  <c:v>1.22514845490862E-16</c:v>
                </c:pt>
                <c:pt idx="19">
                  <c:v>-0.13424180296941554</c:v>
                </c:pt>
                <c:pt idx="20">
                  <c:v>-9.1826801383791345E-2</c:v>
                </c:pt>
                <c:pt idx="21">
                  <c:v>7.1428571428571661E-2</c:v>
                </c:pt>
                <c:pt idx="22">
                  <c:v>0.14068682185888684</c:v>
                </c:pt>
                <c:pt idx="23">
                  <c:v>2.4806882523847319E-2</c:v>
                </c:pt>
                <c:pt idx="24">
                  <c:v>-0.12371791482634821</c:v>
                </c:pt>
                <c:pt idx="25">
                  <c:v>-0.10943492044556863</c:v>
                </c:pt>
                <c:pt idx="26">
                  <c:v>4.8860020475095314E-2</c:v>
                </c:pt>
                <c:pt idx="27">
                  <c:v>0.14285714285714285</c:v>
                </c:pt>
                <c:pt idx="28">
                  <c:v>4.8860020475096133E-2</c:v>
                </c:pt>
                <c:pt idx="29">
                  <c:v>-0.10943492044556806</c:v>
                </c:pt>
                <c:pt idx="30">
                  <c:v>-0.12371791482634839</c:v>
                </c:pt>
                <c:pt idx="31">
                  <c:v>2.4806882523847454E-2</c:v>
                </c:pt>
                <c:pt idx="32">
                  <c:v>0.14068682185888678</c:v>
                </c:pt>
                <c:pt idx="33">
                  <c:v>7.142857142857155E-2</c:v>
                </c:pt>
                <c:pt idx="34">
                  <c:v>-9.1826801383791457E-2</c:v>
                </c:pt>
                <c:pt idx="35">
                  <c:v>-0.13424180296941565</c:v>
                </c:pt>
                <c:pt idx="36">
                  <c:v>-2.45029690981724E-16</c:v>
                </c:pt>
                <c:pt idx="37">
                  <c:v>0.13424180296941515</c:v>
                </c:pt>
                <c:pt idx="38">
                  <c:v>9.182680138379104E-2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0.62776553592680795</c:v>
                </c:pt>
                <c:pt idx="2">
                  <c:v>0.91948362990671439</c:v>
                </c:pt>
                <c:pt idx="3">
                  <c:v>0.86190476190476195</c:v>
                </c:pt>
                <c:pt idx="4">
                  <c:v>0.72237189375733157</c:v>
                </c:pt>
                <c:pt idx="5">
                  <c:v>0.71996570310461572</c:v>
                </c:pt>
                <c:pt idx="6">
                  <c:v>0.81653823785389912</c:v>
                </c:pt>
                <c:pt idx="7">
                  <c:v>0.847731239031424</c:v>
                </c:pt>
                <c:pt idx="8">
                  <c:v>0.7758301198796077</c:v>
                </c:pt>
                <c:pt idx="9">
                  <c:v>0.7238095238095239</c:v>
                </c:pt>
                <c:pt idx="10">
                  <c:v>0.77583011987960748</c:v>
                </c:pt>
                <c:pt idx="11">
                  <c:v>0.84773123903142433</c:v>
                </c:pt>
                <c:pt idx="12">
                  <c:v>0.81653823785389945</c:v>
                </c:pt>
                <c:pt idx="13">
                  <c:v>0.71996570310461594</c:v>
                </c:pt>
                <c:pt idx="14">
                  <c:v>0.72237189375733168</c:v>
                </c:pt>
                <c:pt idx="15">
                  <c:v>0.86190476190476195</c:v>
                </c:pt>
                <c:pt idx="16">
                  <c:v>0.91948362990671473</c:v>
                </c:pt>
                <c:pt idx="17">
                  <c:v>0.62776553592680784</c:v>
                </c:pt>
                <c:pt idx="18">
                  <c:v>4.90059381963448E-16</c:v>
                </c:pt>
                <c:pt idx="19">
                  <c:v>-0.62776553592680884</c:v>
                </c:pt>
                <c:pt idx="20">
                  <c:v>-0.91948362990671439</c:v>
                </c:pt>
                <c:pt idx="21">
                  <c:v>-0.86190476190476195</c:v>
                </c:pt>
                <c:pt idx="22">
                  <c:v>-0.72237189375733168</c:v>
                </c:pt>
                <c:pt idx="23">
                  <c:v>-0.71996570310461572</c:v>
                </c:pt>
                <c:pt idx="24">
                  <c:v>-0.81653823785389867</c:v>
                </c:pt>
                <c:pt idx="25">
                  <c:v>-0.84773123903142356</c:v>
                </c:pt>
                <c:pt idx="26">
                  <c:v>-0.77583011987960804</c:v>
                </c:pt>
                <c:pt idx="27">
                  <c:v>-0.7238095238095239</c:v>
                </c:pt>
                <c:pt idx="28">
                  <c:v>-0.77583011987960671</c:v>
                </c:pt>
                <c:pt idx="29">
                  <c:v>-0.84773123903142422</c:v>
                </c:pt>
                <c:pt idx="30">
                  <c:v>-0.8165382378538989</c:v>
                </c:pt>
                <c:pt idx="31">
                  <c:v>-0.71996570310461527</c:v>
                </c:pt>
                <c:pt idx="32">
                  <c:v>-0.72237189375733146</c:v>
                </c:pt>
                <c:pt idx="33">
                  <c:v>-0.86190476190476184</c:v>
                </c:pt>
                <c:pt idx="34">
                  <c:v>-0.91948362990671439</c:v>
                </c:pt>
                <c:pt idx="35">
                  <c:v>-0.62776553592681084</c:v>
                </c:pt>
                <c:pt idx="36">
                  <c:v>-9.8011876392689601E-16</c:v>
                </c:pt>
                <c:pt idx="37">
                  <c:v>0.62776553592680706</c:v>
                </c:pt>
                <c:pt idx="38">
                  <c:v>0.91948362990671462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0.86602540378443871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Kinematik_1_A!$B$42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Kinematik_1_A!$E$41:$Y$41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Kinematik_1_A!$E$42:$Y$42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7-490C-B5D1-33AFB83401E6}"/>
            </c:ext>
          </c:extLst>
        </c:ser>
        <c:ser>
          <c:idx val="1"/>
          <c:order val="1"/>
          <c:tx>
            <c:strRef>
              <c:f>Kinematik_1_A!$B$44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Kinematik_1_A!$E$41:$Y$41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Kinematik_1_A!$E$44:$Y$44</c:f>
              <c:numCache>
                <c:formatCode>General</c:formatCode>
                <c:ptCount val="21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20.000000000000004</c:v>
                </c:pt>
                <c:pt idx="11">
                  <c:v>18.000000000000004</c:v>
                </c:pt>
                <c:pt idx="12">
                  <c:v>16</c:v>
                </c:pt>
                <c:pt idx="13">
                  <c:v>14</c:v>
                </c:pt>
                <c:pt idx="14">
                  <c:v>11.999999999999996</c:v>
                </c:pt>
                <c:pt idx="15">
                  <c:v>9.9999999999999964</c:v>
                </c:pt>
                <c:pt idx="16">
                  <c:v>7.9999999999999929</c:v>
                </c:pt>
                <c:pt idx="17">
                  <c:v>5.9999999999999929</c:v>
                </c:pt>
                <c:pt idx="18">
                  <c:v>3.9999999999999929</c:v>
                </c:pt>
                <c:pt idx="19">
                  <c:v>1.9999999999999858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7-490C-B5D1-33AFB8340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Kinematik_2_A!$B$9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Kinematik_2_A!$C$8:$W$8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Kinematik_2_A!$C$9:$W$9</c:f>
              <c:numCache>
                <c:formatCode>General</c:formatCode>
                <c:ptCount val="2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D-4AC0-B42D-A6E06453AA3A}"/>
            </c:ext>
          </c:extLst>
        </c:ser>
        <c:ser>
          <c:idx val="1"/>
          <c:order val="1"/>
          <c:tx>
            <c:strRef>
              <c:f>Kinematik_2_A!$M$3</c:f>
              <c:strCache>
                <c:ptCount val="1"/>
                <c:pt idx="0">
                  <c:v>Senkrechte 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Kinematik_2_A!$M$4:$N$4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Kinematik_2_A!$M$5:$N$5</c:f>
              <c:numCache>
                <c:formatCode>General</c:formatCode>
                <c:ptCount val="2"/>
                <c:pt idx="0">
                  <c:v>0</c:v>
                </c:pt>
                <c:pt idx="1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D-4AC0-B42D-A6E06453AA3A}"/>
            </c:ext>
          </c:extLst>
        </c:ser>
        <c:ser>
          <c:idx val="2"/>
          <c:order val="2"/>
          <c:tx>
            <c:strRef>
              <c:f>Kinematik_2_A!$B$10</c:f>
              <c:strCache>
                <c:ptCount val="1"/>
                <c:pt idx="0">
                  <c:v>s = a/2 * t2 + v0*t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Kinematik_2_A!$C$8:$W$8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Kinematik_2_A!$C$10:$W$10</c:f>
              <c:numCache>
                <c:formatCode>General</c:formatCode>
                <c:ptCount val="21"/>
                <c:pt idx="0">
                  <c:v>0</c:v>
                </c:pt>
                <c:pt idx="1">
                  <c:v>21</c:v>
                </c:pt>
                <c:pt idx="2">
                  <c:v>44</c:v>
                </c:pt>
                <c:pt idx="3">
                  <c:v>69</c:v>
                </c:pt>
                <c:pt idx="4">
                  <c:v>96</c:v>
                </c:pt>
                <c:pt idx="5">
                  <c:v>125</c:v>
                </c:pt>
                <c:pt idx="6">
                  <c:v>156</c:v>
                </c:pt>
                <c:pt idx="7">
                  <c:v>189</c:v>
                </c:pt>
                <c:pt idx="8">
                  <c:v>224</c:v>
                </c:pt>
                <c:pt idx="9">
                  <c:v>261</c:v>
                </c:pt>
                <c:pt idx="10">
                  <c:v>300</c:v>
                </c:pt>
                <c:pt idx="11">
                  <c:v>341</c:v>
                </c:pt>
                <c:pt idx="12">
                  <c:v>384</c:v>
                </c:pt>
                <c:pt idx="13">
                  <c:v>429</c:v>
                </c:pt>
                <c:pt idx="14">
                  <c:v>476</c:v>
                </c:pt>
                <c:pt idx="15">
                  <c:v>525</c:v>
                </c:pt>
                <c:pt idx="16">
                  <c:v>576</c:v>
                </c:pt>
                <c:pt idx="17">
                  <c:v>629</c:v>
                </c:pt>
                <c:pt idx="18">
                  <c:v>684</c:v>
                </c:pt>
                <c:pt idx="19">
                  <c:v>741</c:v>
                </c:pt>
                <c:pt idx="20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5A-4901-BC6A-58B60A79C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50176"/>
        <c:axId val="1546554496"/>
      </c:scatterChart>
      <c:valAx>
        <c:axId val="15465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554496"/>
        <c:crosses val="autoZero"/>
        <c:crossBetween val="midCat"/>
      </c:valAx>
      <c:valAx>
        <c:axId val="15465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55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Kinematik_1_B!$B$5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Kinematik_1_B!$C$4:$F$4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Kinematik_1_B!$C$5:$F$5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Kinematik_1_B!$B$8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Kinematik_1_B!$C$4:$F$4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Kinematik_1_B!$C$8:$F$8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Kinematik_1_B!$I$18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Kinematik_1_B!$J$17:$AO$17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Kinematik_1_B!$J$18:$AO$18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Kinematik_1_B!$B$42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Kinematik_1_B!$E$41:$Y$41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Kinematik_1_B!$E$42:$Y$42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Kinematik_1_B!$B$44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Kinematik_1_B!$E$41:$Y$41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Kinematik_1_B!$E$44:$Y$44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58705161854772E-2"/>
          <c:y val="5.0208092236254769E-2"/>
          <c:w val="0.89019685039370078"/>
          <c:h val="0.843906383651641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Kinematik_2_B!$C$11</c:f>
              <c:strCache>
                <c:ptCount val="1"/>
                <c:pt idx="0">
                  <c:v>v = a * t + v0 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Kinematik_2_B!$D$10:$X$10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Kinematik_2_B!$D$11:$X$11</c:f>
              <c:numCache>
                <c:formatCode>General</c:formatCode>
                <c:ptCount val="2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A-4071-8463-683F2D264F55}"/>
            </c:ext>
          </c:extLst>
        </c:ser>
        <c:ser>
          <c:idx val="1"/>
          <c:order val="1"/>
          <c:tx>
            <c:strRef>
              <c:f>Kinematik_2_B!$K$3</c:f>
              <c:strCache>
                <c:ptCount val="1"/>
                <c:pt idx="0">
                  <c:v>Senkrechte Linie: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Kinematik_2_B!$N$4:$O$4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Kinematik_2_B!$N$5:$O$5</c:f>
              <c:numCache>
                <c:formatCode>General</c:formatCode>
                <c:ptCount val="2"/>
                <c:pt idx="0">
                  <c:v>0</c:v>
                </c:pt>
                <c:pt idx="1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A-4071-8463-683F2D264F55}"/>
            </c:ext>
          </c:extLst>
        </c:ser>
        <c:ser>
          <c:idx val="2"/>
          <c:order val="2"/>
          <c:tx>
            <c:strRef>
              <c:f>Kinematik_2_B!$R$3</c:f>
              <c:strCache>
                <c:ptCount val="1"/>
                <c:pt idx="0">
                  <c:v>Waagrechte Linie: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Kinematik_2_B!$R$4:$S$4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Kinematik_2_B!$R$5:$S$5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A-4071-8463-683F2D264F55}"/>
            </c:ext>
          </c:extLst>
        </c:ser>
        <c:ser>
          <c:idx val="3"/>
          <c:order val="3"/>
          <c:tx>
            <c:strRef>
              <c:f>Kinematik_2_B!$C$12</c:f>
              <c:strCache>
                <c:ptCount val="1"/>
                <c:pt idx="0">
                  <c:v>s = a/2 * t2 + V0 * t [m]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Kinematik_2_B!$D$10:$X$10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Kinematik_2_B!$D$12:$X$12</c:f>
              <c:numCache>
                <c:formatCode>General</c:formatCode>
                <c:ptCount val="21"/>
                <c:pt idx="0">
                  <c:v>0</c:v>
                </c:pt>
                <c:pt idx="1">
                  <c:v>21</c:v>
                </c:pt>
                <c:pt idx="2">
                  <c:v>44</c:v>
                </c:pt>
                <c:pt idx="3">
                  <c:v>69</c:v>
                </c:pt>
                <c:pt idx="4">
                  <c:v>96</c:v>
                </c:pt>
                <c:pt idx="5">
                  <c:v>125</c:v>
                </c:pt>
                <c:pt idx="6">
                  <c:v>156</c:v>
                </c:pt>
                <c:pt idx="7">
                  <c:v>189</c:v>
                </c:pt>
                <c:pt idx="8">
                  <c:v>224</c:v>
                </c:pt>
                <c:pt idx="9">
                  <c:v>261</c:v>
                </c:pt>
                <c:pt idx="10">
                  <c:v>300</c:v>
                </c:pt>
                <c:pt idx="11">
                  <c:v>341</c:v>
                </c:pt>
                <c:pt idx="12">
                  <c:v>384</c:v>
                </c:pt>
                <c:pt idx="13">
                  <c:v>429</c:v>
                </c:pt>
                <c:pt idx="14">
                  <c:v>476</c:v>
                </c:pt>
                <c:pt idx="15">
                  <c:v>525</c:v>
                </c:pt>
                <c:pt idx="16">
                  <c:v>576</c:v>
                </c:pt>
                <c:pt idx="17">
                  <c:v>629</c:v>
                </c:pt>
                <c:pt idx="18">
                  <c:v>684</c:v>
                </c:pt>
                <c:pt idx="19">
                  <c:v>741</c:v>
                </c:pt>
                <c:pt idx="20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77-448E-B564-711154D4E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885632"/>
        <c:axId val="1633889472"/>
      </c:scatterChart>
      <c:valAx>
        <c:axId val="16338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889472"/>
        <c:crosses val="autoZero"/>
        <c:crossBetween val="midCat"/>
      </c:valAx>
      <c:valAx>
        <c:axId val="16338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88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180246892397088E-2"/>
          <c:y val="4.6790761661492049E-2"/>
          <c:w val="0.89451002068398922"/>
          <c:h val="0.839983700603969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Kinematik_1_C!$B$3</c:f>
              <c:strCache>
                <c:ptCount val="1"/>
                <c:pt idx="0">
                  <c:v>Messprotokoll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Kinematik_1_C!$C$4:$F$4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Kinematik_1_C!$C$5:$F$5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B-4AFD-88F7-FE269B252948}"/>
            </c:ext>
          </c:extLst>
        </c:ser>
        <c:ser>
          <c:idx val="1"/>
          <c:order val="1"/>
          <c:tx>
            <c:strRef>
              <c:f>Kinematik_1_C!$B$9</c:f>
              <c:strCache>
                <c:ptCount val="1"/>
                <c:pt idx="0">
                  <c:v>Weg s = v * t [m] gerechnet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Kinematik_1_C!$C$4:$F$4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Kinematik_1_C!$C$9:$F$9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2B-4AFD-88F7-FE269B252948}"/>
            </c:ext>
          </c:extLst>
        </c:ser>
        <c:ser>
          <c:idx val="2"/>
          <c:order val="2"/>
          <c:tx>
            <c:strRef>
              <c:f>Kinematik_1_C!$I$18</c:f>
              <c:strCache>
                <c:ptCount val="1"/>
                <c:pt idx="0">
                  <c:v>y = m x + b = 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Kinematik_1_C!$J$17:$T$17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Kinematik_1_C!$J$18:$T$18</c:f>
              <c:numCache>
                <c:formatCode>General</c:formatCode>
                <c:ptCount val="11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-5</c:v>
                </c:pt>
                <c:pt idx="4">
                  <c:v>-10</c:v>
                </c:pt>
                <c:pt idx="5">
                  <c:v>-15</c:v>
                </c:pt>
                <c:pt idx="6">
                  <c:v>-20</c:v>
                </c:pt>
                <c:pt idx="7">
                  <c:v>-25</c:v>
                </c:pt>
                <c:pt idx="8">
                  <c:v>-30</c:v>
                </c:pt>
                <c:pt idx="9">
                  <c:v>-35</c:v>
                </c:pt>
                <c:pt idx="10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A-41C7-A42A-BD456AD9C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78415"/>
        <c:axId val="1195578895"/>
      </c:scatterChart>
      <c:valAx>
        <c:axId val="119557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578895"/>
        <c:crosses val="autoZero"/>
        <c:crossBetween val="midCat"/>
      </c:valAx>
      <c:valAx>
        <c:axId val="119557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57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Kinematik_1_C!$B$42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Kinematik_1_C!$E$41:$Y$41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Kinematik_1_C!$E$42:$Y$42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1-4F9E-8210-5089198A95F8}"/>
            </c:ext>
          </c:extLst>
        </c:ser>
        <c:ser>
          <c:idx val="1"/>
          <c:order val="1"/>
          <c:tx>
            <c:strRef>
              <c:f>Kinematik_1_C!$B$44</c:f>
              <c:strCache>
                <c:ptCount val="1"/>
                <c:pt idx="0">
                  <c:v>Fz_2: s2 = v2 * t + s20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Kinematik_1_C!$E$41:$Y$41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Kinematik_1_C!$E$44:$Y$44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50.000000000000007</c:v>
                </c:pt>
                <c:pt idx="11">
                  <c:v>45.000000000000007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24.999999999999986</c:v>
                </c:pt>
                <c:pt idx="16">
                  <c:v>19.999999999999986</c:v>
                </c:pt>
                <c:pt idx="17">
                  <c:v>14.999999999999986</c:v>
                </c:pt>
                <c:pt idx="18">
                  <c:v>9.9999999999999716</c:v>
                </c:pt>
                <c:pt idx="19">
                  <c:v>4.9999999999999716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31-4F9E-8210-5089198A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507631"/>
        <c:axId val="1521493231"/>
      </c:scatterChart>
      <c:valAx>
        <c:axId val="152150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493231"/>
        <c:crosses val="autoZero"/>
        <c:crossBetween val="midCat"/>
      </c:valAx>
      <c:valAx>
        <c:axId val="15214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50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Kinematik_2_C!$C$11</c:f>
              <c:strCache>
                <c:ptCount val="1"/>
                <c:pt idx="0">
                  <c:v>v = a * t + v0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Kinematik_2_C!$D$10:$X$10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Kinematik_2_C!$D$11:$X$11</c:f>
              <c:numCache>
                <c:formatCode>General</c:formatCode>
                <c:ptCount val="2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3-4008-8D26-4BFAA6C0B2C0}"/>
            </c:ext>
          </c:extLst>
        </c:ser>
        <c:ser>
          <c:idx val="1"/>
          <c:order val="1"/>
          <c:tx>
            <c:strRef>
              <c:f>Kinematik_2_C!$M$2</c:f>
              <c:strCache>
                <c:ptCount val="1"/>
                <c:pt idx="0">
                  <c:v>Senkrechte Linie: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Kinematik_2_C!$M$3:$N$3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Kinematik_2_C!$M$4:$N$4</c:f>
              <c:numCache>
                <c:formatCode>General</c:formatCode>
                <c:ptCount val="2"/>
                <c:pt idx="0">
                  <c:v>0</c:v>
                </c:pt>
                <c:pt idx="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03-4008-8D26-4BFAA6C0B2C0}"/>
            </c:ext>
          </c:extLst>
        </c:ser>
        <c:ser>
          <c:idx val="2"/>
          <c:order val="2"/>
          <c:tx>
            <c:strRef>
              <c:f>Kinematik_2_C!$Q$2</c:f>
              <c:strCache>
                <c:ptCount val="1"/>
                <c:pt idx="0">
                  <c:v>Horizontal Linie: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Kinematik_2_C!$Q$3:$R$3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Kinematik_2_C!$Q$4:$R$4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03-4008-8D26-4BFAA6C0B2C0}"/>
            </c:ext>
          </c:extLst>
        </c:ser>
        <c:ser>
          <c:idx val="3"/>
          <c:order val="3"/>
          <c:tx>
            <c:strRef>
              <c:f>Kinematik_2_C!$C$12</c:f>
              <c:strCache>
                <c:ptCount val="1"/>
                <c:pt idx="0">
                  <c:v>s = a/2 * t2 + V0 * t [m]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Kinematik_2_C!$D$10:$X$10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Kinematik_2_C!$D$12:$X$12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24</c:v>
                </c:pt>
                <c:pt idx="4">
                  <c:v>36</c:v>
                </c:pt>
                <c:pt idx="5">
                  <c:v>50</c:v>
                </c:pt>
                <c:pt idx="6">
                  <c:v>66</c:v>
                </c:pt>
                <c:pt idx="7">
                  <c:v>84</c:v>
                </c:pt>
                <c:pt idx="8">
                  <c:v>104</c:v>
                </c:pt>
                <c:pt idx="9">
                  <c:v>126</c:v>
                </c:pt>
                <c:pt idx="10">
                  <c:v>150</c:v>
                </c:pt>
                <c:pt idx="11">
                  <c:v>176</c:v>
                </c:pt>
                <c:pt idx="12">
                  <c:v>204</c:v>
                </c:pt>
                <c:pt idx="13">
                  <c:v>234</c:v>
                </c:pt>
                <c:pt idx="14">
                  <c:v>266</c:v>
                </c:pt>
                <c:pt idx="15">
                  <c:v>300</c:v>
                </c:pt>
                <c:pt idx="16">
                  <c:v>336</c:v>
                </c:pt>
                <c:pt idx="17">
                  <c:v>374</c:v>
                </c:pt>
                <c:pt idx="18">
                  <c:v>414</c:v>
                </c:pt>
                <c:pt idx="19">
                  <c:v>456</c:v>
                </c:pt>
                <c:pt idx="2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33-410B-BADF-30FE6FE3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134912"/>
        <c:axId val="1638140672"/>
      </c:scatterChart>
      <c:valAx>
        <c:axId val="16381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8140672"/>
        <c:crosses val="autoZero"/>
        <c:crossBetween val="midCat"/>
      </c:valAx>
      <c:valAx>
        <c:axId val="16381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813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hyperlink" Target="#Aufgabe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530224</xdr:colOff>
      <xdr:row>12</xdr:row>
      <xdr:rowOff>120650</xdr:rowOff>
    </xdr:from>
    <xdr:to>
      <xdr:col>5</xdr:col>
      <xdr:colOff>755649</xdr:colOff>
      <xdr:row>35</xdr:row>
      <xdr:rowOff>127000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B50DB6-23ED-D074-8897-E2C88D2CD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727075</xdr:colOff>
      <xdr:row>47</xdr:row>
      <xdr:rowOff>139700</xdr:rowOff>
    </xdr:from>
    <xdr:to>
      <xdr:col>8</xdr:col>
      <xdr:colOff>727075</xdr:colOff>
      <xdr:row>62</xdr:row>
      <xdr:rowOff>120650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6BCA08-D3F2-35C4-442F-3ACFAB96E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612775</xdr:colOff>
      <xdr:row>14</xdr:row>
      <xdr:rowOff>107950</xdr:rowOff>
    </xdr:from>
    <xdr:to>
      <xdr:col>9</xdr:col>
      <xdr:colOff>612775</xdr:colOff>
      <xdr:row>29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4590F7A-1C3F-8ABC-FDED-5FE0C488B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100239</xdr:colOff>
      <xdr:row>16</xdr:row>
      <xdr:rowOff>72572</xdr:rowOff>
    </xdr:from>
    <xdr:to>
      <xdr:col>13</xdr:col>
      <xdr:colOff>404479</xdr:colOff>
      <xdr:row>37</xdr:row>
      <xdr:rowOff>9071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040D04-56A6-8608-5A8E-4EF33D3C1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16</xdr:row>
      <xdr:rowOff>120650</xdr:rowOff>
    </xdr:from>
    <xdr:to>
      <xdr:col>6</xdr:col>
      <xdr:colOff>28575</xdr:colOff>
      <xdr:row>31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AFB514-1FE5-5F36-3D32-313C85A55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263525</xdr:colOff>
      <xdr:row>45</xdr:row>
      <xdr:rowOff>177800</xdr:rowOff>
    </xdr:from>
    <xdr:to>
      <xdr:col>7</xdr:col>
      <xdr:colOff>1025525</xdr:colOff>
      <xdr:row>60</xdr:row>
      <xdr:rowOff>158750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0D40CEF-05C3-1D65-84D4-9159814FC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460375</xdr:colOff>
      <xdr:row>12</xdr:row>
      <xdr:rowOff>127000</xdr:rowOff>
    </xdr:from>
    <xdr:to>
      <xdr:col>9</xdr:col>
      <xdr:colOff>460375</xdr:colOff>
      <xdr:row>27</xdr:row>
      <xdr:rowOff>107950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7AD53D-FE55-E74F-1919-670D6630C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49439</xdr:colOff>
      <xdr:row>24</xdr:row>
      <xdr:rowOff>76200</xdr:rowOff>
    </xdr:from>
    <xdr:to>
      <xdr:col>11</xdr:col>
      <xdr:colOff>752928</xdr:colOff>
      <xdr:row>44</xdr:row>
      <xdr:rowOff>54428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15C722-7A5A-4F14-A853-112835DB4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490482</xdr:colOff>
      <xdr:row>61</xdr:row>
      <xdr:rowOff>109488</xdr:rowOff>
    </xdr:from>
    <xdr:to>
      <xdr:col>5</xdr:col>
      <xdr:colOff>109482</xdr:colOff>
      <xdr:row>76</xdr:row>
      <xdr:rowOff>93723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03C9849-22EF-FB68-465B-D0E2BAF4F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12</xdr:col>
      <xdr:colOff>34511</xdr:colOff>
      <xdr:row>0</xdr:row>
      <xdr:rowOff>62948</xdr:rowOff>
    </xdr:from>
    <xdr:to>
      <xdr:col>13</xdr:col>
      <xdr:colOff>104921</xdr:colOff>
      <xdr:row>1</xdr:row>
      <xdr:rowOff>226927</xdr:rowOff>
    </xdr:to>
    <xdr:sp macro="" textlink="">
      <xdr:nvSpPr>
        <xdr:cNvPr id="3" name="Pfeil nach link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BB0531-F171-41D2-BCAC-FC1793198301}"/>
            </a:ext>
          </a:extLst>
        </xdr:cNvPr>
        <xdr:cNvSpPr/>
      </xdr:nvSpPr>
      <xdr:spPr>
        <a:xfrm>
          <a:off x="5298661" y="66123"/>
          <a:ext cx="822885" cy="29415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721001</xdr:colOff>
      <xdr:row>22</xdr:row>
      <xdr:rowOff>183793</xdr:rowOff>
    </xdr:from>
    <xdr:to>
      <xdr:col>50</xdr:col>
      <xdr:colOff>412749</xdr:colOff>
      <xdr:row>53</xdr:row>
      <xdr:rowOff>174625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3FD5-7454-487E-B548-6F210376BA54}">
  <dimension ref="B3:AG45"/>
  <sheetViews>
    <sheetView topLeftCell="A17" zoomScaleNormal="100" workbookViewId="0">
      <selection activeCell="B40" sqref="B40:Y46"/>
    </sheetView>
  </sheetViews>
  <sheetFormatPr baseColWidth="10" defaultRowHeight="14.5" x14ac:dyDescent="0.35"/>
  <cols>
    <col min="2" max="2" width="27.7265625" customWidth="1"/>
    <col min="10" max="10" width="25.26953125" customWidth="1"/>
    <col min="11" max="11" width="13.90625" customWidth="1"/>
  </cols>
  <sheetData>
    <row r="3" spans="2:9" x14ac:dyDescent="0.35">
      <c r="B3" t="s">
        <v>19</v>
      </c>
    </row>
    <row r="4" spans="2:9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9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9" x14ac:dyDescent="0.35">
      <c r="B7" t="s">
        <v>9</v>
      </c>
      <c r="C7" s="5">
        <f>C5/C4</f>
        <v>10</v>
      </c>
      <c r="D7" s="5">
        <f t="shared" ref="D7:F7" si="0">D5/D4</f>
        <v>9.9499999999999993</v>
      </c>
      <c r="E7" s="5">
        <f t="shared" si="0"/>
        <v>10.016666666666667</v>
      </c>
      <c r="F7" s="5">
        <f t="shared" si="0"/>
        <v>10.125</v>
      </c>
      <c r="H7" t="s">
        <v>10</v>
      </c>
      <c r="I7">
        <f>AVERAGE(C7:F7)</f>
        <v>10.022916666666667</v>
      </c>
    </row>
    <row r="9" spans="2:9" x14ac:dyDescent="0.35">
      <c r="B9" t="s">
        <v>20</v>
      </c>
      <c r="C9">
        <f>$I$7*C4</f>
        <v>10.022916666666667</v>
      </c>
      <c r="D9">
        <f t="shared" ref="D9:F9" si="1">$I$7*D4</f>
        <v>20.045833333333334</v>
      </c>
      <c r="E9">
        <f t="shared" si="1"/>
        <v>30.068750000000001</v>
      </c>
      <c r="F9">
        <f t="shared" si="1"/>
        <v>40.091666666666669</v>
      </c>
    </row>
    <row r="17" spans="9:33" ht="15" thickBot="1" x14ac:dyDescent="0.4"/>
    <row r="18" spans="9:33" ht="26.5" thickBot="1" x14ac:dyDescent="0.65">
      <c r="I18" s="10" t="s">
        <v>21</v>
      </c>
      <c r="J18" s="11"/>
      <c r="K18" s="12" t="s">
        <v>24</v>
      </c>
      <c r="L18" s="13"/>
    </row>
    <row r="19" spans="9:33" ht="15" thickBot="1" x14ac:dyDescent="0.4"/>
    <row r="20" spans="9:33" x14ac:dyDescent="0.35">
      <c r="J20" s="31" t="s">
        <v>22</v>
      </c>
      <c r="K20" s="32">
        <v>2.5</v>
      </c>
    </row>
    <row r="21" spans="9:33" ht="15" thickBot="1" x14ac:dyDescent="0.4">
      <c r="J21" s="33" t="s">
        <v>23</v>
      </c>
      <c r="K21" s="34">
        <v>0.2</v>
      </c>
    </row>
    <row r="22" spans="9:33" ht="15" thickBot="1" x14ac:dyDescent="0.4"/>
    <row r="23" spans="9:33" ht="15" thickBot="1" x14ac:dyDescent="0.4">
      <c r="K23" s="38" t="s">
        <v>26</v>
      </c>
      <c r="L23" s="39">
        <v>1</v>
      </c>
    </row>
    <row r="24" spans="9:33" x14ac:dyDescent="0.35">
      <c r="K24" s="36" t="s">
        <v>25</v>
      </c>
      <c r="L24" s="37">
        <v>0</v>
      </c>
      <c r="M24" s="7">
        <f>L24+$L$23</f>
        <v>1</v>
      </c>
      <c r="N24" s="7">
        <f t="shared" ref="N24:AG24" si="2">M24+$L$23</f>
        <v>2</v>
      </c>
      <c r="O24" s="7">
        <f t="shared" si="2"/>
        <v>3</v>
      </c>
      <c r="P24" s="7">
        <f t="shared" si="2"/>
        <v>4</v>
      </c>
      <c r="Q24" s="7">
        <f t="shared" si="2"/>
        <v>5</v>
      </c>
      <c r="R24" s="7">
        <f t="shared" si="2"/>
        <v>6</v>
      </c>
      <c r="S24" s="7">
        <f t="shared" si="2"/>
        <v>7</v>
      </c>
      <c r="T24" s="7">
        <f t="shared" si="2"/>
        <v>8</v>
      </c>
      <c r="U24" s="7">
        <f t="shared" si="2"/>
        <v>9</v>
      </c>
      <c r="V24" s="7">
        <f t="shared" si="2"/>
        <v>10</v>
      </c>
      <c r="W24" s="7">
        <f t="shared" si="2"/>
        <v>11</v>
      </c>
      <c r="X24" s="7">
        <f t="shared" si="2"/>
        <v>12</v>
      </c>
      <c r="Y24" s="7">
        <f t="shared" si="2"/>
        <v>13</v>
      </c>
      <c r="Z24" s="7">
        <f t="shared" si="2"/>
        <v>14</v>
      </c>
      <c r="AA24" s="7">
        <f t="shared" si="2"/>
        <v>15</v>
      </c>
      <c r="AB24" s="7">
        <f t="shared" si="2"/>
        <v>16</v>
      </c>
      <c r="AC24" s="7">
        <f t="shared" si="2"/>
        <v>17</v>
      </c>
      <c r="AD24" s="7">
        <f t="shared" si="2"/>
        <v>18</v>
      </c>
      <c r="AE24" s="7">
        <f t="shared" si="2"/>
        <v>19</v>
      </c>
      <c r="AF24" s="7">
        <f t="shared" si="2"/>
        <v>20</v>
      </c>
      <c r="AG24" s="7">
        <f t="shared" si="2"/>
        <v>21</v>
      </c>
    </row>
    <row r="25" spans="9:33" x14ac:dyDescent="0.35">
      <c r="K25" s="35" t="s">
        <v>44</v>
      </c>
      <c r="L25" s="7">
        <f>$K$20*L24+$K$21</f>
        <v>0.2</v>
      </c>
      <c r="M25" s="7">
        <f t="shared" ref="M25:AG25" si="3">$K$20*M24+$K$21</f>
        <v>2.7</v>
      </c>
      <c r="N25" s="7">
        <f t="shared" si="3"/>
        <v>5.2</v>
      </c>
      <c r="O25" s="7">
        <f t="shared" si="3"/>
        <v>7.7</v>
      </c>
      <c r="P25" s="7">
        <f t="shared" si="3"/>
        <v>10.199999999999999</v>
      </c>
      <c r="Q25" s="7">
        <f t="shared" si="3"/>
        <v>12.7</v>
      </c>
      <c r="R25" s="7">
        <f t="shared" si="3"/>
        <v>15.2</v>
      </c>
      <c r="S25" s="7">
        <f t="shared" si="3"/>
        <v>17.7</v>
      </c>
      <c r="T25" s="7">
        <f t="shared" si="3"/>
        <v>20.2</v>
      </c>
      <c r="U25" s="7">
        <f t="shared" si="3"/>
        <v>22.7</v>
      </c>
      <c r="V25" s="7">
        <f t="shared" si="3"/>
        <v>25.2</v>
      </c>
      <c r="W25" s="7">
        <f t="shared" si="3"/>
        <v>27.7</v>
      </c>
      <c r="X25" s="7">
        <f t="shared" si="3"/>
        <v>30.2</v>
      </c>
      <c r="Y25" s="7">
        <f t="shared" si="3"/>
        <v>32.700000000000003</v>
      </c>
      <c r="Z25" s="7">
        <f t="shared" si="3"/>
        <v>35.200000000000003</v>
      </c>
      <c r="AA25" s="7">
        <f t="shared" si="3"/>
        <v>37.700000000000003</v>
      </c>
      <c r="AB25" s="7">
        <f t="shared" si="3"/>
        <v>40.200000000000003</v>
      </c>
      <c r="AC25" s="7">
        <f t="shared" si="3"/>
        <v>42.7</v>
      </c>
      <c r="AD25" s="7">
        <f t="shared" si="3"/>
        <v>45.2</v>
      </c>
      <c r="AE25" s="7">
        <f t="shared" si="3"/>
        <v>47.7</v>
      </c>
      <c r="AF25" s="7">
        <f t="shared" si="3"/>
        <v>50.2</v>
      </c>
      <c r="AG25" s="7">
        <f t="shared" si="3"/>
        <v>52.7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V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ref="W41:Y41" si="5">V41+$E$40</f>
        <v>1.8000000000000005</v>
      </c>
      <c r="X41">
        <f t="shared" si="5"/>
        <v>1.9000000000000006</v>
      </c>
      <c r="Y41">
        <f t="shared" si="5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V42" si="6">$D$42*F41</f>
        <v>3.5</v>
      </c>
      <c r="G42">
        <f t="shared" si="6"/>
        <v>7</v>
      </c>
      <c r="H42">
        <f t="shared" si="6"/>
        <v>10.500000000000002</v>
      </c>
      <c r="I42">
        <f t="shared" si="6"/>
        <v>14</v>
      </c>
      <c r="J42">
        <f t="shared" si="6"/>
        <v>17.5</v>
      </c>
      <c r="K42">
        <f t="shared" si="6"/>
        <v>21</v>
      </c>
      <c r="L42">
        <f t="shared" si="6"/>
        <v>24.5</v>
      </c>
      <c r="M42">
        <f t="shared" si="6"/>
        <v>27.999999999999996</v>
      </c>
      <c r="N42">
        <f t="shared" si="6"/>
        <v>31.499999999999996</v>
      </c>
      <c r="O42">
        <f t="shared" si="6"/>
        <v>34.999999999999993</v>
      </c>
      <c r="P42">
        <f t="shared" si="6"/>
        <v>38.499999999999993</v>
      </c>
      <c r="Q42">
        <f t="shared" si="6"/>
        <v>42</v>
      </c>
      <c r="R42">
        <f t="shared" si="6"/>
        <v>45.5</v>
      </c>
      <c r="S42">
        <f t="shared" si="6"/>
        <v>49.000000000000007</v>
      </c>
      <c r="T42">
        <f t="shared" si="6"/>
        <v>52.500000000000007</v>
      </c>
      <c r="U42">
        <f t="shared" si="6"/>
        <v>56.000000000000014</v>
      </c>
      <c r="V42">
        <f t="shared" si="6"/>
        <v>59.500000000000014</v>
      </c>
      <c r="W42">
        <f t="shared" ref="W42" si="7">$D$42*W41</f>
        <v>63.000000000000014</v>
      </c>
      <c r="X42">
        <f t="shared" ref="X42" si="8">$D$42*X41</f>
        <v>66.500000000000014</v>
      </c>
      <c r="Y42">
        <f t="shared" ref="Y42" si="9">$D$42*Y41</f>
        <v>70.000000000000014</v>
      </c>
    </row>
    <row r="44" spans="2:25" ht="16.5" x14ac:dyDescent="0.45">
      <c r="B44" s="1" t="s">
        <v>49</v>
      </c>
      <c r="C44" t="s">
        <v>48</v>
      </c>
      <c r="D44" s="2">
        <v>-20</v>
      </c>
      <c r="E44">
        <f>$D$44*E41+$D$45</f>
        <v>40</v>
      </c>
      <c r="F44">
        <f t="shared" ref="F44:Y44" si="10">$D$44*F41+$D$45</f>
        <v>38</v>
      </c>
      <c r="G44">
        <f t="shared" si="10"/>
        <v>36</v>
      </c>
      <c r="H44">
        <f t="shared" si="10"/>
        <v>34</v>
      </c>
      <c r="I44">
        <f t="shared" si="10"/>
        <v>32</v>
      </c>
      <c r="J44">
        <f t="shared" si="10"/>
        <v>30</v>
      </c>
      <c r="K44">
        <f t="shared" si="10"/>
        <v>28</v>
      </c>
      <c r="L44">
        <f t="shared" si="10"/>
        <v>26</v>
      </c>
      <c r="M44">
        <f t="shared" si="10"/>
        <v>24</v>
      </c>
      <c r="N44">
        <f t="shared" si="10"/>
        <v>22</v>
      </c>
      <c r="O44">
        <f t="shared" si="10"/>
        <v>20.000000000000004</v>
      </c>
      <c r="P44">
        <f t="shared" si="10"/>
        <v>18.000000000000004</v>
      </c>
      <c r="Q44">
        <f t="shared" si="10"/>
        <v>16</v>
      </c>
      <c r="R44">
        <f t="shared" si="10"/>
        <v>14</v>
      </c>
      <c r="S44">
        <f t="shared" si="10"/>
        <v>11.999999999999996</v>
      </c>
      <c r="T44">
        <f t="shared" si="10"/>
        <v>9.9999999999999964</v>
      </c>
      <c r="U44">
        <f t="shared" si="10"/>
        <v>7.9999999999999929</v>
      </c>
      <c r="V44">
        <f t="shared" si="10"/>
        <v>5.9999999999999929</v>
      </c>
      <c r="W44">
        <f t="shared" si="10"/>
        <v>3.9999999999999929</v>
      </c>
      <c r="X44">
        <f t="shared" si="10"/>
        <v>1.9999999999999858</v>
      </c>
      <c r="Y44">
        <f t="shared" si="10"/>
        <v>0</v>
      </c>
    </row>
    <row r="45" spans="2:25" x14ac:dyDescent="0.35">
      <c r="C45" t="s">
        <v>50</v>
      </c>
      <c r="D45" s="2">
        <v>40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tabColor rgb="FFFF0000"/>
    <pageSetUpPr fitToPage="1"/>
  </sheetPr>
  <dimension ref="C1:AY21"/>
  <sheetViews>
    <sheetView showGridLines="0" tabSelected="1" topLeftCell="A8" zoomScale="40" zoomScaleNormal="40" workbookViewId="0">
      <selection activeCell="BA27" sqref="BA27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71" t="s">
        <v>118</v>
      </c>
    </row>
    <row r="4" spans="3:51" x14ac:dyDescent="0.35">
      <c r="R4" s="7"/>
      <c r="S4" s="7" t="s">
        <v>126</v>
      </c>
      <c r="T4" s="7"/>
      <c r="U4" s="7"/>
      <c r="V4" s="7"/>
      <c r="W4" s="7"/>
      <c r="X4" s="7"/>
    </row>
    <row r="5" spans="3:51" x14ac:dyDescent="0.35">
      <c r="R5" s="7"/>
      <c r="S5" s="35" t="s">
        <v>130</v>
      </c>
      <c r="T5" s="82">
        <f>MAX(K14:K20)</f>
        <v>0.86602540378443871</v>
      </c>
      <c r="U5" s="7"/>
      <c r="V5" s="7"/>
      <c r="W5" s="7">
        <f>K12</f>
        <v>120</v>
      </c>
      <c r="X5" s="7">
        <f>W5</f>
        <v>120</v>
      </c>
    </row>
    <row r="6" spans="3:51" x14ac:dyDescent="0.35">
      <c r="R6" s="7"/>
      <c r="S6" s="35" t="s">
        <v>129</v>
      </c>
      <c r="T6" s="82">
        <f>MIN(K14:K20)</f>
        <v>-0.17320508075688756</v>
      </c>
      <c r="U6" s="7"/>
      <c r="V6" s="7"/>
      <c r="W6" s="7">
        <v>0</v>
      </c>
      <c r="X6" s="7">
        <f>T7</f>
        <v>0.86602540378443871</v>
      </c>
    </row>
    <row r="7" spans="3:51" x14ac:dyDescent="0.35">
      <c r="R7" s="106" t="s">
        <v>131</v>
      </c>
      <c r="S7" s="106"/>
      <c r="T7" s="7">
        <f>IF(ABS(T5)&gt;ABS(T6),T5,T6)</f>
        <v>0.86602540378443871</v>
      </c>
      <c r="U7" s="7"/>
      <c r="V7" s="7"/>
      <c r="W7" s="7"/>
      <c r="X7" s="7"/>
      <c r="AI7" s="7" t="s">
        <v>122</v>
      </c>
    </row>
    <row r="8" spans="3:51" ht="16" customHeight="1" x14ac:dyDescent="0.35">
      <c r="R8" s="1"/>
      <c r="S8" s="66"/>
      <c r="AI8" s="7" t="s">
        <v>123</v>
      </c>
    </row>
    <row r="11" spans="3:51" ht="21" x14ac:dyDescent="0.35">
      <c r="C11" s="124"/>
      <c r="D11" s="124"/>
      <c r="E11" s="124"/>
      <c r="F11" s="124"/>
      <c r="G11" s="74"/>
      <c r="H11" s="74"/>
      <c r="L11" s="70" t="s">
        <v>26</v>
      </c>
      <c r="M11" s="73">
        <v>10</v>
      </c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</row>
    <row r="12" spans="3:51" s="61" customFormat="1" ht="21" x14ac:dyDescent="0.35">
      <c r="C12" s="125" t="s">
        <v>117</v>
      </c>
      <c r="D12" s="125"/>
      <c r="E12" s="125"/>
      <c r="F12" s="125"/>
      <c r="G12" s="74"/>
      <c r="H12" s="74"/>
      <c r="J12" s="84" t="s">
        <v>120</v>
      </c>
      <c r="K12" s="65">
        <v>120</v>
      </c>
      <c r="L12" s="126" t="s">
        <v>121</v>
      </c>
      <c r="M12" s="65">
        <v>0</v>
      </c>
      <c r="N12" s="102">
        <f>M12+$M$11</f>
        <v>10</v>
      </c>
      <c r="O12" s="102">
        <f t="shared" ref="O12:AY12" si="0">N12+$M$11</f>
        <v>20</v>
      </c>
      <c r="P12" s="102">
        <f t="shared" si="0"/>
        <v>30</v>
      </c>
      <c r="Q12" s="102">
        <f t="shared" si="0"/>
        <v>40</v>
      </c>
      <c r="R12" s="102">
        <f t="shared" si="0"/>
        <v>50</v>
      </c>
      <c r="S12" s="102">
        <f t="shared" si="0"/>
        <v>60</v>
      </c>
      <c r="T12" s="102">
        <f t="shared" si="0"/>
        <v>70</v>
      </c>
      <c r="U12" s="102">
        <f t="shared" si="0"/>
        <v>80</v>
      </c>
      <c r="V12" s="102">
        <f t="shared" si="0"/>
        <v>90</v>
      </c>
      <c r="W12" s="102">
        <f t="shared" si="0"/>
        <v>100</v>
      </c>
      <c r="X12" s="102">
        <f t="shared" si="0"/>
        <v>110</v>
      </c>
      <c r="Y12" s="102">
        <f t="shared" si="0"/>
        <v>120</v>
      </c>
      <c r="Z12" s="102">
        <f t="shared" si="0"/>
        <v>130</v>
      </c>
      <c r="AA12" s="102">
        <f t="shared" si="0"/>
        <v>140</v>
      </c>
      <c r="AB12" s="102">
        <f t="shared" si="0"/>
        <v>150</v>
      </c>
      <c r="AC12" s="102">
        <f t="shared" si="0"/>
        <v>160</v>
      </c>
      <c r="AD12" s="102">
        <f t="shared" si="0"/>
        <v>170</v>
      </c>
      <c r="AE12" s="102">
        <f t="shared" si="0"/>
        <v>180</v>
      </c>
      <c r="AF12" s="102">
        <f t="shared" si="0"/>
        <v>190</v>
      </c>
      <c r="AG12" s="102">
        <f t="shared" si="0"/>
        <v>200</v>
      </c>
      <c r="AH12" s="102">
        <f t="shared" si="0"/>
        <v>210</v>
      </c>
      <c r="AI12" s="102">
        <f t="shared" si="0"/>
        <v>220</v>
      </c>
      <c r="AJ12" s="102">
        <f t="shared" si="0"/>
        <v>230</v>
      </c>
      <c r="AK12" s="102">
        <f t="shared" si="0"/>
        <v>240</v>
      </c>
      <c r="AL12" s="102">
        <f t="shared" si="0"/>
        <v>250</v>
      </c>
      <c r="AM12" s="102">
        <f t="shared" si="0"/>
        <v>260</v>
      </c>
      <c r="AN12" s="102">
        <f t="shared" si="0"/>
        <v>270</v>
      </c>
      <c r="AO12" s="102">
        <f t="shared" si="0"/>
        <v>280</v>
      </c>
      <c r="AP12" s="102">
        <f t="shared" si="0"/>
        <v>290</v>
      </c>
      <c r="AQ12" s="102">
        <f t="shared" si="0"/>
        <v>300</v>
      </c>
      <c r="AR12" s="102">
        <f t="shared" si="0"/>
        <v>310</v>
      </c>
      <c r="AS12" s="102">
        <f t="shared" si="0"/>
        <v>320</v>
      </c>
      <c r="AT12" s="102">
        <f t="shared" si="0"/>
        <v>330</v>
      </c>
      <c r="AU12" s="102">
        <f t="shared" si="0"/>
        <v>340</v>
      </c>
      <c r="AV12" s="102">
        <f t="shared" si="0"/>
        <v>350</v>
      </c>
      <c r="AW12" s="102">
        <f t="shared" si="0"/>
        <v>360</v>
      </c>
      <c r="AX12" s="102">
        <f t="shared" si="0"/>
        <v>370</v>
      </c>
      <c r="AY12" s="102">
        <f t="shared" si="0"/>
        <v>380</v>
      </c>
    </row>
    <row r="13" spans="3:51" s="61" customFormat="1" ht="43.5" x14ac:dyDescent="0.35">
      <c r="C13" s="89" t="s">
        <v>124</v>
      </c>
      <c r="D13" s="89" t="s">
        <v>125</v>
      </c>
      <c r="E13" s="89" t="s">
        <v>128</v>
      </c>
      <c r="F13" s="89" t="s">
        <v>127</v>
      </c>
      <c r="G13" s="90"/>
      <c r="H13" s="90"/>
      <c r="J13" s="99" t="s">
        <v>119</v>
      </c>
      <c r="K13" s="92">
        <f t="shared" ref="K13" si="1">PI()*K12/180</f>
        <v>2.0943951023931953</v>
      </c>
      <c r="L13" s="127"/>
      <c r="M13" s="91">
        <f>PI()*M12/180</f>
        <v>0</v>
      </c>
      <c r="N13" s="91">
        <f t="shared" ref="N13:AY13" si="2">PI()*N12/180</f>
        <v>0.17453292519943295</v>
      </c>
      <c r="O13" s="91">
        <f t="shared" si="2"/>
        <v>0.3490658503988659</v>
      </c>
      <c r="P13" s="91">
        <f t="shared" si="2"/>
        <v>0.52359877559829882</v>
      </c>
      <c r="Q13" s="91">
        <f t="shared" si="2"/>
        <v>0.69813170079773179</v>
      </c>
      <c r="R13" s="91">
        <f t="shared" si="2"/>
        <v>0.87266462599716477</v>
      </c>
      <c r="S13" s="91">
        <f t="shared" si="2"/>
        <v>1.0471975511965976</v>
      </c>
      <c r="T13" s="91">
        <f t="shared" si="2"/>
        <v>1.2217304763960306</v>
      </c>
      <c r="U13" s="91">
        <f t="shared" si="2"/>
        <v>1.3962634015954636</v>
      </c>
      <c r="V13" s="91">
        <f t="shared" si="2"/>
        <v>1.5707963267948966</v>
      </c>
      <c r="W13" s="91">
        <f t="shared" si="2"/>
        <v>1.7453292519943295</v>
      </c>
      <c r="X13" s="91">
        <f t="shared" si="2"/>
        <v>1.9198621771937625</v>
      </c>
      <c r="Y13" s="91">
        <f t="shared" si="2"/>
        <v>2.0943951023931953</v>
      </c>
      <c r="Z13" s="91">
        <f t="shared" si="2"/>
        <v>2.2689280275926285</v>
      </c>
      <c r="AA13" s="91">
        <f t="shared" si="2"/>
        <v>2.4434609527920612</v>
      </c>
      <c r="AB13" s="91">
        <f t="shared" si="2"/>
        <v>2.6179938779914944</v>
      </c>
      <c r="AC13" s="91">
        <f t="shared" si="2"/>
        <v>2.7925268031909272</v>
      </c>
      <c r="AD13" s="91">
        <f t="shared" si="2"/>
        <v>2.9670597283903604</v>
      </c>
      <c r="AE13" s="91">
        <f t="shared" si="2"/>
        <v>3.1415926535897931</v>
      </c>
      <c r="AF13" s="91">
        <f t="shared" si="2"/>
        <v>3.3161255787892263</v>
      </c>
      <c r="AG13" s="91">
        <f t="shared" si="2"/>
        <v>3.4906585039886591</v>
      </c>
      <c r="AH13" s="91">
        <f t="shared" si="2"/>
        <v>3.6651914291880923</v>
      </c>
      <c r="AI13" s="91">
        <f t="shared" si="2"/>
        <v>3.839724354387525</v>
      </c>
      <c r="AJ13" s="91">
        <f t="shared" si="2"/>
        <v>4.0142572795869578</v>
      </c>
      <c r="AK13" s="91">
        <f t="shared" si="2"/>
        <v>4.1887902047863905</v>
      </c>
      <c r="AL13" s="91">
        <f t="shared" si="2"/>
        <v>4.3633231299858233</v>
      </c>
      <c r="AM13" s="91">
        <f t="shared" si="2"/>
        <v>4.5378560551852569</v>
      </c>
      <c r="AN13" s="91">
        <f t="shared" si="2"/>
        <v>4.7123889803846897</v>
      </c>
      <c r="AO13" s="91">
        <f t="shared" si="2"/>
        <v>4.8869219055841224</v>
      </c>
      <c r="AP13" s="91">
        <f t="shared" si="2"/>
        <v>5.0614548307835552</v>
      </c>
      <c r="AQ13" s="91">
        <f t="shared" si="2"/>
        <v>5.2359877559829888</v>
      </c>
      <c r="AR13" s="91">
        <f t="shared" si="2"/>
        <v>5.4105206811824216</v>
      </c>
      <c r="AS13" s="91">
        <f t="shared" si="2"/>
        <v>5.5850536063818543</v>
      </c>
      <c r="AT13" s="91">
        <f t="shared" si="2"/>
        <v>5.7595865315812871</v>
      </c>
      <c r="AU13" s="91">
        <f t="shared" si="2"/>
        <v>5.9341194567807207</v>
      </c>
      <c r="AV13" s="91">
        <f t="shared" si="2"/>
        <v>6.1086523819801526</v>
      </c>
      <c r="AW13" s="91">
        <f t="shared" si="2"/>
        <v>6.2831853071795862</v>
      </c>
      <c r="AX13" s="91">
        <f t="shared" si="2"/>
        <v>6.457718232379019</v>
      </c>
      <c r="AY13" s="91">
        <f t="shared" si="2"/>
        <v>6.6322511575784526</v>
      </c>
    </row>
    <row r="14" spans="3:51" x14ac:dyDescent="0.35">
      <c r="C14" s="69">
        <v>1</v>
      </c>
      <c r="D14" s="69">
        <v>1</v>
      </c>
      <c r="E14" s="69">
        <v>0</v>
      </c>
      <c r="F14" s="100">
        <f>PI()*E14/180</f>
        <v>0</v>
      </c>
      <c r="G14" s="83"/>
      <c r="H14" s="83"/>
      <c r="J14" s="85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93">
        <f>IF($L$14=$AI$7,$C$14*SIN($D$14*K13 + $F$14),"")</f>
        <v>0.86602540378443871</v>
      </c>
      <c r="L14" s="75" t="s">
        <v>122</v>
      </c>
      <c r="M14" s="81">
        <f>IF($L$14=$AI$7,$C$14*SIN($D$14*M13 + $F$14),"")</f>
        <v>0</v>
      </c>
      <c r="N14" s="81">
        <f t="shared" ref="M14:AY14" si="3">IF($L$14=$AI$7,$C$14*SIN($D$14*N13 + $F$14),"")</f>
        <v>0.17364817766693033</v>
      </c>
      <c r="O14" s="81">
        <f t="shared" si="3"/>
        <v>0.34202014332566871</v>
      </c>
      <c r="P14" s="81">
        <f t="shared" si="3"/>
        <v>0.49999999999999994</v>
      </c>
      <c r="Q14" s="81">
        <f t="shared" si="3"/>
        <v>0.64278760968653925</v>
      </c>
      <c r="R14" s="81">
        <f t="shared" si="3"/>
        <v>0.76604444311897801</v>
      </c>
      <c r="S14" s="81">
        <f t="shared" si="3"/>
        <v>0.8660254037844386</v>
      </c>
      <c r="T14" s="81">
        <f t="shared" si="3"/>
        <v>0.93969262078590832</v>
      </c>
      <c r="U14" s="81">
        <f t="shared" si="3"/>
        <v>0.98480775301220802</v>
      </c>
      <c r="V14" s="81">
        <f t="shared" si="3"/>
        <v>1</v>
      </c>
      <c r="W14" s="81">
        <f t="shared" si="3"/>
        <v>0.98480775301220802</v>
      </c>
      <c r="X14" s="81">
        <f t="shared" si="3"/>
        <v>0.93969262078590843</v>
      </c>
      <c r="Y14" s="81">
        <f t="shared" si="3"/>
        <v>0.86602540378443871</v>
      </c>
      <c r="Z14" s="81">
        <f t="shared" si="3"/>
        <v>0.76604444311897801</v>
      </c>
      <c r="AA14" s="81">
        <f t="shared" si="3"/>
        <v>0.64278760968653947</v>
      </c>
      <c r="AB14" s="81">
        <f t="shared" si="3"/>
        <v>0.49999999999999994</v>
      </c>
      <c r="AC14" s="81">
        <f t="shared" si="3"/>
        <v>0.34202014332566888</v>
      </c>
      <c r="AD14" s="81">
        <f t="shared" si="3"/>
        <v>0.17364817766693028</v>
      </c>
      <c r="AE14" s="81">
        <f t="shared" si="3"/>
        <v>1.22514845490862E-16</v>
      </c>
      <c r="AF14" s="81">
        <f t="shared" si="3"/>
        <v>-0.17364817766693047</v>
      </c>
      <c r="AG14" s="81">
        <f t="shared" si="3"/>
        <v>-0.34202014332566866</v>
      </c>
      <c r="AH14" s="81">
        <f t="shared" si="3"/>
        <v>-0.50000000000000011</v>
      </c>
      <c r="AI14" s="81">
        <f t="shared" si="3"/>
        <v>-0.64278760968653925</v>
      </c>
      <c r="AJ14" s="81">
        <f t="shared" si="3"/>
        <v>-0.7660444431189779</v>
      </c>
      <c r="AK14" s="81">
        <f t="shared" si="3"/>
        <v>-0.86602540378443837</v>
      </c>
      <c r="AL14" s="81">
        <f t="shared" si="3"/>
        <v>-0.93969262078590821</v>
      </c>
      <c r="AM14" s="81">
        <f t="shared" si="3"/>
        <v>-0.98480775301220802</v>
      </c>
      <c r="AN14" s="81">
        <f t="shared" si="3"/>
        <v>-1</v>
      </c>
      <c r="AO14" s="81">
        <f t="shared" si="3"/>
        <v>-0.98480775301220813</v>
      </c>
      <c r="AP14" s="81">
        <f t="shared" si="3"/>
        <v>-0.93969262078590854</v>
      </c>
      <c r="AQ14" s="81">
        <f t="shared" si="3"/>
        <v>-0.8660254037844386</v>
      </c>
      <c r="AR14" s="81">
        <f t="shared" si="3"/>
        <v>-0.76604444311897812</v>
      </c>
      <c r="AS14" s="81">
        <f t="shared" si="3"/>
        <v>-0.64278760968653958</v>
      </c>
      <c r="AT14" s="81">
        <f t="shared" si="3"/>
        <v>-0.50000000000000044</v>
      </c>
      <c r="AU14" s="81">
        <f t="shared" si="3"/>
        <v>-0.3420201433256686</v>
      </c>
      <c r="AV14" s="81">
        <f t="shared" si="3"/>
        <v>-0.17364817766693127</v>
      </c>
      <c r="AW14" s="81">
        <f t="shared" si="3"/>
        <v>-2.45029690981724E-16</v>
      </c>
      <c r="AX14" s="81">
        <f t="shared" si="3"/>
        <v>0.17364817766692991</v>
      </c>
      <c r="AY14" s="81">
        <f t="shared" si="3"/>
        <v>0.34202014332566893</v>
      </c>
    </row>
    <row r="15" spans="3:51" x14ac:dyDescent="0.35">
      <c r="C15" s="69">
        <f>1/3</f>
        <v>0.33333333333333331</v>
      </c>
      <c r="D15" s="69">
        <v>3</v>
      </c>
      <c r="E15" s="69">
        <v>0</v>
      </c>
      <c r="F15" s="100">
        <f t="shared" ref="F15:F17" si="4">PI()*E15/180</f>
        <v>0</v>
      </c>
      <c r="G15" s="83"/>
      <c r="H15" s="83"/>
      <c r="J15" s="86" t="str">
        <f t="shared" ref="J15:J17" si="5"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94">
        <f>IF($L$15=$AI$7,$C$15*SIN($D$15*K13 + $F$15),"")</f>
        <v>-8.1676563660574659E-17</v>
      </c>
      <c r="L15" s="76" t="s">
        <v>122</v>
      </c>
      <c r="M15" s="82">
        <f t="shared" ref="M15:AY15" si="6">IF($L$15=$AI$7,$C$15*SIN($D$15*M13 + $F$15),"")</f>
        <v>0</v>
      </c>
      <c r="N15" s="82">
        <f t="shared" si="6"/>
        <v>0.16666666666666663</v>
      </c>
      <c r="O15" s="82">
        <f t="shared" si="6"/>
        <v>0.28867513459481287</v>
      </c>
      <c r="P15" s="82">
        <f t="shared" si="6"/>
        <v>0.33333333333333331</v>
      </c>
      <c r="Q15" s="82">
        <f t="shared" si="6"/>
        <v>0.28867513459481287</v>
      </c>
      <c r="R15" s="82">
        <f t="shared" si="6"/>
        <v>0.16666666666666663</v>
      </c>
      <c r="S15" s="82">
        <f t="shared" si="6"/>
        <v>4.083828183028733E-17</v>
      </c>
      <c r="T15" s="82">
        <f t="shared" si="6"/>
        <v>-0.16666666666666657</v>
      </c>
      <c r="U15" s="82">
        <f t="shared" si="6"/>
        <v>-0.28867513459481275</v>
      </c>
      <c r="V15" s="82">
        <f t="shared" si="6"/>
        <v>-0.33333333333333331</v>
      </c>
      <c r="W15" s="82">
        <f t="shared" si="6"/>
        <v>-0.28867513459481287</v>
      </c>
      <c r="X15" s="82">
        <f t="shared" si="6"/>
        <v>-0.16666666666666655</v>
      </c>
      <c r="Y15" s="82">
        <f t="shared" si="6"/>
        <v>-8.1676563660574659E-17</v>
      </c>
      <c r="Z15" s="82">
        <f t="shared" si="6"/>
        <v>0.16666666666666666</v>
      </c>
      <c r="AA15" s="82">
        <f t="shared" si="6"/>
        <v>0.28867513459481275</v>
      </c>
      <c r="AB15" s="82">
        <f t="shared" si="6"/>
        <v>0.33333333333333331</v>
      </c>
      <c r="AC15" s="82">
        <f t="shared" si="6"/>
        <v>0.28867513459481303</v>
      </c>
      <c r="AD15" s="82">
        <f t="shared" si="6"/>
        <v>0.16666666666666657</v>
      </c>
      <c r="AE15" s="82">
        <f t="shared" si="6"/>
        <v>1.22514845490862E-16</v>
      </c>
      <c r="AF15" s="82">
        <f t="shared" si="6"/>
        <v>-0.16666666666666688</v>
      </c>
      <c r="AG15" s="82">
        <f t="shared" si="6"/>
        <v>-0.28867513459481287</v>
      </c>
      <c r="AH15" s="82">
        <f t="shared" si="6"/>
        <v>-0.33333333333333331</v>
      </c>
      <c r="AI15" s="82">
        <f t="shared" si="6"/>
        <v>-0.28867513459481275</v>
      </c>
      <c r="AJ15" s="82">
        <f t="shared" si="6"/>
        <v>-0.16666666666666663</v>
      </c>
      <c r="AK15" s="82">
        <f t="shared" si="6"/>
        <v>-1.6335312732114932E-16</v>
      </c>
      <c r="AL15" s="82">
        <f t="shared" si="6"/>
        <v>0.16666666666666635</v>
      </c>
      <c r="AM15" s="82">
        <f t="shared" si="6"/>
        <v>0.28867513459481287</v>
      </c>
      <c r="AN15" s="82">
        <f t="shared" si="6"/>
        <v>0.33333333333333331</v>
      </c>
      <c r="AO15" s="82">
        <f t="shared" si="6"/>
        <v>0.28867513459481309</v>
      </c>
      <c r="AP15" s="82">
        <f t="shared" si="6"/>
        <v>0.16666666666666718</v>
      </c>
      <c r="AQ15" s="82">
        <f t="shared" si="6"/>
        <v>2.0419140915143666E-16</v>
      </c>
      <c r="AR15" s="82">
        <f t="shared" si="6"/>
        <v>-0.1666666666666663</v>
      </c>
      <c r="AS15" s="82">
        <f t="shared" si="6"/>
        <v>-0.28867513459481253</v>
      </c>
      <c r="AT15" s="82">
        <f t="shared" si="6"/>
        <v>-0.33333333333333331</v>
      </c>
      <c r="AU15" s="82">
        <f t="shared" si="6"/>
        <v>-0.28867513459481275</v>
      </c>
      <c r="AV15" s="82">
        <f t="shared" si="6"/>
        <v>-0.16666666666666774</v>
      </c>
      <c r="AW15" s="82">
        <f t="shared" si="6"/>
        <v>-2.45029690981724E-16</v>
      </c>
      <c r="AX15" s="82">
        <f t="shared" si="6"/>
        <v>0.16666666666666627</v>
      </c>
      <c r="AY15" s="82">
        <f t="shared" si="6"/>
        <v>0.28867513459481314</v>
      </c>
    </row>
    <row r="16" spans="3:51" x14ac:dyDescent="0.35">
      <c r="C16" s="69">
        <f>1/5</f>
        <v>0.2</v>
      </c>
      <c r="D16" s="69">
        <v>5</v>
      </c>
      <c r="E16" s="69">
        <v>0</v>
      </c>
      <c r="F16" s="100">
        <f t="shared" si="4"/>
        <v>0</v>
      </c>
      <c r="G16" s="83"/>
      <c r="H16" s="83"/>
      <c r="J16" s="87" t="str">
        <f t="shared" si="5"/>
        <v xml:space="preserve">y0 = 0.2 * sin(5*x ) = </v>
      </c>
      <c r="K16" s="95">
        <f>IF($L$16=$AI$7,$C$16*SIN($D$16*K13 + $F$16),"")</f>
        <v>-0.17320508075688756</v>
      </c>
      <c r="L16" s="77" t="s">
        <v>122</v>
      </c>
      <c r="M16" s="82">
        <f t="shared" ref="M16:AY16" si="7">IF($L$16=$AI$7,$C$16*SIN($D$16*M13 + $F$16),"")</f>
        <v>0</v>
      </c>
      <c r="N16" s="82">
        <f t="shared" si="7"/>
        <v>0.15320888862379561</v>
      </c>
      <c r="O16" s="82">
        <f t="shared" si="7"/>
        <v>0.19696155060244161</v>
      </c>
      <c r="P16" s="82">
        <f t="shared" si="7"/>
        <v>0.10000000000000007</v>
      </c>
      <c r="Q16" s="82">
        <f t="shared" si="7"/>
        <v>-6.8404028665133731E-2</v>
      </c>
      <c r="R16" s="82">
        <f t="shared" si="7"/>
        <v>-0.18793852415718171</v>
      </c>
      <c r="S16" s="82">
        <f t="shared" si="7"/>
        <v>-0.17320508075688781</v>
      </c>
      <c r="T16" s="82">
        <f t="shared" si="7"/>
        <v>-3.472963553338608E-2</v>
      </c>
      <c r="U16" s="82">
        <f t="shared" si="7"/>
        <v>0.12855752193730782</v>
      </c>
      <c r="V16" s="82">
        <f t="shared" si="7"/>
        <v>0.2</v>
      </c>
      <c r="W16" s="82">
        <f t="shared" si="7"/>
        <v>0.12855752193730782</v>
      </c>
      <c r="X16" s="82">
        <f t="shared" si="7"/>
        <v>-3.4729635533385955E-2</v>
      </c>
      <c r="Y16" s="82">
        <f t="shared" si="7"/>
        <v>-0.17320508075688756</v>
      </c>
      <c r="Z16" s="82">
        <f t="shared" si="7"/>
        <v>-0.18793852415718162</v>
      </c>
      <c r="AA16" s="82">
        <f t="shared" si="7"/>
        <v>-6.8404028665133773E-2</v>
      </c>
      <c r="AB16" s="82">
        <f t="shared" si="7"/>
        <v>0.10000000000000012</v>
      </c>
      <c r="AC16" s="82">
        <f t="shared" si="7"/>
        <v>0.19696155060244161</v>
      </c>
      <c r="AD16" s="82">
        <f t="shared" si="7"/>
        <v>0.15320888862379556</v>
      </c>
      <c r="AE16" s="82">
        <f t="shared" si="7"/>
        <v>1.22514845490862E-16</v>
      </c>
      <c r="AF16" s="82">
        <f t="shared" si="7"/>
        <v>-0.15320888862379586</v>
      </c>
      <c r="AG16" s="82">
        <f t="shared" si="7"/>
        <v>-0.19696155060244158</v>
      </c>
      <c r="AH16" s="82">
        <f t="shared" si="7"/>
        <v>-0.10000000000000003</v>
      </c>
      <c r="AI16" s="82">
        <f t="shared" si="7"/>
        <v>6.8404028665133537E-2</v>
      </c>
      <c r="AJ16" s="82">
        <f t="shared" si="7"/>
        <v>0.18793852415718154</v>
      </c>
      <c r="AK16" s="82">
        <f t="shared" si="7"/>
        <v>0.17320508075688806</v>
      </c>
      <c r="AL16" s="82">
        <f t="shared" si="7"/>
        <v>3.4729635533386899E-2</v>
      </c>
      <c r="AM16" s="82">
        <f t="shared" si="7"/>
        <v>-0.12855752193730816</v>
      </c>
      <c r="AN16" s="82">
        <f t="shared" si="7"/>
        <v>-0.2</v>
      </c>
      <c r="AO16" s="82">
        <f t="shared" si="7"/>
        <v>-0.12855752193730791</v>
      </c>
      <c r="AP16" s="82">
        <f t="shared" si="7"/>
        <v>3.4729635533385143E-2</v>
      </c>
      <c r="AQ16" s="82">
        <f t="shared" si="7"/>
        <v>0.1732050807568879</v>
      </c>
      <c r="AR16" s="82">
        <f t="shared" si="7"/>
        <v>0.18793852415718168</v>
      </c>
      <c r="AS16" s="82">
        <f t="shared" si="7"/>
        <v>6.8404028665133884E-2</v>
      </c>
      <c r="AT16" s="82">
        <f t="shared" si="7"/>
        <v>-9.99999999999997E-2</v>
      </c>
      <c r="AU16" s="82">
        <f t="shared" si="7"/>
        <v>-0.19696155060244167</v>
      </c>
      <c r="AV16" s="82">
        <f t="shared" si="7"/>
        <v>-0.15320888862379611</v>
      </c>
      <c r="AW16" s="82">
        <f t="shared" si="7"/>
        <v>-2.45029690981724E-16</v>
      </c>
      <c r="AX16" s="82">
        <f t="shared" si="7"/>
        <v>0.15320888862379578</v>
      </c>
      <c r="AY16" s="82">
        <f t="shared" si="7"/>
        <v>0.19696155060244147</v>
      </c>
    </row>
    <row r="17" spans="3:51" x14ac:dyDescent="0.35">
      <c r="C17" s="69">
        <f>1/7</f>
        <v>0.14285714285714285</v>
      </c>
      <c r="D17" s="69">
        <v>7</v>
      </c>
      <c r="E17" s="69">
        <v>0</v>
      </c>
      <c r="F17" s="100">
        <f t="shared" si="4"/>
        <v>0</v>
      </c>
      <c r="G17" s="83"/>
      <c r="H17" s="83"/>
      <c r="J17" s="88" t="str">
        <f t="shared" si="5"/>
        <v xml:space="preserve">y0 = 0.14 * sin(7*x ) = </v>
      </c>
      <c r="K17" s="96">
        <f>IF($L$17=$AI$7,$C$17*SIN($D$17*K13 + $F$17),"")</f>
        <v>0.12371791482634846</v>
      </c>
      <c r="L17" s="78" t="s">
        <v>122</v>
      </c>
      <c r="M17" s="82">
        <f t="shared" ref="M17:AY17" si="8">IF($L$17=$AI$7,$C$17*SIN($D$17*M13 + $F$17),"")</f>
        <v>0</v>
      </c>
      <c r="N17" s="82">
        <f t="shared" si="8"/>
        <v>0.13424180296941546</v>
      </c>
      <c r="O17" s="82">
        <f t="shared" si="8"/>
        <v>9.1826801383791345E-2</v>
      </c>
      <c r="P17" s="82">
        <f t="shared" si="8"/>
        <v>-7.1428571428571383E-2</v>
      </c>
      <c r="Q17" s="82">
        <f t="shared" si="8"/>
        <v>-0.14068682185888687</v>
      </c>
      <c r="R17" s="82">
        <f t="shared" si="8"/>
        <v>-2.4806882523847197E-2</v>
      </c>
      <c r="S17" s="82">
        <f t="shared" si="8"/>
        <v>0.12371791482634834</v>
      </c>
      <c r="T17" s="82">
        <f t="shared" si="8"/>
        <v>0.10943492044556839</v>
      </c>
      <c r="U17" s="82">
        <f t="shared" si="8"/>
        <v>-4.8860020475095425E-2</v>
      </c>
      <c r="V17" s="82">
        <f t="shared" si="8"/>
        <v>-0.14285714285714285</v>
      </c>
      <c r="W17" s="82">
        <f t="shared" si="8"/>
        <v>-4.8860020475095543E-2</v>
      </c>
      <c r="X17" s="82">
        <f t="shared" si="8"/>
        <v>0.10943492044556831</v>
      </c>
      <c r="Y17" s="82">
        <f t="shared" si="8"/>
        <v>0.12371791482634846</v>
      </c>
      <c r="Z17" s="82">
        <f t="shared" si="8"/>
        <v>-2.4806882523847079E-2</v>
      </c>
      <c r="AA17" s="82">
        <f t="shared" si="8"/>
        <v>-0.14068682185888681</v>
      </c>
      <c r="AB17" s="82">
        <f t="shared" si="8"/>
        <v>-7.1428571428571438E-2</v>
      </c>
      <c r="AC17" s="82">
        <f t="shared" si="8"/>
        <v>9.1826801383791151E-2</v>
      </c>
      <c r="AD17" s="82">
        <f t="shared" si="8"/>
        <v>0.13424180296941546</v>
      </c>
      <c r="AE17" s="82">
        <f t="shared" si="8"/>
        <v>1.22514845490862E-16</v>
      </c>
      <c r="AF17" s="82">
        <f t="shared" si="8"/>
        <v>-0.13424180296941554</v>
      </c>
      <c r="AG17" s="82">
        <f t="shared" si="8"/>
        <v>-9.1826801383791345E-2</v>
      </c>
      <c r="AH17" s="82">
        <f t="shared" si="8"/>
        <v>7.1428571428571661E-2</v>
      </c>
      <c r="AI17" s="82">
        <f t="shared" si="8"/>
        <v>0.14068682185888684</v>
      </c>
      <c r="AJ17" s="82">
        <f t="shared" si="8"/>
        <v>2.4806882523847319E-2</v>
      </c>
      <c r="AK17" s="82">
        <f t="shared" si="8"/>
        <v>-0.12371791482634821</v>
      </c>
      <c r="AL17" s="82">
        <f t="shared" si="8"/>
        <v>-0.10943492044556863</v>
      </c>
      <c r="AM17" s="82">
        <f t="shared" si="8"/>
        <v>4.8860020475095314E-2</v>
      </c>
      <c r="AN17" s="82">
        <f t="shared" si="8"/>
        <v>0.14285714285714285</v>
      </c>
      <c r="AO17" s="82">
        <f t="shared" si="8"/>
        <v>4.8860020475096133E-2</v>
      </c>
      <c r="AP17" s="82">
        <f t="shared" si="8"/>
        <v>-0.10943492044556806</v>
      </c>
      <c r="AQ17" s="82">
        <f t="shared" si="8"/>
        <v>-0.12371791482634839</v>
      </c>
      <c r="AR17" s="82">
        <f t="shared" si="8"/>
        <v>2.4806882523847454E-2</v>
      </c>
      <c r="AS17" s="82">
        <f t="shared" si="8"/>
        <v>0.14068682185888678</v>
      </c>
      <c r="AT17" s="82">
        <f t="shared" si="8"/>
        <v>7.142857142857155E-2</v>
      </c>
      <c r="AU17" s="82">
        <f t="shared" si="8"/>
        <v>-9.1826801383791457E-2</v>
      </c>
      <c r="AV17" s="82">
        <f t="shared" si="8"/>
        <v>-0.13424180296941565</v>
      </c>
      <c r="AW17" s="82">
        <f t="shared" si="8"/>
        <v>-2.45029690981724E-16</v>
      </c>
      <c r="AX17" s="82">
        <f t="shared" si="8"/>
        <v>0.13424180296941515</v>
      </c>
      <c r="AY17" s="82">
        <f t="shared" si="8"/>
        <v>9.182680138379104E-2</v>
      </c>
    </row>
    <row r="18" spans="3:51" ht="8.5" customHeight="1" x14ac:dyDescent="0.35">
      <c r="J18" s="68"/>
      <c r="K18" s="97"/>
      <c r="L18" s="79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</row>
    <row r="19" spans="3:51" ht="8.5" customHeight="1" x14ac:dyDescent="0.35">
      <c r="J19" s="68"/>
      <c r="K19" s="97"/>
      <c r="L19" s="79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</row>
    <row r="20" spans="3:51" ht="16.5" x14ac:dyDescent="0.35">
      <c r="J20" s="67" t="s">
        <v>116</v>
      </c>
      <c r="K20" s="98">
        <f>IF($L$20=$AI$7,SUM(K14:K17),"")</f>
        <v>0.81653823785389945</v>
      </c>
      <c r="L20" s="80" t="s">
        <v>122</v>
      </c>
      <c r="M20" s="82">
        <f>IF($L$20=$AI$7,SUM(M14:M17),"")</f>
        <v>0</v>
      </c>
      <c r="N20" s="82">
        <f t="shared" ref="N20:AY20" si="9">IF($L$20=$AI$7,SUM(N14:N17),"")</f>
        <v>0.62776553592680795</v>
      </c>
      <c r="O20" s="82">
        <f t="shared" si="9"/>
        <v>0.91948362990671439</v>
      </c>
      <c r="P20" s="82">
        <f t="shared" si="9"/>
        <v>0.86190476190476195</v>
      </c>
      <c r="Q20" s="82">
        <f t="shared" si="9"/>
        <v>0.72237189375733157</v>
      </c>
      <c r="R20" s="82">
        <f t="shared" si="9"/>
        <v>0.71996570310461572</v>
      </c>
      <c r="S20" s="82">
        <f t="shared" si="9"/>
        <v>0.81653823785389912</v>
      </c>
      <c r="T20" s="82">
        <f t="shared" si="9"/>
        <v>0.847731239031424</v>
      </c>
      <c r="U20" s="82">
        <f t="shared" si="9"/>
        <v>0.7758301198796077</v>
      </c>
      <c r="V20" s="82">
        <f t="shared" si="9"/>
        <v>0.7238095238095239</v>
      </c>
      <c r="W20" s="82">
        <f t="shared" si="9"/>
        <v>0.77583011987960748</v>
      </c>
      <c r="X20" s="82">
        <f t="shared" si="9"/>
        <v>0.84773123903142433</v>
      </c>
      <c r="Y20" s="82">
        <f t="shared" si="9"/>
        <v>0.81653823785389945</v>
      </c>
      <c r="Z20" s="82">
        <f t="shared" si="9"/>
        <v>0.71996570310461594</v>
      </c>
      <c r="AA20" s="82">
        <f t="shared" si="9"/>
        <v>0.72237189375733168</v>
      </c>
      <c r="AB20" s="82">
        <f t="shared" si="9"/>
        <v>0.86190476190476195</v>
      </c>
      <c r="AC20" s="82">
        <f t="shared" si="9"/>
        <v>0.91948362990671473</v>
      </c>
      <c r="AD20" s="82">
        <f t="shared" si="9"/>
        <v>0.62776553592680784</v>
      </c>
      <c r="AE20" s="82">
        <f t="shared" si="9"/>
        <v>4.90059381963448E-16</v>
      </c>
      <c r="AF20" s="82">
        <f t="shared" si="9"/>
        <v>-0.62776553592680884</v>
      </c>
      <c r="AG20" s="82">
        <f t="shared" si="9"/>
        <v>-0.91948362990671439</v>
      </c>
      <c r="AH20" s="82">
        <f t="shared" si="9"/>
        <v>-0.86190476190476195</v>
      </c>
      <c r="AI20" s="82">
        <f t="shared" si="9"/>
        <v>-0.72237189375733168</v>
      </c>
      <c r="AJ20" s="82">
        <f t="shared" si="9"/>
        <v>-0.71996570310461572</v>
      </c>
      <c r="AK20" s="82">
        <f t="shared" si="9"/>
        <v>-0.81653823785389867</v>
      </c>
      <c r="AL20" s="82">
        <f t="shared" si="9"/>
        <v>-0.84773123903142356</v>
      </c>
      <c r="AM20" s="82">
        <f t="shared" si="9"/>
        <v>-0.77583011987960804</v>
      </c>
      <c r="AN20" s="82">
        <f t="shared" si="9"/>
        <v>-0.7238095238095239</v>
      </c>
      <c r="AO20" s="82">
        <f t="shared" si="9"/>
        <v>-0.77583011987960671</v>
      </c>
      <c r="AP20" s="82">
        <f t="shared" si="9"/>
        <v>-0.84773123903142422</v>
      </c>
      <c r="AQ20" s="82">
        <f t="shared" si="9"/>
        <v>-0.8165382378538989</v>
      </c>
      <c r="AR20" s="82">
        <f t="shared" si="9"/>
        <v>-0.71996570310461527</v>
      </c>
      <c r="AS20" s="82">
        <f t="shared" si="9"/>
        <v>-0.72237189375733146</v>
      </c>
      <c r="AT20" s="82">
        <f t="shared" si="9"/>
        <v>-0.86190476190476184</v>
      </c>
      <c r="AU20" s="82">
        <f t="shared" si="9"/>
        <v>-0.91948362990671439</v>
      </c>
      <c r="AV20" s="82">
        <f t="shared" si="9"/>
        <v>-0.62776553592681084</v>
      </c>
      <c r="AW20" s="82">
        <f t="shared" si="9"/>
        <v>-9.8011876392689601E-16</v>
      </c>
      <c r="AX20" s="82">
        <f t="shared" si="9"/>
        <v>0.62776553592680706</v>
      </c>
      <c r="AY20" s="82">
        <f t="shared" si="9"/>
        <v>0.91948362990671462</v>
      </c>
    </row>
    <row r="21" spans="3:51" x14ac:dyDescent="0.35">
      <c r="J21" s="66"/>
      <c r="K21" s="66"/>
      <c r="L21" s="66"/>
    </row>
  </sheetData>
  <mergeCells count="4">
    <mergeCell ref="C11:F11"/>
    <mergeCell ref="C12:F12"/>
    <mergeCell ref="L12:L13"/>
    <mergeCell ref="R7:S7"/>
  </mergeCells>
  <dataValidations count="1">
    <dataValidation type="list" allowBlank="1" showInputMessage="1" showErrorMessage="1" sqref="L14:L17 L20" xr:uid="{14030FAE-C205-4F99-A125-F98CBE2B09BD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271D-EC88-4808-A4D3-B329017F8058}">
  <dimension ref="B2:W10"/>
  <sheetViews>
    <sheetView topLeftCell="A3" zoomScale="70" zoomScaleNormal="70" workbookViewId="0">
      <selection activeCell="D11" sqref="D11"/>
    </sheetView>
  </sheetViews>
  <sheetFormatPr baseColWidth="10" defaultRowHeight="14.5" x14ac:dyDescent="0.35"/>
  <cols>
    <col min="2" max="2" width="16" customWidth="1"/>
    <col min="4" max="4" width="12.36328125" customWidth="1"/>
  </cols>
  <sheetData>
    <row r="2" spans="2:23" ht="21" x14ac:dyDescent="0.5">
      <c r="B2" s="41" t="s">
        <v>54</v>
      </c>
    </row>
    <row r="3" spans="2:23" ht="15" thickBot="1" x14ac:dyDescent="0.4">
      <c r="M3" t="s">
        <v>63</v>
      </c>
    </row>
    <row r="4" spans="2:23" ht="17" thickBot="1" x14ac:dyDescent="0.4">
      <c r="D4" s="42"/>
      <c r="E4" s="43" t="s">
        <v>60</v>
      </c>
      <c r="F4" s="44">
        <v>2</v>
      </c>
      <c r="G4" s="3" t="s">
        <v>56</v>
      </c>
      <c r="J4" s="1" t="s">
        <v>55</v>
      </c>
      <c r="K4" s="2">
        <v>7</v>
      </c>
      <c r="M4">
        <f>K4</f>
        <v>7</v>
      </c>
      <c r="N4">
        <f>M4</f>
        <v>7</v>
      </c>
    </row>
    <row r="5" spans="2:23" ht="17" thickBot="1" x14ac:dyDescent="0.5">
      <c r="D5" s="45"/>
      <c r="E5" s="46" t="s">
        <v>61</v>
      </c>
      <c r="F5" s="24">
        <v>20</v>
      </c>
      <c r="G5" s="26" t="s">
        <v>59</v>
      </c>
      <c r="M5">
        <v>0</v>
      </c>
      <c r="N5">
        <f>$F$4*$K$4+$F$5</f>
        <v>34</v>
      </c>
    </row>
    <row r="7" spans="2:23" x14ac:dyDescent="0.35">
      <c r="C7" s="2">
        <v>1</v>
      </c>
    </row>
    <row r="8" spans="2:23" x14ac:dyDescent="0.35">
      <c r="B8" s="1" t="s">
        <v>55</v>
      </c>
      <c r="C8" s="2">
        <v>0</v>
      </c>
      <c r="D8">
        <f t="shared" ref="D8:W8" si="0">C8+$C$7</f>
        <v>1</v>
      </c>
      <c r="E8">
        <f t="shared" si="0"/>
        <v>2</v>
      </c>
      <c r="F8">
        <f t="shared" si="0"/>
        <v>3</v>
      </c>
      <c r="G8">
        <f t="shared" si="0"/>
        <v>4</v>
      </c>
      <c r="H8">
        <f t="shared" si="0"/>
        <v>5</v>
      </c>
      <c r="I8">
        <f t="shared" si="0"/>
        <v>6</v>
      </c>
      <c r="J8">
        <f t="shared" si="0"/>
        <v>7</v>
      </c>
      <c r="K8">
        <f t="shared" si="0"/>
        <v>8</v>
      </c>
      <c r="L8">
        <f t="shared" si="0"/>
        <v>9</v>
      </c>
      <c r="M8">
        <f t="shared" si="0"/>
        <v>10</v>
      </c>
      <c r="N8">
        <f t="shared" si="0"/>
        <v>11</v>
      </c>
      <c r="O8">
        <f t="shared" si="0"/>
        <v>12</v>
      </c>
      <c r="P8">
        <f t="shared" si="0"/>
        <v>13</v>
      </c>
      <c r="Q8">
        <f t="shared" si="0"/>
        <v>14</v>
      </c>
      <c r="R8">
        <f t="shared" si="0"/>
        <v>15</v>
      </c>
      <c r="S8">
        <f t="shared" si="0"/>
        <v>16</v>
      </c>
      <c r="T8">
        <f t="shared" si="0"/>
        <v>17</v>
      </c>
      <c r="U8">
        <f t="shared" si="0"/>
        <v>18</v>
      </c>
      <c r="V8">
        <f t="shared" si="0"/>
        <v>19</v>
      </c>
      <c r="W8">
        <f t="shared" si="0"/>
        <v>20</v>
      </c>
    </row>
    <row r="9" spans="2:23" ht="16.5" x14ac:dyDescent="0.45">
      <c r="B9" s="47" t="s">
        <v>62</v>
      </c>
      <c r="C9">
        <f>$F$4*C8 + $F$5</f>
        <v>20</v>
      </c>
      <c r="D9">
        <f t="shared" ref="D9:W9" si="1">$F$4*D8 + $F$5</f>
        <v>22</v>
      </c>
      <c r="E9">
        <f t="shared" si="1"/>
        <v>24</v>
      </c>
      <c r="F9">
        <f t="shared" si="1"/>
        <v>26</v>
      </c>
      <c r="G9">
        <f t="shared" si="1"/>
        <v>28</v>
      </c>
      <c r="H9">
        <f t="shared" si="1"/>
        <v>30</v>
      </c>
      <c r="I9">
        <f t="shared" si="1"/>
        <v>32</v>
      </c>
      <c r="J9">
        <f t="shared" si="1"/>
        <v>34</v>
      </c>
      <c r="K9">
        <f t="shared" si="1"/>
        <v>36</v>
      </c>
      <c r="L9">
        <f t="shared" si="1"/>
        <v>38</v>
      </c>
      <c r="M9">
        <f t="shared" si="1"/>
        <v>40</v>
      </c>
      <c r="N9">
        <f t="shared" si="1"/>
        <v>42</v>
      </c>
      <c r="O9">
        <f t="shared" si="1"/>
        <v>44</v>
      </c>
      <c r="P9">
        <f t="shared" si="1"/>
        <v>46</v>
      </c>
      <c r="Q9">
        <f t="shared" si="1"/>
        <v>48</v>
      </c>
      <c r="R9">
        <f t="shared" si="1"/>
        <v>50</v>
      </c>
      <c r="S9">
        <f t="shared" si="1"/>
        <v>52</v>
      </c>
      <c r="T9">
        <f t="shared" si="1"/>
        <v>54</v>
      </c>
      <c r="U9">
        <f t="shared" si="1"/>
        <v>56</v>
      </c>
      <c r="V9">
        <f t="shared" si="1"/>
        <v>58</v>
      </c>
      <c r="W9">
        <f t="shared" si="1"/>
        <v>60</v>
      </c>
    </row>
    <row r="10" spans="2:23" ht="16.5" x14ac:dyDescent="0.35">
      <c r="B10" t="s">
        <v>74</v>
      </c>
      <c r="C10">
        <f>($F$4/2)*C8^2 + $F$5 * C8</f>
        <v>0</v>
      </c>
      <c r="D10">
        <f>($F$4/2)*D8^2 + $F$5 * D8</f>
        <v>21</v>
      </c>
      <c r="E10">
        <f t="shared" ref="E10:W10" si="2">($F$4/2)*E8^2 + $F$5 * E8</f>
        <v>44</v>
      </c>
      <c r="F10">
        <f t="shared" si="2"/>
        <v>69</v>
      </c>
      <c r="G10">
        <f t="shared" si="2"/>
        <v>96</v>
      </c>
      <c r="H10">
        <f t="shared" si="2"/>
        <v>125</v>
      </c>
      <c r="I10">
        <f t="shared" si="2"/>
        <v>156</v>
      </c>
      <c r="J10">
        <f t="shared" si="2"/>
        <v>189</v>
      </c>
      <c r="K10">
        <f t="shared" si="2"/>
        <v>224</v>
      </c>
      <c r="L10">
        <f t="shared" si="2"/>
        <v>261</v>
      </c>
      <c r="M10">
        <f t="shared" si="2"/>
        <v>300</v>
      </c>
      <c r="N10">
        <f t="shared" si="2"/>
        <v>341</v>
      </c>
      <c r="O10">
        <f t="shared" si="2"/>
        <v>384</v>
      </c>
      <c r="P10">
        <f t="shared" si="2"/>
        <v>429</v>
      </c>
      <c r="Q10">
        <f t="shared" si="2"/>
        <v>476</v>
      </c>
      <c r="R10">
        <f t="shared" si="2"/>
        <v>525</v>
      </c>
      <c r="S10">
        <f t="shared" si="2"/>
        <v>576</v>
      </c>
      <c r="T10">
        <f t="shared" si="2"/>
        <v>629</v>
      </c>
      <c r="U10">
        <f t="shared" si="2"/>
        <v>684</v>
      </c>
      <c r="V10">
        <f t="shared" si="2"/>
        <v>741</v>
      </c>
      <c r="W10">
        <f t="shared" si="2"/>
        <v>800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3:AO45"/>
  <sheetViews>
    <sheetView topLeftCell="A33" zoomScale="70" zoomScaleNormal="70" workbookViewId="0">
      <selection activeCell="K57" sqref="K57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3" spans="2:14" x14ac:dyDescent="0.35">
      <c r="B3" t="s">
        <v>13</v>
      </c>
    </row>
    <row r="4" spans="2:14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14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14" x14ac:dyDescent="0.35">
      <c r="B7" t="s">
        <v>14</v>
      </c>
      <c r="C7" s="5">
        <f>C5/C4</f>
        <v>10</v>
      </c>
      <c r="D7" s="5">
        <f t="shared" ref="D7:F7" si="0">D5/D4</f>
        <v>9.9499999999999993</v>
      </c>
      <c r="E7" s="5">
        <f t="shared" si="0"/>
        <v>10.016666666666667</v>
      </c>
      <c r="F7" s="5">
        <f t="shared" si="0"/>
        <v>10.125</v>
      </c>
      <c r="H7" t="s">
        <v>10</v>
      </c>
      <c r="I7" s="5">
        <f>AVERAGE(C7:F7)</f>
        <v>10.022916666666667</v>
      </c>
    </row>
    <row r="8" spans="2:14" x14ac:dyDescent="0.35">
      <c r="B8" t="s">
        <v>15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14"/>
      <c r="J11" s="15" t="s">
        <v>27</v>
      </c>
      <c r="K11" s="16"/>
      <c r="L11" s="16"/>
      <c r="M11" s="17" t="s">
        <v>30</v>
      </c>
      <c r="N11" s="18"/>
    </row>
    <row r="12" spans="2:14" x14ac:dyDescent="0.35">
      <c r="I12" s="19"/>
      <c r="N12" s="20"/>
    </row>
    <row r="13" spans="2:14" x14ac:dyDescent="0.35">
      <c r="I13" s="19"/>
      <c r="J13" s="21" t="s">
        <v>28</v>
      </c>
      <c r="K13" s="21" t="s">
        <v>31</v>
      </c>
      <c r="L13" s="2">
        <v>-5</v>
      </c>
      <c r="N13" s="20"/>
    </row>
    <row r="14" spans="2:14" ht="15" thickBot="1" x14ac:dyDescent="0.4">
      <c r="I14" s="22"/>
      <c r="J14" s="23" t="s">
        <v>29</v>
      </c>
      <c r="K14" s="23" t="s">
        <v>32</v>
      </c>
      <c r="L14" s="24">
        <v>10</v>
      </c>
      <c r="M14" s="25"/>
      <c r="N14" s="26"/>
    </row>
    <row r="16" spans="2:14" x14ac:dyDescent="0.35">
      <c r="I16" s="1" t="s">
        <v>34</v>
      </c>
      <c r="J16" s="2">
        <v>0.5</v>
      </c>
    </row>
    <row r="17" spans="9:41" x14ac:dyDescent="0.35">
      <c r="I17" s="1" t="s">
        <v>1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33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49</v>
      </c>
      <c r="C44" t="s">
        <v>48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50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19E3-B37A-474A-BC1C-D505FB6C8E4E}">
  <dimension ref="B3:X12"/>
  <sheetViews>
    <sheetView topLeftCell="A14" zoomScale="85" zoomScaleNormal="85" workbookViewId="0">
      <selection activeCell="C13" sqref="C13"/>
    </sheetView>
  </sheetViews>
  <sheetFormatPr baseColWidth="10" defaultRowHeight="14.5" x14ac:dyDescent="0.35"/>
  <cols>
    <col min="3" max="3" width="22.453125" customWidth="1"/>
  </cols>
  <sheetData>
    <row r="3" spans="2:24" ht="21" x14ac:dyDescent="0.5">
      <c r="B3" s="41" t="s">
        <v>54</v>
      </c>
      <c r="K3" t="s">
        <v>67</v>
      </c>
      <c r="R3" t="s">
        <v>69</v>
      </c>
    </row>
    <row r="4" spans="2:24" ht="21" x14ac:dyDescent="0.5">
      <c r="B4" s="41"/>
      <c r="K4" s="1" t="s">
        <v>68</v>
      </c>
      <c r="L4" s="2">
        <v>7</v>
      </c>
      <c r="N4">
        <f>L4</f>
        <v>7</v>
      </c>
      <c r="O4">
        <f>L4</f>
        <v>7</v>
      </c>
      <c r="R4">
        <v>0</v>
      </c>
      <c r="S4">
        <f>L4</f>
        <v>7</v>
      </c>
    </row>
    <row r="5" spans="2:24" ht="23" customHeight="1" x14ac:dyDescent="0.5">
      <c r="B5" s="41"/>
      <c r="F5" t="s">
        <v>64</v>
      </c>
      <c r="H5" s="2">
        <v>2</v>
      </c>
      <c r="N5">
        <v>0</v>
      </c>
      <c r="O5">
        <f>$H$5*$L$4+$H$6</f>
        <v>34</v>
      </c>
      <c r="R5">
        <f>H6</f>
        <v>20</v>
      </c>
      <c r="S5">
        <f>R5</f>
        <v>20</v>
      </c>
    </row>
    <row r="6" spans="2:24" ht="15" customHeight="1" x14ac:dyDescent="0.5">
      <c r="B6" s="41"/>
      <c r="G6" s="1" t="s">
        <v>65</v>
      </c>
      <c r="H6" s="2">
        <v>20</v>
      </c>
    </row>
    <row r="7" spans="2:24" ht="15" customHeight="1" x14ac:dyDescent="0.5">
      <c r="B7" s="41"/>
    </row>
    <row r="8" spans="2:24" ht="15" customHeight="1" x14ac:dyDescent="0.35"/>
    <row r="9" spans="2:24" ht="15" customHeight="1" x14ac:dyDescent="0.35">
      <c r="D9" s="2">
        <v>1</v>
      </c>
    </row>
    <row r="10" spans="2:24" ht="15" customHeight="1" x14ac:dyDescent="0.35">
      <c r="C10" s="1" t="s">
        <v>55</v>
      </c>
      <c r="D10" s="2">
        <v>0</v>
      </c>
      <c r="E10">
        <f t="shared" ref="E10:X10" si="0">D10+$D$9</f>
        <v>1</v>
      </c>
      <c r="F10">
        <f t="shared" si="0"/>
        <v>2</v>
      </c>
      <c r="G10">
        <f t="shared" si="0"/>
        <v>3</v>
      </c>
      <c r="H10">
        <f t="shared" si="0"/>
        <v>4</v>
      </c>
      <c r="I10">
        <f t="shared" si="0"/>
        <v>5</v>
      </c>
      <c r="J10">
        <f t="shared" si="0"/>
        <v>6</v>
      </c>
      <c r="K10">
        <f t="shared" si="0"/>
        <v>7</v>
      </c>
      <c r="L10">
        <f t="shared" si="0"/>
        <v>8</v>
      </c>
      <c r="M10">
        <f t="shared" si="0"/>
        <v>9</v>
      </c>
      <c r="N10">
        <f t="shared" si="0"/>
        <v>10</v>
      </c>
      <c r="O10">
        <f t="shared" si="0"/>
        <v>11</v>
      </c>
      <c r="P10">
        <f t="shared" si="0"/>
        <v>12</v>
      </c>
      <c r="Q10">
        <f t="shared" si="0"/>
        <v>13</v>
      </c>
      <c r="R10">
        <f t="shared" si="0"/>
        <v>14</v>
      </c>
      <c r="S10">
        <f t="shared" si="0"/>
        <v>15</v>
      </c>
      <c r="T10">
        <f t="shared" si="0"/>
        <v>16</v>
      </c>
      <c r="U10">
        <f t="shared" si="0"/>
        <v>17</v>
      </c>
      <c r="V10">
        <f t="shared" si="0"/>
        <v>18</v>
      </c>
      <c r="W10">
        <f t="shared" si="0"/>
        <v>19</v>
      </c>
      <c r="X10">
        <f t="shared" si="0"/>
        <v>20</v>
      </c>
    </row>
    <row r="11" spans="2:24" x14ac:dyDescent="0.35">
      <c r="C11" s="1" t="s">
        <v>66</v>
      </c>
      <c r="D11">
        <f>$H$5*D10 + $H$6</f>
        <v>20</v>
      </c>
      <c r="E11">
        <f t="shared" ref="E11:X11" si="1">$H$5*E10 + $H$6</f>
        <v>22</v>
      </c>
      <c r="F11">
        <f t="shared" si="1"/>
        <v>24</v>
      </c>
      <c r="G11">
        <f t="shared" si="1"/>
        <v>26</v>
      </c>
      <c r="H11">
        <f t="shared" si="1"/>
        <v>28</v>
      </c>
      <c r="I11">
        <f t="shared" si="1"/>
        <v>30</v>
      </c>
      <c r="J11">
        <f t="shared" si="1"/>
        <v>32</v>
      </c>
      <c r="K11">
        <f t="shared" si="1"/>
        <v>34</v>
      </c>
      <c r="L11">
        <f t="shared" si="1"/>
        <v>36</v>
      </c>
      <c r="M11">
        <f t="shared" si="1"/>
        <v>38</v>
      </c>
      <c r="N11">
        <f t="shared" si="1"/>
        <v>40</v>
      </c>
      <c r="O11">
        <f t="shared" si="1"/>
        <v>42</v>
      </c>
      <c r="P11">
        <f t="shared" si="1"/>
        <v>44</v>
      </c>
      <c r="Q11">
        <f t="shared" si="1"/>
        <v>46</v>
      </c>
      <c r="R11">
        <f t="shared" si="1"/>
        <v>48</v>
      </c>
      <c r="S11">
        <f t="shared" si="1"/>
        <v>50</v>
      </c>
      <c r="T11">
        <f t="shared" si="1"/>
        <v>52</v>
      </c>
      <c r="U11">
        <f t="shared" si="1"/>
        <v>54</v>
      </c>
      <c r="V11">
        <f t="shared" si="1"/>
        <v>56</v>
      </c>
      <c r="W11">
        <f t="shared" si="1"/>
        <v>58</v>
      </c>
      <c r="X11">
        <f t="shared" si="1"/>
        <v>60</v>
      </c>
    </row>
    <row r="12" spans="2:24" ht="16.5" x14ac:dyDescent="0.35">
      <c r="C12" t="s">
        <v>75</v>
      </c>
      <c r="D12">
        <f>$H$5/2 * D10^2 + $H$6 * D10</f>
        <v>0</v>
      </c>
      <c r="E12">
        <f t="shared" ref="E12:X12" si="2">$H$5/2 * E10^2 + $H$6 * E10</f>
        <v>21</v>
      </c>
      <c r="F12">
        <f t="shared" si="2"/>
        <v>44</v>
      </c>
      <c r="G12">
        <f t="shared" si="2"/>
        <v>69</v>
      </c>
      <c r="H12">
        <f t="shared" si="2"/>
        <v>96</v>
      </c>
      <c r="I12">
        <f t="shared" si="2"/>
        <v>125</v>
      </c>
      <c r="J12">
        <f t="shared" si="2"/>
        <v>156</v>
      </c>
      <c r="K12">
        <f t="shared" si="2"/>
        <v>189</v>
      </c>
      <c r="L12">
        <f t="shared" si="2"/>
        <v>224</v>
      </c>
      <c r="M12">
        <f t="shared" si="2"/>
        <v>261</v>
      </c>
      <c r="N12">
        <f t="shared" si="2"/>
        <v>300</v>
      </c>
      <c r="O12">
        <f t="shared" si="2"/>
        <v>341</v>
      </c>
      <c r="P12">
        <f t="shared" si="2"/>
        <v>384</v>
      </c>
      <c r="Q12">
        <f t="shared" si="2"/>
        <v>429</v>
      </c>
      <c r="R12">
        <f t="shared" si="2"/>
        <v>476</v>
      </c>
      <c r="S12">
        <f t="shared" si="2"/>
        <v>525</v>
      </c>
      <c r="T12">
        <f t="shared" si="2"/>
        <v>576</v>
      </c>
      <c r="U12">
        <f t="shared" si="2"/>
        <v>629</v>
      </c>
      <c r="V12">
        <f t="shared" si="2"/>
        <v>684</v>
      </c>
      <c r="W12">
        <f t="shared" si="2"/>
        <v>741</v>
      </c>
      <c r="X12">
        <f t="shared" si="2"/>
        <v>800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4CB8-F6FD-4B8D-BDC9-63BA534F6C1E}">
  <dimension ref="B3:Y45"/>
  <sheetViews>
    <sheetView topLeftCell="B43" zoomScaleNormal="100" workbookViewId="0">
      <selection activeCell="H41" sqref="H41"/>
    </sheetView>
  </sheetViews>
  <sheetFormatPr baseColWidth="10" defaultRowHeight="14.5" x14ac:dyDescent="0.35"/>
  <cols>
    <col min="2" max="2" width="26.08984375" customWidth="1"/>
    <col min="8" max="8" width="37.7265625" customWidth="1"/>
  </cols>
  <sheetData>
    <row r="3" spans="2:10" x14ac:dyDescent="0.35">
      <c r="B3" t="s">
        <v>12</v>
      </c>
    </row>
    <row r="4" spans="2:10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10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10" x14ac:dyDescent="0.35">
      <c r="B7" s="7" t="s">
        <v>16</v>
      </c>
      <c r="C7" s="8">
        <f>C5/C4</f>
        <v>10</v>
      </c>
      <c r="D7" s="8">
        <f t="shared" ref="D7:F7" si="0">D5/D4</f>
        <v>9.9499999999999993</v>
      </c>
      <c r="E7" s="8">
        <f t="shared" si="0"/>
        <v>10.016666666666667</v>
      </c>
      <c r="F7" s="8">
        <f t="shared" si="0"/>
        <v>10.125</v>
      </c>
      <c r="H7" s="7" t="s">
        <v>17</v>
      </c>
      <c r="I7" s="8">
        <f>AVERAGE(C7:F7)</f>
        <v>10.022916666666667</v>
      </c>
    </row>
    <row r="9" spans="2:10" x14ac:dyDescent="0.35">
      <c r="B9" s="7" t="s">
        <v>35</v>
      </c>
      <c r="C9" s="9">
        <f>$I$7*C4</f>
        <v>10.022916666666667</v>
      </c>
      <c r="D9" s="9">
        <f t="shared" ref="D9:F9" si="1">$I$7*D4</f>
        <v>20.045833333333334</v>
      </c>
      <c r="E9" s="9">
        <f t="shared" si="1"/>
        <v>30.068750000000001</v>
      </c>
      <c r="F9" s="9">
        <f t="shared" si="1"/>
        <v>40.091666666666669</v>
      </c>
    </row>
    <row r="10" spans="2:10" ht="15" thickBot="1" x14ac:dyDescent="0.4"/>
    <row r="11" spans="2:10" ht="23.5" x14ac:dyDescent="0.55000000000000004">
      <c r="H11" s="27" t="s">
        <v>36</v>
      </c>
      <c r="I11" s="103" t="s">
        <v>41</v>
      </c>
      <c r="J11" s="104"/>
    </row>
    <row r="12" spans="2:10" x14ac:dyDescent="0.35">
      <c r="H12" s="19"/>
      <c r="J12" s="20"/>
    </row>
    <row r="13" spans="2:10" x14ac:dyDescent="0.35">
      <c r="H13" s="30" t="s">
        <v>39</v>
      </c>
      <c r="I13" s="21" t="s">
        <v>37</v>
      </c>
      <c r="J13" s="28">
        <v>-10</v>
      </c>
    </row>
    <row r="14" spans="2:10" ht="15" thickBot="1" x14ac:dyDescent="0.4">
      <c r="H14" s="22" t="s">
        <v>40</v>
      </c>
      <c r="I14" s="23" t="s">
        <v>38</v>
      </c>
      <c r="J14" s="29">
        <v>10</v>
      </c>
    </row>
    <row r="16" spans="2:10" x14ac:dyDescent="0.35">
      <c r="I16" s="1" t="s">
        <v>34</v>
      </c>
      <c r="J16" s="2">
        <v>0.5</v>
      </c>
    </row>
    <row r="17" spans="9:20" x14ac:dyDescent="0.35">
      <c r="I17" s="1" t="s">
        <v>25</v>
      </c>
      <c r="J17" s="2">
        <v>0</v>
      </c>
      <c r="K17">
        <f>J17+$J$16</f>
        <v>0.5</v>
      </c>
      <c r="L17">
        <f t="shared" ref="L17:T17" si="2">K17+$J$16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</row>
    <row r="18" spans="9:20" x14ac:dyDescent="0.35">
      <c r="I18" s="1" t="s">
        <v>42</v>
      </c>
      <c r="J18">
        <f>$J$13*J17+$J$14</f>
        <v>10</v>
      </c>
      <c r="K18">
        <f t="shared" ref="K18:T18" si="3">$J$13*K17+$J$14</f>
        <v>5</v>
      </c>
      <c r="L18">
        <f t="shared" si="3"/>
        <v>0</v>
      </c>
      <c r="M18">
        <f t="shared" si="3"/>
        <v>-5</v>
      </c>
      <c r="N18">
        <f t="shared" si="3"/>
        <v>-10</v>
      </c>
      <c r="O18">
        <f t="shared" si="3"/>
        <v>-15</v>
      </c>
      <c r="P18">
        <f t="shared" si="3"/>
        <v>-20</v>
      </c>
      <c r="Q18">
        <f t="shared" si="3"/>
        <v>-25</v>
      </c>
      <c r="R18">
        <f t="shared" si="3"/>
        <v>-30</v>
      </c>
      <c r="S18">
        <f t="shared" si="3"/>
        <v>-35</v>
      </c>
      <c r="T18">
        <f t="shared" si="3"/>
        <v>-40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51</v>
      </c>
      <c r="C44" t="s">
        <v>48</v>
      </c>
      <c r="D44" s="2">
        <v>-50</v>
      </c>
      <c r="E44">
        <f>$D$44*E41+$D$45</f>
        <v>100</v>
      </c>
      <c r="F44">
        <f t="shared" ref="F44:Y44" si="6">$D$44*F41+$D$45</f>
        <v>95</v>
      </c>
      <c r="G44">
        <f t="shared" si="6"/>
        <v>90</v>
      </c>
      <c r="H44">
        <f t="shared" si="6"/>
        <v>85</v>
      </c>
      <c r="I44">
        <f t="shared" si="6"/>
        <v>80</v>
      </c>
      <c r="J44">
        <f t="shared" si="6"/>
        <v>75</v>
      </c>
      <c r="K44">
        <f t="shared" si="6"/>
        <v>70</v>
      </c>
      <c r="L44">
        <f t="shared" si="6"/>
        <v>65</v>
      </c>
      <c r="M44">
        <f t="shared" si="6"/>
        <v>60</v>
      </c>
      <c r="N44">
        <f t="shared" si="6"/>
        <v>55.000000000000007</v>
      </c>
      <c r="O44">
        <f t="shared" si="6"/>
        <v>50.000000000000007</v>
      </c>
      <c r="P44">
        <f t="shared" si="6"/>
        <v>45.000000000000007</v>
      </c>
      <c r="Q44">
        <f t="shared" si="6"/>
        <v>40</v>
      </c>
      <c r="R44">
        <f t="shared" si="6"/>
        <v>35</v>
      </c>
      <c r="S44">
        <f t="shared" si="6"/>
        <v>30</v>
      </c>
      <c r="T44">
        <f t="shared" si="6"/>
        <v>24.999999999999986</v>
      </c>
      <c r="U44">
        <f t="shared" si="6"/>
        <v>19.999999999999986</v>
      </c>
      <c r="V44">
        <f t="shared" si="6"/>
        <v>14.999999999999986</v>
      </c>
      <c r="W44">
        <f t="shared" si="6"/>
        <v>9.9999999999999716</v>
      </c>
      <c r="X44">
        <f t="shared" si="6"/>
        <v>4.9999999999999716</v>
      </c>
      <c r="Y44">
        <f t="shared" si="6"/>
        <v>0</v>
      </c>
    </row>
    <row r="45" spans="2:25" ht="16.5" x14ac:dyDescent="0.45">
      <c r="C45" t="s">
        <v>52</v>
      </c>
      <c r="D45" s="2">
        <v>100</v>
      </c>
    </row>
  </sheetData>
  <mergeCells count="1">
    <mergeCell ref="I11:J11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66E9-C476-4655-AFFD-2F3678720FB2}">
  <dimension ref="B2:X12"/>
  <sheetViews>
    <sheetView topLeftCell="C9" zoomScaleNormal="100" workbookViewId="0">
      <selection activeCell="G4" sqref="G4"/>
    </sheetView>
  </sheetViews>
  <sheetFormatPr baseColWidth="10" defaultRowHeight="14.5" x14ac:dyDescent="0.35"/>
  <cols>
    <col min="3" max="3" width="13.453125" customWidth="1"/>
  </cols>
  <sheetData>
    <row r="2" spans="2:24" ht="21" x14ac:dyDescent="0.5">
      <c r="B2" s="41" t="s">
        <v>54</v>
      </c>
      <c r="M2" t="s">
        <v>67</v>
      </c>
      <c r="Q2" t="s">
        <v>71</v>
      </c>
    </row>
    <row r="3" spans="2:24" ht="16.5" x14ac:dyDescent="0.35">
      <c r="F3" s="1" t="s">
        <v>60</v>
      </c>
      <c r="G3" s="2">
        <v>2</v>
      </c>
      <c r="H3" t="s">
        <v>56</v>
      </c>
      <c r="J3" s="1" t="s">
        <v>70</v>
      </c>
      <c r="K3" s="2">
        <v>15</v>
      </c>
      <c r="M3">
        <f>K3</f>
        <v>15</v>
      </c>
      <c r="N3">
        <f>K3</f>
        <v>15</v>
      </c>
      <c r="Q3">
        <v>0</v>
      </c>
      <c r="R3">
        <f>K3</f>
        <v>15</v>
      </c>
    </row>
    <row r="4" spans="2:24" x14ac:dyDescent="0.35">
      <c r="F4" s="1" t="s">
        <v>76</v>
      </c>
      <c r="G4" s="2">
        <v>5</v>
      </c>
      <c r="H4" t="s">
        <v>59</v>
      </c>
      <c r="M4">
        <v>0</v>
      </c>
      <c r="N4">
        <f>G3*K3+G4</f>
        <v>35</v>
      </c>
      <c r="Q4">
        <f>G4</f>
        <v>5</v>
      </c>
      <c r="R4">
        <f>Q4</f>
        <v>5</v>
      </c>
    </row>
    <row r="9" spans="2:24" x14ac:dyDescent="0.35">
      <c r="D9" s="2">
        <v>1</v>
      </c>
    </row>
    <row r="10" spans="2:24" x14ac:dyDescent="0.35">
      <c r="C10" s="1" t="s">
        <v>55</v>
      </c>
      <c r="D10" s="2">
        <v>0</v>
      </c>
      <c r="E10">
        <f>D10+$D$9</f>
        <v>1</v>
      </c>
      <c r="F10">
        <f t="shared" ref="F10:X10" si="0">E10+$D$9</f>
        <v>2</v>
      </c>
      <c r="G10">
        <f t="shared" si="0"/>
        <v>3</v>
      </c>
      <c r="H10">
        <f t="shared" si="0"/>
        <v>4</v>
      </c>
      <c r="I10">
        <f t="shared" si="0"/>
        <v>5</v>
      </c>
      <c r="J10">
        <f t="shared" si="0"/>
        <v>6</v>
      </c>
      <c r="K10">
        <f t="shared" si="0"/>
        <v>7</v>
      </c>
      <c r="L10">
        <f t="shared" si="0"/>
        <v>8</v>
      </c>
      <c r="M10">
        <f t="shared" si="0"/>
        <v>9</v>
      </c>
      <c r="N10">
        <f t="shared" si="0"/>
        <v>10</v>
      </c>
      <c r="O10">
        <f t="shared" si="0"/>
        <v>11</v>
      </c>
      <c r="P10">
        <f t="shared" si="0"/>
        <v>12</v>
      </c>
      <c r="Q10">
        <f t="shared" si="0"/>
        <v>13</v>
      </c>
      <c r="R10">
        <f t="shared" si="0"/>
        <v>14</v>
      </c>
      <c r="S10">
        <f t="shared" si="0"/>
        <v>15</v>
      </c>
      <c r="T10">
        <f t="shared" si="0"/>
        <v>16</v>
      </c>
      <c r="U10">
        <f t="shared" si="0"/>
        <v>17</v>
      </c>
      <c r="V10">
        <f t="shared" si="0"/>
        <v>18</v>
      </c>
      <c r="W10">
        <f t="shared" si="0"/>
        <v>19</v>
      </c>
      <c r="X10">
        <f t="shared" si="0"/>
        <v>20</v>
      </c>
    </row>
    <row r="11" spans="2:24" x14ac:dyDescent="0.35">
      <c r="C11" s="1" t="s">
        <v>77</v>
      </c>
      <c r="D11">
        <f>$G$3*D10+$G$4</f>
        <v>5</v>
      </c>
      <c r="E11">
        <f t="shared" ref="E11:X11" si="1">$G$3*E10+$G$4</f>
        <v>7</v>
      </c>
      <c r="F11">
        <f t="shared" si="1"/>
        <v>9</v>
      </c>
      <c r="G11">
        <f t="shared" si="1"/>
        <v>11</v>
      </c>
      <c r="H11">
        <f t="shared" si="1"/>
        <v>13</v>
      </c>
      <c r="I11">
        <f t="shared" si="1"/>
        <v>15</v>
      </c>
      <c r="J11">
        <f t="shared" si="1"/>
        <v>17</v>
      </c>
      <c r="K11">
        <f t="shared" si="1"/>
        <v>19</v>
      </c>
      <c r="L11">
        <f t="shared" si="1"/>
        <v>21</v>
      </c>
      <c r="M11">
        <f t="shared" si="1"/>
        <v>23</v>
      </c>
      <c r="N11">
        <f t="shared" si="1"/>
        <v>25</v>
      </c>
      <c r="O11">
        <f t="shared" si="1"/>
        <v>27</v>
      </c>
      <c r="P11">
        <f t="shared" si="1"/>
        <v>29</v>
      </c>
      <c r="Q11">
        <f t="shared" si="1"/>
        <v>31</v>
      </c>
      <c r="R11">
        <f t="shared" si="1"/>
        <v>33</v>
      </c>
      <c r="S11">
        <f t="shared" si="1"/>
        <v>35</v>
      </c>
      <c r="T11">
        <f t="shared" si="1"/>
        <v>37</v>
      </c>
      <c r="U11">
        <f t="shared" si="1"/>
        <v>39</v>
      </c>
      <c r="V11">
        <f t="shared" si="1"/>
        <v>41</v>
      </c>
      <c r="W11">
        <f t="shared" si="1"/>
        <v>43</v>
      </c>
      <c r="X11">
        <f t="shared" si="1"/>
        <v>45</v>
      </c>
    </row>
    <row r="12" spans="2:24" ht="16.5" x14ac:dyDescent="0.35">
      <c r="C12" s="1" t="s">
        <v>78</v>
      </c>
      <c r="D12">
        <f>$G$3/2 * D10^2 + $G$4 * D10</f>
        <v>0</v>
      </c>
      <c r="E12">
        <f t="shared" ref="E12:X12" si="2">$G$3/2 * E10^2 + $G$4 * E10</f>
        <v>6</v>
      </c>
      <c r="F12">
        <f t="shared" si="2"/>
        <v>14</v>
      </c>
      <c r="G12">
        <f t="shared" si="2"/>
        <v>24</v>
      </c>
      <c r="H12">
        <f t="shared" si="2"/>
        <v>36</v>
      </c>
      <c r="I12">
        <f t="shared" si="2"/>
        <v>50</v>
      </c>
      <c r="J12">
        <f t="shared" si="2"/>
        <v>66</v>
      </c>
      <c r="K12">
        <f t="shared" si="2"/>
        <v>84</v>
      </c>
      <c r="L12">
        <f t="shared" si="2"/>
        <v>104</v>
      </c>
      <c r="M12">
        <f t="shared" si="2"/>
        <v>126</v>
      </c>
      <c r="N12">
        <f t="shared" si="2"/>
        <v>150</v>
      </c>
      <c r="O12">
        <f t="shared" si="2"/>
        <v>176</v>
      </c>
      <c r="P12">
        <f t="shared" si="2"/>
        <v>204</v>
      </c>
      <c r="Q12">
        <f t="shared" si="2"/>
        <v>234</v>
      </c>
      <c r="R12">
        <f t="shared" si="2"/>
        <v>266</v>
      </c>
      <c r="S12">
        <f t="shared" si="2"/>
        <v>300</v>
      </c>
      <c r="T12">
        <f t="shared" si="2"/>
        <v>336</v>
      </c>
      <c r="U12">
        <f t="shared" si="2"/>
        <v>374</v>
      </c>
      <c r="V12">
        <f t="shared" si="2"/>
        <v>414</v>
      </c>
      <c r="W12">
        <f t="shared" si="2"/>
        <v>456</v>
      </c>
      <c r="X12">
        <f t="shared" si="2"/>
        <v>500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E67E-EA12-467E-9855-B234E3965E93}">
  <dimension ref="B2:Y55"/>
  <sheetViews>
    <sheetView topLeftCell="A40" zoomScale="55" zoomScaleNormal="55" workbookViewId="0">
      <selection activeCell="L70" sqref="L70"/>
    </sheetView>
  </sheetViews>
  <sheetFormatPr baseColWidth="10" defaultRowHeight="14.5" x14ac:dyDescent="0.35"/>
  <cols>
    <col min="2" max="2" width="38.1796875" customWidth="1"/>
    <col min="8" max="8" width="22.08984375" customWidth="1"/>
  </cols>
  <sheetData>
    <row r="2" spans="2:23" x14ac:dyDescent="0.35">
      <c r="B2" t="s">
        <v>8</v>
      </c>
    </row>
    <row r="3" spans="2:23" x14ac:dyDescent="0.35">
      <c r="B3" s="7" t="s">
        <v>7</v>
      </c>
      <c r="C3" s="6">
        <v>1</v>
      </c>
      <c r="D3" s="6">
        <v>2</v>
      </c>
      <c r="E3" s="6">
        <v>3</v>
      </c>
      <c r="F3" s="6">
        <v>4</v>
      </c>
    </row>
    <row r="4" spans="2:23" x14ac:dyDescent="0.35">
      <c r="B4" s="7" t="s">
        <v>11</v>
      </c>
      <c r="C4" s="6">
        <v>10</v>
      </c>
      <c r="D4" s="6">
        <v>19.899999999999999</v>
      </c>
      <c r="E4" s="6">
        <v>30.05</v>
      </c>
      <c r="F4" s="6">
        <v>40.5</v>
      </c>
    </row>
    <row r="5" spans="2:23" x14ac:dyDescent="0.35">
      <c r="B5" t="s">
        <v>6</v>
      </c>
    </row>
    <row r="6" spans="2:23" x14ac:dyDescent="0.35">
      <c r="B6" t="s">
        <v>5</v>
      </c>
      <c r="C6" s="5">
        <f>C4/C3</f>
        <v>10</v>
      </c>
      <c r="D6" s="5">
        <f>D4/D3</f>
        <v>9.9499999999999993</v>
      </c>
      <c r="E6" s="5">
        <f>E4/E3</f>
        <v>10.016666666666667</v>
      </c>
      <c r="F6" s="5">
        <f>F4/F3</f>
        <v>10.125</v>
      </c>
      <c r="H6" s="5">
        <f>AVERAGE(C6:F6)</f>
        <v>10.022916666666667</v>
      </c>
    </row>
    <row r="7" spans="2:23" x14ac:dyDescent="0.35">
      <c r="B7" t="s">
        <v>43</v>
      </c>
      <c r="C7">
        <f>$H$6*C3</f>
        <v>10.022916666666667</v>
      </c>
      <c r="D7">
        <f t="shared" ref="D7:F7" si="0">$H$6*D3</f>
        <v>20.045833333333334</v>
      </c>
      <c r="E7">
        <f t="shared" si="0"/>
        <v>30.068750000000001</v>
      </c>
      <c r="F7">
        <f t="shared" si="0"/>
        <v>40.091666666666669</v>
      </c>
    </row>
    <row r="12" spans="2:23" ht="15" thickBot="1" x14ac:dyDescent="0.4"/>
    <row r="13" spans="2:23" ht="21.5" thickBot="1" x14ac:dyDescent="0.55000000000000004">
      <c r="D13" s="4" t="s">
        <v>18</v>
      </c>
      <c r="E13" s="3"/>
      <c r="H13" s="1" t="s">
        <v>4</v>
      </c>
      <c r="I13" s="2">
        <v>10</v>
      </c>
    </row>
    <row r="14" spans="2:23" x14ac:dyDescent="0.35">
      <c r="H14" s="1" t="s">
        <v>3</v>
      </c>
      <c r="I14" s="2">
        <v>0</v>
      </c>
    </row>
    <row r="15" spans="2:23" x14ac:dyDescent="0.35">
      <c r="B15" s="1" t="s">
        <v>2</v>
      </c>
      <c r="C15" s="2">
        <v>0.3</v>
      </c>
    </row>
    <row r="16" spans="2:23" x14ac:dyDescent="0.35">
      <c r="B16" s="1" t="s">
        <v>1</v>
      </c>
      <c r="C16" s="2">
        <v>0</v>
      </c>
      <c r="D16">
        <f>C16+$C$15</f>
        <v>0.3</v>
      </c>
      <c r="E16">
        <f t="shared" ref="E16:W16" si="1">D16+$C$15</f>
        <v>0.6</v>
      </c>
      <c r="F16">
        <f t="shared" si="1"/>
        <v>0.89999999999999991</v>
      </c>
      <c r="G16">
        <f t="shared" si="1"/>
        <v>1.2</v>
      </c>
      <c r="H16">
        <f t="shared" si="1"/>
        <v>1.5</v>
      </c>
      <c r="I16">
        <f t="shared" si="1"/>
        <v>1.8</v>
      </c>
      <c r="J16">
        <f t="shared" si="1"/>
        <v>2.1</v>
      </c>
      <c r="K16">
        <f t="shared" si="1"/>
        <v>2.4</v>
      </c>
      <c r="L16">
        <f t="shared" si="1"/>
        <v>2.6999999999999997</v>
      </c>
      <c r="M16">
        <f t="shared" si="1"/>
        <v>2.9999999999999996</v>
      </c>
      <c r="N16">
        <f t="shared" si="1"/>
        <v>3.2999999999999994</v>
      </c>
      <c r="O16">
        <f t="shared" si="1"/>
        <v>3.5999999999999992</v>
      </c>
      <c r="P16">
        <f t="shared" si="1"/>
        <v>3.899999999999999</v>
      </c>
      <c r="Q16">
        <f t="shared" si="1"/>
        <v>4.1999999999999993</v>
      </c>
      <c r="R16">
        <f t="shared" si="1"/>
        <v>4.4999999999999991</v>
      </c>
      <c r="S16">
        <f t="shared" si="1"/>
        <v>4.7999999999999989</v>
      </c>
      <c r="T16">
        <f t="shared" si="1"/>
        <v>5.0999999999999988</v>
      </c>
      <c r="U16">
        <f t="shared" si="1"/>
        <v>5.3999999999999986</v>
      </c>
      <c r="V16">
        <f t="shared" si="1"/>
        <v>5.6999999999999984</v>
      </c>
      <c r="W16">
        <f t="shared" si="1"/>
        <v>5.9999999999999982</v>
      </c>
    </row>
    <row r="17" spans="2:23" x14ac:dyDescent="0.35">
      <c r="B17" s="1" t="s">
        <v>0</v>
      </c>
      <c r="C17">
        <f>$I$13*C16+$I$14</f>
        <v>0</v>
      </c>
      <c r="D17">
        <f t="shared" ref="D17:W17" si="2">$I$13*D16+$I$14</f>
        <v>3</v>
      </c>
      <c r="E17">
        <f t="shared" si="2"/>
        <v>6</v>
      </c>
      <c r="F17">
        <f t="shared" si="2"/>
        <v>9</v>
      </c>
      <c r="G17">
        <f t="shared" si="2"/>
        <v>12</v>
      </c>
      <c r="H17">
        <f t="shared" si="2"/>
        <v>15</v>
      </c>
      <c r="I17">
        <f t="shared" si="2"/>
        <v>18</v>
      </c>
      <c r="J17">
        <f t="shared" si="2"/>
        <v>21</v>
      </c>
      <c r="K17">
        <f t="shared" si="2"/>
        <v>24</v>
      </c>
      <c r="L17">
        <f t="shared" si="2"/>
        <v>26.999999999999996</v>
      </c>
      <c r="M17">
        <f t="shared" si="2"/>
        <v>29.999999999999996</v>
      </c>
      <c r="N17">
        <f t="shared" si="2"/>
        <v>32.999999999999993</v>
      </c>
      <c r="O17">
        <f t="shared" si="2"/>
        <v>35.999999999999993</v>
      </c>
      <c r="P17">
        <f t="shared" si="2"/>
        <v>38.999999999999993</v>
      </c>
      <c r="Q17">
        <f t="shared" si="2"/>
        <v>41.999999999999993</v>
      </c>
      <c r="R17">
        <f t="shared" si="2"/>
        <v>44.999999999999993</v>
      </c>
      <c r="S17">
        <f t="shared" si="2"/>
        <v>47.999999999999986</v>
      </c>
      <c r="T17">
        <f t="shared" si="2"/>
        <v>50.999999999999986</v>
      </c>
      <c r="U17">
        <f t="shared" si="2"/>
        <v>53.999999999999986</v>
      </c>
      <c r="V17">
        <f t="shared" si="2"/>
        <v>56.999999999999986</v>
      </c>
      <c r="W17">
        <f t="shared" si="2"/>
        <v>59.999999999999986</v>
      </c>
    </row>
    <row r="50" spans="2:25" x14ac:dyDescent="0.35">
      <c r="E50" s="2">
        <v>0.2</v>
      </c>
    </row>
    <row r="51" spans="2:25" x14ac:dyDescent="0.35">
      <c r="C51" t="s">
        <v>45</v>
      </c>
      <c r="E51" s="2">
        <v>0</v>
      </c>
      <c r="F51">
        <f>E51+$E$50</f>
        <v>0.2</v>
      </c>
      <c r="G51">
        <f t="shared" ref="G51:Y51" si="3">F51+$E$50</f>
        <v>0.4</v>
      </c>
      <c r="H51">
        <f t="shared" si="3"/>
        <v>0.60000000000000009</v>
      </c>
      <c r="I51">
        <f t="shared" si="3"/>
        <v>0.8</v>
      </c>
      <c r="J51">
        <f t="shared" si="3"/>
        <v>1</v>
      </c>
      <c r="K51">
        <f t="shared" si="3"/>
        <v>1.2</v>
      </c>
      <c r="L51">
        <f t="shared" si="3"/>
        <v>1.4</v>
      </c>
      <c r="M51">
        <f t="shared" si="3"/>
        <v>1.5999999999999999</v>
      </c>
      <c r="N51">
        <f t="shared" si="3"/>
        <v>1.7999999999999998</v>
      </c>
      <c r="O51">
        <f t="shared" si="3"/>
        <v>1.9999999999999998</v>
      </c>
      <c r="P51">
        <f t="shared" si="3"/>
        <v>2.1999999999999997</v>
      </c>
      <c r="Q51">
        <f t="shared" si="3"/>
        <v>2.4</v>
      </c>
      <c r="R51">
        <f t="shared" si="3"/>
        <v>2.6</v>
      </c>
      <c r="S51">
        <f t="shared" si="3"/>
        <v>2.8000000000000003</v>
      </c>
      <c r="T51">
        <f t="shared" si="3"/>
        <v>3.0000000000000004</v>
      </c>
      <c r="U51">
        <f t="shared" si="3"/>
        <v>3.2000000000000006</v>
      </c>
      <c r="V51">
        <f t="shared" si="3"/>
        <v>3.4000000000000008</v>
      </c>
      <c r="W51">
        <f t="shared" si="3"/>
        <v>3.600000000000001</v>
      </c>
      <c r="X51">
        <f t="shared" si="3"/>
        <v>3.8000000000000012</v>
      </c>
      <c r="Y51">
        <f t="shared" si="3"/>
        <v>4.0000000000000009</v>
      </c>
    </row>
    <row r="52" spans="2:25" ht="16.5" x14ac:dyDescent="0.45">
      <c r="B52" s="40" t="s">
        <v>53</v>
      </c>
      <c r="C52" t="s">
        <v>47</v>
      </c>
      <c r="D52" s="2">
        <v>30</v>
      </c>
      <c r="E52">
        <f>$D$52*E51</f>
        <v>0</v>
      </c>
      <c r="F52">
        <f t="shared" ref="F52:Y52" si="4">$D$52*F51</f>
        <v>6</v>
      </c>
      <c r="G52">
        <f t="shared" si="4"/>
        <v>12</v>
      </c>
      <c r="H52">
        <f t="shared" si="4"/>
        <v>18.000000000000004</v>
      </c>
      <c r="I52">
        <f t="shared" si="4"/>
        <v>24</v>
      </c>
      <c r="J52">
        <f t="shared" si="4"/>
        <v>30</v>
      </c>
      <c r="K52">
        <f t="shared" si="4"/>
        <v>36</v>
      </c>
      <c r="L52">
        <f t="shared" si="4"/>
        <v>42</v>
      </c>
      <c r="M52">
        <f t="shared" si="4"/>
        <v>47.999999999999993</v>
      </c>
      <c r="N52">
        <f t="shared" si="4"/>
        <v>53.999999999999993</v>
      </c>
      <c r="O52">
        <f t="shared" si="4"/>
        <v>59.999999999999993</v>
      </c>
      <c r="P52">
        <f t="shared" si="4"/>
        <v>65.999999999999986</v>
      </c>
      <c r="Q52">
        <f t="shared" si="4"/>
        <v>72</v>
      </c>
      <c r="R52">
        <f t="shared" si="4"/>
        <v>78</v>
      </c>
      <c r="S52">
        <f t="shared" si="4"/>
        <v>84.000000000000014</v>
      </c>
      <c r="T52">
        <f t="shared" si="4"/>
        <v>90.000000000000014</v>
      </c>
      <c r="U52">
        <f t="shared" si="4"/>
        <v>96.000000000000014</v>
      </c>
      <c r="V52">
        <f t="shared" si="4"/>
        <v>102.00000000000003</v>
      </c>
      <c r="W52">
        <f t="shared" si="4"/>
        <v>108.00000000000003</v>
      </c>
      <c r="X52">
        <f t="shared" si="4"/>
        <v>114.00000000000003</v>
      </c>
      <c r="Y52">
        <f t="shared" si="4"/>
        <v>120.00000000000003</v>
      </c>
    </row>
    <row r="54" spans="2:25" ht="16.5" x14ac:dyDescent="0.45">
      <c r="B54" s="1" t="s">
        <v>51</v>
      </c>
      <c r="C54" t="s">
        <v>48</v>
      </c>
      <c r="D54" s="2">
        <v>-50</v>
      </c>
      <c r="E54">
        <f>$D$54*E51+$D$55</f>
        <v>100</v>
      </c>
      <c r="F54">
        <f>$D$54*F51+$D$55</f>
        <v>90</v>
      </c>
      <c r="G54">
        <f t="shared" ref="G54:Y54" si="5">$D$54*G51+$D$55</f>
        <v>80</v>
      </c>
      <c r="H54">
        <f t="shared" si="5"/>
        <v>70</v>
      </c>
      <c r="I54">
        <f t="shared" si="5"/>
        <v>60</v>
      </c>
      <c r="J54">
        <f t="shared" si="5"/>
        <v>50</v>
      </c>
      <c r="K54">
        <f t="shared" si="5"/>
        <v>40</v>
      </c>
      <c r="L54">
        <f t="shared" si="5"/>
        <v>30</v>
      </c>
      <c r="M54">
        <f t="shared" si="5"/>
        <v>20</v>
      </c>
      <c r="N54">
        <f t="shared" si="5"/>
        <v>10.000000000000014</v>
      </c>
      <c r="O54">
        <f t="shared" si="5"/>
        <v>0</v>
      </c>
      <c r="P54">
        <f t="shared" si="5"/>
        <v>-9.9999999999999858</v>
      </c>
      <c r="Q54">
        <f t="shared" si="5"/>
        <v>-20</v>
      </c>
      <c r="R54">
        <f t="shared" si="5"/>
        <v>-30</v>
      </c>
      <c r="S54">
        <f t="shared" si="5"/>
        <v>-40</v>
      </c>
      <c r="T54">
        <f t="shared" si="5"/>
        <v>-50.000000000000028</v>
      </c>
      <c r="U54">
        <f t="shared" si="5"/>
        <v>-60.000000000000028</v>
      </c>
      <c r="V54">
        <f t="shared" si="5"/>
        <v>-70.000000000000028</v>
      </c>
      <c r="W54">
        <f t="shared" si="5"/>
        <v>-80.000000000000057</v>
      </c>
      <c r="X54">
        <f t="shared" si="5"/>
        <v>-90.000000000000057</v>
      </c>
      <c r="Y54">
        <f t="shared" si="5"/>
        <v>-100.00000000000006</v>
      </c>
    </row>
    <row r="55" spans="2:25" ht="16.5" x14ac:dyDescent="0.45">
      <c r="C55" t="s">
        <v>52</v>
      </c>
      <c r="D55" s="2">
        <v>100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K4" sqref="K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48" t="s">
        <v>84</v>
      </c>
      <c r="M2" s="7" t="s">
        <v>80</v>
      </c>
      <c r="N2" s="7"/>
      <c r="P2" s="7" t="s">
        <v>73</v>
      </c>
      <c r="Q2" s="7"/>
      <c r="S2" s="7" t="s">
        <v>79</v>
      </c>
      <c r="T2" s="7"/>
      <c r="W2" s="7" t="s">
        <v>81</v>
      </c>
      <c r="X2" s="7"/>
      <c r="Z2" s="7" t="s">
        <v>82</v>
      </c>
      <c r="AA2" s="7"/>
    </row>
    <row r="3" spans="2:27" ht="20" customHeight="1" thickBot="1" x14ac:dyDescent="0.6">
      <c r="B3" s="48"/>
      <c r="J3" s="38" t="s">
        <v>83</v>
      </c>
      <c r="K3" s="39">
        <v>7</v>
      </c>
      <c r="M3" s="7">
        <f>K3</f>
        <v>7</v>
      </c>
      <c r="N3" s="7">
        <f>M3</f>
        <v>7</v>
      </c>
      <c r="P3" s="7">
        <v>0</v>
      </c>
      <c r="Q3" s="7">
        <f>K3</f>
        <v>7</v>
      </c>
      <c r="S3" s="7">
        <v>0</v>
      </c>
      <c r="T3" s="7">
        <f>N3</f>
        <v>7</v>
      </c>
      <c r="W3" s="7">
        <f>Q3</f>
        <v>7</v>
      </c>
      <c r="X3" s="7">
        <f>W3</f>
        <v>7</v>
      </c>
      <c r="Z3" s="7">
        <v>0</v>
      </c>
      <c r="AA3" s="7">
        <f>X3</f>
        <v>7</v>
      </c>
    </row>
    <row r="4" spans="2:27" ht="15.5" customHeight="1" x14ac:dyDescent="0.55000000000000004">
      <c r="B4" s="48"/>
      <c r="C4" s="109" t="s">
        <v>57</v>
      </c>
      <c r="D4" s="110"/>
      <c r="E4" s="49">
        <v>2</v>
      </c>
      <c r="F4" s="50" t="s">
        <v>56</v>
      </c>
      <c r="M4" s="7">
        <v>0</v>
      </c>
      <c r="N4" s="7">
        <f>E4*K3+E5</f>
        <v>24</v>
      </c>
      <c r="P4" s="7">
        <f>E5</f>
        <v>10</v>
      </c>
      <c r="Q4" s="7">
        <f>E5</f>
        <v>10</v>
      </c>
      <c r="S4" s="7">
        <f>N4</f>
        <v>24</v>
      </c>
      <c r="T4" s="7">
        <f>S4</f>
        <v>24</v>
      </c>
      <c r="W4" s="7">
        <v>0</v>
      </c>
      <c r="X4" s="7">
        <f>$E$4/2 * $K$3^2 + $E$5*$K$3</f>
        <v>119</v>
      </c>
      <c r="Z4" s="7">
        <f>X4</f>
        <v>119</v>
      </c>
      <c r="AA4" s="7">
        <f>$E$4/2 * $K$3^2 + $E$5*$K$3</f>
        <v>119</v>
      </c>
    </row>
    <row r="5" spans="2:27" ht="15.5" customHeight="1" thickBot="1" x14ac:dyDescent="0.6">
      <c r="B5" s="48"/>
      <c r="C5" s="111" t="s">
        <v>58</v>
      </c>
      <c r="D5" s="112"/>
      <c r="E5" s="51">
        <v>10</v>
      </c>
      <c r="F5" s="52" t="s">
        <v>59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107" t="s">
        <v>2</v>
      </c>
      <c r="D8" s="108"/>
      <c r="E8" s="6">
        <v>1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2:27" x14ac:dyDescent="0.35">
      <c r="C9" s="105" t="s">
        <v>55</v>
      </c>
      <c r="D9" s="105"/>
      <c r="E9" s="6">
        <v>0</v>
      </c>
      <c r="F9" s="53">
        <f>E9+$E$8</f>
        <v>1</v>
      </c>
      <c r="G9" s="53">
        <f t="shared" ref="G9:Y9" si="0">F9+$E$8</f>
        <v>2</v>
      </c>
      <c r="H9" s="53">
        <f t="shared" si="0"/>
        <v>3</v>
      </c>
      <c r="I9" s="53">
        <f t="shared" si="0"/>
        <v>4</v>
      </c>
      <c r="J9" s="53">
        <f t="shared" si="0"/>
        <v>5</v>
      </c>
      <c r="K9" s="53">
        <f t="shared" si="0"/>
        <v>6</v>
      </c>
      <c r="L9" s="53">
        <f t="shared" si="0"/>
        <v>7</v>
      </c>
      <c r="M9" s="53">
        <f t="shared" si="0"/>
        <v>8</v>
      </c>
      <c r="N9" s="53">
        <f t="shared" si="0"/>
        <v>9</v>
      </c>
      <c r="O9" s="53">
        <f t="shared" si="0"/>
        <v>10</v>
      </c>
      <c r="P9" s="53">
        <f t="shared" si="0"/>
        <v>11</v>
      </c>
      <c r="Q9" s="53">
        <f t="shared" si="0"/>
        <v>12</v>
      </c>
      <c r="R9" s="53">
        <f t="shared" si="0"/>
        <v>13</v>
      </c>
      <c r="S9" s="53">
        <f t="shared" si="0"/>
        <v>14</v>
      </c>
      <c r="T9" s="53">
        <f t="shared" si="0"/>
        <v>15</v>
      </c>
      <c r="U9" s="53">
        <f t="shared" si="0"/>
        <v>16</v>
      </c>
      <c r="V9" s="53">
        <f t="shared" si="0"/>
        <v>17</v>
      </c>
      <c r="W9" s="53">
        <f t="shared" si="0"/>
        <v>18</v>
      </c>
      <c r="X9" s="53">
        <f>W9+$E$8</f>
        <v>19</v>
      </c>
      <c r="Y9" s="53">
        <f t="shared" si="0"/>
        <v>20</v>
      </c>
      <c r="Z9" s="53">
        <f t="shared" ref="Z9" si="1">Y9+$E$8</f>
        <v>21</v>
      </c>
      <c r="AA9" s="53">
        <f t="shared" ref="AA9" si="2">Z9+$E$8</f>
        <v>22</v>
      </c>
    </row>
    <row r="10" spans="2:27" x14ac:dyDescent="0.35">
      <c r="C10" s="106" t="s">
        <v>72</v>
      </c>
      <c r="D10" s="106"/>
      <c r="E10" s="7">
        <f t="shared" ref="E10:Y10" si="3">$E$4*E9+$E$5</f>
        <v>10</v>
      </c>
      <c r="F10" s="7">
        <f t="shared" si="3"/>
        <v>12</v>
      </c>
      <c r="G10" s="7">
        <f t="shared" si="3"/>
        <v>14</v>
      </c>
      <c r="H10" s="7">
        <f t="shared" si="3"/>
        <v>16</v>
      </c>
      <c r="I10" s="7">
        <f t="shared" si="3"/>
        <v>18</v>
      </c>
      <c r="J10" s="7">
        <f t="shared" si="3"/>
        <v>20</v>
      </c>
      <c r="K10" s="7">
        <f t="shared" si="3"/>
        <v>22</v>
      </c>
      <c r="L10" s="7">
        <f t="shared" si="3"/>
        <v>24</v>
      </c>
      <c r="M10" s="7">
        <f t="shared" si="3"/>
        <v>26</v>
      </c>
      <c r="N10" s="7">
        <f t="shared" si="3"/>
        <v>28</v>
      </c>
      <c r="O10" s="7">
        <f t="shared" si="3"/>
        <v>30</v>
      </c>
      <c r="P10" s="7">
        <f t="shared" si="3"/>
        <v>32</v>
      </c>
      <c r="Q10" s="7">
        <f t="shared" si="3"/>
        <v>34</v>
      </c>
      <c r="R10" s="7">
        <f t="shared" si="3"/>
        <v>36</v>
      </c>
      <c r="S10" s="7">
        <f t="shared" si="3"/>
        <v>38</v>
      </c>
      <c r="T10" s="7">
        <f t="shared" si="3"/>
        <v>40</v>
      </c>
      <c r="U10" s="7">
        <f t="shared" si="3"/>
        <v>42</v>
      </c>
      <c r="V10" s="7">
        <f t="shared" si="3"/>
        <v>44</v>
      </c>
      <c r="W10" s="7">
        <f t="shared" si="3"/>
        <v>46</v>
      </c>
      <c r="X10" s="7">
        <f t="shared" si="3"/>
        <v>48</v>
      </c>
      <c r="Y10" s="7">
        <f t="shared" si="3"/>
        <v>50</v>
      </c>
      <c r="Z10" s="7">
        <f t="shared" ref="Z10:AA10" si="4">$E$4*Z9+$E$5</f>
        <v>52</v>
      </c>
      <c r="AA10" s="7">
        <f t="shared" si="4"/>
        <v>54</v>
      </c>
    </row>
    <row r="11" spans="2:27" ht="16.5" x14ac:dyDescent="0.35">
      <c r="C11" s="106" t="s">
        <v>106</v>
      </c>
      <c r="D11" s="106"/>
      <c r="E11" s="7">
        <f t="shared" ref="E11:Y11" si="5">$E$4/2 * E9^2 + $E$5*E9</f>
        <v>0</v>
      </c>
      <c r="F11" s="7">
        <f t="shared" si="5"/>
        <v>11</v>
      </c>
      <c r="G11" s="7">
        <f t="shared" si="5"/>
        <v>24</v>
      </c>
      <c r="H11" s="7">
        <f t="shared" si="5"/>
        <v>39</v>
      </c>
      <c r="I11" s="7">
        <f t="shared" si="5"/>
        <v>56</v>
      </c>
      <c r="J11" s="7">
        <f t="shared" si="5"/>
        <v>75</v>
      </c>
      <c r="K11" s="7">
        <f t="shared" si="5"/>
        <v>96</v>
      </c>
      <c r="L11" s="7">
        <f t="shared" si="5"/>
        <v>119</v>
      </c>
      <c r="M11" s="7">
        <f t="shared" si="5"/>
        <v>144</v>
      </c>
      <c r="N11" s="7">
        <f t="shared" si="5"/>
        <v>171</v>
      </c>
      <c r="O11" s="7">
        <f t="shared" si="5"/>
        <v>200</v>
      </c>
      <c r="P11" s="7">
        <f t="shared" si="5"/>
        <v>231</v>
      </c>
      <c r="Q11" s="7">
        <f t="shared" si="5"/>
        <v>264</v>
      </c>
      <c r="R11" s="7">
        <f t="shared" si="5"/>
        <v>299</v>
      </c>
      <c r="S11" s="7">
        <f t="shared" si="5"/>
        <v>336</v>
      </c>
      <c r="T11" s="7">
        <f t="shared" si="5"/>
        <v>375</v>
      </c>
      <c r="U11" s="7">
        <f t="shared" si="5"/>
        <v>416</v>
      </c>
      <c r="V11" s="7">
        <f t="shared" si="5"/>
        <v>459</v>
      </c>
      <c r="W11" s="7">
        <f t="shared" si="5"/>
        <v>504</v>
      </c>
      <c r="X11" s="7">
        <f t="shared" si="5"/>
        <v>551</v>
      </c>
      <c r="Y11" s="7">
        <f t="shared" si="5"/>
        <v>600</v>
      </c>
      <c r="Z11" s="7">
        <f t="shared" ref="Z11:AA11" si="6">$E$4/2 * Z9^2 + $E$5*Z9</f>
        <v>651</v>
      </c>
      <c r="AA11" s="7">
        <f t="shared" si="6"/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B2:O17"/>
  <sheetViews>
    <sheetView zoomScale="55" zoomScaleNormal="55" workbookViewId="0">
      <selection activeCell="R9" sqref="R9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3" customWidth="1"/>
    <col min="10" max="10" width="13" customWidth="1"/>
    <col min="11" max="11" width="23" customWidth="1"/>
    <col min="12" max="12" width="13" customWidth="1"/>
  </cols>
  <sheetData>
    <row r="2" spans="2:15" ht="23.5" x14ac:dyDescent="0.55000000000000004">
      <c r="B2" s="48" t="s">
        <v>54</v>
      </c>
    </row>
    <row r="4" spans="2:15" x14ac:dyDescent="0.35">
      <c r="J4" t="s">
        <v>105</v>
      </c>
      <c r="K4" t="s">
        <v>104</v>
      </c>
    </row>
    <row r="5" spans="2:15" ht="15" thickBot="1" x14ac:dyDescent="0.4"/>
    <row r="6" spans="2:15" ht="25.5" customHeight="1" thickBot="1" x14ac:dyDescent="0.4">
      <c r="C6" s="128" t="s">
        <v>85</v>
      </c>
      <c r="D6" s="129"/>
      <c r="E6" s="130" t="s">
        <v>86</v>
      </c>
      <c r="F6" s="129"/>
      <c r="G6" s="130" t="s">
        <v>87</v>
      </c>
      <c r="H6" s="129"/>
      <c r="I6" s="130" t="s">
        <v>88</v>
      </c>
      <c r="J6" s="129"/>
      <c r="K6" s="130" t="s">
        <v>89</v>
      </c>
      <c r="L6" s="131"/>
    </row>
    <row r="7" spans="2:15" ht="15" thickBot="1" x14ac:dyDescent="0.4">
      <c r="B7" s="54" t="s">
        <v>93</v>
      </c>
      <c r="C7" s="113" t="str">
        <f>O7</f>
        <v>v0 [m/s]</v>
      </c>
      <c r="D7" s="114"/>
      <c r="E7" s="115" t="str">
        <f>O8</f>
        <v>v [m/s]</v>
      </c>
      <c r="F7" s="114"/>
      <c r="G7" s="115" t="str">
        <f>O9</f>
        <v>s [m]</v>
      </c>
      <c r="H7" s="114"/>
      <c r="I7" s="115" t="str">
        <f>O10</f>
        <v>t [s]</v>
      </c>
      <c r="J7" s="114"/>
      <c r="K7" s="115" t="str">
        <f>O11</f>
        <v>a [m/s2]</v>
      </c>
      <c r="L7" s="116"/>
      <c r="O7" t="s">
        <v>90</v>
      </c>
    </row>
    <row r="8" spans="2:15" s="61" customFormat="1" ht="38" customHeight="1" x14ac:dyDescent="0.35">
      <c r="B8" s="63" t="s">
        <v>94</v>
      </c>
      <c r="C8" s="62" t="s">
        <v>114</v>
      </c>
      <c r="D8" s="56">
        <f>(G8-(K8/2)*I8^2)/I8</f>
        <v>10</v>
      </c>
      <c r="E8" s="56" t="s">
        <v>132</v>
      </c>
      <c r="F8" s="56">
        <f xml:space="preserve"> G8/I8 + K8*I8/2</f>
        <v>24</v>
      </c>
      <c r="G8" s="117">
        <v>119</v>
      </c>
      <c r="H8" s="121"/>
      <c r="I8" s="117">
        <v>7</v>
      </c>
      <c r="J8" s="121"/>
      <c r="K8" s="117">
        <v>2</v>
      </c>
      <c r="L8" s="118"/>
      <c r="O8" s="61" t="s">
        <v>91</v>
      </c>
    </row>
    <row r="9" spans="2:15" ht="38" customHeight="1" x14ac:dyDescent="0.35">
      <c r="B9" s="57" t="s">
        <v>95</v>
      </c>
      <c r="C9" s="132" t="s">
        <v>107</v>
      </c>
      <c r="D9" s="58">
        <f>E9-K9*I9</f>
        <v>10</v>
      </c>
      <c r="E9" s="119">
        <v>24</v>
      </c>
      <c r="F9" s="122"/>
      <c r="G9" s="58" t="s">
        <v>133</v>
      </c>
      <c r="H9" s="58">
        <f>E9*I9 - K9*I9^2/2</f>
        <v>119</v>
      </c>
      <c r="I9" s="119">
        <v>7</v>
      </c>
      <c r="J9" s="122"/>
      <c r="K9" s="119">
        <v>2</v>
      </c>
      <c r="L9" s="120"/>
      <c r="O9" t="s">
        <v>92</v>
      </c>
    </row>
    <row r="10" spans="2:15" ht="38" customHeight="1" x14ac:dyDescent="0.35">
      <c r="B10" s="57" t="s">
        <v>96</v>
      </c>
      <c r="C10" s="133" t="s">
        <v>136</v>
      </c>
      <c r="D10" s="58">
        <f>SQRT(E10^2 - 2*K10*G10)</f>
        <v>10</v>
      </c>
      <c r="E10" s="119">
        <v>24</v>
      </c>
      <c r="F10" s="122"/>
      <c r="G10" s="119">
        <v>119</v>
      </c>
      <c r="H10" s="122"/>
      <c r="I10" s="58" t="s">
        <v>134</v>
      </c>
      <c r="J10" s="58">
        <f>(E10 - SQRT(E10^2 - 2*K10*G10))/K10</f>
        <v>7</v>
      </c>
      <c r="K10" s="119">
        <v>2</v>
      </c>
      <c r="L10" s="120"/>
      <c r="O10" t="s">
        <v>55</v>
      </c>
    </row>
    <row r="11" spans="2:15" ht="38" customHeight="1" x14ac:dyDescent="0.35">
      <c r="B11" s="57" t="s">
        <v>97</v>
      </c>
      <c r="C11" s="133" t="s">
        <v>137</v>
      </c>
      <c r="D11" s="58">
        <f>2*G11/I11 - E11</f>
        <v>10</v>
      </c>
      <c r="E11" s="119">
        <v>24</v>
      </c>
      <c r="F11" s="122"/>
      <c r="G11" s="119">
        <v>119</v>
      </c>
      <c r="H11" s="122"/>
      <c r="I11" s="119">
        <v>7</v>
      </c>
      <c r="J11" s="122"/>
      <c r="K11" s="58" t="s">
        <v>135</v>
      </c>
      <c r="L11" s="72">
        <f xml:space="preserve"> 2/I11 * (E11 - G11/I11)</f>
        <v>2</v>
      </c>
      <c r="O11" t="s">
        <v>115</v>
      </c>
    </row>
    <row r="12" spans="2:15" s="61" customFormat="1" ht="38" customHeight="1" x14ac:dyDescent="0.35">
      <c r="B12" s="57" t="s">
        <v>98</v>
      </c>
      <c r="C12" s="123">
        <v>10</v>
      </c>
      <c r="D12" s="122"/>
      <c r="E12" s="59" t="s">
        <v>110</v>
      </c>
      <c r="F12" s="58">
        <f>K12*I12+C12</f>
        <v>24</v>
      </c>
      <c r="G12" s="60" t="s">
        <v>113</v>
      </c>
      <c r="H12" s="58">
        <f>K12/2 * I12^2 + C12*I12</f>
        <v>119</v>
      </c>
      <c r="I12" s="119">
        <v>7</v>
      </c>
      <c r="J12" s="122"/>
      <c r="K12" s="119">
        <v>2</v>
      </c>
      <c r="L12" s="120"/>
    </row>
    <row r="13" spans="2:15" ht="38" customHeight="1" thickBot="1" x14ac:dyDescent="0.4">
      <c r="B13" s="57" t="s">
        <v>100</v>
      </c>
      <c r="C13" s="123">
        <v>10</v>
      </c>
      <c r="D13" s="122"/>
      <c r="E13" s="58" t="s">
        <v>138</v>
      </c>
      <c r="F13" s="58">
        <f>SQRT(C13^2 + 2*K13*G13)</f>
        <v>24</v>
      </c>
      <c r="G13" s="119">
        <v>119</v>
      </c>
      <c r="H13" s="122"/>
      <c r="I13" s="64" t="s">
        <v>112</v>
      </c>
      <c r="J13" s="58">
        <f xml:space="preserve"> (-C13 + SQRT(C13^2 + 2*K13*G13))/K13</f>
        <v>7</v>
      </c>
      <c r="K13" s="119">
        <v>2</v>
      </c>
      <c r="L13" s="120"/>
    </row>
    <row r="14" spans="2:15" ht="38" customHeight="1" x14ac:dyDescent="0.35">
      <c r="B14" s="57" t="s">
        <v>99</v>
      </c>
      <c r="C14" s="123">
        <v>10</v>
      </c>
      <c r="D14" s="122"/>
      <c r="E14" s="58" t="s">
        <v>139</v>
      </c>
      <c r="F14" s="58">
        <f>2*G14/I14 - C14</f>
        <v>24</v>
      </c>
      <c r="G14" s="119">
        <v>119</v>
      </c>
      <c r="H14" s="122"/>
      <c r="I14" s="119">
        <v>7</v>
      </c>
      <c r="J14" s="122"/>
      <c r="K14" s="55" t="s">
        <v>111</v>
      </c>
      <c r="L14" s="72">
        <f>2*((G14-C14*I14)/I14^2)</f>
        <v>2</v>
      </c>
    </row>
    <row r="15" spans="2:15" ht="38" customHeight="1" x14ac:dyDescent="0.35">
      <c r="B15" s="57" t="s">
        <v>101</v>
      </c>
      <c r="C15" s="123">
        <v>10</v>
      </c>
      <c r="D15" s="122"/>
      <c r="E15" s="119">
        <v>24</v>
      </c>
      <c r="F15" s="122"/>
      <c r="G15" s="58" t="s">
        <v>140</v>
      </c>
      <c r="H15" s="58">
        <f>(E15^2 - C15^2)/(2*K15)</f>
        <v>119</v>
      </c>
      <c r="I15" s="134" t="s">
        <v>109</v>
      </c>
      <c r="J15" s="58">
        <f>(E15-C15)/K15</f>
        <v>7</v>
      </c>
      <c r="K15" s="119">
        <v>2</v>
      </c>
      <c r="L15" s="120"/>
    </row>
    <row r="16" spans="2:15" ht="38" customHeight="1" x14ac:dyDescent="0.35">
      <c r="B16" s="57" t="s">
        <v>102</v>
      </c>
      <c r="C16" s="123">
        <v>10</v>
      </c>
      <c r="D16" s="122"/>
      <c r="E16" s="119">
        <v>24</v>
      </c>
      <c r="F16" s="122"/>
      <c r="G16" s="58" t="s">
        <v>141</v>
      </c>
      <c r="H16" s="58">
        <f>(C16+E16)*I16/2</f>
        <v>119</v>
      </c>
      <c r="I16" s="119">
        <v>7</v>
      </c>
      <c r="J16" s="122"/>
      <c r="K16" s="134" t="s">
        <v>108</v>
      </c>
      <c r="L16" s="72">
        <f>(E16-C16)/I16</f>
        <v>2</v>
      </c>
    </row>
    <row r="17" spans="2:12" ht="38" customHeight="1" thickBot="1" x14ac:dyDescent="0.4">
      <c r="B17" s="135" t="s">
        <v>103</v>
      </c>
      <c r="C17" s="136">
        <v>10</v>
      </c>
      <c r="D17" s="137"/>
      <c r="E17" s="138">
        <v>24</v>
      </c>
      <c r="F17" s="137"/>
      <c r="G17" s="138">
        <v>119</v>
      </c>
      <c r="H17" s="137"/>
      <c r="I17" s="139" t="s">
        <v>142</v>
      </c>
      <c r="J17" s="139">
        <f>2*G17/(C17+E17)</f>
        <v>7</v>
      </c>
      <c r="K17" s="139" t="s">
        <v>143</v>
      </c>
      <c r="L17" s="140">
        <f>(E17^2 - C17^2)/(2*G17)</f>
        <v>2</v>
      </c>
    </row>
  </sheetData>
  <mergeCells count="40">
    <mergeCell ref="G17:H17"/>
    <mergeCell ref="E16:F16"/>
    <mergeCell ref="E17:F17"/>
    <mergeCell ref="C17:D17"/>
    <mergeCell ref="I16:J16"/>
    <mergeCell ref="G8:H8"/>
    <mergeCell ref="G10:H10"/>
    <mergeCell ref="G11:H11"/>
    <mergeCell ref="G13:H13"/>
    <mergeCell ref="G14:H14"/>
    <mergeCell ref="C12:D12"/>
    <mergeCell ref="C13:D13"/>
    <mergeCell ref="C14:D14"/>
    <mergeCell ref="C15:D15"/>
    <mergeCell ref="C16:D16"/>
    <mergeCell ref="E9:F9"/>
    <mergeCell ref="E10:F10"/>
    <mergeCell ref="E11:F11"/>
    <mergeCell ref="E15:F15"/>
    <mergeCell ref="K15:L15"/>
    <mergeCell ref="I8:J8"/>
    <mergeCell ref="I9:J9"/>
    <mergeCell ref="I11:J11"/>
    <mergeCell ref="I12:J12"/>
    <mergeCell ref="I14:J14"/>
    <mergeCell ref="K8:L8"/>
    <mergeCell ref="K9:L9"/>
    <mergeCell ref="K10:L10"/>
    <mergeCell ref="K12:L12"/>
    <mergeCell ref="K13:L13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</mergeCells>
  <dataValidations count="1">
    <dataValidation type="list" allowBlank="1" showInputMessage="1" showErrorMessage="1" sqref="E24" xr:uid="{F0227B52-6C3F-4B29-A45C-B261C0C0E4F1}">
      <formula1>$C$7:$L$7</formula1>
    </dataValidation>
  </dataValidations>
  <pageMargins left="0.7" right="0.7" top="0.78740157499999996" bottom="0.78740157499999996" header="0.3" footer="0.3"/>
  <pageSetup scale="52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Kinematik_1_A</vt:lpstr>
      <vt:lpstr>Kinematik_2_A</vt:lpstr>
      <vt:lpstr>Kinematik_1_B</vt:lpstr>
      <vt:lpstr>Kinematik_2_B</vt:lpstr>
      <vt:lpstr>Kinematik_1_C</vt:lpstr>
      <vt:lpstr>Kinematik_2_C</vt:lpstr>
      <vt:lpstr>Kinematik_1_D</vt:lpstr>
      <vt:lpstr>Kinematik_2_D</vt:lpstr>
      <vt:lpstr>Kinematik_2_Berechnungen_D</vt:lpstr>
      <vt:lpstr>Fourierreihe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2025-01-16T10:01:35Z</cp:lastPrinted>
  <dcterms:created xsi:type="dcterms:W3CDTF">2015-06-05T18:19:34Z</dcterms:created>
  <dcterms:modified xsi:type="dcterms:W3CDTF">2025-01-16T10:09:52Z</dcterms:modified>
</cp:coreProperties>
</file>