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ink/ink2.xml" ContentType="application/inkml+xml"/>
  <Override PartName="/xl/ink/ink3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drawings/drawing9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10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14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5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16.xml" ContentType="application/vnd.openxmlformats-officedocument.drawing+xml"/>
  <Override PartName="/xl/comments1.xml" ContentType="application/vnd.openxmlformats-officedocument.spreadsheetml.comments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21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22.xml" ContentType="application/vnd.openxmlformats-officedocument.drawing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drawings/drawing23.xml" ContentType="application/vnd.openxmlformats-officedocument.drawing+xml"/>
  <Override PartName="/xl/comments2.xml" ContentType="application/vnd.openxmlformats-officedocument.spreadsheetml.comments+xml"/>
  <Override PartName="/xl/drawings/drawing24.xml" ContentType="application/vnd.openxmlformats-officedocument.drawing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5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6.xml" ContentType="application/vnd.openxmlformats-officedocument.drawing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27.xml" ContentType="application/vnd.openxmlformats-officedocument.drawing+xml"/>
  <Override PartName="/xl/comments3.xml" ContentType="application/vnd.openxmlformats-officedocument.spreadsheetml.comments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499F785D-C307-4A37-B019-98EFA7156C32}" xr6:coauthVersionLast="47" xr6:coauthVersionMax="47" xr10:uidLastSave="{00000000-0000-0000-0000-000000000000}"/>
  <bookViews>
    <workbookView xWindow="-28920" yWindow="-120" windowWidth="29040" windowHeight="16440" firstSheet="3" activeTab="7" xr2:uid="{00000000-000D-0000-FFFF-FFFF00000000}"/>
  </bookViews>
  <sheets>
    <sheet name="TOC" sheetId="13" r:id="rId1"/>
    <sheet name="Gemischte Schaltungen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 an Wechselspannung" sheetId="35" r:id="rId8"/>
    <sheet name="Kondensator an Gleichspannung" sheetId="36" r:id="rId9"/>
    <sheet name="Quelle mit Innenwiderstand" sheetId="29" r:id="rId10"/>
    <sheet name="Schiefeebene" sheetId="19" r:id="rId11"/>
    <sheet name="Leistung bei Wechselstrom" sheetId="28" r:id="rId12"/>
    <sheet name="Sinus_Cosinus" sheetId="22" r:id="rId13"/>
    <sheet name="Sinuskurve" sheetId="39" r:id="rId14"/>
    <sheet name="Vektoroperationen" sheetId="18" r:id="rId15"/>
    <sheet name="VektorZeitbereich" sheetId="24" r:id="rId16"/>
    <sheet name="Geburtstagsliste" sheetId="17" r:id="rId17"/>
    <sheet name="Einheiten umrechnen" sheetId="16" r:id="rId18"/>
    <sheet name="Flächenberechnungen" sheetId="14" r:id="rId19"/>
    <sheet name="Kinematik_1" sheetId="4" r:id="rId20"/>
    <sheet name="Kinematik_1 (Weg-Zeit)" sheetId="33" r:id="rId21"/>
    <sheet name="Kinematik_2" sheetId="9" r:id="rId22"/>
    <sheet name="Kinematik_2_Berechnungen" sheetId="11" r:id="rId23"/>
    <sheet name="Kinematik_2 (Weg-Zeit)" sheetId="34" r:id="rId24"/>
    <sheet name="Fourierreihe" sheetId="12" r:id="rId25"/>
    <sheet name="Scheinleistung" sheetId="15" r:id="rId26"/>
    <sheet name="3-Phasenstrom" sheetId="25" r:id="rId27"/>
    <sheet name="Gemischte Schaltung" sheetId="23" r:id="rId28"/>
    <sheet name="Theoreme" sheetId="26" r:id="rId29"/>
    <sheet name="Fläche eines Polygones" sheetId="27" r:id="rId30"/>
  </sheets>
  <definedNames>
    <definedName name="_xlnm._FilterDatabase" localSheetId="16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34" i="35" l="1"/>
  <c r="R34" i="35" s="1"/>
  <c r="D34" i="35"/>
  <c r="G130" i="22"/>
  <c r="G129" i="22"/>
  <c r="G131" i="22" s="1"/>
  <c r="G128" i="22"/>
  <c r="G126" i="22"/>
  <c r="K126" i="22" s="1"/>
  <c r="J125" i="22"/>
  <c r="J126" i="22"/>
  <c r="J127" i="22"/>
  <c r="J128" i="22"/>
  <c r="J129" i="22"/>
  <c r="J130" i="22"/>
  <c r="J131" i="22"/>
  <c r="J132" i="22"/>
  <c r="J124" i="22"/>
  <c r="G20" i="35"/>
  <c r="K125" i="22"/>
  <c r="M125" i="22"/>
  <c r="M126" i="22"/>
  <c r="K127" i="22"/>
  <c r="M127" i="22"/>
  <c r="M124" i="22"/>
  <c r="L111" i="22"/>
  <c r="K124" i="22"/>
  <c r="J111" i="22"/>
  <c r="E8" i="13"/>
  <c r="X268" i="41"/>
  <c r="V268" i="41"/>
  <c r="U268" i="41"/>
  <c r="S268" i="41"/>
  <c r="Q268" i="41"/>
  <c r="P268" i="41"/>
  <c r="X267" i="41"/>
  <c r="W267" i="41"/>
  <c r="V267" i="41"/>
  <c r="U267" i="41"/>
  <c r="S267" i="41"/>
  <c r="X219" i="41" s="1"/>
  <c r="R267" i="41"/>
  <c r="Q267" i="41"/>
  <c r="P267" i="41"/>
  <c r="U219" i="41" s="1"/>
  <c r="W219" i="41"/>
  <c r="V219" i="41"/>
  <c r="X218" i="41"/>
  <c r="V218" i="41"/>
  <c r="U218" i="41"/>
  <c r="S218" i="41"/>
  <c r="Q218" i="41"/>
  <c r="P218" i="41"/>
  <c r="X217" i="41"/>
  <c r="V217" i="41"/>
  <c r="V176" i="41" s="1"/>
  <c r="U217" i="41"/>
  <c r="S217" i="41"/>
  <c r="Q217" i="41"/>
  <c r="V174" i="41" s="1"/>
  <c r="P217" i="41"/>
  <c r="U174" i="41" s="1"/>
  <c r="X176" i="41"/>
  <c r="U176" i="41"/>
  <c r="V175" i="41"/>
  <c r="X174" i="41"/>
  <c r="X173" i="41"/>
  <c r="V173" i="41"/>
  <c r="U173" i="41"/>
  <c r="S173" i="41"/>
  <c r="Q173" i="41"/>
  <c r="P173" i="41"/>
  <c r="X172" i="41"/>
  <c r="X13" i="41" s="1"/>
  <c r="V172" i="41"/>
  <c r="U172" i="41"/>
  <c r="S172" i="41"/>
  <c r="X136" i="41" s="1"/>
  <c r="R172" i="41"/>
  <c r="Q172" i="41"/>
  <c r="P172" i="41"/>
  <c r="X137" i="41"/>
  <c r="V137" i="41"/>
  <c r="U137" i="41"/>
  <c r="W136" i="41"/>
  <c r="V136" i="41"/>
  <c r="U136" i="41"/>
  <c r="S136" i="41"/>
  <c r="Q136" i="41"/>
  <c r="P136" i="41"/>
  <c r="X135" i="41"/>
  <c r="V135" i="41"/>
  <c r="U135" i="41"/>
  <c r="S135" i="41"/>
  <c r="Q135" i="41"/>
  <c r="P135" i="41"/>
  <c r="U90" i="41" s="1"/>
  <c r="S91" i="41"/>
  <c r="R91" i="41"/>
  <c r="Q91" i="41"/>
  <c r="P91" i="41"/>
  <c r="X90" i="41"/>
  <c r="V90" i="41"/>
  <c r="S90" i="41"/>
  <c r="Q90" i="41"/>
  <c r="P90" i="41"/>
  <c r="X89" i="41"/>
  <c r="V89" i="41"/>
  <c r="U89" i="41"/>
  <c r="S89" i="41"/>
  <c r="R89" i="41"/>
  <c r="R101" i="41" s="1"/>
  <c r="Q89" i="41"/>
  <c r="P89" i="41"/>
  <c r="X88" i="41"/>
  <c r="X9" i="41" s="1"/>
  <c r="V88" i="41"/>
  <c r="U88" i="41"/>
  <c r="U9" i="41" s="1"/>
  <c r="S88" i="41"/>
  <c r="R88" i="41"/>
  <c r="Q88" i="41"/>
  <c r="P88" i="41"/>
  <c r="R65" i="41"/>
  <c r="R62" i="41"/>
  <c r="R19" i="41" s="1"/>
  <c r="R59" i="41"/>
  <c r="W51" i="41" s="1"/>
  <c r="X53" i="41"/>
  <c r="W53" i="41"/>
  <c r="V53" i="41"/>
  <c r="U53" i="41"/>
  <c r="S53" i="41"/>
  <c r="R53" i="41"/>
  <c r="Q53" i="41"/>
  <c r="P53" i="41"/>
  <c r="X52" i="41"/>
  <c r="W52" i="41"/>
  <c r="V52" i="41"/>
  <c r="U52" i="41"/>
  <c r="S52" i="41"/>
  <c r="R52" i="41"/>
  <c r="Q52" i="41"/>
  <c r="P52" i="41"/>
  <c r="X51" i="41"/>
  <c r="V51" i="41"/>
  <c r="U51" i="41"/>
  <c r="S51" i="41"/>
  <c r="R51" i="41"/>
  <c r="Q51" i="41"/>
  <c r="P51" i="41"/>
  <c r="X50" i="41"/>
  <c r="W50" i="41"/>
  <c r="V50" i="41"/>
  <c r="U50" i="41"/>
  <c r="S50" i="41"/>
  <c r="R50" i="41"/>
  <c r="Q50" i="41"/>
  <c r="P50" i="41"/>
  <c r="X49" i="41"/>
  <c r="V49" i="41"/>
  <c r="U49" i="41"/>
  <c r="S49" i="41"/>
  <c r="R49" i="41"/>
  <c r="Q49" i="41"/>
  <c r="P49" i="41"/>
  <c r="X48" i="41"/>
  <c r="V48" i="41"/>
  <c r="U48" i="41"/>
  <c r="S48" i="41"/>
  <c r="R48" i="41"/>
  <c r="Q48" i="41"/>
  <c r="P48" i="41"/>
  <c r="S31" i="41"/>
  <c r="Q31" i="41"/>
  <c r="P31" i="41"/>
  <c r="S29" i="41"/>
  <c r="Q29" i="41"/>
  <c r="P29" i="41"/>
  <c r="S27" i="41"/>
  <c r="Q27" i="41"/>
  <c r="P27" i="41"/>
  <c r="S25" i="41"/>
  <c r="Q25" i="41"/>
  <c r="P25" i="41"/>
  <c r="S23" i="41"/>
  <c r="Q23" i="41"/>
  <c r="P23" i="41"/>
  <c r="S22" i="41"/>
  <c r="Q22" i="41"/>
  <c r="P22" i="41"/>
  <c r="S20" i="41"/>
  <c r="R20" i="41"/>
  <c r="Q20" i="41"/>
  <c r="P20" i="41"/>
  <c r="S19" i="41"/>
  <c r="Q19" i="41"/>
  <c r="P19" i="41"/>
  <c r="S18" i="41"/>
  <c r="Q18" i="41"/>
  <c r="P18" i="41"/>
  <c r="AC15" i="41"/>
  <c r="AA15" i="41"/>
  <c r="Z15" i="41"/>
  <c r="AC14" i="41"/>
  <c r="AA14" i="41"/>
  <c r="Z14" i="41"/>
  <c r="X14" i="41"/>
  <c r="V14" i="41"/>
  <c r="U14" i="41"/>
  <c r="AC13" i="41"/>
  <c r="AA13" i="41"/>
  <c r="Z13" i="41"/>
  <c r="V13" i="41"/>
  <c r="U13" i="41"/>
  <c r="AC12" i="41"/>
  <c r="AA12" i="41"/>
  <c r="Z12" i="41"/>
  <c r="X12" i="41"/>
  <c r="V12" i="41"/>
  <c r="U12" i="41"/>
  <c r="AC11" i="41"/>
  <c r="AA11" i="41"/>
  <c r="Z11" i="41"/>
  <c r="X11" i="41"/>
  <c r="V11" i="41"/>
  <c r="U11" i="41"/>
  <c r="AC10" i="41"/>
  <c r="AA10" i="41"/>
  <c r="Z10" i="41"/>
  <c r="X10" i="41"/>
  <c r="V10" i="41"/>
  <c r="U10" i="41"/>
  <c r="AC9" i="41"/>
  <c r="AA9" i="41"/>
  <c r="Z9" i="41"/>
  <c r="V9" i="41"/>
  <c r="AC8" i="41"/>
  <c r="AA8" i="41"/>
  <c r="Z8" i="41"/>
  <c r="V8" i="41"/>
  <c r="AC7" i="41"/>
  <c r="AA7" i="41"/>
  <c r="Z7" i="41"/>
  <c r="X7" i="41"/>
  <c r="V7" i="41"/>
  <c r="U7" i="41"/>
  <c r="AC6" i="41"/>
  <c r="AA6" i="41"/>
  <c r="Z6" i="41"/>
  <c r="X6" i="41"/>
  <c r="V6" i="41"/>
  <c r="U6" i="41"/>
  <c r="AC5" i="41"/>
  <c r="AA5" i="41"/>
  <c r="Z5" i="41"/>
  <c r="X5" i="41"/>
  <c r="V5" i="41"/>
  <c r="U5" i="41"/>
  <c r="G132" i="22" l="1"/>
  <c r="K128" i="22"/>
  <c r="M128" i="22"/>
  <c r="R23" i="41"/>
  <c r="R217" i="41"/>
  <c r="U175" i="41"/>
  <c r="R18" i="41"/>
  <c r="U8" i="41"/>
  <c r="W175" i="41"/>
  <c r="X175" i="41"/>
  <c r="R90" i="41"/>
  <c r="R98" i="41" s="1"/>
  <c r="X8" i="41"/>
  <c r="R135" i="41"/>
  <c r="I273" i="41"/>
  <c r="W90" i="41" l="1"/>
  <c r="W174" i="41"/>
  <c r="R22" i="41"/>
  <c r="R136" i="41"/>
  <c r="R141" i="41" s="1"/>
  <c r="W89" i="41"/>
  <c r="R173" i="41" l="1"/>
  <c r="R180" i="41" s="1"/>
  <c r="W135" i="41"/>
  <c r="R25" i="41"/>
  <c r="R27" i="41" l="1"/>
  <c r="R218" i="41"/>
  <c r="R226" i="41" s="1"/>
  <c r="W173" i="41"/>
  <c r="R268" i="41" l="1"/>
  <c r="R273" i="41" s="1"/>
  <c r="W218" i="41"/>
  <c r="R29" i="41"/>
  <c r="R31" i="41" l="1"/>
  <c r="W268" i="41"/>
  <c r="W273" i="41" s="1"/>
  <c r="R15" i="41"/>
  <c r="W217" i="41" l="1"/>
  <c r="AB15" i="41"/>
  <c r="H268" i="41"/>
  <c r="E171" i="41"/>
  <c r="H219" i="41"/>
  <c r="AB14" i="41"/>
  <c r="W176" i="41" l="1"/>
  <c r="W229" i="41"/>
  <c r="W226" i="41"/>
  <c r="I225" i="41" l="1"/>
  <c r="W49" i="41"/>
  <c r="V232" i="41"/>
  <c r="W172" i="41"/>
  <c r="I178" i="41"/>
  <c r="F178" i="41"/>
  <c r="D221" i="41"/>
  <c r="W14" i="41"/>
  <c r="D179" i="41"/>
  <c r="W183" i="41" l="1"/>
  <c r="W180" i="41"/>
  <c r="W13" i="41"/>
  <c r="W68" i="41"/>
  <c r="W65" i="41"/>
  <c r="V73" i="41" l="1"/>
  <c r="AB13" i="41"/>
  <c r="W31" i="41"/>
  <c r="W11" i="41" s="1"/>
  <c r="W34" i="41"/>
  <c r="W12" i="41" s="1"/>
  <c r="AB12" i="41"/>
  <c r="AB11" i="41"/>
  <c r="G187" i="41"/>
  <c r="V186" i="41"/>
  <c r="W137" i="41"/>
  <c r="I187" i="41"/>
  <c r="AB10" i="41"/>
  <c r="W144" i="41" l="1"/>
  <c r="W141" i="41"/>
  <c r="W88" i="41" s="1"/>
  <c r="W98" i="41" l="1"/>
  <c r="W27" i="41"/>
  <c r="AB9" i="41" s="1"/>
  <c r="W9" i="41"/>
  <c r="W8" i="41"/>
  <c r="W24" i="41"/>
  <c r="AB8" i="41" s="1"/>
  <c r="W101" i="41"/>
  <c r="V146" i="41"/>
  <c r="W10" i="41"/>
  <c r="W48" i="41" l="1"/>
  <c r="V104" i="41"/>
  <c r="AB5" i="41"/>
  <c r="W62" i="41" l="1"/>
  <c r="W59" i="41"/>
  <c r="W5" i="41" l="1"/>
  <c r="V71" i="41"/>
  <c r="W18" i="41"/>
  <c r="AB6" i="41" s="1"/>
  <c r="W7" i="41"/>
  <c r="W6" i="41"/>
  <c r="W21" i="41"/>
  <c r="AB7" i="41" s="1"/>
  <c r="V7" i="40" l="1"/>
  <c r="P7" i="40"/>
  <c r="V8" i="40"/>
  <c r="W8" i="40"/>
  <c r="W7" i="40"/>
  <c r="D32" i="40" s="1"/>
  <c r="Q7" i="40"/>
  <c r="Q11" i="40" s="1"/>
  <c r="B41" i="40" s="1"/>
  <c r="U8" i="40"/>
  <c r="U7" i="40"/>
  <c r="F26" i="40"/>
  <c r="E27" i="40" s="1"/>
  <c r="I17" i="32"/>
  <c r="N14" i="40"/>
  <c r="P10" i="40"/>
  <c r="Q10" i="40"/>
  <c r="P8" i="40"/>
  <c r="Q8" i="40"/>
  <c r="P9" i="40"/>
  <c r="Q9" i="40"/>
  <c r="H20" i="35"/>
  <c r="O8" i="40"/>
  <c r="O9" i="40"/>
  <c r="O7" i="40"/>
  <c r="F20" i="35"/>
  <c r="J26" i="39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C11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23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I67" i="35"/>
  <c r="D15" i="33"/>
  <c r="D13" i="33"/>
  <c r="D14" i="33"/>
  <c r="D12" i="33"/>
  <c r="I34" i="35"/>
  <c r="G34" i="35"/>
  <c r="I33" i="35"/>
  <c r="G33" i="35"/>
  <c r="I32" i="35"/>
  <c r="G32" i="35"/>
  <c r="I29" i="35"/>
  <c r="G29" i="35"/>
  <c r="I28" i="35"/>
  <c r="G28" i="35"/>
  <c r="G25" i="35"/>
  <c r="G21" i="35"/>
  <c r="G22" i="35"/>
  <c r="I19" i="32"/>
  <c r="H19" i="32"/>
  <c r="I25" i="35"/>
  <c r="K21" i="35"/>
  <c r="K22" i="35"/>
  <c r="K23" i="35"/>
  <c r="I21" i="35"/>
  <c r="I22" i="35"/>
  <c r="I23" i="35"/>
  <c r="I20" i="35"/>
  <c r="J21" i="35"/>
  <c r="J22" i="35"/>
  <c r="J23" i="35"/>
  <c r="O12" i="32"/>
  <c r="K20" i="35"/>
  <c r="H21" i="35"/>
  <c r="H22" i="35"/>
  <c r="H23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I132" i="22"/>
  <c r="I128" i="22"/>
  <c r="H118" i="22"/>
  <c r="J112" i="22"/>
  <c r="K112" i="22"/>
  <c r="L112" i="22"/>
  <c r="J113" i="22"/>
  <c r="K113" i="22"/>
  <c r="L113" i="22"/>
  <c r="F117" i="22" s="1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L23" i="35" l="1"/>
  <c r="AB63" i="35" s="1"/>
  <c r="Q12" i="40"/>
  <c r="Q13" i="40" s="1"/>
  <c r="D25" i="35"/>
  <c r="D28" i="35" s="1"/>
  <c r="W12" i="40"/>
  <c r="W13" i="40" s="1"/>
  <c r="D28" i="40"/>
  <c r="D29" i="40" s="1"/>
  <c r="D30" i="40" s="1"/>
  <c r="D31" i="40" s="1"/>
  <c r="E32" i="40"/>
  <c r="E33" i="40" s="1"/>
  <c r="E34" i="40" s="1"/>
  <c r="E35" i="40" s="1"/>
  <c r="D33" i="40"/>
  <c r="D34" i="40" s="1"/>
  <c r="D35" i="40" s="1"/>
  <c r="W11" i="40"/>
  <c r="B42" i="40" s="1"/>
  <c r="E28" i="40"/>
  <c r="E29" i="40" s="1"/>
  <c r="E30" i="40" s="1"/>
  <c r="E31" i="40" s="1"/>
  <c r="M14" i="40"/>
  <c r="M15" i="40" s="1"/>
  <c r="M16" i="40" s="1"/>
  <c r="M17" i="40" s="1"/>
  <c r="F27" i="40"/>
  <c r="F32" i="40" s="1"/>
  <c r="F33" i="40" s="1"/>
  <c r="F34" i="40" s="1"/>
  <c r="F35" i="40" s="1"/>
  <c r="J13" i="39"/>
  <c r="G15" i="39"/>
  <c r="K11" i="39"/>
  <c r="L11" i="39"/>
  <c r="N9" i="39"/>
  <c r="K10" i="39"/>
  <c r="L10" i="39"/>
  <c r="L12" i="39" s="1"/>
  <c r="M10" i="39"/>
  <c r="M12" i="39" s="1"/>
  <c r="D11" i="36"/>
  <c r="J11" i="36" s="1"/>
  <c r="C34" i="36"/>
  <c r="C33" i="36"/>
  <c r="I74" i="36"/>
  <c r="H78" i="36" s="1"/>
  <c r="I78" i="36" s="1"/>
  <c r="L8" i="36"/>
  <c r="I20" i="36" s="1"/>
  <c r="N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AB22" i="35"/>
  <c r="AF20" i="35"/>
  <c r="AI20" i="35" s="1"/>
  <c r="AI24" i="35" s="1"/>
  <c r="AF38" i="35"/>
  <c r="AF58" i="35"/>
  <c r="G14" i="33"/>
  <c r="J20" i="35"/>
  <c r="M20" i="35" s="1"/>
  <c r="L22" i="35"/>
  <c r="F28" i="35"/>
  <c r="F34" i="35" s="1"/>
  <c r="F29" i="35"/>
  <c r="M22" i="35"/>
  <c r="M21" i="35"/>
  <c r="M23" i="35"/>
  <c r="L21" i="35"/>
  <c r="L20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M22" i="24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L17" i="18"/>
  <c r="K17" i="18"/>
  <c r="J17" i="18"/>
  <c r="I17" i="18"/>
  <c r="S16" i="18"/>
  <c r="R16" i="18"/>
  <c r="W16" i="18" s="1"/>
  <c r="Q16" i="18"/>
  <c r="P16" i="18"/>
  <c r="I16" i="18"/>
  <c r="I15" i="18"/>
  <c r="J15" i="18" s="1"/>
  <c r="I14" i="18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L10" i="28"/>
  <c r="AI10" i="28"/>
  <c r="AD10" i="28"/>
  <c r="V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AO11" i="28" s="1"/>
  <c r="V4" i="28"/>
  <c r="U4" i="28"/>
  <c r="L4" i="28"/>
  <c r="AO10" i="28" s="1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H61" i="22" l="1"/>
  <c r="H12" i="22"/>
  <c r="AB40" i="35"/>
  <c r="K25" i="35"/>
  <c r="L25" i="35" s="1"/>
  <c r="AD20" i="35" s="1"/>
  <c r="J25" i="35"/>
  <c r="M25" i="35" s="1"/>
  <c r="K10" i="28"/>
  <c r="AQ10" i="28"/>
  <c r="N10" i="28"/>
  <c r="AT10" i="28"/>
  <c r="S10" i="28"/>
  <c r="AA10" i="28"/>
  <c r="J10" i="28"/>
  <c r="R10" i="28"/>
  <c r="Z10" i="28"/>
  <c r="AH10" i="28"/>
  <c r="AP10" i="28"/>
  <c r="AO13" i="28"/>
  <c r="L10" i="28"/>
  <c r="T10" i="28"/>
  <c r="AB10" i="28"/>
  <c r="AJ10" i="28"/>
  <c r="AR10" i="28"/>
  <c r="M10" i="28"/>
  <c r="U10" i="28"/>
  <c r="AC10" i="28"/>
  <c r="AK10" i="28"/>
  <c r="AS10" i="28"/>
  <c r="G10" i="28"/>
  <c r="O10" i="28"/>
  <c r="W10" i="28"/>
  <c r="AE10" i="28"/>
  <c r="AM10" i="28"/>
  <c r="H10" i="28"/>
  <c r="P10" i="28"/>
  <c r="X10" i="28"/>
  <c r="AF10" i="28"/>
  <c r="AN10" i="28"/>
  <c r="I10" i="28"/>
  <c r="Q10" i="28"/>
  <c r="Y10" i="28"/>
  <c r="AG10" i="28"/>
  <c r="K11" i="28"/>
  <c r="K13" i="28" s="1"/>
  <c r="S11" i="28"/>
  <c r="S13" i="28" s="1"/>
  <c r="AA11" i="28"/>
  <c r="AI11" i="28"/>
  <c r="AI13" i="28" s="1"/>
  <c r="AQ11" i="28"/>
  <c r="O11" i="28"/>
  <c r="AE11" i="28"/>
  <c r="J11" i="28"/>
  <c r="R11" i="28"/>
  <c r="Z11" i="28"/>
  <c r="Z13" i="28" s="1"/>
  <c r="AH11" i="28"/>
  <c r="AP11" i="28"/>
  <c r="AP13" i="28" s="1"/>
  <c r="L11" i="28"/>
  <c r="T11" i="28"/>
  <c r="T13" i="28" s="1"/>
  <c r="AB11" i="28"/>
  <c r="AJ11" i="28"/>
  <c r="AR11" i="28"/>
  <c r="AR13" i="28" s="1"/>
  <c r="M11" i="28"/>
  <c r="U11" i="28"/>
  <c r="U13" i="28" s="1"/>
  <c r="AC11" i="28"/>
  <c r="AC13" i="28" s="1"/>
  <c r="AK11" i="28"/>
  <c r="AS11" i="28"/>
  <c r="AS13" i="28" s="1"/>
  <c r="F11" i="28"/>
  <c r="F13" i="28" s="1"/>
  <c r="N11" i="28"/>
  <c r="N13" i="28" s="1"/>
  <c r="V11" i="28"/>
  <c r="V13" i="28" s="1"/>
  <c r="AD11" i="28"/>
  <c r="AD13" i="28" s="1"/>
  <c r="AL11" i="28"/>
  <c r="AL13" i="28" s="1"/>
  <c r="AT11" i="28"/>
  <c r="AT13" i="28" s="1"/>
  <c r="G11" i="28"/>
  <c r="W11" i="28"/>
  <c r="W13" i="28" s="1"/>
  <c r="AM11" i="28"/>
  <c r="AM13" i="28" s="1"/>
  <c r="H11" i="28"/>
  <c r="H13" i="28" s="1"/>
  <c r="P11" i="28"/>
  <c r="P13" i="28" s="1"/>
  <c r="X11" i="28"/>
  <c r="X13" i="28" s="1"/>
  <c r="AF11" i="28"/>
  <c r="AF13" i="28" s="1"/>
  <c r="AN11" i="28"/>
  <c r="AN13" i="28" s="1"/>
  <c r="I11" i="28"/>
  <c r="I13" i="28" s="1"/>
  <c r="Q11" i="28"/>
  <c r="Q13" i="28" s="1"/>
  <c r="Y11" i="28"/>
  <c r="Y13" i="28" s="1"/>
  <c r="AG11" i="28"/>
  <c r="AG13" i="28" s="1"/>
  <c r="N23" i="24"/>
  <c r="V17" i="18"/>
  <c r="V16" i="18"/>
  <c r="O17" i="18"/>
  <c r="J16" i="18"/>
  <c r="L16" i="18" s="1"/>
  <c r="N17" i="18"/>
  <c r="M17" i="18"/>
  <c r="L15" i="18"/>
  <c r="K15" i="18"/>
  <c r="N15" i="18" s="1"/>
  <c r="J14" i="18"/>
  <c r="L14" i="18" s="1"/>
  <c r="S14" i="18" s="1"/>
  <c r="R15" i="18" s="1"/>
  <c r="M23" i="24"/>
  <c r="G27" i="40"/>
  <c r="G32" i="40" s="1"/>
  <c r="G33" i="40" s="1"/>
  <c r="G34" i="40" s="1"/>
  <c r="G35" i="40" s="1"/>
  <c r="F28" i="40"/>
  <c r="F29" i="40" s="1"/>
  <c r="F30" i="40" s="1"/>
  <c r="F31" i="40" s="1"/>
  <c r="K12" i="39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K11" i="36"/>
  <c r="L11" i="36" s="1"/>
  <c r="K19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29" i="35"/>
  <c r="H29" i="35" s="1"/>
  <c r="AF39" i="35" s="1"/>
  <c r="AL39" i="35" s="1"/>
  <c r="AL42" i="35" s="1"/>
  <c r="H25" i="35"/>
  <c r="G19" i="9"/>
  <c r="AI58" i="35"/>
  <c r="AI64" i="35" s="1"/>
  <c r="AB39" i="35"/>
  <c r="AB61" i="35"/>
  <c r="AB60" i="35"/>
  <c r="AB20" i="35"/>
  <c r="AB38" i="35"/>
  <c r="AI38" i="35"/>
  <c r="AI42" i="35" s="1"/>
  <c r="AB21" i="35"/>
  <c r="AB62" i="35"/>
  <c r="F33" i="35"/>
  <c r="F32" i="35"/>
  <c r="K28" i="35"/>
  <c r="L28" i="35" s="1"/>
  <c r="J28" i="35"/>
  <c r="M28" i="35" s="1"/>
  <c r="H28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I95" i="22"/>
  <c r="I93" i="22"/>
  <c r="E8" i="4"/>
  <c r="M17" i="4"/>
  <c r="L18" i="4"/>
  <c r="D8" i="4"/>
  <c r="C8" i="4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I17" i="22" l="1"/>
  <c r="AD38" i="35"/>
  <c r="AD60" i="35"/>
  <c r="B34" i="35"/>
  <c r="AD66" i="35" s="1"/>
  <c r="AH13" i="28"/>
  <c r="AA13" i="28"/>
  <c r="R13" i="28"/>
  <c r="AJ13" i="28"/>
  <c r="AQ13" i="28"/>
  <c r="M13" i="28"/>
  <c r="J13" i="28"/>
  <c r="AB13" i="28"/>
  <c r="AE13" i="28"/>
  <c r="O13" i="28"/>
  <c r="G13" i="28"/>
  <c r="AK13" i="28"/>
  <c r="L13" i="28"/>
  <c r="M25" i="24"/>
  <c r="K16" i="18"/>
  <c r="N16" i="18" s="1"/>
  <c r="M15" i="18"/>
  <c r="S15" i="18"/>
  <c r="W15" i="18" s="1"/>
  <c r="O15" i="18"/>
  <c r="K14" i="18"/>
  <c r="H27" i="40"/>
  <c r="H32" i="40" s="1"/>
  <c r="H33" i="40" s="1"/>
  <c r="H34" i="40" s="1"/>
  <c r="H35" i="40" s="1"/>
  <c r="G28" i="40"/>
  <c r="G29" i="40" s="1"/>
  <c r="G30" i="40" s="1"/>
  <c r="G31" i="40" s="1"/>
  <c r="O10" i="39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AF60" i="35"/>
  <c r="AL60" i="35" s="1"/>
  <c r="AL67" i="35" s="1"/>
  <c r="K29" i="35"/>
  <c r="L29" i="35" s="1"/>
  <c r="AD39" i="35" s="1"/>
  <c r="D33" i="35"/>
  <c r="H33" i="35" s="1"/>
  <c r="P33" i="35"/>
  <c r="R33" i="35" s="1"/>
  <c r="J29" i="35"/>
  <c r="M29" i="35" s="1"/>
  <c r="G21" i="9"/>
  <c r="G20" i="9"/>
  <c r="H19" i="9"/>
  <c r="D32" i="35"/>
  <c r="H32" i="35" s="1"/>
  <c r="AF59" i="35"/>
  <c r="AF21" i="35"/>
  <c r="AL21" i="35" s="1"/>
  <c r="AL24" i="35" s="1"/>
  <c r="AF40" i="35"/>
  <c r="AH40" i="35" s="1"/>
  <c r="AK41" i="35" s="1"/>
  <c r="AD21" i="35"/>
  <c r="AD62" i="35"/>
  <c r="P32" i="35"/>
  <c r="R32" i="35" s="1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T32" i="35" l="1"/>
  <c r="AD23" i="35" s="1"/>
  <c r="W32" i="35"/>
  <c r="X32" i="35" s="1"/>
  <c r="T33" i="35"/>
  <c r="AD41" i="35" s="1"/>
  <c r="W33" i="35"/>
  <c r="X33" i="35" s="1"/>
  <c r="AD42" i="35" s="1"/>
  <c r="AF65" i="35"/>
  <c r="AA5" i="28"/>
  <c r="Z5" i="28"/>
  <c r="AD61" i="35"/>
  <c r="O16" i="18"/>
  <c r="M16" i="18"/>
  <c r="O14" i="18"/>
  <c r="Q14" i="18"/>
  <c r="W3" i="18"/>
  <c r="W4" i="18" s="1"/>
  <c r="V3" i="18"/>
  <c r="V4" i="18" s="1"/>
  <c r="V5" i="18" s="1"/>
  <c r="W5" i="18" s="1"/>
  <c r="AA3" i="18" s="1"/>
  <c r="AC4" i="18" s="1"/>
  <c r="M14" i="18"/>
  <c r="N14" i="18"/>
  <c r="I27" i="40"/>
  <c r="I32" i="40" s="1"/>
  <c r="I33" i="40" s="1"/>
  <c r="I34" i="40" s="1"/>
  <c r="I35" i="40" s="1"/>
  <c r="H28" i="40"/>
  <c r="H29" i="40" s="1"/>
  <c r="H30" i="40" s="1"/>
  <c r="H31" i="40" s="1"/>
  <c r="P12" i="39"/>
  <c r="R9" i="39"/>
  <c r="R11" i="39" s="1"/>
  <c r="Q10" i="39"/>
  <c r="Q13" i="39" s="1"/>
  <c r="P23" i="24"/>
  <c r="P24" i="24"/>
  <c r="R21" i="24"/>
  <c r="Q22" i="24"/>
  <c r="F17" i="24"/>
  <c r="D17" i="24" s="1"/>
  <c r="M17" i="24"/>
  <c r="Q15" i="24" s="1"/>
  <c r="Q16" i="24" s="1"/>
  <c r="R15" i="24" s="1"/>
  <c r="C17" i="24"/>
  <c r="H12" i="36"/>
  <c r="L20" i="36" s="1"/>
  <c r="K12" i="36"/>
  <c r="L12" i="36" s="1"/>
  <c r="K20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33" i="35"/>
  <c r="M33" i="35" s="1"/>
  <c r="K33" i="35"/>
  <c r="L33" i="35" s="1"/>
  <c r="AD40" i="35" s="1"/>
  <c r="G32" i="36"/>
  <c r="H20" i="9"/>
  <c r="H21" i="9"/>
  <c r="I19" i="9"/>
  <c r="AF22" i="35"/>
  <c r="AI22" i="35" s="1"/>
  <c r="AL23" i="35" s="1"/>
  <c r="AL59" i="35"/>
  <c r="AL61" i="35" s="1"/>
  <c r="AL64" i="35" s="1"/>
  <c r="AI40" i="35"/>
  <c r="AL41" i="35" s="1"/>
  <c r="J32" i="35"/>
  <c r="M32" i="35" s="1"/>
  <c r="K32" i="35"/>
  <c r="L32" i="35" s="1"/>
  <c r="AD22" i="35" s="1"/>
  <c r="K34" i="35"/>
  <c r="L34" i="35" s="1"/>
  <c r="AD63" i="35" s="1"/>
  <c r="J34" i="35"/>
  <c r="M34" i="35" s="1"/>
  <c r="H34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AD24" i="35" l="1"/>
  <c r="P25" i="24"/>
  <c r="P15" i="18"/>
  <c r="Q15" i="18"/>
  <c r="J27" i="40"/>
  <c r="J32" i="40" s="1"/>
  <c r="J33" i="40" s="1"/>
  <c r="J34" i="40" s="1"/>
  <c r="J35" i="40" s="1"/>
  <c r="I28" i="40"/>
  <c r="I29" i="40" s="1"/>
  <c r="I30" i="40" s="1"/>
  <c r="I31" i="40" s="1"/>
  <c r="Q12" i="39"/>
  <c r="R10" i="39"/>
  <c r="R13" i="39" s="1"/>
  <c r="S9" i="39"/>
  <c r="S11" i="39" s="1"/>
  <c r="Q23" i="24"/>
  <c r="Q24" i="24"/>
  <c r="S16" i="24"/>
  <c r="T15" i="24"/>
  <c r="U16" i="24" s="1"/>
  <c r="S21" i="24"/>
  <c r="R22" i="24"/>
  <c r="G31" i="36"/>
  <c r="G33" i="36" s="1"/>
  <c r="G34" i="36"/>
  <c r="U43" i="36"/>
  <c r="U45" i="36" s="1"/>
  <c r="T44" i="36"/>
  <c r="J16" i="22"/>
  <c r="H32" i="36"/>
  <c r="I21" i="9"/>
  <c r="I20" i="9"/>
  <c r="J19" i="9"/>
  <c r="AH65" i="35"/>
  <c r="AK66" i="35" s="1"/>
  <c r="AI65" i="35"/>
  <c r="AL66" i="35" s="1"/>
  <c r="AH22" i="35"/>
  <c r="AK23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T34" i="35" l="1"/>
  <c r="AD64" i="35" s="1"/>
  <c r="W34" i="35"/>
  <c r="X34" i="35" s="1"/>
  <c r="AD65" i="35" s="1"/>
  <c r="V15" i="18"/>
  <c r="K27" i="40"/>
  <c r="K32" i="40" s="1"/>
  <c r="K33" i="40" s="1"/>
  <c r="K34" i="40" s="1"/>
  <c r="K35" i="40" s="1"/>
  <c r="J28" i="40"/>
  <c r="J29" i="40" s="1"/>
  <c r="J30" i="40" s="1"/>
  <c r="J31" i="40" s="1"/>
  <c r="R12" i="39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L27" i="40" l="1"/>
  <c r="L32" i="40" s="1"/>
  <c r="L33" i="40" s="1"/>
  <c r="L34" i="40" s="1"/>
  <c r="L35" i="40" s="1"/>
  <c r="K28" i="40"/>
  <c r="K29" i="40" s="1"/>
  <c r="K30" i="40" s="1"/>
  <c r="K31" i="40" s="1"/>
  <c r="S12" i="39"/>
  <c r="T10" i="39"/>
  <c r="T13" i="39" s="1"/>
  <c r="U9" i="39"/>
  <c r="U11" i="39" s="1"/>
  <c r="T22" i="24"/>
  <c r="U21" i="24"/>
  <c r="S23" i="24"/>
  <c r="S24" i="24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S25" i="24" l="1"/>
  <c r="M27" i="40"/>
  <c r="M32" i="40" s="1"/>
  <c r="M33" i="40" s="1"/>
  <c r="M34" i="40" s="1"/>
  <c r="M35" i="40" s="1"/>
  <c r="L28" i="40"/>
  <c r="L29" i="40" s="1"/>
  <c r="L30" i="40" s="1"/>
  <c r="L31" i="40" s="1"/>
  <c r="T12" i="39"/>
  <c r="V9" i="39"/>
  <c r="V11" i="39" s="1"/>
  <c r="U10" i="39"/>
  <c r="U13" i="39" s="1"/>
  <c r="T23" i="24"/>
  <c r="T24" i="24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T25" i="24" l="1"/>
  <c r="N27" i="40"/>
  <c r="N32" i="40" s="1"/>
  <c r="N33" i="40" s="1"/>
  <c r="N34" i="40" s="1"/>
  <c r="N35" i="40" s="1"/>
  <c r="M28" i="40"/>
  <c r="M29" i="40" s="1"/>
  <c r="M30" i="40" s="1"/>
  <c r="M31" i="40" s="1"/>
  <c r="U12" i="39"/>
  <c r="W9" i="39"/>
  <c r="W11" i="39" s="1"/>
  <c r="V10" i="39"/>
  <c r="V13" i="39" s="1"/>
  <c r="U23" i="24"/>
  <c r="U24" i="24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U25" i="24" l="1"/>
  <c r="O27" i="40"/>
  <c r="O32" i="40" s="1"/>
  <c r="O33" i="40" s="1"/>
  <c r="O34" i="40" s="1"/>
  <c r="O35" i="40" s="1"/>
  <c r="N28" i="40"/>
  <c r="N29" i="40" s="1"/>
  <c r="N30" i="40" s="1"/>
  <c r="N31" i="40" s="1"/>
  <c r="V12" i="39"/>
  <c r="X9" i="39"/>
  <c r="X11" i="39" s="1"/>
  <c r="W10" i="39"/>
  <c r="W13" i="39" s="1"/>
  <c r="V23" i="24"/>
  <c r="V24" i="24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V25" i="24" l="1"/>
  <c r="P27" i="40"/>
  <c r="P32" i="40" s="1"/>
  <c r="P33" i="40" s="1"/>
  <c r="P34" i="40" s="1"/>
  <c r="P35" i="40" s="1"/>
  <c r="O28" i="40"/>
  <c r="O29" i="40" s="1"/>
  <c r="O30" i="40" s="1"/>
  <c r="O31" i="40" s="1"/>
  <c r="W12" i="39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Q27" i="40" l="1"/>
  <c r="Q32" i="40" s="1"/>
  <c r="Q33" i="40" s="1"/>
  <c r="Q34" i="40" s="1"/>
  <c r="Q35" i="40" s="1"/>
  <c r="P28" i="40"/>
  <c r="P29" i="40" s="1"/>
  <c r="P30" i="40" s="1"/>
  <c r="P31" i="40" s="1"/>
  <c r="X12" i="39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R27" i="40" l="1"/>
  <c r="R32" i="40" s="1"/>
  <c r="R33" i="40" s="1"/>
  <c r="R34" i="40" s="1"/>
  <c r="R35" i="40" s="1"/>
  <c r="Q28" i="40"/>
  <c r="Q29" i="40" s="1"/>
  <c r="Q30" i="40" s="1"/>
  <c r="Q31" i="40" s="1"/>
  <c r="Y12" i="39"/>
  <c r="Z10" i="39"/>
  <c r="Z13" i="39" s="1"/>
  <c r="AA9" i="39"/>
  <c r="AA11" i="39" s="1"/>
  <c r="Z22" i="24"/>
  <c r="AA21" i="24"/>
  <c r="Y23" i="24"/>
  <c r="Y24" i="24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Y25" i="24" l="1"/>
  <c r="S27" i="40"/>
  <c r="S32" i="40" s="1"/>
  <c r="S33" i="40" s="1"/>
  <c r="S34" i="40" s="1"/>
  <c r="S35" i="40" s="1"/>
  <c r="R28" i="40"/>
  <c r="R29" i="40" s="1"/>
  <c r="R30" i="40" s="1"/>
  <c r="R31" i="40" s="1"/>
  <c r="Z12" i="39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T27" i="40" l="1"/>
  <c r="T32" i="40" s="1"/>
  <c r="T33" i="40" s="1"/>
  <c r="T34" i="40" s="1"/>
  <c r="T35" i="40" s="1"/>
  <c r="S28" i="40"/>
  <c r="S29" i="40" s="1"/>
  <c r="S30" i="40" s="1"/>
  <c r="S31" i="40" s="1"/>
  <c r="AA12" i="39"/>
  <c r="AC9" i="39"/>
  <c r="AC11" i="39" s="1"/>
  <c r="AB10" i="39"/>
  <c r="AB13" i="39" s="1"/>
  <c r="Z25" i="24"/>
  <c r="AB22" i="24"/>
  <c r="AC21" i="24"/>
  <c r="AA23" i="24"/>
  <c r="AA24" i="24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A25" i="24" l="1"/>
  <c r="U27" i="40"/>
  <c r="U32" i="40" s="1"/>
  <c r="U33" i="40" s="1"/>
  <c r="U34" i="40" s="1"/>
  <c r="U35" i="40" s="1"/>
  <c r="T28" i="40"/>
  <c r="T29" i="40" s="1"/>
  <c r="T30" i="40" s="1"/>
  <c r="T31" i="40" s="1"/>
  <c r="AB12" i="39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V27" i="40" l="1"/>
  <c r="V32" i="40" s="1"/>
  <c r="V33" i="40" s="1"/>
  <c r="V34" i="40" s="1"/>
  <c r="V35" i="40" s="1"/>
  <c r="U28" i="40"/>
  <c r="U29" i="40" s="1"/>
  <c r="U30" i="40" s="1"/>
  <c r="U31" i="40" s="1"/>
  <c r="AC12" i="39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W27" i="40" l="1"/>
  <c r="W32" i="40" s="1"/>
  <c r="W33" i="40" s="1"/>
  <c r="W34" i="40" s="1"/>
  <c r="W35" i="40" s="1"/>
  <c r="V28" i="40"/>
  <c r="V29" i="40" s="1"/>
  <c r="V30" i="40" s="1"/>
  <c r="V31" i="40" s="1"/>
  <c r="AD12" i="39"/>
  <c r="AF9" i="39"/>
  <c r="AF11" i="39" s="1"/>
  <c r="AE10" i="39"/>
  <c r="AE13" i="39" s="1"/>
  <c r="AC25" i="24"/>
  <c r="AD23" i="24"/>
  <c r="AD24" i="24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D25" i="24" l="1"/>
  <c r="X27" i="40"/>
  <c r="X32" i="40" s="1"/>
  <c r="X33" i="40" s="1"/>
  <c r="X34" i="40" s="1"/>
  <c r="X35" i="40" s="1"/>
  <c r="W28" i="40"/>
  <c r="W29" i="40" s="1"/>
  <c r="W30" i="40" s="1"/>
  <c r="W31" i="40" s="1"/>
  <c r="AE12" i="39"/>
  <c r="AG9" i="39"/>
  <c r="AG11" i="39" s="1"/>
  <c r="AF10" i="39"/>
  <c r="AF13" i="39" s="1"/>
  <c r="AE23" i="24"/>
  <c r="AE24" i="24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E25" i="24" l="1"/>
  <c r="Y27" i="40"/>
  <c r="Y32" i="40" s="1"/>
  <c r="Y33" i="40" s="1"/>
  <c r="Y34" i="40" s="1"/>
  <c r="Y35" i="40" s="1"/>
  <c r="X28" i="40"/>
  <c r="X29" i="40" s="1"/>
  <c r="X30" i="40" s="1"/>
  <c r="X31" i="40" s="1"/>
  <c r="AF12" i="39"/>
  <c r="AH9" i="39"/>
  <c r="AH11" i="39" s="1"/>
  <c r="AG10" i="39"/>
  <c r="AG13" i="39" s="1"/>
  <c r="AF23" i="24"/>
  <c r="AF24" i="24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F25" i="24" l="1"/>
  <c r="Z27" i="40"/>
  <c r="Z32" i="40" s="1"/>
  <c r="Z33" i="40" s="1"/>
  <c r="Z34" i="40" s="1"/>
  <c r="Z35" i="40" s="1"/>
  <c r="Y28" i="40"/>
  <c r="Y29" i="40" s="1"/>
  <c r="Y30" i="40" s="1"/>
  <c r="Y31" i="40" s="1"/>
  <c r="AG12" i="39"/>
  <c r="AH10" i="39"/>
  <c r="AH13" i="39" s="1"/>
  <c r="AI9" i="39"/>
  <c r="AI11" i="39" s="1"/>
  <c r="AG23" i="24"/>
  <c r="AG24" i="24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G25" i="24" l="1"/>
  <c r="AA27" i="40"/>
  <c r="AA32" i="40" s="1"/>
  <c r="AA33" i="40" s="1"/>
  <c r="AA34" i="40" s="1"/>
  <c r="AA35" i="40" s="1"/>
  <c r="Z28" i="40"/>
  <c r="Z29" i="40" s="1"/>
  <c r="Z30" i="40" s="1"/>
  <c r="Z31" i="40" s="1"/>
  <c r="AH12" i="39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B27" i="40" l="1"/>
  <c r="AB32" i="40" s="1"/>
  <c r="AB33" i="40" s="1"/>
  <c r="AB34" i="40" s="1"/>
  <c r="AB35" i="40" s="1"/>
  <c r="AA28" i="40"/>
  <c r="AA29" i="40" s="1"/>
  <c r="AA30" i="40" s="1"/>
  <c r="AA31" i="40" s="1"/>
  <c r="AI12" i="39"/>
  <c r="AJ10" i="39"/>
  <c r="AJ13" i="39" s="1"/>
  <c r="AK9" i="39"/>
  <c r="AK11" i="39" s="1"/>
  <c r="AI23" i="24"/>
  <c r="AI24" i="24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I25" i="24" l="1"/>
  <c r="AC27" i="40"/>
  <c r="AC32" i="40" s="1"/>
  <c r="AC33" i="40" s="1"/>
  <c r="AC34" i="40" s="1"/>
  <c r="AC35" i="40" s="1"/>
  <c r="AB28" i="40"/>
  <c r="AB29" i="40" s="1"/>
  <c r="AB30" i="40" s="1"/>
  <c r="AB31" i="40" s="1"/>
  <c r="AJ12" i="39"/>
  <c r="AL9" i="39"/>
  <c r="AL11" i="39" s="1"/>
  <c r="AK10" i="39"/>
  <c r="AK13" i="39" s="1"/>
  <c r="AK22" i="24"/>
  <c r="AL21" i="24"/>
  <c r="AJ23" i="24"/>
  <c r="AJ24" i="24"/>
  <c r="AC17" i="22"/>
  <c r="AH18" i="4"/>
  <c r="AI17" i="4"/>
  <c r="AD12" i="22"/>
  <c r="AD13" i="22"/>
  <c r="AC16" i="22"/>
  <c r="AD61" i="22"/>
  <c r="AD62" i="22"/>
  <c r="AF10" i="22"/>
  <c r="AE11" i="22"/>
  <c r="AJ25" i="24" l="1"/>
  <c r="AD27" i="40"/>
  <c r="AD32" i="40" s="1"/>
  <c r="AD33" i="40" s="1"/>
  <c r="AD34" i="40" s="1"/>
  <c r="AD35" i="40" s="1"/>
  <c r="AC28" i="40"/>
  <c r="AC29" i="40" s="1"/>
  <c r="AC30" i="40" s="1"/>
  <c r="AC31" i="40" s="1"/>
  <c r="AK12" i="39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E27" i="40" l="1"/>
  <c r="AE32" i="40" s="1"/>
  <c r="AE33" i="40" s="1"/>
  <c r="AE34" i="40" s="1"/>
  <c r="AE35" i="40" s="1"/>
  <c r="AD28" i="40"/>
  <c r="AD29" i="40" s="1"/>
  <c r="AD30" i="40" s="1"/>
  <c r="AD31" i="40" s="1"/>
  <c r="AL12" i="39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F27" i="40" l="1"/>
  <c r="AF32" i="40" s="1"/>
  <c r="AF33" i="40" s="1"/>
  <c r="AF34" i="40" s="1"/>
  <c r="AF35" i="40" s="1"/>
  <c r="AE28" i="40"/>
  <c r="AE29" i="40" s="1"/>
  <c r="AE30" i="40" s="1"/>
  <c r="AE31" i="40" s="1"/>
  <c r="AM12" i="39"/>
  <c r="AO9" i="39"/>
  <c r="AO11" i="39" s="1"/>
  <c r="AN10" i="39"/>
  <c r="AN13" i="39" s="1"/>
  <c r="AO21" i="24"/>
  <c r="AN22" i="24"/>
  <c r="AL25" i="24"/>
  <c r="AM23" i="24"/>
  <c r="AM24" i="24"/>
  <c r="AF17" i="22"/>
  <c r="AL17" i="4"/>
  <c r="AK18" i="4"/>
  <c r="AG13" i="22"/>
  <c r="AG12" i="22"/>
  <c r="AF16" i="22"/>
  <c r="AG61" i="22"/>
  <c r="AG62" i="22"/>
  <c r="AH11" i="22"/>
  <c r="AI10" i="22"/>
  <c r="AM25" i="24" l="1"/>
  <c r="AG27" i="40"/>
  <c r="AG32" i="40" s="1"/>
  <c r="AG33" i="40" s="1"/>
  <c r="AG34" i="40" s="1"/>
  <c r="AG35" i="40" s="1"/>
  <c r="AF28" i="40"/>
  <c r="AF29" i="40" s="1"/>
  <c r="AF30" i="40" s="1"/>
  <c r="AF31" i="40" s="1"/>
  <c r="AN12" i="39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H27" i="40" l="1"/>
  <c r="AH32" i="40" s="1"/>
  <c r="AH33" i="40" s="1"/>
  <c r="AH34" i="40" s="1"/>
  <c r="AH35" i="40" s="1"/>
  <c r="AG28" i="40"/>
  <c r="AG29" i="40" s="1"/>
  <c r="AG30" i="40" s="1"/>
  <c r="AG31" i="40" s="1"/>
  <c r="AO12" i="39"/>
  <c r="AP10" i="39"/>
  <c r="AP13" i="39" s="1"/>
  <c r="AQ9" i="39"/>
  <c r="AQ11" i="39" s="1"/>
  <c r="AO23" i="24"/>
  <c r="AO24" i="24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O25" i="24" l="1"/>
  <c r="AI27" i="40"/>
  <c r="AI32" i="40" s="1"/>
  <c r="AI33" i="40" s="1"/>
  <c r="AI34" i="40" s="1"/>
  <c r="AI35" i="40" s="1"/>
  <c r="AH28" i="40"/>
  <c r="AH29" i="40" s="1"/>
  <c r="AH30" i="40" s="1"/>
  <c r="AH31" i="40" s="1"/>
  <c r="AP12" i="39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J27" i="40" l="1"/>
  <c r="AJ32" i="40" s="1"/>
  <c r="AJ33" i="40" s="1"/>
  <c r="AJ34" i="40" s="1"/>
  <c r="AJ35" i="40" s="1"/>
  <c r="AI28" i="40"/>
  <c r="AI29" i="40" s="1"/>
  <c r="AI30" i="40" s="1"/>
  <c r="AI31" i="40" s="1"/>
  <c r="AQ12" i="39"/>
  <c r="AR10" i="39"/>
  <c r="AR13" i="39" s="1"/>
  <c r="AS9" i="39"/>
  <c r="AS11" i="39" s="1"/>
  <c r="AR22" i="24"/>
  <c r="AS21" i="24"/>
  <c r="AQ23" i="24"/>
  <c r="AQ24" i="24"/>
  <c r="AP25" i="24"/>
  <c r="AJ17" i="22"/>
  <c r="AJ16" i="22"/>
  <c r="AK12" i="22"/>
  <c r="AK13" i="22"/>
  <c r="AK61" i="22"/>
  <c r="AK62" i="22"/>
  <c r="AL11" i="22"/>
  <c r="AM10" i="22"/>
  <c r="AQ25" i="24" l="1"/>
  <c r="AK27" i="40"/>
  <c r="AK32" i="40" s="1"/>
  <c r="AK33" i="40" s="1"/>
  <c r="AK34" i="40" s="1"/>
  <c r="AK35" i="40" s="1"/>
  <c r="AJ28" i="40"/>
  <c r="AJ29" i="40" s="1"/>
  <c r="AJ30" i="40" s="1"/>
  <c r="AJ31" i="40" s="1"/>
  <c r="AR12" i="39"/>
  <c r="AT9" i="39"/>
  <c r="AT11" i="39" s="1"/>
  <c r="AS10" i="39"/>
  <c r="AS13" i="39" s="1"/>
  <c r="AS22" i="24"/>
  <c r="AT21" i="24"/>
  <c r="AR23" i="24"/>
  <c r="AR24" i="24"/>
  <c r="AK17" i="22"/>
  <c r="AL12" i="22"/>
  <c r="AL13" i="22"/>
  <c r="AK16" i="22"/>
  <c r="AL61" i="22"/>
  <c r="AL62" i="22"/>
  <c r="AM11" i="22"/>
  <c r="AN10" i="22"/>
  <c r="AR25" i="24" l="1"/>
  <c r="AL27" i="40"/>
  <c r="AL32" i="40" s="1"/>
  <c r="AL33" i="40" s="1"/>
  <c r="AL34" i="40" s="1"/>
  <c r="AL35" i="40" s="1"/>
  <c r="AK28" i="40"/>
  <c r="AK29" i="40" s="1"/>
  <c r="AK30" i="40" s="1"/>
  <c r="AK31" i="40" s="1"/>
  <c r="AS12" i="39"/>
  <c r="AU9" i="39"/>
  <c r="AU11" i="39" s="1"/>
  <c r="AT10" i="39"/>
  <c r="AT13" i="39" s="1"/>
  <c r="AS23" i="24"/>
  <c r="AS24" i="24"/>
  <c r="AT22" i="24"/>
  <c r="AU21" i="24"/>
  <c r="AL17" i="22"/>
  <c r="AM12" i="22"/>
  <c r="AM13" i="22"/>
  <c r="AL16" i="22"/>
  <c r="AM61" i="22"/>
  <c r="AM62" i="22"/>
  <c r="AO10" i="22"/>
  <c r="AN11" i="22"/>
  <c r="AS25" i="24" l="1"/>
  <c r="AM27" i="40"/>
  <c r="AL28" i="40"/>
  <c r="AL29" i="40" s="1"/>
  <c r="AL30" i="40" s="1"/>
  <c r="AL31" i="40" s="1"/>
  <c r="AT12" i="39"/>
  <c r="AV9" i="39"/>
  <c r="AV11" i="39" s="1"/>
  <c r="AU10" i="39"/>
  <c r="AU13" i="39" s="1"/>
  <c r="AT23" i="24"/>
  <c r="AT24" i="24"/>
  <c r="AV21" i="24"/>
  <c r="AU22" i="24"/>
  <c r="AM17" i="22"/>
  <c r="AN12" i="22"/>
  <c r="AN13" i="22"/>
  <c r="AM16" i="22"/>
  <c r="AN61" i="22"/>
  <c r="AN62" i="22"/>
  <c r="AO11" i="22"/>
  <c r="AP10" i="22"/>
  <c r="AT25" i="24" l="1"/>
  <c r="AM28" i="40"/>
  <c r="AM29" i="40" s="1"/>
  <c r="AM30" i="40" s="1"/>
  <c r="AM31" i="40" s="1"/>
  <c r="AM32" i="40"/>
  <c r="AM33" i="40" s="1"/>
  <c r="AM34" i="40" s="1"/>
  <c r="AM35" i="40" s="1"/>
  <c r="AU12" i="39"/>
  <c r="AW9" i="39"/>
  <c r="AW11" i="39" s="1"/>
  <c r="AV10" i="39"/>
  <c r="AV13" i="39" s="1"/>
  <c r="AU23" i="24"/>
  <c r="AU24" i="24"/>
  <c r="AW21" i="24"/>
  <c r="AW22" i="24" s="1"/>
  <c r="AV22" i="24"/>
  <c r="AN17" i="22"/>
  <c r="AO12" i="22"/>
  <c r="AO13" i="22"/>
  <c r="AN16" i="22"/>
  <c r="AO61" i="22"/>
  <c r="AO62" i="22"/>
  <c r="AP11" i="22"/>
  <c r="AQ10" i="22"/>
  <c r="AU25" i="24" l="1"/>
  <c r="AV12" i="39"/>
  <c r="AX9" i="39"/>
  <c r="AX11" i="39" s="1"/>
  <c r="F26" i="39" s="1"/>
  <c r="AW10" i="39"/>
  <c r="AW13" i="39" s="1"/>
  <c r="AV23" i="24"/>
  <c r="AV24" i="24"/>
  <c r="AW23" i="24"/>
  <c r="AW24" i="24"/>
  <c r="AO17" i="22"/>
  <c r="AP13" i="22"/>
  <c r="AP12" i="22"/>
  <c r="AO16" i="22"/>
  <c r="AP61" i="22"/>
  <c r="AP62" i="22"/>
  <c r="AQ11" i="22"/>
  <c r="AR10" i="22"/>
  <c r="AW25" i="24" l="1"/>
  <c r="AV25" i="24"/>
  <c r="AW12" i="39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<sst xmlns="http://schemas.openxmlformats.org/spreadsheetml/2006/main" count="1747" uniqueCount="966">
  <si>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</si>
  <si>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</si>
  <si>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</si>
  <si>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</si>
  <si>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</si>
  <si>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</si>
  <si>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</si>
  <si>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</si>
  <si>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</si>
  <si>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</si>
  <si>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</si>
  <si>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</si>
  <si>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</si>
  <si>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</si>
  <si>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</si>
  <si>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</si>
  <si>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</si>
  <si>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</si>
  <si>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</si>
  <si>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</si>
  <si>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</si>
  <si>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</si>
  <si>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</si>
  <si>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</si>
  <si>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</si>
  <si>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</si>
  <si>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</si>
  <si>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</si>
  <si>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</si>
  <si>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</si>
  <si>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</si>
  <si>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</si>
  <si>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</si>
  <si>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</si>
  <si>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</si>
  <si>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</si>
  <si>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</si>
  <si>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</si>
  <si>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</si>
  <si>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</si>
  <si>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</si>
  <si>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</si>
  <si>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</si>
  <si>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</si>
  <si>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</si>
  <si>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</si>
  <si>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</si>
  <si>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</si>
  <si>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</si>
  <si>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</si>
  <si>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</si>
  <si>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</si>
  <si>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</si>
  <si>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</si>
  <si>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</si>
  <si>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</si>
  <si>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</si>
  <si>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</si>
  <si>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</si>
  <si>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</si>
  <si>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</si>
  <si>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</si>
  <si>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</si>
  <si>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</si>
  <si>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</si>
  <si>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</si>
  <si>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</si>
  <si>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</si>
  <si>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</si>
  <si>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</si>
  <si>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</si>
  <si>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</si>
  <si>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</si>
  <si>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</si>
  <si>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</si>
  <si>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</si>
  <si>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</si>
  <si>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</si>
  <si>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</si>
  <si>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</si>
  <si>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</si>
  <si>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</si>
  <si>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</si>
  <si>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</si>
  <si>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</si>
  <si>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</si>
  <si>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</si>
  <si>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</si>
  <si>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</si>
  <si>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</si>
  <si>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</si>
  <si>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</si>
  <si>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</si>
  <si>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</si>
  <si>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</si>
  <si>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</si>
  <si>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</si>
  <si>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</si>
  <si>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</si>
  <si>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</si>
  <si>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</si>
  <si>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</si>
  <si>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</si>
  <si>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</si>
  <si>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</si>
  <si>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</si>
  <si>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</si>
  <si>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</si>
  <si>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</si>
  <si>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</si>
  <si>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</si>
  <si>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</si>
  <si>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</si>
  <si>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</si>
  <si>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</si>
  <si>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</si>
  <si>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</si>
  <si>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</si>
  <si>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</si>
  <si>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</si>
  <si>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</si>
  <si>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</si>
  <si>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</si>
  <si>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</si>
  <si>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</si>
  <si>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</si>
  <si>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</si>
  <si>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</si>
  <si>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</si>
  <si>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</si>
  <si>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</si>
  <si>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</si>
  <si>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</si>
  <si>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</si>
  <si>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</si>
  <si>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</si>
  <si>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</si>
  <si>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</si>
  <si>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</si>
  <si>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</si>
  <si>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</si>
  <si>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</si>
  <si>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</si>
  <si>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</si>
  <si>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</si>
  <si>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</si>
  <si>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</si>
  <si>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</si>
  <si>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</si>
  <si>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</si>
  <si>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</si>
  <si>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</si>
  <si>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</si>
  <si>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</si>
  <si>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</si>
  <si>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</si>
  <si>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</si>
  <si>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</si>
  <si>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</si>
  <si>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</si>
  <si>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</si>
  <si>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</si>
  <si>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</si>
  <si>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</si>
  <si>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</si>
  <si>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</si>
  <si>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</si>
  <si>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</si>
  <si>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</si>
  <si>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</si>
  <si>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</si>
  <si>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</si>
  <si>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</si>
  <si>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</si>
  <si>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</si>
  <si>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</si>
  <si>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</si>
  <si>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</si>
  <si>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</si>
  <si>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</si>
  <si>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</si>
  <si>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</si>
  <si>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</si>
  <si>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</si>
  <si>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</si>
  <si>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</si>
  <si>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</si>
  <si>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</si>
  <si>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</si>
  <si>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</si>
  <si>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</si>
  <si>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</si>
  <si>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</si>
  <si>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</si>
  <si>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</si>
  <si>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</si>
  <si>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</si>
  <si>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</si>
  <si>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</si>
  <si>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</si>
  <si>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</si>
  <si>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</si>
  <si>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</si>
  <si>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</si>
  <si>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</si>
  <si>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</si>
  <si>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</si>
  <si>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</si>
  <si>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</si>
  <si>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</si>
  <si>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</si>
  <si>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</si>
  <si>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</si>
  <si>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</si>
  <si>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</si>
  <si>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</si>
  <si>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</si>
  <si>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</si>
  <si>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</si>
  <si>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</si>
  <si>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</si>
  <si>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</si>
  <si>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</si>
  <si>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</si>
  <si>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</si>
  <si>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</si>
  <si>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</si>
  <si>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</si>
  <si>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</si>
  <si>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</si>
  <si>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</si>
  <si>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</si>
  <si>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</si>
  <si>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</si>
  <si>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</si>
  <si>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</si>
  <si>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</si>
  <si>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</si>
  <si>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</si>
  <si>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</si>
  <si>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</si>
  <si>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</si>
  <si>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</si>
  <si>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</si>
  <si>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</si>
  <si>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</si>
  <si>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</si>
  <si>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</si>
  <si>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</si>
  <si>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</si>
  <si>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</si>
  <si>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</si>
  <si>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</si>
  <si>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</si>
  <si>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</si>
  <si>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</si>
  <si>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</si>
  <si>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</si>
  <si>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</si>
  <si>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</si>
  <si>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</si>
  <si>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</si>
  <si>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</si>
  <si>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</si>
  <si>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</si>
  <si>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</si>
  <si>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</si>
  <si>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</si>
  <si>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</si>
  <si>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</si>
  <si>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</si>
  <si>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</si>
  <si>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</si>
  <si>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</si>
  <si>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</si>
  <si>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</si>
  <si>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</si>
  <si>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</si>
  <si>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</si>
  <si>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</si>
  <si>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</si>
  <si>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</si>
  <si>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</si>
  <si>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</si>
  <si>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</si>
  <si>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</si>
  <si>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</si>
  <si>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</si>
  <si>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</si>
  <si>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</si>
  <si>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</si>
  <si>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</si>
  <si>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</si>
  <si>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</si>
  <si>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</si>
  <si>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</si>
  <si>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</si>
  <si>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</si>
  <si>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</si>
  <si>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</si>
  <si>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</si>
  <si>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</si>
  <si>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</si>
  <si>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</si>
  <si>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</si>
  <si>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</si>
  <si>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</si>
  <si>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</si>
  <si>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</si>
  <si>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</si>
  <si>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</si>
  <si>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</si>
  <si>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</si>
  <si>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</si>
  <si>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</si>
  <si>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</si>
  <si>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</si>
  <si>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</si>
  <si>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</si>
  <si>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</si>
  <si>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</si>
  <si>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</si>
  <si>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</si>
  <si>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</si>
  <si>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</si>
  <si>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</si>
  <si>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</si>
  <si>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</si>
  <si>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</si>
  <si>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</si>
  <si>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</si>
  <si>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</si>
  <si>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</si>
  <si>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</si>
  <si>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</si>
  <si>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</si>
  <si>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</si>
  <si>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</si>
  <si>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</si>
  <si>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</si>
  <si>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</si>
  <si>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</si>
  <si>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</si>
  <si>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</si>
  <si>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</si>
  <si>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</si>
  <si>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</si>
  <si>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</si>
  <si>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</si>
  <si>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</si>
  <si>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</si>
  <si>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</si>
  <si>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</si>
  <si>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</si>
  <si>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</si>
  <si>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</si>
  <si>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</si>
  <si>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</si>
  <si>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</si>
  <si>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</si>
  <si>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</si>
  <si>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</si>
  <si>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</si>
  <si>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</si>
  <si>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</si>
  <si>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</si>
  <si>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</si>
  <si>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</si>
  <si>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</si>
  <si>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</si>
  <si>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</si>
  <si>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</si>
  <si>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</si>
  <si>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</si>
  <si>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</si>
  <si>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</si>
  <si>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</si>
  <si>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</si>
  <si>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</si>
  <si>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</si>
  <si>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</si>
  <si>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</si>
  <si>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</si>
  <si>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</si>
  <si>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</si>
  <si>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</si>
  <si>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</si>
  <si>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</si>
  <si>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</si>
  <si>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</si>
  <si>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</si>
  <si>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</si>
  <si>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</si>
  <si>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</si>
  <si>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</si>
  <si>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</si>
  <si>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</si>
  <si>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</si>
  <si>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</si>
  <si>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</si>
  <si>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</si>
  <si>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</si>
  <si>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</si>
  <si>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</si>
  <si>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</si>
  <si>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</si>
  <si>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</si>
  <si>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</si>
  <si>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</si>
  <si>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</si>
  <si>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</si>
  <si>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</si>
  <si>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</si>
  <si>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</si>
  <si>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</si>
  <si>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</si>
  <si>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</si>
  <si>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</si>
  <si>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</si>
  <si>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</si>
  <si>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</si>
  <si>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</si>
  <si>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</si>
  <si>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</si>
  <si>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</si>
  <si>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</si>
  <si>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</si>
  <si>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</si>
  <si>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</si>
  <si>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</si>
  <si>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</si>
  <si>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</si>
  <si>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</si>
  <si>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</si>
  <si>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</si>
  <si>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</si>
  <si>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</si>
  <si>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</si>
  <si>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</si>
  <si>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</si>
  <si>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</si>
  <si>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</si>
  <si>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</si>
  <si>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</si>
  <si>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</si>
  <si>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</si>
  <si>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</si>
  <si>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</si>
  <si>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</si>
  <si>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</si>
  <si>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</si>
  <si>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</si>
  <si>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</si>
  <si>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</si>
  <si>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</si>
  <si>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</si>
  <si>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</si>
  <si>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</si>
  <si>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</si>
  <si>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</si>
  <si>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</si>
  <si>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</si>
  <si>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</si>
  <si>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</si>
  <si>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</si>
  <si>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</si>
  <si>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</si>
  <si>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</si>
  <si>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</si>
  <si>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</si>
  <si>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</si>
  <si>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</si>
  <si>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</si>
  <si>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</si>
  <si>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</si>
  <si>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</si>
  <si>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</si>
  <si>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</si>
  <si>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</si>
  <si>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</si>
  <si>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</si>
  <si>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</si>
  <si>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</si>
  <si>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</si>
  <si>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</si>
  <si>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</si>
  <si>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</si>
  <si>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</si>
  <si>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</si>
  <si>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</si>
  <si>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</si>
  <si>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</si>
  <si>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</si>
  <si>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</si>
  <si>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</si>
  <si>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</si>
  <si>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</si>
  <si>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</si>
  <si>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</si>
  <si>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</si>
  <si>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</si>
  <si>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</si>
  <si>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</si>
  <si>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</si>
  <si>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</si>
  <si>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</si>
  <si>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</si>
  <si>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</si>
  <si>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</si>
  <si>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</si>
  <si>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</si>
  <si>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</si>
  <si>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</si>
  <si>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</si>
  <si>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</si>
  <si>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</si>
  <si>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</si>
  <si>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</si>
  <si>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</si>
  <si>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</si>
  <si>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</si>
  <si>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</si>
  <si>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</si>
  <si>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</si>
  <si>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</si>
  <si>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</si>
  <si>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</si>
  <si>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</si>
  <si>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</si>
  <si>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</si>
  <si>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</si>
  <si>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</si>
  <si>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</si>
  <si>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</si>
  <si>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</si>
  <si>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</si>
  <si>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</si>
  <si>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</si>
  <si>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</si>
  <si>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</si>
  <si>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</si>
  <si>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</si>
  <si>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</si>
  <si>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</si>
  <si>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</si>
  <si>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</si>
  <si>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</si>
  <si>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</si>
  <si>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</si>
  <si>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</si>
  <si>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</si>
  <si>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</si>
  <si>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</si>
  <si>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</si>
  <si>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</si>
  <si>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</si>
  <si>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</si>
  <si>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</si>
  <si>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</si>
  <si>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</si>
  <si>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</si>
  <si>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</si>
  <si>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</si>
  <si>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</si>
  <si>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</si>
  <si>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</si>
  <si>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</si>
  <si>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</si>
  <si>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</si>
  <si>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</si>
  <si>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</si>
  <si>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</si>
  <si>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</si>
  <si>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</si>
  <si>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</si>
  <si>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</si>
  <si>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</si>
  <si>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</si>
  <si>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</si>
  <si>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</si>
  <si>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</si>
  <si>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</si>
  <si>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</si>
  <si>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</si>
  <si>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</si>
  <si>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</si>
  <si>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</si>
  <si>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</si>
  <si>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</si>
  <si>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</si>
  <si>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</si>
  <si>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</si>
  <si>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</si>
  <si>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</si>
  <si>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</si>
  <si>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</si>
  <si>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</si>
  <si>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</si>
  <si>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</si>
  <si>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</si>
  <si>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</si>
  <si>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</si>
  <si>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</si>
  <si>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</si>
  <si>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</si>
  <si>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</si>
  <si>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</si>
  <si>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</si>
  <si>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</si>
  <si>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</si>
  <si>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</si>
  <si>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</si>
  <si>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</si>
  <si>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</si>
  <si>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</si>
  <si>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</si>
  <si>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</si>
  <si>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</si>
  <si>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</si>
  <si>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</si>
  <si>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</si>
  <si>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</si>
  <si>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</si>
  <si>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</si>
  <si>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</si>
  <si>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</si>
  <si>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</si>
  <si>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</si>
  <si>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</si>
  <si>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</si>
  <si>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</si>
  <si>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</si>
  <si>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</si>
  <si>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</si>
  <si>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</si>
  <si>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</si>
  <si>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</si>
  <si>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</si>
  <si>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</si>
  <si>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</si>
  <si>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</si>
  <si>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</si>
  <si>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</si>
  <si>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</si>
  <si>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</si>
  <si>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</si>
  <si>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</si>
  <si>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</si>
  <si>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</si>
  <si>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</si>
  <si>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</si>
  <si>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</si>
  <si>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</si>
  <si>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</si>
  <si>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</si>
  <si>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</si>
  <si>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</si>
  <si>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</si>
  <si>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</si>
  <si>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</si>
  <si>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</si>
  <si>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</si>
  <si>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</si>
  <si>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</si>
  <si>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</si>
  <si>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</si>
  <si>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</si>
  <si>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</si>
  <si>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</si>
  <si>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</si>
  <si>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</si>
  <si>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</si>
  <si>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</si>
  <si>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</si>
  <si>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</si>
  <si>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</si>
  <si>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</si>
  <si>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</si>
  <si>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</si>
  <si>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</si>
  <si>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</si>
  <si>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</si>
  <si>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</si>
  <si>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</si>
  <si>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</si>
  <si>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</si>
  <si>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</si>
  <si>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</si>
  <si>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</si>
  <si>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</si>
  <si>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</si>
  <si>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</si>
  <si>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</si>
  <si>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</si>
  <si>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</si>
  <si>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</si>
  <si>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</si>
  <si>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</si>
  <si>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</si>
  <si>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</si>
  <si>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</si>
  <si>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</si>
  <si>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</si>
  <si>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</si>
  <si>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</si>
  <si>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</si>
  <si>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</si>
  <si>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</si>
  <si>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</si>
  <si>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</si>
  <si>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</si>
  <si>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</si>
  <si>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</si>
  <si>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</si>
  <si>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</si>
  <si>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</si>
  <si>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</si>
  <si>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</si>
  <si>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</si>
  <si>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</si>
  <si>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</si>
  <si>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</si>
  <si>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</si>
  <si>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</si>
  <si>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</si>
  <si>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</si>
  <si>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</si>
  <si>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</si>
  <si>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</si>
  <si>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</si>
  <si>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</si>
  <si>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</si>
  <si>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</si>
  <si>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</si>
  <si>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</si>
  <si>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</si>
  <si>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</si>
  <si>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</si>
  <si>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</si>
  <si>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</si>
  <si>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</si>
  <si>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</si>
  <si>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</si>
  <si>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</si>
  <si>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</si>
  <si>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</si>
  <si>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</si>
  <si>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</si>
  <si>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</si>
  <si>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</si>
  <si>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</si>
  <si>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</si>
  <si>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</si>
  <si>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</si>
  <si>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</si>
  <si>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</si>
  <si>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</si>
  <si>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</si>
  <si>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</si>
  <si>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</si>
  <si>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</si>
  <si>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</si>
  <si>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</si>
  <si>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</si>
  <si>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</si>
  <si>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</si>
  <si>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</si>
  <si>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</si>
  <si>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</si>
  <si>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</si>
  <si>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</si>
  <si>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</si>
  <si>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</si>
  <si>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</si>
  <si>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</si>
  <si>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</si>
  <si>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</si>
  <si>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</si>
  <si>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</si>
  <si>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</si>
  <si>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</si>
  <si>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</si>
  <si>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</si>
  <si>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</si>
  <si>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</si>
  <si>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</si>
  <si>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</si>
  <si>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</si>
  <si>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</si>
  <si>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</si>
  <si>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</si>
  <si>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</si>
  <si>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</si>
  <si>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</si>
  <si>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</si>
  <si>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</si>
  <si>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</si>
  <si>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</si>
  <si>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</si>
  <si>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</si>
  <si>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</si>
  <si>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</si>
  <si>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</si>
  <si>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</si>
  <si>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</si>
  <si>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</si>
  <si>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</si>
  <si>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</si>
  <si>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</si>
  <si>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</si>
  <si>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</si>
  <si>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</si>
  <si>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</si>
  <si>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</si>
  <si>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</si>
  <si>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</si>
  <si>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</si>
  <si>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</si>
  <si>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</si>
  <si>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</si>
  <si>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</si>
  <si>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</si>
  <si>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</si>
  <si>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</si>
  <si>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             Spitzenwert = </t>
  </si>
  <si>
    <t>s-1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</si>
  <si>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</si>
  <si>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</si>
  <si>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</si>
  <si>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</si>
  <si>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</si>
  <si>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</si>
  <si>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</si>
  <si>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</si>
  <si>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</si>
  <si>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</si>
  <si>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</si>
  <si>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</si>
  <si>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</si>
  <si>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</si>
  <si>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</si>
  <si>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</si>
  <si>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</si>
  <si>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</si>
  <si>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</si>
  <si>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</si>
  <si>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</si>
  <si>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</si>
  <si>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</si>
  <si>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</si>
  <si>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</si>
  <si>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</si>
  <si>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</si>
  <si>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</si>
  <si>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</si>
  <si>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</si>
  <si>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</si>
  <si>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</si>
  <si>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</si>
  <si>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</si>
  <si>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</si>
  <si>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</si>
  <si>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t>Serieschaltung:</t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</si>
  <si>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</si>
  <si>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</si>
  <si>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</si>
  <si>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</si>
  <si>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</si>
  <si>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</si>
  <si>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</si>
  <si>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</si>
  <si>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</si>
  <si>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</si>
  <si>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</si>
  <si>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</si>
  <si>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</si>
  <si>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</si>
  <si>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</si>
  <si>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</si>
  <si>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</si>
  <si>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</si>
  <si>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</si>
  <si>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</si>
  <si>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</si>
  <si>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</si>
  <si>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</si>
  <si>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</si>
  <si>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</si>
  <si>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</si>
  <si>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</si>
  <si>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</si>
  <si>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</si>
  <si>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</si>
  <si>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</si>
  <si>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</si>
  <si>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</si>
  <si>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</si>
  <si>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</si>
  <si>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</si>
  <si>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</si>
  <si>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</si>
  <si>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</si>
  <si>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</si>
  <si>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</si>
  <si>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</si>
  <si>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</si>
  <si>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</si>
  <si>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</si>
  <si>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</si>
  <si>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</si>
  <si>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</si>
  <si>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</si>
  <si>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</si>
  <si>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</si>
  <si>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</si>
  <si>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</si>
  <si>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</si>
  <si>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</si>
  <si>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</si>
  <si>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</si>
  <si>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</si>
  <si>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</si>
  <si>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</si>
  <si>
    <t>Regeln (Kirchhof):</t>
  </si>
  <si>
    <r>
      <t>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</si>
  <si>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+ U</t>
    </r>
    <r>
      <rPr>
        <vertAlign val="subscript"/>
        <sz val="11"/>
        <color rgb="FF00B0F0"/>
        <rFont val="Calibri"/>
        <family val="2"/>
        <scheme val="minor"/>
      </rPr>
      <t>L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</si>
  <si>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 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+ I</t>
    </r>
    <r>
      <rPr>
        <vertAlign val="subscript"/>
        <sz val="11"/>
        <color rgb="FFFF0000"/>
        <rFont val="Calibri"/>
        <family val="2"/>
        <scheme val="minor"/>
      </rPr>
      <t>L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</si>
  <si>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</si>
  <si>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</si>
  <si>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</si>
  <si>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</si>
  <si>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</si>
  <si>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</si>
  <si>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</si>
  <si>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</si>
  <si>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rgb="FF00B0F0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</si>
  <si>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</si>
  <si>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= U</t>
    </r>
    <r>
      <rPr>
        <vertAlign val="subscript"/>
        <sz val="11"/>
        <color rgb="FF00B0F0"/>
        <rFont val="Calibri"/>
        <family val="2"/>
        <scheme val="minor"/>
      </rPr>
      <t>2</t>
    </r>
    <r>
      <rPr>
        <sz val="11"/>
        <color rgb="FF00B0F0"/>
        <rFont val="Calibri"/>
        <family val="2"/>
        <scheme val="minor"/>
      </rPr>
      <t xml:space="preserve">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</si>
  <si>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-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</si>
  <si>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</si>
  <si>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</si>
  <si>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</si>
  <si>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/ 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</si>
  <si>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+ (R</t>
    </r>
    <r>
      <rPr>
        <vertAlign val="subscript"/>
        <sz val="11"/>
        <color theme="1"/>
        <rFont val="Calibri"/>
        <family val="2"/>
        <scheme val="minor"/>
      </rPr>
      <t>22</t>
    </r>
    <r>
      <rPr>
        <sz val="11"/>
        <color theme="1"/>
        <rFont val="Calibri"/>
        <family val="2"/>
        <scheme val="minor"/>
      </rPr>
      <t>||R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>)=</t>
    </r>
  </si>
  <si>
    <r>
      <t>R</t>
    </r>
    <r>
      <rPr>
        <vertAlign val="subscript"/>
        <sz val="11"/>
        <color theme="1"/>
        <rFont val="Calibri"/>
        <family val="2"/>
        <scheme val="minor"/>
      </rPr>
      <t>11</t>
    </r>
    <r>
      <rPr>
        <sz val="11"/>
        <color theme="1"/>
        <rFont val="Calibri"/>
        <family val="2"/>
        <scheme val="minor"/>
      </rPr>
      <t xml:space="preserve"> *</t>
    </r>
    <r>
      <rPr>
        <sz val="11"/>
        <color rgb="FFFF0000"/>
        <rFont val="Calibri"/>
        <family val="2"/>
        <scheme val="minor"/>
      </rPr>
      <t xml:space="preserve"> 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color theme="1"/>
        <rFont val="Calibri"/>
        <family val="2"/>
        <scheme val="minor"/>
      </rPr>
      <t>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</si>
  <si>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/ </t>
    </r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IN</t>
    </r>
    <r>
      <rPr>
        <sz val="11"/>
        <color theme="1"/>
        <rFont val="Calibri"/>
        <family val="2"/>
        <scheme val="minor"/>
      </rPr>
      <t xml:space="preserve"> (Leerlauf) =</t>
    </r>
  </si>
  <si>
    <r>
      <rPr>
        <sz val="11"/>
        <color rgb="FF00B0F0"/>
        <rFont val="Calibri"/>
        <family val="2"/>
        <scheme val="minor"/>
      </rPr>
      <t>U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(Leerlauf) =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</si>
  <si>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</si>
  <si>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Blindwiderstand 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</si>
  <si>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</si>
  <si>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</si>
  <si>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Scheinwiderstand 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</si>
  <si>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r>
      <t>Kompensation: 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L</t>
    </r>
  </si>
  <si>
    <t>1/2*π*f*C = 2*π*f*L</t>
  </si>
  <si>
    <t xml:space="preserve">cos(φ) = </t>
  </si>
  <si>
    <r>
      <t>Û = 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* wurzel(2)</t>
    </r>
  </si>
  <si>
    <t>Gemessene Spannung</t>
  </si>
  <si>
    <t>T = 1/f</t>
  </si>
  <si>
    <t>ω = 2 *  π * f</t>
  </si>
  <si>
    <t>Spitzenwert / Effektivwert / Wellenlänge / Periodendauer</t>
  </si>
  <si>
    <t xml:space="preserve">Ausbreitunbgsgeschwindigkeit v = </t>
  </si>
  <si>
    <t xml:space="preserve">                 Frequenz f =</t>
  </si>
  <si>
    <r>
      <t xml:space="preserve">              Effektiv-Wert U</t>
    </r>
    <r>
      <rPr>
        <vertAlign val="subscript"/>
        <sz val="11"/>
        <color theme="1"/>
        <rFont val="Calibri"/>
        <family val="2"/>
        <scheme val="minor"/>
      </rPr>
      <t xml:space="preserve">eff </t>
    </r>
    <r>
      <rPr>
        <sz val="11"/>
        <color theme="1"/>
        <rFont val="Calibri"/>
        <family val="2"/>
        <scheme val="minor"/>
      </rPr>
      <t>=</t>
    </r>
  </si>
  <si>
    <t xml:space="preserve">Zeit t = </t>
  </si>
  <si>
    <t>u(t) = Û * sin(2 *  π * f * t)</t>
  </si>
  <si>
    <t>λ = v * 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</si>
</sst>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  <numFmt numFmtId="177" formatCode="#,##0.0000"/>
  </numFmts>
  <fonts count="11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  <font>
      <sz val="8"/>
      <color rgb="FF00B0F0"/>
      <name val="Calibri"/>
      <family val="2"/>
      <scheme val="minor"/>
    </font>
    <font>
      <sz val="8"/>
      <color rgb="FFFF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2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114" fillId="0" borderId="0" xfId="0" applyFont="1"/>
    <xf numFmtId="0" fontId="115" fillId="0" borderId="0" xfId="0" applyFont="1"/>
    <xf numFmtId="0" fontId="62" fillId="0" borderId="2" xfId="0" applyFont="1" applyBorder="1"/>
    <xf numFmtId="0" fontId="1" fillId="0" borderId="0" xfId="0" applyFont="1" applyAlignment="1">
      <alignment horizontal="center"/>
    </xf>
    <xf numFmtId="10" fontId="0" fillId="0" borderId="7" xfId="0" applyNumberFormat="1" applyBorder="1" applyAlignment="1">
      <alignment horizontal="center"/>
    </xf>
    <xf numFmtId="0" fontId="70" fillId="0" borderId="0" xfId="0" applyFont="1"/>
    <xf numFmtId="0" fontId="0" fillId="0" borderId="2" xfId="0" applyBorder="1" applyAlignment="1">
      <alignment horizontal="left"/>
    </xf>
    <xf numFmtId="0" fontId="0" fillId="2" borderId="19" xfId="0" applyFill="1" applyBorder="1" applyAlignment="1">
      <alignment horizontal="right"/>
    </xf>
    <xf numFmtId="0" fontId="0" fillId="2" borderId="20" xfId="0" applyFill="1" applyBorder="1" applyAlignment="1">
      <alignment horizontal="right"/>
    </xf>
    <xf numFmtId="177" fontId="0" fillId="3" borderId="2" xfId="0" applyNumberFormat="1" applyFill="1" applyBorder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/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2" borderId="3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0" fillId="2" borderId="19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'Belasteter Spannungsteiler'!$B$41</c:f>
              <c:strCache>
                <c:ptCount val="1"/>
                <c:pt idx="0">
                  <c:v>UL = f(RL)   R1/R2 =0.333333333333333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Spannungsteiler'!$D$31:$AM$31</c:f>
              <c:numCache>
                <c:formatCode>#,##0.00</c:formatCode>
                <c:ptCount val="36"/>
                <c:pt idx="0">
                  <c:v>0</c:v>
                </c:pt>
                <c:pt idx="1">
                  <c:v>5.1428571428571432</c:v>
                </c:pt>
                <c:pt idx="2">
                  <c:v>6.545454545454545</c:v>
                </c:pt>
                <c:pt idx="3">
                  <c:v>7.2</c:v>
                </c:pt>
                <c:pt idx="4">
                  <c:v>7.5789473684210531</c:v>
                </c:pt>
                <c:pt idx="5">
                  <c:v>7.8260869565217392</c:v>
                </c:pt>
                <c:pt idx="6">
                  <c:v>8</c:v>
                </c:pt>
                <c:pt idx="7">
                  <c:v>8.129032258064516</c:v>
                </c:pt>
                <c:pt idx="8">
                  <c:v>8.2285714285714278</c:v>
                </c:pt>
                <c:pt idx="9">
                  <c:v>8.3076923076923084</c:v>
                </c:pt>
                <c:pt idx="10">
                  <c:v>8.3720930232558146</c:v>
                </c:pt>
                <c:pt idx="11">
                  <c:v>8.4255319148936181</c:v>
                </c:pt>
                <c:pt idx="12">
                  <c:v>8.4705882352941178</c:v>
                </c:pt>
                <c:pt idx="13">
                  <c:v>8.5090909090909097</c:v>
                </c:pt>
                <c:pt idx="14">
                  <c:v>8.5423728813559325</c:v>
                </c:pt>
                <c:pt idx="15">
                  <c:v>8.5714285714285712</c:v>
                </c:pt>
                <c:pt idx="16">
                  <c:v>8.5970149253731343</c:v>
                </c:pt>
                <c:pt idx="17">
                  <c:v>8.6197183098591541</c:v>
                </c:pt>
                <c:pt idx="18">
                  <c:v>8.64</c:v>
                </c:pt>
                <c:pt idx="19">
                  <c:v>8.6582278481012658</c:v>
                </c:pt>
                <c:pt idx="20">
                  <c:v>8.6746987951807224</c:v>
                </c:pt>
                <c:pt idx="21">
                  <c:v>8.6896551724137936</c:v>
                </c:pt>
                <c:pt idx="22">
                  <c:v>8.7032967032967044</c:v>
                </c:pt>
                <c:pt idx="23">
                  <c:v>8.715789473684211</c:v>
                </c:pt>
                <c:pt idx="24">
                  <c:v>8.7272727272727266</c:v>
                </c:pt>
                <c:pt idx="25">
                  <c:v>8.7378640776699044</c:v>
                </c:pt>
                <c:pt idx="26">
                  <c:v>8.7476635514018692</c:v>
                </c:pt>
                <c:pt idx="27">
                  <c:v>8.7567567567567579</c:v>
                </c:pt>
                <c:pt idx="28">
                  <c:v>8.765217391304347</c:v>
                </c:pt>
                <c:pt idx="29">
                  <c:v>8.7731092436974798</c:v>
                </c:pt>
                <c:pt idx="30">
                  <c:v>8.7804878048780495</c:v>
                </c:pt>
                <c:pt idx="31">
                  <c:v>8.78740157480315</c:v>
                </c:pt>
                <c:pt idx="32">
                  <c:v>8.7938931297709928</c:v>
                </c:pt>
                <c:pt idx="33">
                  <c:v>8.8000000000000007</c:v>
                </c:pt>
                <c:pt idx="34">
                  <c:v>8.8057553956834536</c:v>
                </c:pt>
                <c:pt idx="35">
                  <c:v>8.8111888111888117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9AA-49B1-934C-B331BA9ED09B}"/>
            </c:ext>
          </c:extLst>
        </c:ser>
        <c:ser>
          <c:idx val="1"/>
          <c:order val="1"/>
          <c:tx>
            <c:strRef>
              <c:f>'Belasteter Spannungsteiler'!$B$42</c:f>
              <c:strCache>
                <c:ptCount val="1"/>
                <c:pt idx="0">
                  <c:v>UL = f(RL)   R11/R22 =0.333333333333333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'Belasteter Spannungsteiler'!$D$27:$AM$27</c:f>
              <c:numCache>
                <c:formatCode>General</c:formatCode>
                <c:ptCount val="36"/>
                <c:pt idx="0">
                  <c:v>0</c:v>
                </c:pt>
                <c:pt idx="1">
                  <c:v>1000</c:v>
                </c:pt>
                <c:pt idx="2">
                  <c:v>2000</c:v>
                </c:pt>
                <c:pt idx="3">
                  <c:v>3000</c:v>
                </c:pt>
                <c:pt idx="4">
                  <c:v>4000</c:v>
                </c:pt>
                <c:pt idx="5">
                  <c:v>5000</c:v>
                </c:pt>
                <c:pt idx="6">
                  <c:v>6000</c:v>
                </c:pt>
                <c:pt idx="7">
                  <c:v>7000</c:v>
                </c:pt>
                <c:pt idx="8">
                  <c:v>8000</c:v>
                </c:pt>
                <c:pt idx="9">
                  <c:v>9000</c:v>
                </c:pt>
                <c:pt idx="10">
                  <c:v>10000</c:v>
                </c:pt>
                <c:pt idx="11">
                  <c:v>11000</c:v>
                </c:pt>
                <c:pt idx="12">
                  <c:v>12000</c:v>
                </c:pt>
                <c:pt idx="13">
                  <c:v>13000</c:v>
                </c:pt>
                <c:pt idx="14">
                  <c:v>14000</c:v>
                </c:pt>
                <c:pt idx="15">
                  <c:v>15000</c:v>
                </c:pt>
                <c:pt idx="16">
                  <c:v>16000</c:v>
                </c:pt>
                <c:pt idx="17">
                  <c:v>17000</c:v>
                </c:pt>
                <c:pt idx="18">
                  <c:v>18000</c:v>
                </c:pt>
                <c:pt idx="19">
                  <c:v>19000</c:v>
                </c:pt>
                <c:pt idx="20">
                  <c:v>20000</c:v>
                </c:pt>
                <c:pt idx="21">
                  <c:v>21000</c:v>
                </c:pt>
                <c:pt idx="22">
                  <c:v>22000</c:v>
                </c:pt>
                <c:pt idx="23">
                  <c:v>23000</c:v>
                </c:pt>
                <c:pt idx="24">
                  <c:v>24000</c:v>
                </c:pt>
                <c:pt idx="25">
                  <c:v>25000</c:v>
                </c:pt>
                <c:pt idx="26">
                  <c:v>26000</c:v>
                </c:pt>
                <c:pt idx="27">
                  <c:v>27000</c:v>
                </c:pt>
                <c:pt idx="28">
                  <c:v>28000</c:v>
                </c:pt>
                <c:pt idx="29">
                  <c:v>29000</c:v>
                </c:pt>
                <c:pt idx="30">
                  <c:v>30000</c:v>
                </c:pt>
                <c:pt idx="31">
                  <c:v>31000</c:v>
                </c:pt>
                <c:pt idx="32">
                  <c:v>32000</c:v>
                </c:pt>
                <c:pt idx="33">
                  <c:v>33000</c:v>
                </c:pt>
                <c:pt idx="34">
                  <c:v>34000</c:v>
                </c:pt>
                <c:pt idx="35">
                  <c:v>35000</c:v>
                </c:pt>
              </c:numCache>
            </c:numRef>
          </c:xVal>
          <c:yVal>
            <c:numRef>
              <c:f>'Belasteter Spannungsteiler'!$D$35:$AM$35</c:f>
              <c:numCache>
                <c:formatCode>#,##0.00</c:formatCode>
                <c:ptCount val="36"/>
                <c:pt idx="0">
                  <c:v>0</c:v>
                </c:pt>
                <c:pt idx="1">
                  <c:v>3.2142857142857135</c:v>
                </c:pt>
                <c:pt idx="2">
                  <c:v>4.7368421052631575</c:v>
                </c:pt>
                <c:pt idx="3">
                  <c:v>5.6250000000000009</c:v>
                </c:pt>
                <c:pt idx="4">
                  <c:v>6.2068965517241361</c:v>
                </c:pt>
                <c:pt idx="5">
                  <c:v>6.617647058823529</c:v>
                </c:pt>
                <c:pt idx="6">
                  <c:v>6.9230769230769234</c:v>
                </c:pt>
                <c:pt idx="7">
                  <c:v>7.1590909090909092</c:v>
                </c:pt>
                <c:pt idx="8">
                  <c:v>7.3469387755102034</c:v>
                </c:pt>
                <c:pt idx="9">
                  <c:v>7.5</c:v>
                </c:pt>
                <c:pt idx="10">
                  <c:v>7.6271186440677967</c:v>
                </c:pt>
                <c:pt idx="11">
                  <c:v>7.734375</c:v>
                </c:pt>
                <c:pt idx="12">
                  <c:v>7.8260869565217392</c:v>
                </c:pt>
                <c:pt idx="13">
                  <c:v>7.9054054054054053</c:v>
                </c:pt>
                <c:pt idx="14">
                  <c:v>7.9746835443037973</c:v>
                </c:pt>
                <c:pt idx="15">
                  <c:v>8.0357142857142847</c:v>
                </c:pt>
                <c:pt idx="16">
                  <c:v>8.0898876404494384</c:v>
                </c:pt>
                <c:pt idx="17">
                  <c:v>8.1382978723404253</c:v>
                </c:pt>
                <c:pt idx="18">
                  <c:v>8.1818181818181817</c:v>
                </c:pt>
                <c:pt idx="19">
                  <c:v>8.2211538461538467</c:v>
                </c:pt>
                <c:pt idx="20">
                  <c:v>8.2568807339449535</c:v>
                </c:pt>
                <c:pt idx="21">
                  <c:v>8.2894736842105274</c:v>
                </c:pt>
                <c:pt idx="22">
                  <c:v>8.3193277310924376</c:v>
                </c:pt>
                <c:pt idx="23">
                  <c:v>8.3467741935483879</c:v>
                </c:pt>
                <c:pt idx="24">
                  <c:v>8.3720930232558146</c:v>
                </c:pt>
                <c:pt idx="25">
                  <c:v>8.3955223880597014</c:v>
                </c:pt>
                <c:pt idx="26">
                  <c:v>8.4172661870503589</c:v>
                </c:pt>
                <c:pt idx="27">
                  <c:v>8.4375</c:v>
                </c:pt>
                <c:pt idx="28">
                  <c:v>8.4563758389261743</c:v>
                </c:pt>
                <c:pt idx="29">
                  <c:v>8.4740259740259738</c:v>
                </c:pt>
                <c:pt idx="30">
                  <c:v>8.4905660377358494</c:v>
                </c:pt>
                <c:pt idx="31">
                  <c:v>8.5060975609756113</c:v>
                </c:pt>
                <c:pt idx="32">
                  <c:v>8.5207100591715967</c:v>
                </c:pt>
                <c:pt idx="33">
                  <c:v>8.5344827586206904</c:v>
                </c:pt>
                <c:pt idx="34">
                  <c:v>8.5474860335195526</c:v>
                </c:pt>
                <c:pt idx="35">
                  <c:v>8.5597826086956523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AA-49B1-934C-B331BA9ED0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117840"/>
        <c:axId val="56121200"/>
      </c:scatterChart>
      <c:valAx>
        <c:axId val="5611784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21200"/>
        <c:crosses val="autoZero"/>
        <c:crossBetween val="midCat"/>
      </c:valAx>
      <c:valAx>
        <c:axId val="561212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117840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673548558070034"/>
          <c:h val="0.85279539377597657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Wechselspannung'!$AH$23:$AI$23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Wechselspannung'!$AK$23:$AL$23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Wechselspannung'!$AH$22:$AI$22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Wechselspannung'!$AK$22:$AL$22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 an Wechselspannung'!$AB$20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Wechselspannung'!$AH$20:$AI$20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Wechselspannung'!$AK$20:$AL$20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 an Wechselspannung'!$AD$21</c:f>
              <c:strCache>
                <c:ptCount val="1"/>
                <c:pt idx="0">
                  <c:v>Blindwiderstand XC = 1.59kΩ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Wechselspannung'!$AH$21:$AI$21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Wechselspannung'!$AK$21:$AL$21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 an Wechselspannung'!$AD$22</c:f>
              <c:strCache>
                <c:ptCount val="1"/>
                <c:pt idx="0">
                  <c:v>Scheinwiderstand ZRC = 2.19kΩ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Wechselspannung'!$AH$24:$AI$24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Wechselspannung'!$AK$24:$AL$24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89511631370776"/>
          <c:y val="0.74430992947999908"/>
          <c:w val="0.29896978010219832"/>
          <c:h val="0.2256565472218516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5887093604955965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Wechselspannung'!$AH$41:$AI$41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Wechselspannung'!$AK$41:$AL$41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Wechselspannung'!$AH$40:$AI$40</c:f>
              <c:numCache>
                <c:formatCode>General</c:formatCode>
                <c:ptCount val="2"/>
                <c:pt idx="0">
                  <c:v>-1650.0000000000002</c:v>
                </c:pt>
                <c:pt idx="1">
                  <c:v>1650.0000000000002</c:v>
                </c:pt>
              </c:numCache>
            </c:numRef>
          </c:xVal>
          <c:yVal>
            <c:numRef>
              <c:f>'LCR-Glieder an Wechselspannung'!$AK$40:$AL$40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Wechselspannung'!$AH$39:$AI$39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Wechselspannung'!$AK$39:$AL$39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 an Wechselspannung'!$AD$40</c:f>
              <c:strCache>
                <c:ptCount val="1"/>
                <c:pt idx="0">
                  <c:v>Scheinwiderstand ZRL = 1.58kΩ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Wechselspannung'!$AH$42:$AI$42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Wechselspannung'!$AK$42:$AL$42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896149203166565"/>
          <c:y val="0.60593443533495051"/>
          <c:w val="0.31038507968334345"/>
          <c:h val="0.3832064745995164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0918551607490539E-2"/>
          <c:y val="7.5907516731678365E-2"/>
          <c:w val="0.63950179737308843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Wechselspannung'!$AH$66:$AI$66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Wechselspannung'!$AK$66:$AL$66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Wechselspannung'!$AH$65:$AI$65</c:f>
              <c:numCache>
                <c:formatCode>General</c:formatCode>
                <c:ptCount val="2"/>
                <c:pt idx="0">
                  <c:v>-1749.0000000000002</c:v>
                </c:pt>
                <c:pt idx="1">
                  <c:v>1749.0000000000002</c:v>
                </c:pt>
              </c:numCache>
            </c:numRef>
          </c:xVal>
          <c:yVal>
            <c:numRef>
              <c:f>'LCR-Glieder an Wechselspannung'!$AK$65:$AL$65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 an Wechselspannung'!$AB$38</c:f>
              <c:strCache>
                <c:ptCount val="1"/>
                <c:pt idx="0">
                  <c:v>R = 1.5kΩ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Wechselspannung'!$AH$38:$AI$38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Wechselspannung'!$AK$38:$AL$38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 an Wechselspannung'!$AD$39</c:f>
              <c:strCache>
                <c:ptCount val="1"/>
                <c:pt idx="0">
                  <c:v>Blindwiderstand XL = 502.6548Ω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Wechselspannung'!$AH$60:$AI$60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Wechselspannung'!$AK$60:$AL$60</c:f>
              <c:numCache>
                <c:formatCode>General</c:formatCode>
                <c:ptCount val="2"/>
                <c:pt idx="0">
                  <c:v>0</c:v>
                </c:pt>
                <c:pt idx="1">
                  <c:v>502.65480000000002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 an Wechselspannung'!$M$28</c:f>
              <c:strCache>
                <c:ptCount val="1"/>
                <c:pt idx="0">
                  <c:v>Blindwiderstand XC = 1.59 * 10³Ω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Wechselspannung'!$AH$59:$AI$59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Wechselspannung'!$AK$59:$AL$59</c:f>
              <c:numCache>
                <c:formatCode>General</c:formatCode>
                <c:ptCount val="2"/>
                <c:pt idx="0">
                  <c:v>0</c:v>
                </c:pt>
                <c:pt idx="1">
                  <c:v>-1590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 an Wechselspannung'!$AG$61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 an Wechselspannung'!$AH$61:$AI$61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 an Wechselspannung'!$AK$61:$AL$61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 an Wechselspannung'!$AG$64</c:f>
              <c:strCache>
                <c:ptCount val="1"/>
                <c:pt idx="0">
                  <c:v>ZRLC:</c:v>
                </c:pt>
              </c:strCache>
            </c:strRef>
          </c:tx>
          <c:spPr>
            <a:ln w="3810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38100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 an Wechselspannung'!$AH$64:$AI$64</c:f>
              <c:numCache>
                <c:formatCode>General</c:formatCode>
                <c:ptCount val="2"/>
                <c:pt idx="0">
                  <c:v>0</c:v>
                </c:pt>
                <c:pt idx="1">
                  <c:v>1500</c:v>
                </c:pt>
              </c:numCache>
            </c:numRef>
          </c:xVal>
          <c:yVal>
            <c:numRef>
              <c:f>'LCR-Glieder an Wechselspannung'!$AK$64:$AL$64</c:f>
              <c:numCache>
                <c:formatCode>General</c:formatCode>
                <c:ptCount val="2"/>
                <c:pt idx="0">
                  <c:v>0</c:v>
                </c:pt>
                <c:pt idx="1">
                  <c:v>-1087.3452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67655188593711379"/>
          <c:y val="0.56317373812068328"/>
          <c:w val="0.31861513441867345"/>
          <c:h val="0.4250035635236990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26.762058453207437</c:v>
                </c:pt>
                <c:pt idx="7">
                  <c:v>29.731579678024037</c:v>
                </c:pt>
                <c:pt idx="8">
                  <c:v>32.388824022104693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40.502157403635032</c:v>
                </c:pt>
                <c:pt idx="13">
                  <c:v>42.0267604357865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3.0578787139746315E-47</c:v>
                </c:pt>
                <c:pt idx="2">
                  <c:v>1.7001131326143899E-95</c:v>
                </c:pt>
                <c:pt idx="3">
                  <c:v>9.4522541083094524E-144</c:v>
                </c:pt>
                <c:pt idx="4">
                  <c:v>5.2552448430689352E-192</c:v>
                </c:pt>
                <c:pt idx="5">
                  <c:v>2.9218002440626845E-240</c:v>
                </c:pt>
                <c:pt idx="6">
                  <c:v>1.6244565041464168E-288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1.7999999999999999E-2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1.7999999999999999E-2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4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0.69459271066772132</c:v>
                </c:pt>
                <c:pt idx="2">
                  <c:v>1.3680805733026749</c:v>
                </c:pt>
                <c:pt idx="3">
                  <c:v>1.9999999999999998</c:v>
                </c:pt>
                <c:pt idx="4">
                  <c:v>2.571150438746157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3.7587704831436337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1.9999999999999998</c:v>
                </c:pt>
                <c:pt idx="16">
                  <c:v>1.3680805733026755</c:v>
                </c:pt>
                <c:pt idx="17">
                  <c:v>0.6945927106677211</c:v>
                </c:pt>
                <c:pt idx="18">
                  <c:v>4.90059381963448E-16</c:v>
                </c:pt>
                <c:pt idx="19">
                  <c:v>-0.69459271066772188</c:v>
                </c:pt>
                <c:pt idx="20">
                  <c:v>-1.3680805733026746</c:v>
                </c:pt>
                <c:pt idx="21">
                  <c:v>-2.0000000000000004</c:v>
                </c:pt>
                <c:pt idx="22">
                  <c:v>-2.571150438746157</c:v>
                </c:pt>
                <c:pt idx="23">
                  <c:v>-3.0641777724759116</c:v>
                </c:pt>
                <c:pt idx="24">
                  <c:v>-3.4641016151377535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-3.0641777724759125</c:v>
                </c:pt>
                <c:pt idx="32">
                  <c:v>-2.5711504387461583</c:v>
                </c:pt>
                <c:pt idx="33">
                  <c:v>-2.0000000000000018</c:v>
                </c:pt>
                <c:pt idx="34">
                  <c:v>-1.3680805733026744</c:v>
                </c:pt>
                <c:pt idx="35">
                  <c:v>-0.6945927106677251</c:v>
                </c:pt>
                <c:pt idx="36">
                  <c:v>-9.8011876392689601E-16</c:v>
                </c:pt>
                <c:pt idx="37">
                  <c:v>0.69459271066771966</c:v>
                </c:pt>
                <c:pt idx="38">
                  <c:v>1.3680805733026757</c:v>
                </c:pt>
                <c:pt idx="39">
                  <c:v>1.9999999999999971</c:v>
                </c:pt>
                <c:pt idx="40">
                  <c:v>2.5711504387461566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4 * cos(x - 90)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2.45029690981724E-16</c:v>
                </c:pt>
                <c:pt idx="1">
                  <c:v>0.69459271066772166</c:v>
                </c:pt>
                <c:pt idx="2">
                  <c:v>1.3680805733026753</c:v>
                </c:pt>
                <c:pt idx="3">
                  <c:v>1.9999999999999996</c:v>
                </c:pt>
                <c:pt idx="4">
                  <c:v>2.5711504387461575</c:v>
                </c:pt>
                <c:pt idx="5">
                  <c:v>3.0641777724759121</c:v>
                </c:pt>
                <c:pt idx="6">
                  <c:v>3.4641016151377544</c:v>
                </c:pt>
                <c:pt idx="7">
                  <c:v>3.7587704831436333</c:v>
                </c:pt>
                <c:pt idx="8">
                  <c:v>3.9392310120488321</c:v>
                </c:pt>
                <c:pt idx="9">
                  <c:v>4</c:v>
                </c:pt>
                <c:pt idx="10">
                  <c:v>3.9392310120488321</c:v>
                </c:pt>
                <c:pt idx="11">
                  <c:v>3.7587704831436333</c:v>
                </c:pt>
                <c:pt idx="12">
                  <c:v>3.4641016151377548</c:v>
                </c:pt>
                <c:pt idx="13">
                  <c:v>3.0641777724759121</c:v>
                </c:pt>
                <c:pt idx="14">
                  <c:v>2.5711504387461579</c:v>
                </c:pt>
                <c:pt idx="15">
                  <c:v>1.9999999999999996</c:v>
                </c:pt>
                <c:pt idx="16">
                  <c:v>1.3680805733026753</c:v>
                </c:pt>
                <c:pt idx="17">
                  <c:v>0.69459271066772088</c:v>
                </c:pt>
                <c:pt idx="18">
                  <c:v>2.45029690981724E-16</c:v>
                </c:pt>
                <c:pt idx="19">
                  <c:v>-0.6945927106677221</c:v>
                </c:pt>
                <c:pt idx="20">
                  <c:v>-1.3680805733026749</c:v>
                </c:pt>
                <c:pt idx="21">
                  <c:v>-2.0000000000000009</c:v>
                </c:pt>
                <c:pt idx="22">
                  <c:v>-2.5711504387461575</c:v>
                </c:pt>
                <c:pt idx="23">
                  <c:v>-3.0641777724759116</c:v>
                </c:pt>
                <c:pt idx="24">
                  <c:v>-3.4641016151377539</c:v>
                </c:pt>
                <c:pt idx="25">
                  <c:v>-3.7587704831436328</c:v>
                </c:pt>
                <c:pt idx="26">
                  <c:v>-3.9392310120488321</c:v>
                </c:pt>
                <c:pt idx="27">
                  <c:v>-4</c:v>
                </c:pt>
                <c:pt idx="28">
                  <c:v>-3.9392310120488325</c:v>
                </c:pt>
                <c:pt idx="29">
                  <c:v>-3.7587704831436342</c:v>
                </c:pt>
                <c:pt idx="30">
                  <c:v>-3.4641016151377544</c:v>
                </c:pt>
                <c:pt idx="31">
                  <c:v>-3.0641777724759121</c:v>
                </c:pt>
                <c:pt idx="32">
                  <c:v>-2.5711504387461579</c:v>
                </c:pt>
                <c:pt idx="33">
                  <c:v>-2.0000000000000018</c:v>
                </c:pt>
                <c:pt idx="34">
                  <c:v>-1.3680805733026742</c:v>
                </c:pt>
                <c:pt idx="35">
                  <c:v>-0.69459271066772477</c:v>
                </c:pt>
                <c:pt idx="36">
                  <c:v>-7.3508907294517201E-16</c:v>
                </c:pt>
                <c:pt idx="37">
                  <c:v>0.69459271066771988</c:v>
                </c:pt>
                <c:pt idx="38">
                  <c:v>1.368080573302676</c:v>
                </c:pt>
                <c:pt idx="39">
                  <c:v>1.9999999999999973</c:v>
                </c:pt>
                <c:pt idx="40">
                  <c:v>2.571150438746157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2.45029690981724E-16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0.48245903371273308</c:v>
                </c:pt>
                <c:pt idx="2">
                  <c:v>1.8716444550481761</c:v>
                </c:pt>
                <c:pt idx="3">
                  <c:v>3.9999999999999987</c:v>
                </c:pt>
                <c:pt idx="4">
                  <c:v>6.6108145786645567</c:v>
                </c:pt>
                <c:pt idx="5">
                  <c:v>9.3891854213354424</c:v>
                </c:pt>
                <c:pt idx="6">
                  <c:v>11.999999999999998</c:v>
                </c:pt>
                <c:pt idx="7">
                  <c:v>14.128355544951821</c:v>
                </c:pt>
                <c:pt idx="8">
                  <c:v>15.517540966287266</c:v>
                </c:pt>
                <c:pt idx="9">
                  <c:v>16</c:v>
                </c:pt>
                <c:pt idx="10">
                  <c:v>15.517540966287266</c:v>
                </c:pt>
                <c:pt idx="11">
                  <c:v>14.128355544951823</c:v>
                </c:pt>
                <c:pt idx="12">
                  <c:v>12.000000000000002</c:v>
                </c:pt>
                <c:pt idx="13">
                  <c:v>9.3891854213354424</c:v>
                </c:pt>
                <c:pt idx="14">
                  <c:v>6.6108145786645602</c:v>
                </c:pt>
                <c:pt idx="15">
                  <c:v>3.9999999999999987</c:v>
                </c:pt>
                <c:pt idx="16">
                  <c:v>1.871644455048177</c:v>
                </c:pt>
                <c:pt idx="17">
                  <c:v>0.48245903371273235</c:v>
                </c:pt>
                <c:pt idx="18">
                  <c:v>1.2007909892519831E-31</c:v>
                </c:pt>
                <c:pt idx="19">
                  <c:v>0.48245903371273374</c:v>
                </c:pt>
                <c:pt idx="20">
                  <c:v>1.8716444550481752</c:v>
                </c:pt>
                <c:pt idx="21">
                  <c:v>4.0000000000000027</c:v>
                </c:pt>
                <c:pt idx="22">
                  <c:v>6.6108145786645567</c:v>
                </c:pt>
                <c:pt idx="23">
                  <c:v>9.3891854213354389</c:v>
                </c:pt>
                <c:pt idx="24">
                  <c:v>11.999999999999995</c:v>
                </c:pt>
                <c:pt idx="25">
                  <c:v>14.12835554495182</c:v>
                </c:pt>
                <c:pt idx="26">
                  <c:v>15.517540966287266</c:v>
                </c:pt>
                <c:pt idx="27">
                  <c:v>16</c:v>
                </c:pt>
                <c:pt idx="28">
                  <c:v>15.517540966287269</c:v>
                </c:pt>
                <c:pt idx="29">
                  <c:v>14.128355544951829</c:v>
                </c:pt>
                <c:pt idx="30">
                  <c:v>11.999999999999998</c:v>
                </c:pt>
                <c:pt idx="31">
                  <c:v>9.3891854213354442</c:v>
                </c:pt>
                <c:pt idx="32">
                  <c:v>6.6108145786645611</c:v>
                </c:pt>
                <c:pt idx="33">
                  <c:v>4.0000000000000071</c:v>
                </c:pt>
                <c:pt idx="34">
                  <c:v>1.8716444550481739</c:v>
                </c:pt>
                <c:pt idx="35">
                  <c:v>0.48245903371273785</c:v>
                </c:pt>
                <c:pt idx="36">
                  <c:v>7.2047459355118988E-31</c:v>
                </c:pt>
                <c:pt idx="37">
                  <c:v>0.48245903371273069</c:v>
                </c:pt>
                <c:pt idx="38">
                  <c:v>1.8716444550481783</c:v>
                </c:pt>
                <c:pt idx="39">
                  <c:v>3.9999999999999889</c:v>
                </c:pt>
                <c:pt idx="40">
                  <c:v>6.6108145786645549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4</c:v>
                </c:pt>
                <c:pt idx="2">
                  <c:v>0</c:v>
                </c:pt>
                <c:pt idx="3">
                  <c:v>-4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4</c:v>
                </c:pt>
                <c:pt idx="1">
                  <c:v>0</c:v>
                </c:pt>
                <c:pt idx="2">
                  <c:v>-4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4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4.2302448950735642E-2"/>
          <c:y val="0.26364711491931803"/>
          <c:w val="0.58241476031355699"/>
          <c:h val="0.6846246536724615"/>
        </c:manualLayout>
      </c:layout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400.10373654841072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363.73066958946424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-209.99999999999997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363.73066958946424</c:v>
                </c:pt>
                <c:pt idx="1">
                  <c:v>265.68412645992248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-209.99999999999997</c:v>
                </c:pt>
                <c:pt idx="1">
                  <c:v>-323.52037429618917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265.68412645992248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-323.52037429618917</c:v>
                </c:pt>
                <c:pt idx="1">
                  <c:v>-323.50184357825708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65.684127318391234</c:v>
                </c:pt>
                <c:pt idx="1">
                  <c:v>65.684127318391234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-323.50184357825708</c:v>
                </c:pt>
                <c:pt idx="1">
                  <c:v>-223.50184357825708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accent4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8.8000000000000007</c:v>
                </c:pt>
                <c:pt idx="1">
                  <c:v>0</c:v>
                </c:pt>
                <c:pt idx="2">
                  <c:v>-8.8000000000000007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8.8000000000000007</c:v>
                </c:pt>
                <c:pt idx="2">
                  <c:v>0</c:v>
                </c:pt>
                <c:pt idx="3">
                  <c:v>-8.8000000000000007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1.83772268236293E-16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3</c:v>
                </c:pt>
                <c:pt idx="1">
                  <c:v>2.9544232590366239</c:v>
                </c:pt>
                <c:pt idx="2">
                  <c:v>2.8190778623577253</c:v>
                </c:pt>
                <c:pt idx="3">
                  <c:v>2.598076211353316</c:v>
                </c:pt>
                <c:pt idx="4">
                  <c:v>2.2981333293569342</c:v>
                </c:pt>
                <c:pt idx="5">
                  <c:v>1.9283628290596184</c:v>
                </c:pt>
                <c:pt idx="6">
                  <c:v>1.5000000000000009</c:v>
                </c:pt>
                <c:pt idx="7">
                  <c:v>1.0260604299770066</c:v>
                </c:pt>
                <c:pt idx="8">
                  <c:v>0.5209445330007908</c:v>
                </c:pt>
                <c:pt idx="9">
                  <c:v>3.67544536472586E-16</c:v>
                </c:pt>
                <c:pt idx="10">
                  <c:v>-0.52094453300079002</c:v>
                </c:pt>
                <c:pt idx="11">
                  <c:v>-1.026060429977006</c:v>
                </c:pt>
                <c:pt idx="12">
                  <c:v>-1.4999999999999991</c:v>
                </c:pt>
                <c:pt idx="13">
                  <c:v>-1.9283628290596178</c:v>
                </c:pt>
                <c:pt idx="14">
                  <c:v>-2.2981333293569337</c:v>
                </c:pt>
                <c:pt idx="15">
                  <c:v>-2.5980762113533165</c:v>
                </c:pt>
                <c:pt idx="16">
                  <c:v>-2.8190778623577253</c:v>
                </c:pt>
                <c:pt idx="17">
                  <c:v>-2.9544232590366239</c:v>
                </c:pt>
                <c:pt idx="18">
                  <c:v>-3</c:v>
                </c:pt>
                <c:pt idx="19">
                  <c:v>-2.9544232590366244</c:v>
                </c:pt>
                <c:pt idx="20">
                  <c:v>-2.8190778623577257</c:v>
                </c:pt>
                <c:pt idx="21">
                  <c:v>-2.598076211353316</c:v>
                </c:pt>
                <c:pt idx="22">
                  <c:v>-2.2981333293569346</c:v>
                </c:pt>
                <c:pt idx="23">
                  <c:v>-1.9283628290596186</c:v>
                </c:pt>
                <c:pt idx="24">
                  <c:v>-1.5000000000000013</c:v>
                </c:pt>
                <c:pt idx="25">
                  <c:v>-1.0260604299770084</c:v>
                </c:pt>
                <c:pt idx="26">
                  <c:v>-0.52094453300079113</c:v>
                </c:pt>
                <c:pt idx="27">
                  <c:v>-7.3508907294517201E-16</c:v>
                </c:pt>
                <c:pt idx="28">
                  <c:v>0.5209445330007898</c:v>
                </c:pt>
                <c:pt idx="29">
                  <c:v>1.0260604299770044</c:v>
                </c:pt>
                <c:pt idx="30">
                  <c:v>1.5</c:v>
                </c:pt>
                <c:pt idx="31">
                  <c:v>1.9283628290596173</c:v>
                </c:pt>
                <c:pt idx="32">
                  <c:v>2.2981333293569333</c:v>
                </c:pt>
                <c:pt idx="33">
                  <c:v>2.5980762113533151</c:v>
                </c:pt>
                <c:pt idx="34">
                  <c:v>2.8190778623577253</c:v>
                </c:pt>
                <c:pt idx="35">
                  <c:v>2.9544232590366235</c:v>
                </c:pt>
                <c:pt idx="36">
                  <c:v>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8</c:v>
                </c:pt>
                <c:pt idx="1">
                  <c:v>7.1838693134299447</c:v>
                </c:pt>
                <c:pt idx="2">
                  <c:v>6.1494603929845937</c:v>
                </c:pt>
                <c:pt idx="3">
                  <c:v>4.9282032302755123</c:v>
                </c:pt>
                <c:pt idx="4">
                  <c:v>3.5572051062056684</c:v>
                </c:pt>
                <c:pt idx="5">
                  <c:v>2.078123105016406</c:v>
                </c:pt>
                <c:pt idx="6">
                  <c:v>0.53589838486225039</c:v>
                </c:pt>
                <c:pt idx="7">
                  <c:v>-1.0226093365382809</c:v>
                </c:pt>
                <c:pt idx="8">
                  <c:v>-2.5500455907133888</c:v>
                </c:pt>
                <c:pt idx="9">
                  <c:v>-3.9999999999999973</c:v>
                </c:pt>
                <c:pt idx="10">
                  <c:v>-5.3284164333842723</c:v>
                </c:pt>
                <c:pt idx="11">
                  <c:v>-6.4949316297489803</c:v>
                </c:pt>
                <c:pt idx="12">
                  <c:v>-7.4641016151377508</c:v>
                </c:pt>
                <c:pt idx="13">
                  <c:v>-8.2064786499682256</c:v>
                </c:pt>
                <c:pt idx="14">
                  <c:v>-8.699505983697982</c:v>
                </c:pt>
                <c:pt idx="15">
                  <c:v>-8.9282032302755088</c:v>
                </c:pt>
                <c:pt idx="16">
                  <c:v>-8.8856215395899429</c:v>
                </c:pt>
                <c:pt idx="17">
                  <c:v>-8.5730547347653872</c:v>
                </c:pt>
                <c:pt idx="18">
                  <c:v>-8.0000000000000018</c:v>
                </c:pt>
                <c:pt idx="19">
                  <c:v>-7.1838693134299465</c:v>
                </c:pt>
                <c:pt idx="20">
                  <c:v>-6.1494603929845972</c:v>
                </c:pt>
                <c:pt idx="21">
                  <c:v>-4.9282032302755105</c:v>
                </c:pt>
                <c:pt idx="22">
                  <c:v>-3.5572051062056698</c:v>
                </c:pt>
                <c:pt idx="23">
                  <c:v>-2.0781231050164068</c:v>
                </c:pt>
                <c:pt idx="24">
                  <c:v>-0.53589838486225172</c:v>
                </c:pt>
                <c:pt idx="25">
                  <c:v>1.0226093365382756</c:v>
                </c:pt>
                <c:pt idx="26">
                  <c:v>2.5500455907133879</c:v>
                </c:pt>
                <c:pt idx="27">
                  <c:v>3.9999999999999964</c:v>
                </c:pt>
                <c:pt idx="28">
                  <c:v>5.3284164333842714</c:v>
                </c:pt>
                <c:pt idx="29">
                  <c:v>6.4949316297489785</c:v>
                </c:pt>
                <c:pt idx="30">
                  <c:v>7.4641016151377544</c:v>
                </c:pt>
                <c:pt idx="31">
                  <c:v>8.2064786499682256</c:v>
                </c:pt>
                <c:pt idx="32">
                  <c:v>8.6995059836979802</c:v>
                </c:pt>
                <c:pt idx="33">
                  <c:v>8.928203230275507</c:v>
                </c:pt>
                <c:pt idx="34">
                  <c:v>8.8856215395899429</c:v>
                </c:pt>
                <c:pt idx="35">
                  <c:v>8.5730547347653854</c:v>
                </c:pt>
                <c:pt idx="36">
                  <c:v>8.0000000000000036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.xml"/><Relationship Id="rId1" Type="http://schemas.openxmlformats.org/officeDocument/2006/relationships/hyperlink" Target="#TOC!A1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2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58.xml"/><Relationship Id="rId21" Type="http://schemas.openxmlformats.org/officeDocument/2006/relationships/customXml" Target="../ink/ink10.xml"/><Relationship Id="rId42" Type="http://schemas.openxmlformats.org/officeDocument/2006/relationships/image" Target="../media/image23.png"/><Relationship Id="rId63" Type="http://schemas.openxmlformats.org/officeDocument/2006/relationships/customXml" Target="../ink/ink31.xml"/><Relationship Id="rId84" Type="http://schemas.openxmlformats.org/officeDocument/2006/relationships/image" Target="../media/image44.png"/><Relationship Id="rId138" Type="http://schemas.openxmlformats.org/officeDocument/2006/relationships/image" Target="../media/image71.png"/><Relationship Id="rId107" Type="http://schemas.openxmlformats.org/officeDocument/2006/relationships/customXml" Target="../ink/ink53.xml"/><Relationship Id="rId11" Type="http://schemas.openxmlformats.org/officeDocument/2006/relationships/customXml" Target="../ink/ink5.xml"/><Relationship Id="rId32" Type="http://schemas.openxmlformats.org/officeDocument/2006/relationships/image" Target="../media/image18.png"/><Relationship Id="rId53" Type="http://schemas.openxmlformats.org/officeDocument/2006/relationships/customXml" Target="../ink/ink26.xml"/><Relationship Id="rId74" Type="http://schemas.openxmlformats.org/officeDocument/2006/relationships/image" Target="../media/image39.png"/><Relationship Id="rId128" Type="http://schemas.openxmlformats.org/officeDocument/2006/relationships/image" Target="../media/image66.png"/><Relationship Id="rId149" Type="http://schemas.openxmlformats.org/officeDocument/2006/relationships/customXml" Target="../ink/ink74.xml"/><Relationship Id="rId5" Type="http://schemas.openxmlformats.org/officeDocument/2006/relationships/image" Target="../media/image5.png"/><Relationship Id="rId95" Type="http://schemas.openxmlformats.org/officeDocument/2006/relationships/customXml" Target="../ink/ink47.xml"/><Relationship Id="rId22" Type="http://schemas.openxmlformats.org/officeDocument/2006/relationships/image" Target="../media/image13.png"/><Relationship Id="rId27" Type="http://schemas.openxmlformats.org/officeDocument/2006/relationships/customXml" Target="../ink/ink13.xml"/><Relationship Id="rId43" Type="http://schemas.openxmlformats.org/officeDocument/2006/relationships/customXml" Target="../ink/ink21.xml"/><Relationship Id="rId48" Type="http://schemas.openxmlformats.org/officeDocument/2006/relationships/image" Target="../media/image26.png"/><Relationship Id="rId64" Type="http://schemas.openxmlformats.org/officeDocument/2006/relationships/image" Target="../media/image34.png"/><Relationship Id="rId69" Type="http://schemas.openxmlformats.org/officeDocument/2006/relationships/customXml" Target="../ink/ink34.xml"/><Relationship Id="rId113" Type="http://schemas.openxmlformats.org/officeDocument/2006/relationships/customXml" Target="../ink/ink56.xml"/><Relationship Id="rId118" Type="http://schemas.openxmlformats.org/officeDocument/2006/relationships/image" Target="../media/image61.png"/><Relationship Id="rId134" Type="http://schemas.openxmlformats.org/officeDocument/2006/relationships/image" Target="../media/image69.png"/><Relationship Id="rId139" Type="http://schemas.openxmlformats.org/officeDocument/2006/relationships/customXml" Target="../ink/ink69.xml"/><Relationship Id="rId80" Type="http://schemas.openxmlformats.org/officeDocument/2006/relationships/image" Target="../media/image42.png"/><Relationship Id="rId85" Type="http://schemas.openxmlformats.org/officeDocument/2006/relationships/customXml" Target="../ink/ink42.xml"/><Relationship Id="rId150" Type="http://schemas.openxmlformats.org/officeDocument/2006/relationships/image" Target="../media/image77.png"/><Relationship Id="rId12" Type="http://schemas.openxmlformats.org/officeDocument/2006/relationships/image" Target="../media/image8.png"/><Relationship Id="rId17" Type="http://schemas.openxmlformats.org/officeDocument/2006/relationships/customXml" Target="../ink/ink8.xml"/><Relationship Id="rId33" Type="http://schemas.openxmlformats.org/officeDocument/2006/relationships/customXml" Target="../ink/ink16.xml"/><Relationship Id="rId38" Type="http://schemas.openxmlformats.org/officeDocument/2006/relationships/image" Target="../media/image21.png"/><Relationship Id="rId59" Type="http://schemas.openxmlformats.org/officeDocument/2006/relationships/customXml" Target="../ink/ink29.xml"/><Relationship Id="rId103" Type="http://schemas.openxmlformats.org/officeDocument/2006/relationships/customXml" Target="../ink/ink51.xml"/><Relationship Id="rId108" Type="http://schemas.openxmlformats.org/officeDocument/2006/relationships/image" Target="../media/image56.png"/><Relationship Id="rId124" Type="http://schemas.openxmlformats.org/officeDocument/2006/relationships/image" Target="../media/image64.png"/><Relationship Id="rId129" Type="http://schemas.openxmlformats.org/officeDocument/2006/relationships/customXml" Target="../ink/ink64.xml"/><Relationship Id="rId54" Type="http://schemas.openxmlformats.org/officeDocument/2006/relationships/image" Target="../media/image29.png"/><Relationship Id="rId70" Type="http://schemas.openxmlformats.org/officeDocument/2006/relationships/image" Target="../media/image37.png"/><Relationship Id="rId75" Type="http://schemas.openxmlformats.org/officeDocument/2006/relationships/customXml" Target="../ink/ink37.xml"/><Relationship Id="rId91" Type="http://schemas.openxmlformats.org/officeDocument/2006/relationships/customXml" Target="../ink/ink45.xml"/><Relationship Id="rId96" Type="http://schemas.openxmlformats.org/officeDocument/2006/relationships/image" Target="../media/image50.png"/><Relationship Id="rId140" Type="http://schemas.openxmlformats.org/officeDocument/2006/relationships/image" Target="../media/image72.png"/><Relationship Id="rId145" Type="http://schemas.openxmlformats.org/officeDocument/2006/relationships/customXml" Target="../ink/ink72.xml"/><Relationship Id="rId1" Type="http://schemas.openxmlformats.org/officeDocument/2006/relationships/hyperlink" Target="#TOC!A1"/><Relationship Id="rId6" Type="http://schemas.openxmlformats.org/officeDocument/2006/relationships/chart" Target="../charts/chart3.xml"/><Relationship Id="rId23" Type="http://schemas.openxmlformats.org/officeDocument/2006/relationships/customXml" Target="../ink/ink11.xml"/><Relationship Id="rId28" Type="http://schemas.openxmlformats.org/officeDocument/2006/relationships/image" Target="../media/image16.png"/><Relationship Id="rId49" Type="http://schemas.openxmlformats.org/officeDocument/2006/relationships/customXml" Target="../ink/ink24.xml"/><Relationship Id="rId114" Type="http://schemas.openxmlformats.org/officeDocument/2006/relationships/image" Target="../media/image59.png"/><Relationship Id="rId119" Type="http://schemas.openxmlformats.org/officeDocument/2006/relationships/customXml" Target="../ink/ink59.xml"/><Relationship Id="rId44" Type="http://schemas.openxmlformats.org/officeDocument/2006/relationships/image" Target="../media/image24.png"/><Relationship Id="rId60" Type="http://schemas.openxmlformats.org/officeDocument/2006/relationships/image" Target="../media/image32.png"/><Relationship Id="rId65" Type="http://schemas.openxmlformats.org/officeDocument/2006/relationships/customXml" Target="../ink/ink32.xml"/><Relationship Id="rId81" Type="http://schemas.openxmlformats.org/officeDocument/2006/relationships/customXml" Target="../ink/ink40.xml"/><Relationship Id="rId86" Type="http://schemas.openxmlformats.org/officeDocument/2006/relationships/image" Target="../media/image45.png"/><Relationship Id="rId130" Type="http://schemas.openxmlformats.org/officeDocument/2006/relationships/image" Target="../media/image67.png"/><Relationship Id="rId135" Type="http://schemas.openxmlformats.org/officeDocument/2006/relationships/customXml" Target="../ink/ink67.xml"/><Relationship Id="rId151" Type="http://schemas.openxmlformats.org/officeDocument/2006/relationships/customXml" Target="../ink/ink75.xml"/><Relationship Id="rId13" Type="http://schemas.openxmlformats.org/officeDocument/2006/relationships/customXml" Target="../ink/ink6.xml"/><Relationship Id="rId18" Type="http://schemas.openxmlformats.org/officeDocument/2006/relationships/image" Target="../media/image11.png"/><Relationship Id="rId39" Type="http://schemas.openxmlformats.org/officeDocument/2006/relationships/customXml" Target="../ink/ink19.xml"/><Relationship Id="rId109" Type="http://schemas.openxmlformats.org/officeDocument/2006/relationships/customXml" Target="../ink/ink54.xml"/><Relationship Id="rId34" Type="http://schemas.openxmlformats.org/officeDocument/2006/relationships/image" Target="../media/image19.png"/><Relationship Id="rId50" Type="http://schemas.openxmlformats.org/officeDocument/2006/relationships/image" Target="../media/image27.png"/><Relationship Id="rId55" Type="http://schemas.openxmlformats.org/officeDocument/2006/relationships/customXml" Target="../ink/ink27.xml"/><Relationship Id="rId76" Type="http://schemas.openxmlformats.org/officeDocument/2006/relationships/image" Target="../media/image40.png"/><Relationship Id="rId97" Type="http://schemas.openxmlformats.org/officeDocument/2006/relationships/customXml" Target="../ink/ink48.xml"/><Relationship Id="rId104" Type="http://schemas.openxmlformats.org/officeDocument/2006/relationships/image" Target="../media/image54.png"/><Relationship Id="rId120" Type="http://schemas.openxmlformats.org/officeDocument/2006/relationships/image" Target="../media/image62.png"/><Relationship Id="rId125" Type="http://schemas.openxmlformats.org/officeDocument/2006/relationships/customXml" Target="../ink/ink62.xml"/><Relationship Id="rId141" Type="http://schemas.openxmlformats.org/officeDocument/2006/relationships/customXml" Target="../ink/ink70.xml"/><Relationship Id="rId146" Type="http://schemas.openxmlformats.org/officeDocument/2006/relationships/image" Target="../media/image75.png"/><Relationship Id="rId7" Type="http://schemas.openxmlformats.org/officeDocument/2006/relationships/image" Target="../media/image6.png"/><Relationship Id="rId71" Type="http://schemas.openxmlformats.org/officeDocument/2006/relationships/customXml" Target="../ink/ink35.xml"/><Relationship Id="rId92" Type="http://schemas.openxmlformats.org/officeDocument/2006/relationships/image" Target="../media/image48.png"/><Relationship Id="rId2" Type="http://schemas.openxmlformats.org/officeDocument/2006/relationships/image" Target="../media/image3.png"/><Relationship Id="rId29" Type="http://schemas.openxmlformats.org/officeDocument/2006/relationships/customXml" Target="../ink/ink14.xml"/><Relationship Id="rId24" Type="http://schemas.openxmlformats.org/officeDocument/2006/relationships/image" Target="../media/image14.png"/><Relationship Id="rId40" Type="http://schemas.openxmlformats.org/officeDocument/2006/relationships/image" Target="../media/image22.png"/><Relationship Id="rId45" Type="http://schemas.openxmlformats.org/officeDocument/2006/relationships/customXml" Target="../ink/ink22.xml"/><Relationship Id="rId66" Type="http://schemas.openxmlformats.org/officeDocument/2006/relationships/image" Target="../media/image35.png"/><Relationship Id="rId87" Type="http://schemas.openxmlformats.org/officeDocument/2006/relationships/customXml" Target="../ink/ink43.xml"/><Relationship Id="rId110" Type="http://schemas.openxmlformats.org/officeDocument/2006/relationships/image" Target="../media/image57.png"/><Relationship Id="rId115" Type="http://schemas.openxmlformats.org/officeDocument/2006/relationships/customXml" Target="../ink/ink57.xml"/><Relationship Id="rId131" Type="http://schemas.openxmlformats.org/officeDocument/2006/relationships/customXml" Target="../ink/ink65.xml"/><Relationship Id="rId136" Type="http://schemas.openxmlformats.org/officeDocument/2006/relationships/image" Target="../media/image70.png"/><Relationship Id="rId61" Type="http://schemas.openxmlformats.org/officeDocument/2006/relationships/customXml" Target="../ink/ink30.xml"/><Relationship Id="rId82" Type="http://schemas.openxmlformats.org/officeDocument/2006/relationships/image" Target="../media/image43.png"/><Relationship Id="rId152" Type="http://schemas.openxmlformats.org/officeDocument/2006/relationships/image" Target="../media/image78.png"/><Relationship Id="rId19" Type="http://schemas.openxmlformats.org/officeDocument/2006/relationships/customXml" Target="../ink/ink9.xml"/><Relationship Id="rId14" Type="http://schemas.openxmlformats.org/officeDocument/2006/relationships/image" Target="../media/image9.png"/><Relationship Id="rId30" Type="http://schemas.openxmlformats.org/officeDocument/2006/relationships/image" Target="../media/image17.png"/><Relationship Id="rId35" Type="http://schemas.openxmlformats.org/officeDocument/2006/relationships/customXml" Target="../ink/ink17.xml"/><Relationship Id="rId56" Type="http://schemas.openxmlformats.org/officeDocument/2006/relationships/image" Target="../media/image30.png"/><Relationship Id="rId77" Type="http://schemas.openxmlformats.org/officeDocument/2006/relationships/customXml" Target="../ink/ink38.xml"/><Relationship Id="rId100" Type="http://schemas.openxmlformats.org/officeDocument/2006/relationships/image" Target="../media/image52.png"/><Relationship Id="rId105" Type="http://schemas.openxmlformats.org/officeDocument/2006/relationships/customXml" Target="../ink/ink52.xml"/><Relationship Id="rId126" Type="http://schemas.openxmlformats.org/officeDocument/2006/relationships/image" Target="../media/image65.png"/><Relationship Id="rId147" Type="http://schemas.openxmlformats.org/officeDocument/2006/relationships/customXml" Target="../ink/ink73.xml"/><Relationship Id="rId8" Type="http://schemas.openxmlformats.org/officeDocument/2006/relationships/chart" Target="../charts/chart4.xml"/><Relationship Id="rId51" Type="http://schemas.openxmlformats.org/officeDocument/2006/relationships/customXml" Target="../ink/ink25.xml"/><Relationship Id="rId72" Type="http://schemas.openxmlformats.org/officeDocument/2006/relationships/image" Target="../media/image38.png"/><Relationship Id="rId93" Type="http://schemas.openxmlformats.org/officeDocument/2006/relationships/customXml" Target="../ink/ink46.xml"/><Relationship Id="rId98" Type="http://schemas.openxmlformats.org/officeDocument/2006/relationships/image" Target="../media/image51.png"/><Relationship Id="rId121" Type="http://schemas.openxmlformats.org/officeDocument/2006/relationships/customXml" Target="../ink/ink60.xml"/><Relationship Id="rId142" Type="http://schemas.openxmlformats.org/officeDocument/2006/relationships/image" Target="../media/image73.png"/><Relationship Id="rId3" Type="http://schemas.openxmlformats.org/officeDocument/2006/relationships/image" Target="../media/image4.png"/><Relationship Id="rId25" Type="http://schemas.openxmlformats.org/officeDocument/2006/relationships/customXml" Target="../ink/ink12.xml"/><Relationship Id="rId46" Type="http://schemas.openxmlformats.org/officeDocument/2006/relationships/image" Target="../media/image25.png"/><Relationship Id="rId67" Type="http://schemas.openxmlformats.org/officeDocument/2006/relationships/customXml" Target="../ink/ink33.xml"/><Relationship Id="rId116" Type="http://schemas.openxmlformats.org/officeDocument/2006/relationships/image" Target="../media/image60.png"/><Relationship Id="rId137" Type="http://schemas.openxmlformats.org/officeDocument/2006/relationships/customXml" Target="../ink/ink68.xml"/><Relationship Id="rId20" Type="http://schemas.openxmlformats.org/officeDocument/2006/relationships/image" Target="../media/image12.png"/><Relationship Id="rId41" Type="http://schemas.openxmlformats.org/officeDocument/2006/relationships/customXml" Target="../ink/ink20.xml"/><Relationship Id="rId62" Type="http://schemas.openxmlformats.org/officeDocument/2006/relationships/image" Target="../media/image33.png"/><Relationship Id="rId83" Type="http://schemas.openxmlformats.org/officeDocument/2006/relationships/customXml" Target="../ink/ink41.xml"/><Relationship Id="rId88" Type="http://schemas.openxmlformats.org/officeDocument/2006/relationships/image" Target="../media/image46.png"/><Relationship Id="rId111" Type="http://schemas.openxmlformats.org/officeDocument/2006/relationships/customXml" Target="../ink/ink55.xml"/><Relationship Id="rId132" Type="http://schemas.openxmlformats.org/officeDocument/2006/relationships/image" Target="../media/image68.png"/><Relationship Id="rId15" Type="http://schemas.openxmlformats.org/officeDocument/2006/relationships/customXml" Target="../ink/ink7.xml"/><Relationship Id="rId36" Type="http://schemas.openxmlformats.org/officeDocument/2006/relationships/image" Target="../media/image20.png"/><Relationship Id="rId57" Type="http://schemas.openxmlformats.org/officeDocument/2006/relationships/customXml" Target="../ink/ink28.xml"/><Relationship Id="rId106" Type="http://schemas.openxmlformats.org/officeDocument/2006/relationships/image" Target="../media/image55.png"/><Relationship Id="rId127" Type="http://schemas.openxmlformats.org/officeDocument/2006/relationships/customXml" Target="../ink/ink63.xml"/><Relationship Id="rId10" Type="http://schemas.openxmlformats.org/officeDocument/2006/relationships/image" Target="../media/image7.png"/><Relationship Id="rId31" Type="http://schemas.openxmlformats.org/officeDocument/2006/relationships/customXml" Target="../ink/ink15.xml"/><Relationship Id="rId52" Type="http://schemas.openxmlformats.org/officeDocument/2006/relationships/image" Target="../media/image28.png"/><Relationship Id="rId73" Type="http://schemas.openxmlformats.org/officeDocument/2006/relationships/customXml" Target="../ink/ink36.xml"/><Relationship Id="rId78" Type="http://schemas.openxmlformats.org/officeDocument/2006/relationships/image" Target="../media/image41.png"/><Relationship Id="rId94" Type="http://schemas.openxmlformats.org/officeDocument/2006/relationships/image" Target="../media/image49.png"/><Relationship Id="rId99" Type="http://schemas.openxmlformats.org/officeDocument/2006/relationships/customXml" Target="../ink/ink49.xml"/><Relationship Id="rId101" Type="http://schemas.openxmlformats.org/officeDocument/2006/relationships/customXml" Target="../ink/ink50.xml"/><Relationship Id="rId122" Type="http://schemas.openxmlformats.org/officeDocument/2006/relationships/image" Target="../media/image63.png"/><Relationship Id="rId143" Type="http://schemas.openxmlformats.org/officeDocument/2006/relationships/customXml" Target="../ink/ink71.xml"/><Relationship Id="rId148" Type="http://schemas.openxmlformats.org/officeDocument/2006/relationships/image" Target="../media/image76.png"/><Relationship Id="rId4" Type="http://schemas.openxmlformats.org/officeDocument/2006/relationships/chart" Target="../charts/chart2.xml"/><Relationship Id="rId9" Type="http://schemas.openxmlformats.org/officeDocument/2006/relationships/customXml" Target="../ink/ink4.xml"/><Relationship Id="rId26" Type="http://schemas.openxmlformats.org/officeDocument/2006/relationships/image" Target="../media/image15.png"/><Relationship Id="rId47" Type="http://schemas.openxmlformats.org/officeDocument/2006/relationships/customXml" Target="../ink/ink23.xml"/><Relationship Id="rId68" Type="http://schemas.openxmlformats.org/officeDocument/2006/relationships/image" Target="../media/image36.png"/><Relationship Id="rId89" Type="http://schemas.openxmlformats.org/officeDocument/2006/relationships/customXml" Target="../ink/ink44.xml"/><Relationship Id="rId112" Type="http://schemas.openxmlformats.org/officeDocument/2006/relationships/image" Target="../media/image58.png"/><Relationship Id="rId133" Type="http://schemas.openxmlformats.org/officeDocument/2006/relationships/customXml" Target="../ink/ink66.xml"/><Relationship Id="rId16" Type="http://schemas.openxmlformats.org/officeDocument/2006/relationships/image" Target="../media/image10.png"/><Relationship Id="rId37" Type="http://schemas.openxmlformats.org/officeDocument/2006/relationships/customXml" Target="../ink/ink18.xml"/><Relationship Id="rId58" Type="http://schemas.openxmlformats.org/officeDocument/2006/relationships/image" Target="../media/image31.png"/><Relationship Id="rId79" Type="http://schemas.openxmlformats.org/officeDocument/2006/relationships/customXml" Target="../ink/ink39.xml"/><Relationship Id="rId102" Type="http://schemas.openxmlformats.org/officeDocument/2006/relationships/image" Target="../media/image53.png"/><Relationship Id="rId123" Type="http://schemas.openxmlformats.org/officeDocument/2006/relationships/customXml" Target="../ink/ink61.xml"/><Relationship Id="rId144" Type="http://schemas.openxmlformats.org/officeDocument/2006/relationships/image" Target="../media/image74.png"/><Relationship Id="rId90" Type="http://schemas.openxmlformats.org/officeDocument/2006/relationships/image" Target="../media/image47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hyperlink" Target="#TOC!A1"/><Relationship Id="rId4" Type="http://schemas.openxmlformats.org/officeDocument/2006/relationships/chart" Target="../charts/chart7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hyperlink" Target="#TOC!A1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hyperlink" Target="#TOC!A1"/><Relationship Id="rId4" Type="http://schemas.openxmlformats.org/officeDocument/2006/relationships/chart" Target="../charts/chart14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6.xml"/><Relationship Id="rId2" Type="http://schemas.openxmlformats.org/officeDocument/2006/relationships/chart" Target="../charts/chart15.xml"/><Relationship Id="rId1" Type="http://schemas.openxmlformats.org/officeDocument/2006/relationships/hyperlink" Target="#TOC!A1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79.png"/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3.xml"/><Relationship Id="rId1" Type="http://schemas.openxmlformats.org/officeDocument/2006/relationships/chart" Target="../charts/chart22.xml"/><Relationship Id="rId4" Type="http://schemas.openxmlformats.org/officeDocument/2006/relationships/chart" Target="../charts/chart24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6.xml"/><Relationship Id="rId1" Type="http://schemas.openxmlformats.org/officeDocument/2006/relationships/chart" Target="../charts/chart25.xml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4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8.xml"/><Relationship Id="rId1" Type="http://schemas.openxmlformats.org/officeDocument/2006/relationships/chart" Target="../charts/chart27.xml"/><Relationship Id="rId4" Type="http://schemas.openxmlformats.org/officeDocument/2006/relationships/chart" Target="../charts/chart29.xml"/></Relationships>
</file>

<file path=xl/drawings/_rels/drawing25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30.xml"/></Relationships>
</file>

<file path=xl/drawings/_rels/drawing26.xml.rels><?xml version="1.0" encoding="UTF-8" standalone="yes"?>
<Relationships xmlns="http://schemas.openxmlformats.org/package/2006/relationships"><Relationship Id="rId3" Type="http://schemas.openxmlformats.org/officeDocument/2006/relationships/image" Target="../media/image80.png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image" Target="../media/image82.png"/><Relationship Id="rId4" Type="http://schemas.openxmlformats.org/officeDocument/2006/relationships/image" Target="../media/image81.png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3.xml"/><Relationship Id="rId2" Type="http://schemas.openxmlformats.org/officeDocument/2006/relationships/chart" Target="../charts/chart32.xml"/><Relationship Id="rId1" Type="http://schemas.openxmlformats.org/officeDocument/2006/relationships/hyperlink" Target="#TOC!A1"/><Relationship Id="rId5" Type="http://schemas.openxmlformats.org/officeDocument/2006/relationships/chart" Target="../charts/chart34.xml"/><Relationship Id="rId4" Type="http://schemas.openxmlformats.org/officeDocument/2006/relationships/image" Target="../media/image8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9.xml.rels><?xml version="1.0" encoding="UTF-8" standalone="yes"?>
<Relationships xmlns="http://schemas.openxmlformats.org/package/2006/relationships"><Relationship Id="rId8" Type="http://schemas.openxmlformats.org/officeDocument/2006/relationships/image" Target="../media/image90.png"/><Relationship Id="rId3" Type="http://schemas.openxmlformats.org/officeDocument/2006/relationships/image" Target="../media/image85.png"/><Relationship Id="rId7" Type="http://schemas.openxmlformats.org/officeDocument/2006/relationships/image" Target="../media/image89.png"/><Relationship Id="rId2" Type="http://schemas.openxmlformats.org/officeDocument/2006/relationships/image" Target="../media/image84.png"/><Relationship Id="rId1" Type="http://schemas.openxmlformats.org/officeDocument/2006/relationships/hyperlink" Target="#TOC!A1"/><Relationship Id="rId6" Type="http://schemas.openxmlformats.org/officeDocument/2006/relationships/image" Target="../media/image88.png"/><Relationship Id="rId5" Type="http://schemas.openxmlformats.org/officeDocument/2006/relationships/image" Target="../media/image87.png"/><Relationship Id="rId4" Type="http://schemas.openxmlformats.org/officeDocument/2006/relationships/image" Target="../media/image86.png"/></Relationships>
</file>

<file path=xl/drawings/_rels/drawing30.xml.rels><?xml version="1.0" encoding="UTF-8" standalone="yes"?>
<Relationships xmlns="http://schemas.openxmlformats.org/package/2006/relationships"><Relationship Id="rId3" Type="http://schemas.openxmlformats.org/officeDocument/2006/relationships/image" Target="../media/image92.png"/><Relationship Id="rId2" Type="http://schemas.openxmlformats.org/officeDocument/2006/relationships/image" Target="../media/image91.png"/><Relationship Id="rId1" Type="http://schemas.openxmlformats.org/officeDocument/2006/relationships/hyperlink" Target="#TOC!A1"/><Relationship Id="rId4" Type="http://schemas.openxmlformats.org/officeDocument/2006/relationships/chart" Target="../charts/chart3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12205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239877</xdr:colOff>
      <xdr:row>39</xdr:row>
      <xdr:rowOff>209550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EBF133FE-860D-4D28-B08E-6CED0F28F119}"/>
            </a:ext>
          </a:extLst>
        </xdr:cNvPr>
        <xdr:cNvGrpSpPr/>
      </xdr:nvGrpSpPr>
      <xdr:grpSpPr>
        <a:xfrm>
          <a:off x="9693286" y="9951793"/>
          <a:ext cx="449416" cy="516438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DF3BEF80-F1B3-DFD6-A723-505B8F967B7D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7C71A7B-A51A-E75C-EF31-E32C24299608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E9590CEF-4970-F734-D0BC-2685B40E2FC6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0974423-1BE8-8189-E587-1AFA6C006CB0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A79048F7-337A-4674-A6C1-F9C09DF2FA02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ED231C22-1BCF-D7DA-D9F4-AC20BDEABDA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B99E180E-5CBD-BCB3-A726-B6155E4C2993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9C52A77B-9473-ADEE-7034-70AE487339C1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3B168DC5-E72A-039F-8EED-B4BB736DC50F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B4FC2871-D2E3-48D0-BD58-25E259A697C7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FF4EF893-0937-9B4B-E98F-7C2674F86B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A8063904-EE42-D2A4-629C-303FEA385E5E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A9470E4A-F282-3E7B-1D99-F56746FB9004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DDA33CF5-86BE-DFC4-1FC8-9145AF0E2ECB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D4B0B1A-CD6E-44B0-9E83-A07CBCFF65F9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8" name="Gerader Verbinder 17">
            <a:extLst>
              <a:ext uri="{FF2B5EF4-FFF2-40B4-BE49-F238E27FC236}">
                <a16:creationId xmlns:a16="http://schemas.microsoft.com/office/drawing/2014/main" id="{B484F7FD-7F94-1366-C86D-054741EC4E02}"/>
              </a:ext>
            </a:extLst>
          </xdr:cNvPr>
          <xdr:cNvCxnSpPr>
            <a:endCxn id="21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37267849-3548-8918-009F-7E90E6A230BF}"/>
              </a:ext>
            </a:extLst>
          </xdr:cNvPr>
          <xdr:cNvCxnSpPr>
            <a:stCxn id="21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" name="Textfeld 19">
            <a:extLst>
              <a:ext uri="{FF2B5EF4-FFF2-40B4-BE49-F238E27FC236}">
                <a16:creationId xmlns:a16="http://schemas.microsoft.com/office/drawing/2014/main" id="{5A9BCF20-6C9F-D51B-CBF1-DD6CB0753F42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21" name="Rechteck 20">
            <a:extLst>
              <a:ext uri="{FF2B5EF4-FFF2-40B4-BE49-F238E27FC236}">
                <a16:creationId xmlns:a16="http://schemas.microsoft.com/office/drawing/2014/main" id="{65E38AFC-01A5-3151-D3D7-0788E58FB105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D3BC1670-F130-410A-8705-9C058D10F9B4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A0CE0D65-2514-3D1D-91EB-C6EA91430D1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E4C68AC6-8FFB-D804-84E6-AAC2E1E868A6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4DAA4EB0-59AA-D227-7D41-18DBB07CB7B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24474B3E-637F-DA41-2CB5-00AC44CBB0DC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166D7CA3-1827-4129-8023-9F0D9DE69DAD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FEFA0A52-0163-B4D4-7DDE-706A06B91F85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2A749B65-6E64-ADCD-6048-2B458B60A604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5CC50D19-CFDA-3699-57E9-9944A56CDB61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C73B8AC4-C30B-3167-FA84-C245386050EC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40</xdr:row>
      <xdr:rowOff>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3DCA4A87-62B0-4F4B-A468-3A415B839E77}"/>
            </a:ext>
          </a:extLst>
        </xdr:cNvPr>
        <xdr:cNvGrpSpPr/>
      </xdr:nvGrpSpPr>
      <xdr:grpSpPr>
        <a:xfrm>
          <a:off x="3600450" y="930275"/>
          <a:ext cx="455766" cy="14428788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66289C1B-E0E0-A47D-E076-DE28B808F6B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6DBA2073-3401-4818-9945-F324ADADC0C9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F70FDA25-5B83-A052-288C-9D0C9D27B2A3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2E0F688E-6F5E-1EDF-8BA4-68887E9AC13D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AE837668-41E6-48B2-89D0-06F266CFEED5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0CEED63E-0A09-8AA7-90C2-8D2DA5AB7305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6386887-4FE0-A3B0-530E-0818008F60D2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2BF92C2F-58E9-47AD-FCA4-7E30E0C48ABC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CF729946-5EDF-6B02-6A05-8C2A9D56898A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184149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81D29EC9-C96F-49F4-B51B-964204B0B5BB}"/>
            </a:ext>
          </a:extLst>
        </xdr:cNvPr>
        <xdr:cNvGrpSpPr/>
      </xdr:nvGrpSpPr>
      <xdr:grpSpPr>
        <a:xfrm>
          <a:off x="4368811" y="7772399"/>
          <a:ext cx="462116" cy="731520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BF364DEB-357F-3F31-2701-47FE1472EF2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CE686863-2AAB-D8FA-74F1-2B0AEDE57D29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77313413-B976-8E6E-FD7F-768479CFD41A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C6C04A6F-7FD7-4E04-50F2-687ADCF8F0B2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D14E938F-01BF-4011-88C7-9802EB6553D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2834E289-08F4-73D2-9DA8-3D6E49FFDBA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0B9F251D-D668-4E05-E4BD-99ABBE6CA803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F74F39D1-D1FA-F47F-C1D3-7F3B68D42DBC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4DFDD3A4-FB6D-ACD8-19AF-8A85A5D486F9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D3335933-F6BA-4BCE-A6C8-1FEDFBED3D12}"/>
            </a:ext>
          </a:extLst>
        </xdr:cNvPr>
        <xdr:cNvCxnSpPr/>
      </xdr:nvCxnSpPr>
      <xdr:spPr>
        <a:xfrm flipH="1" flipV="1">
          <a:off x="1530350" y="927100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3F0CBA58-5A00-4443-8E16-979A04C56BEF}"/>
            </a:ext>
          </a:extLst>
        </xdr:cNvPr>
        <xdr:cNvCxnSpPr/>
      </xdr:nvCxnSpPr>
      <xdr:spPr>
        <a:xfrm flipH="1">
          <a:off x="1168400" y="6823982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BA90E39-E9BE-4373-BFDB-C17D8C1B91CA}"/>
            </a:ext>
          </a:extLst>
        </xdr:cNvPr>
        <xdr:cNvCxnSpPr/>
      </xdr:nvCxnSpPr>
      <xdr:spPr>
        <a:xfrm flipH="1">
          <a:off x="1359354" y="633231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60D09806-ECE8-4106-9FB9-74311AD8C9F7}"/>
            </a:ext>
          </a:extLst>
        </xdr:cNvPr>
        <xdr:cNvCxnSpPr/>
      </xdr:nvCxnSpPr>
      <xdr:spPr>
        <a:xfrm flipH="1">
          <a:off x="1371600" y="68675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CFAAE7A7-BBCD-4978-AE75-8E8217B57E01}"/>
            </a:ext>
          </a:extLst>
        </xdr:cNvPr>
        <xdr:cNvCxnSpPr/>
      </xdr:nvCxnSpPr>
      <xdr:spPr>
        <a:xfrm>
          <a:off x="1514475" y="6886575"/>
          <a:ext cx="2198" cy="8143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2E79E505-BA6D-4B68-A56A-C511F4CB0E1F}"/>
            </a:ext>
          </a:extLst>
        </xdr:cNvPr>
        <xdr:cNvCxnSpPr/>
      </xdr:nvCxnSpPr>
      <xdr:spPr>
        <a:xfrm flipH="1" flipV="1">
          <a:off x="1504950" y="15011400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A766100E-4872-42BF-8CF4-60FC998E164D}"/>
            </a:ext>
          </a:extLst>
        </xdr:cNvPr>
        <xdr:cNvCxnSpPr/>
      </xdr:nvCxnSpPr>
      <xdr:spPr>
        <a:xfrm flipH="1" flipV="1">
          <a:off x="7588250" y="4495800"/>
          <a:ext cx="2898775" cy="31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B4FA6F0B-8F45-4F32-94AC-EE6D7AFD8EC5}"/>
            </a:ext>
          </a:extLst>
        </xdr:cNvPr>
        <xdr:cNvCxnSpPr/>
      </xdr:nvCxnSpPr>
      <xdr:spPr>
        <a:xfrm flipH="1">
          <a:off x="9525000" y="9880600"/>
          <a:ext cx="952500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A428FD05-3135-4BC2-B892-B9B09BBAABD7}"/>
            </a:ext>
          </a:extLst>
        </xdr:cNvPr>
        <xdr:cNvSpPr/>
      </xdr:nvSpPr>
      <xdr:spPr>
        <a:xfrm>
          <a:off x="8346167" y="4469653"/>
          <a:ext cx="103067" cy="882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61" name="Gerader Verbinder 60">
          <a:extLst>
            <a:ext uri="{FF2B5EF4-FFF2-40B4-BE49-F238E27FC236}">
              <a16:creationId xmlns:a16="http://schemas.microsoft.com/office/drawing/2014/main" id="{F8A387AE-ABA1-41C4-86A1-31E1E0BEC774}"/>
            </a:ext>
          </a:extLst>
        </xdr:cNvPr>
        <xdr:cNvCxnSpPr/>
      </xdr:nvCxnSpPr>
      <xdr:spPr>
        <a:xfrm flipH="1">
          <a:off x="1201057" y="6286046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62" name="Gerader Verbinder 61">
          <a:extLst>
            <a:ext uri="{FF2B5EF4-FFF2-40B4-BE49-F238E27FC236}">
              <a16:creationId xmlns:a16="http://schemas.microsoft.com/office/drawing/2014/main" id="{4174B779-D95A-4FC6-8349-CC1650544B88}"/>
            </a:ext>
          </a:extLst>
        </xdr:cNvPr>
        <xdr:cNvCxnSpPr/>
      </xdr:nvCxnSpPr>
      <xdr:spPr>
        <a:xfrm flipH="1">
          <a:off x="1516289" y="6339114"/>
          <a:ext cx="7711" cy="4921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671BB7B3-6EF3-420C-9368-54C728C2A74B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64" name="Rechteck 63">
            <a:extLst>
              <a:ext uri="{FF2B5EF4-FFF2-40B4-BE49-F238E27FC236}">
                <a16:creationId xmlns:a16="http://schemas.microsoft.com/office/drawing/2014/main" id="{29B814FE-03C5-C3EE-48EA-D577CB90B6C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A2BF0AA4-3761-1C7F-E27E-7955D7D138A2}"/>
              </a:ext>
            </a:extLst>
          </xdr:cNvPr>
          <xdr:cNvCxnSpPr>
            <a:stCxn id="64" idx="2"/>
            <a:endCxn id="11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6" name="Textfeld 65">
            <a:extLst>
              <a:ext uri="{FF2B5EF4-FFF2-40B4-BE49-F238E27FC236}">
                <a16:creationId xmlns:a16="http://schemas.microsoft.com/office/drawing/2014/main" id="{2485CA86-BDA1-12A5-AE71-3B611B08FC91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67" name="Gruppieren 66">
          <a:extLst>
            <a:ext uri="{FF2B5EF4-FFF2-40B4-BE49-F238E27FC236}">
              <a16:creationId xmlns:a16="http://schemas.microsoft.com/office/drawing/2014/main" id="{D6D1EB59-0962-4957-A756-6B6B6F3B75FE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68" name="Rechteck 67">
            <a:extLst>
              <a:ext uri="{FF2B5EF4-FFF2-40B4-BE49-F238E27FC236}">
                <a16:creationId xmlns:a16="http://schemas.microsoft.com/office/drawing/2014/main" id="{A00CBAEE-8781-A772-3FF1-55D92DCA3F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D6D79F49-CBC6-BBD0-82DB-15FBB2026441}"/>
              </a:ext>
            </a:extLst>
          </xdr:cNvPr>
          <xdr:cNvCxnSpPr>
            <a:endCxn id="6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0" name="Gerader Verbinder 69">
            <a:extLst>
              <a:ext uri="{FF2B5EF4-FFF2-40B4-BE49-F238E27FC236}">
                <a16:creationId xmlns:a16="http://schemas.microsoft.com/office/drawing/2014/main" id="{B46F524E-1AF0-A507-D9D1-B85283F21267}"/>
              </a:ext>
            </a:extLst>
          </xdr:cNvPr>
          <xdr:cNvCxnSpPr>
            <a:stCxn id="68" idx="2"/>
            <a:endCxn id="64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1" name="Textfeld 70">
            <a:extLst>
              <a:ext uri="{FF2B5EF4-FFF2-40B4-BE49-F238E27FC236}">
                <a16:creationId xmlns:a16="http://schemas.microsoft.com/office/drawing/2014/main" id="{A3701681-0887-D7A2-318E-07C879BE4C7A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8D9EBC6F-860C-4E8D-919C-D1F669C19972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0AD57817-EA31-3393-0DE9-39D921B1407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4" name="Gerader Verbinder 73">
            <a:extLst>
              <a:ext uri="{FF2B5EF4-FFF2-40B4-BE49-F238E27FC236}">
                <a16:creationId xmlns:a16="http://schemas.microsoft.com/office/drawing/2014/main" id="{2DEDAD78-7491-79F0-3710-9FC80DFE1F91}"/>
              </a:ext>
            </a:extLst>
          </xdr:cNvPr>
          <xdr:cNvCxnSpPr>
            <a:endCxn id="7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8E02D30-BAEE-5BB3-E781-9174658E7DDA}"/>
              </a:ext>
            </a:extLst>
          </xdr:cNvPr>
          <xdr:cNvCxnSpPr>
            <a:stCxn id="73" idx="2"/>
            <a:endCxn id="11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57EC0B70-5FB7-B673-F5FC-B13BE98B9067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25FA25EA-D22F-4AB5-9469-41E21569439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6D88B886-129E-7A72-B8B3-12C919ECD18B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17185857-48D3-B6A1-CB80-9BB4B95D348A}"/>
              </a:ext>
            </a:extLst>
          </xdr:cNvPr>
          <xdr:cNvCxnSpPr>
            <a:endCxn id="7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17701573-83E3-2776-75D5-0CD06589D5EA}"/>
              </a:ext>
            </a:extLst>
          </xdr:cNvPr>
          <xdr:cNvCxnSpPr>
            <a:stCxn id="7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87824388-7788-FCFE-9AF0-77FA86D4F034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277A9878-5901-4F26-8422-1530571AF8DC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D79B353C-355D-4E9D-A56F-6B0FC72E765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B4F46515-C058-E2EF-E01B-5159D9A26AC3}"/>
              </a:ext>
            </a:extLst>
          </xdr:cNvPr>
          <xdr:cNvCxnSpPr>
            <a:endCxn id="8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61FCA98C-00D7-3736-1E36-BC55263090D5}"/>
              </a:ext>
            </a:extLst>
          </xdr:cNvPr>
          <xdr:cNvCxnSpPr>
            <a:stCxn id="83" idx="2"/>
            <a:endCxn id="10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6465533-49E5-0B0E-BF57-3CC82B568485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ACF3B7A0-BB39-4490-816A-A9539AC1935E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5C58F711-8A3E-431E-1F80-A643D6F060D6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532D0B0D-B8B0-5071-E411-5014FEE4CE55}"/>
              </a:ext>
            </a:extLst>
          </xdr:cNvPr>
          <xdr:cNvCxnSpPr>
            <a:stCxn id="105" idx="4"/>
            <a:endCxn id="8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958F3C6F-C475-27A4-BAC7-A8E313AF38A2}"/>
              </a:ext>
            </a:extLst>
          </xdr:cNvPr>
          <xdr:cNvCxnSpPr>
            <a:stCxn id="88" idx="2"/>
            <a:endCxn id="10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6CAD5607-7752-BD81-BBBD-1CAD15E4F8C8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0D416A8-829F-4392-BC62-DFA16CC4FCB3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0AA85C8-A962-78AC-87A1-1E7A52F5C2F3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AD22B0C-22B8-61D9-0428-E9A1F9EDF18F}"/>
              </a:ext>
            </a:extLst>
          </xdr:cNvPr>
          <xdr:cNvCxnSpPr>
            <a:endCxn id="9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18811CF-CACE-F5C1-E4CB-2C5D5F9D70B4}"/>
              </a:ext>
            </a:extLst>
          </xdr:cNvPr>
          <xdr:cNvCxnSpPr>
            <a:stCxn id="9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B4936F89-63C0-1E5E-C36B-DD6B35B15B0D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97" name="Gerader Verbinder 96">
          <a:extLst>
            <a:ext uri="{FF2B5EF4-FFF2-40B4-BE49-F238E27FC236}">
              <a16:creationId xmlns:a16="http://schemas.microsoft.com/office/drawing/2014/main" id="{8759065F-4CA7-4828-B873-4C2EF9EF2CEC}"/>
            </a:ext>
          </a:extLst>
        </xdr:cNvPr>
        <xdr:cNvCxnSpPr/>
      </xdr:nvCxnSpPr>
      <xdr:spPr>
        <a:xfrm flipH="1" flipV="1">
          <a:off x="1533525" y="1655127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177F8A6A-2AF9-44E5-8A55-6C5724696ADE}"/>
            </a:ext>
          </a:extLst>
        </xdr:cNvPr>
        <xdr:cNvCxnSpPr/>
      </xdr:nvCxnSpPr>
      <xdr:spPr>
        <a:xfrm flipH="1">
          <a:off x="1171575" y="2127340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43BCD3DC-5B42-40CD-948C-263E3C87B5EC}"/>
            </a:ext>
          </a:extLst>
        </xdr:cNvPr>
        <xdr:cNvCxnSpPr/>
      </xdr:nvCxnSpPr>
      <xdr:spPr>
        <a:xfrm flipH="1">
          <a:off x="1362529" y="2103256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00" name="Gerader Verbinder 99">
          <a:extLst>
            <a:ext uri="{FF2B5EF4-FFF2-40B4-BE49-F238E27FC236}">
              <a16:creationId xmlns:a16="http://schemas.microsoft.com/office/drawing/2014/main" id="{FAAD8759-E37C-4542-9A7F-5AA91FD829AE}"/>
            </a:ext>
          </a:extLst>
        </xdr:cNvPr>
        <xdr:cNvCxnSpPr/>
      </xdr:nvCxnSpPr>
      <xdr:spPr>
        <a:xfrm flipH="1">
          <a:off x="1371600" y="21310600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01" name="Gerader Verbinder 100">
          <a:extLst>
            <a:ext uri="{FF2B5EF4-FFF2-40B4-BE49-F238E27FC236}">
              <a16:creationId xmlns:a16="http://schemas.microsoft.com/office/drawing/2014/main" id="{E1A16A31-B294-4FE6-B8AE-7092A07EE9C2}"/>
            </a:ext>
          </a:extLst>
        </xdr:cNvPr>
        <xdr:cNvCxnSpPr/>
      </xdr:nvCxnSpPr>
      <xdr:spPr>
        <a:xfrm>
          <a:off x="1514475" y="21332825"/>
          <a:ext cx="9525" cy="384673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8BB16F5E-230F-42D1-8D17-7E17D8411B84}"/>
            </a:ext>
          </a:extLst>
        </xdr:cNvPr>
        <xdr:cNvCxnSpPr/>
      </xdr:nvCxnSpPr>
      <xdr:spPr>
        <a:xfrm flipH="1" flipV="1">
          <a:off x="1516495" y="25179482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03" name="Gerader Verbinder 102">
          <a:extLst>
            <a:ext uri="{FF2B5EF4-FFF2-40B4-BE49-F238E27FC236}">
              <a16:creationId xmlns:a16="http://schemas.microsoft.com/office/drawing/2014/main" id="{936A7350-97AE-41D4-B1D5-B1A9C8DEB34D}"/>
            </a:ext>
          </a:extLst>
        </xdr:cNvPr>
        <xdr:cNvCxnSpPr/>
      </xdr:nvCxnSpPr>
      <xdr:spPr>
        <a:xfrm flipH="1">
          <a:off x="8392349" y="18964234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04" name="Ellipse 103">
          <a:extLst>
            <a:ext uri="{FF2B5EF4-FFF2-40B4-BE49-F238E27FC236}">
              <a16:creationId xmlns:a16="http://schemas.microsoft.com/office/drawing/2014/main" id="{84769D35-EABA-4C07-9F2A-0EEC406CCBE3}"/>
            </a:ext>
          </a:extLst>
        </xdr:cNvPr>
        <xdr:cNvSpPr/>
      </xdr:nvSpPr>
      <xdr:spPr>
        <a:xfrm>
          <a:off x="3762375" y="16484600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05" name="Ellipse 104">
          <a:extLst>
            <a:ext uri="{FF2B5EF4-FFF2-40B4-BE49-F238E27FC236}">
              <a16:creationId xmlns:a16="http://schemas.microsoft.com/office/drawing/2014/main" id="{A5E38897-20B8-4DE4-BD13-CB0EB22069DC}"/>
            </a:ext>
          </a:extLst>
        </xdr:cNvPr>
        <xdr:cNvSpPr/>
      </xdr:nvSpPr>
      <xdr:spPr>
        <a:xfrm>
          <a:off x="4533900" y="16475075"/>
          <a:ext cx="95250" cy="12382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06" name="Ellipse 105">
          <a:extLst>
            <a:ext uri="{FF2B5EF4-FFF2-40B4-BE49-F238E27FC236}">
              <a16:creationId xmlns:a16="http://schemas.microsoft.com/office/drawing/2014/main" id="{4EB78FB9-D5B6-4357-9224-A1C46FA2E33B}"/>
            </a:ext>
          </a:extLst>
        </xdr:cNvPr>
        <xdr:cNvSpPr/>
      </xdr:nvSpPr>
      <xdr:spPr>
        <a:xfrm>
          <a:off x="8347610" y="18942742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07" name="Ellipse 106">
          <a:extLst>
            <a:ext uri="{FF2B5EF4-FFF2-40B4-BE49-F238E27FC236}">
              <a16:creationId xmlns:a16="http://schemas.microsoft.com/office/drawing/2014/main" id="{0B5AD2E7-E6DF-4578-BD87-9FD6494F49E2}"/>
            </a:ext>
          </a:extLst>
        </xdr:cNvPr>
        <xdr:cNvSpPr/>
      </xdr:nvSpPr>
      <xdr:spPr>
        <a:xfrm>
          <a:off x="9848271" y="18929350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08" name="Ellipse 107">
          <a:extLst>
            <a:ext uri="{FF2B5EF4-FFF2-40B4-BE49-F238E27FC236}">
              <a16:creationId xmlns:a16="http://schemas.microsoft.com/office/drawing/2014/main" id="{207A1DDD-ACEF-4BF3-A268-4CF18E001F30}"/>
            </a:ext>
          </a:extLst>
        </xdr:cNvPr>
        <xdr:cNvSpPr/>
      </xdr:nvSpPr>
      <xdr:spPr>
        <a:xfrm>
          <a:off x="4542270" y="25133672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09" name="Ellipse 108">
          <a:extLst>
            <a:ext uri="{FF2B5EF4-FFF2-40B4-BE49-F238E27FC236}">
              <a16:creationId xmlns:a16="http://schemas.microsoft.com/office/drawing/2014/main" id="{6374D1EC-7EBF-4D91-AC4D-F00F88C9A49E}"/>
            </a:ext>
          </a:extLst>
        </xdr:cNvPr>
        <xdr:cNvSpPr/>
      </xdr:nvSpPr>
      <xdr:spPr>
        <a:xfrm>
          <a:off x="3763941" y="25131404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10" name="Ellipse 109">
          <a:extLst>
            <a:ext uri="{FF2B5EF4-FFF2-40B4-BE49-F238E27FC236}">
              <a16:creationId xmlns:a16="http://schemas.microsoft.com/office/drawing/2014/main" id="{45965942-1642-408F-B2B2-9BA86D429EB3}"/>
            </a:ext>
          </a:extLst>
        </xdr:cNvPr>
        <xdr:cNvSpPr/>
      </xdr:nvSpPr>
      <xdr:spPr>
        <a:xfrm>
          <a:off x="8339116" y="25132311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11" name="Ellipse 110">
          <a:extLst>
            <a:ext uri="{FF2B5EF4-FFF2-40B4-BE49-F238E27FC236}">
              <a16:creationId xmlns:a16="http://schemas.microsoft.com/office/drawing/2014/main" id="{044FC9B7-A5FB-4E64-9179-377654B7902D}"/>
            </a:ext>
          </a:extLst>
        </xdr:cNvPr>
        <xdr:cNvSpPr/>
      </xdr:nvSpPr>
      <xdr:spPr>
        <a:xfrm>
          <a:off x="9836191" y="25140681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6774A2CA-79EB-46FA-A117-DC04113828D9}"/>
            </a:ext>
          </a:extLst>
        </xdr:cNvPr>
        <xdr:cNvCxnSpPr/>
      </xdr:nvCxnSpPr>
      <xdr:spPr>
        <a:xfrm flipH="1">
          <a:off x="1201057" y="2098312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1E11F5CA-8B91-413D-8D4D-DEA15D576E90}"/>
            </a:ext>
          </a:extLst>
        </xdr:cNvPr>
        <xdr:cNvCxnSpPr/>
      </xdr:nvCxnSpPr>
      <xdr:spPr>
        <a:xfrm flipH="1">
          <a:off x="1513114" y="21042539"/>
          <a:ext cx="10886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9065E148-525A-4568-9AC0-1082F60AD576}"/>
            </a:ext>
          </a:extLst>
        </xdr:cNvPr>
        <xdr:cNvSpPr/>
      </xdr:nvSpPr>
      <xdr:spPr>
        <a:xfrm>
          <a:off x="8327572" y="16488229"/>
          <a:ext cx="95250" cy="1270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101</xdr:row>
      <xdr:rowOff>452</xdr:rowOff>
    </xdr:from>
    <xdr:to>
      <xdr:col>13</xdr:col>
      <xdr:colOff>200034</xdr:colOff>
      <xdr:row>112</xdr:row>
      <xdr:rowOff>48298</xdr:rowOff>
    </xdr:to>
    <xdr:grpSp>
      <xdr:nvGrpSpPr>
        <xdr:cNvPr id="115" name="Gruppieren 114">
          <a:extLst>
            <a:ext uri="{FF2B5EF4-FFF2-40B4-BE49-F238E27FC236}">
              <a16:creationId xmlns:a16="http://schemas.microsoft.com/office/drawing/2014/main" id="{3D257713-98D5-4F3D-9881-58F319983281}"/>
            </a:ext>
          </a:extLst>
        </xdr:cNvPr>
        <xdr:cNvGrpSpPr/>
      </xdr:nvGrpSpPr>
      <xdr:grpSpPr>
        <a:xfrm>
          <a:off x="9628496" y="29742265"/>
          <a:ext cx="474363" cy="2330671"/>
          <a:chOff x="8920180" y="3499704"/>
          <a:chExt cx="480926" cy="1951938"/>
        </a:xfrm>
      </xdr:grpSpPr>
      <xdr:sp macro="" textlink="">
        <xdr:nvSpPr>
          <xdr:cNvPr id="116" name="Rechteck 115">
            <a:extLst>
              <a:ext uri="{FF2B5EF4-FFF2-40B4-BE49-F238E27FC236}">
                <a16:creationId xmlns:a16="http://schemas.microsoft.com/office/drawing/2014/main" id="{5B093C68-DC87-3F7D-3BD3-9677B2D8F861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17" name="Gerader Verbinder 116">
            <a:extLst>
              <a:ext uri="{FF2B5EF4-FFF2-40B4-BE49-F238E27FC236}">
                <a16:creationId xmlns:a16="http://schemas.microsoft.com/office/drawing/2014/main" id="{447954C5-C1AB-8E09-2D7F-F22297973194}"/>
              </a:ext>
            </a:extLst>
          </xdr:cNvPr>
          <xdr:cNvCxnSpPr>
            <a:stCxn id="143" idx="0"/>
            <a:endCxn id="11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18" name="Gerader Verbinder 117">
            <a:extLst>
              <a:ext uri="{FF2B5EF4-FFF2-40B4-BE49-F238E27FC236}">
                <a16:creationId xmlns:a16="http://schemas.microsoft.com/office/drawing/2014/main" id="{CB780621-D4D3-4A11-A30B-1596A3960E44}"/>
              </a:ext>
            </a:extLst>
          </xdr:cNvPr>
          <xdr:cNvCxnSpPr>
            <a:stCxn id="11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9" name="Textfeld 118">
            <a:extLst>
              <a:ext uri="{FF2B5EF4-FFF2-40B4-BE49-F238E27FC236}">
                <a16:creationId xmlns:a16="http://schemas.microsoft.com/office/drawing/2014/main" id="{DB487276-2716-B2ED-5F2F-2ED32281B14F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101</xdr:row>
      <xdr:rowOff>908</xdr:rowOff>
    </xdr:from>
    <xdr:to>
      <xdr:col>11</xdr:col>
      <xdr:colOff>221356</xdr:colOff>
      <xdr:row>111</xdr:row>
      <xdr:rowOff>152619</xdr:rowOff>
    </xdr:to>
    <xdr:grpSp>
      <xdr:nvGrpSpPr>
        <xdr:cNvPr id="120" name="Gruppieren 119">
          <a:extLst>
            <a:ext uri="{FF2B5EF4-FFF2-40B4-BE49-F238E27FC236}">
              <a16:creationId xmlns:a16="http://schemas.microsoft.com/office/drawing/2014/main" id="{E6CD34E3-AB23-4855-A75B-6FD24B5D5FB4}"/>
            </a:ext>
          </a:extLst>
        </xdr:cNvPr>
        <xdr:cNvGrpSpPr/>
      </xdr:nvGrpSpPr>
      <xdr:grpSpPr>
        <a:xfrm>
          <a:off x="8144868" y="29742721"/>
          <a:ext cx="455313" cy="2247211"/>
          <a:chOff x="9527870" y="3599470"/>
          <a:chExt cx="467002" cy="1797691"/>
        </a:xfrm>
      </xdr:grpSpPr>
      <xdr:sp macro="" textlink="">
        <xdr:nvSpPr>
          <xdr:cNvPr id="121" name="Rechteck 120">
            <a:extLst>
              <a:ext uri="{FF2B5EF4-FFF2-40B4-BE49-F238E27FC236}">
                <a16:creationId xmlns:a16="http://schemas.microsoft.com/office/drawing/2014/main" id="{606CC454-D6DF-87FF-EC2F-1C97310D401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2" name="Gerader Verbinder 121">
            <a:extLst>
              <a:ext uri="{FF2B5EF4-FFF2-40B4-BE49-F238E27FC236}">
                <a16:creationId xmlns:a16="http://schemas.microsoft.com/office/drawing/2014/main" id="{B46DFA31-9D62-7C14-4FB5-57B965A93B34}"/>
              </a:ext>
            </a:extLst>
          </xdr:cNvPr>
          <xdr:cNvCxnSpPr>
            <a:stCxn id="142" idx="0"/>
            <a:endCxn id="12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3" name="Gerader Verbinder 122">
            <a:extLst>
              <a:ext uri="{FF2B5EF4-FFF2-40B4-BE49-F238E27FC236}">
                <a16:creationId xmlns:a16="http://schemas.microsoft.com/office/drawing/2014/main" id="{4E80C3A6-22D4-4E41-E821-84B8B37DEE1F}"/>
              </a:ext>
            </a:extLst>
          </xdr:cNvPr>
          <xdr:cNvCxnSpPr>
            <a:stCxn id="12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4" name="Textfeld 123">
            <a:extLst>
              <a:ext uri="{FF2B5EF4-FFF2-40B4-BE49-F238E27FC236}">
                <a16:creationId xmlns:a16="http://schemas.microsoft.com/office/drawing/2014/main" id="{F1A51F4E-AA23-CF6A-3F06-D0C4A31B7587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48857F8A-1FF6-4EB2-A9EA-071E21D56E5F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2D762F53-7A0A-25FC-0CED-4CE2860EFF01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92E10EDB-AA51-FDE3-5718-594FF667CE18}"/>
              </a:ext>
            </a:extLst>
          </xdr:cNvPr>
          <xdr:cNvCxnSpPr>
            <a:stCxn id="141" idx="4"/>
            <a:endCxn id="12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93E4DC11-962E-ABF7-700D-C0C759ED888E}"/>
              </a:ext>
            </a:extLst>
          </xdr:cNvPr>
          <xdr:cNvCxnSpPr>
            <a:stCxn id="126" idx="2"/>
            <a:endCxn id="280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EE7F75BE-6357-1FD0-6727-532662E366BA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342E7F8E-8D49-46C5-AF95-907553D9F81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E0FCF7-9D78-7836-299F-A44084153FC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FFD157EC-42ED-CB55-9F5A-331A9D97CACA}"/>
              </a:ext>
            </a:extLst>
          </xdr:cNvPr>
          <xdr:cNvCxnSpPr>
            <a:endCxn id="13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F907AA1A-E01F-F870-C7F8-930ACC30B156}"/>
              </a:ext>
            </a:extLst>
          </xdr:cNvPr>
          <xdr:cNvCxnSpPr>
            <a:stCxn id="13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827EC335-21B9-0F52-33AB-340AD76906BD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35" name="Gerader Verbinder 134">
          <a:extLst>
            <a:ext uri="{FF2B5EF4-FFF2-40B4-BE49-F238E27FC236}">
              <a16:creationId xmlns:a16="http://schemas.microsoft.com/office/drawing/2014/main" id="{3FD3ABB0-F18D-475C-83DE-E3AA5AAFF8FA}"/>
            </a:ext>
          </a:extLst>
        </xdr:cNvPr>
        <xdr:cNvCxnSpPr/>
      </xdr:nvCxnSpPr>
      <xdr:spPr>
        <a:xfrm flipH="1" flipV="1">
          <a:off x="1482725" y="26795407"/>
          <a:ext cx="686117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36" name="Gerader Verbinder 135">
          <a:extLst>
            <a:ext uri="{FF2B5EF4-FFF2-40B4-BE49-F238E27FC236}">
              <a16:creationId xmlns:a16="http://schemas.microsoft.com/office/drawing/2014/main" id="{98BE6AE7-9A3C-4666-BFD4-489DDEDA873F}"/>
            </a:ext>
          </a:extLst>
        </xdr:cNvPr>
        <xdr:cNvCxnSpPr/>
      </xdr:nvCxnSpPr>
      <xdr:spPr>
        <a:xfrm flipH="1">
          <a:off x="1120775" y="31155589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37" name="Gerader Verbinder 136">
          <a:extLst>
            <a:ext uri="{FF2B5EF4-FFF2-40B4-BE49-F238E27FC236}">
              <a16:creationId xmlns:a16="http://schemas.microsoft.com/office/drawing/2014/main" id="{7EA85A26-802E-4F92-9BAA-9131944316A1}"/>
            </a:ext>
          </a:extLst>
        </xdr:cNvPr>
        <xdr:cNvCxnSpPr/>
      </xdr:nvCxnSpPr>
      <xdr:spPr>
        <a:xfrm flipH="1">
          <a:off x="1311729" y="30940144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38" name="Gerader Verbinder 137">
          <a:extLst>
            <a:ext uri="{FF2B5EF4-FFF2-40B4-BE49-F238E27FC236}">
              <a16:creationId xmlns:a16="http://schemas.microsoft.com/office/drawing/2014/main" id="{BC4203C9-C5A5-417F-B6C3-9CE07EAAC622}"/>
            </a:ext>
          </a:extLst>
        </xdr:cNvPr>
        <xdr:cNvCxnSpPr/>
      </xdr:nvCxnSpPr>
      <xdr:spPr>
        <a:xfrm flipH="1">
          <a:off x="1320800" y="3120548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39" name="Gerader Verbinder 138">
          <a:extLst>
            <a:ext uri="{FF2B5EF4-FFF2-40B4-BE49-F238E27FC236}">
              <a16:creationId xmlns:a16="http://schemas.microsoft.com/office/drawing/2014/main" id="{E56F80E9-52BF-4E26-B5DA-A3D4B1FE984C}"/>
            </a:ext>
          </a:extLst>
        </xdr:cNvPr>
        <xdr:cNvCxnSpPr/>
      </xdr:nvCxnSpPr>
      <xdr:spPr>
        <a:xfrm>
          <a:off x="1463675" y="31234057"/>
          <a:ext cx="12700" cy="102711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40" name="Gerader Verbinder 139">
          <a:extLst>
            <a:ext uri="{FF2B5EF4-FFF2-40B4-BE49-F238E27FC236}">
              <a16:creationId xmlns:a16="http://schemas.microsoft.com/office/drawing/2014/main" id="{FE8A5F65-D8FC-4CF8-AFF6-E72B80E744D6}"/>
            </a:ext>
          </a:extLst>
        </xdr:cNvPr>
        <xdr:cNvCxnSpPr>
          <a:stCxn id="143" idx="2"/>
          <a:endCxn id="142" idx="0"/>
        </xdr:cNvCxnSpPr>
      </xdr:nvCxnSpPr>
      <xdr:spPr>
        <a:xfrm flipH="1" flipV="1">
          <a:off x="8346849" y="29798282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41" name="Ellipse 140">
          <a:extLst>
            <a:ext uri="{FF2B5EF4-FFF2-40B4-BE49-F238E27FC236}">
              <a16:creationId xmlns:a16="http://schemas.microsoft.com/office/drawing/2014/main" id="{A0D53DA2-ACD2-4260-9E68-4B384053E04B}"/>
            </a:ext>
          </a:extLst>
        </xdr:cNvPr>
        <xdr:cNvSpPr/>
      </xdr:nvSpPr>
      <xdr:spPr>
        <a:xfrm>
          <a:off x="4667250" y="26752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42" name="Ellipse 141">
          <a:extLst>
            <a:ext uri="{FF2B5EF4-FFF2-40B4-BE49-F238E27FC236}">
              <a16:creationId xmlns:a16="http://schemas.microsoft.com/office/drawing/2014/main" id="{776E56FA-CE23-414D-9E25-B6C176500F8A}"/>
            </a:ext>
          </a:extLst>
        </xdr:cNvPr>
        <xdr:cNvSpPr/>
      </xdr:nvSpPr>
      <xdr:spPr>
        <a:xfrm>
          <a:off x="8298543" y="29801457"/>
          <a:ext cx="99786" cy="186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43" name="Ellipse 142">
          <a:extLst>
            <a:ext uri="{FF2B5EF4-FFF2-40B4-BE49-F238E27FC236}">
              <a16:creationId xmlns:a16="http://schemas.microsoft.com/office/drawing/2014/main" id="{09C030D1-EA02-4C6A-BED6-8C7B57B84587}"/>
            </a:ext>
          </a:extLst>
        </xdr:cNvPr>
        <xdr:cNvSpPr/>
      </xdr:nvSpPr>
      <xdr:spPr>
        <a:xfrm>
          <a:off x="9814831" y="29750202"/>
          <a:ext cx="72572" cy="17530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44" name="Gerader Verbinder 143">
          <a:extLst>
            <a:ext uri="{FF2B5EF4-FFF2-40B4-BE49-F238E27FC236}">
              <a16:creationId xmlns:a16="http://schemas.microsoft.com/office/drawing/2014/main" id="{AF77FD29-C4D7-485C-9C4A-9D1D196989D1}"/>
            </a:ext>
          </a:extLst>
        </xdr:cNvPr>
        <xdr:cNvCxnSpPr/>
      </xdr:nvCxnSpPr>
      <xdr:spPr>
        <a:xfrm flipH="1">
          <a:off x="1150257" y="30878003"/>
          <a:ext cx="62230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A52B9D9F-9B12-4B73-AE89-68180A49E236}"/>
            </a:ext>
          </a:extLst>
        </xdr:cNvPr>
        <xdr:cNvCxnSpPr/>
      </xdr:nvCxnSpPr>
      <xdr:spPr>
        <a:xfrm flipH="1">
          <a:off x="1468664" y="30931071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F2440143-B2DF-475B-BEEB-27430F7B6A4C}"/>
            </a:ext>
          </a:extLst>
        </xdr:cNvPr>
        <xdr:cNvSpPr/>
      </xdr:nvSpPr>
      <xdr:spPr>
        <a:xfrm>
          <a:off x="8276772" y="26722836"/>
          <a:ext cx="95250" cy="1524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47" name="Gruppieren 146">
          <a:extLst>
            <a:ext uri="{FF2B5EF4-FFF2-40B4-BE49-F238E27FC236}">
              <a16:creationId xmlns:a16="http://schemas.microsoft.com/office/drawing/2014/main" id="{FAD9E4D2-CDCD-4846-9C75-AB6DBB606442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48" name="Rechteck 147">
            <a:extLst>
              <a:ext uri="{FF2B5EF4-FFF2-40B4-BE49-F238E27FC236}">
                <a16:creationId xmlns:a16="http://schemas.microsoft.com/office/drawing/2014/main" id="{F6203CFB-6D26-52C6-8E20-99275003004F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9" name="Gerader Verbinder 148">
            <a:extLst>
              <a:ext uri="{FF2B5EF4-FFF2-40B4-BE49-F238E27FC236}">
                <a16:creationId xmlns:a16="http://schemas.microsoft.com/office/drawing/2014/main" id="{FD75BFA8-A757-2C0D-4A7F-914BEBF8F97D}"/>
              </a:ext>
            </a:extLst>
          </xdr:cNvPr>
          <xdr:cNvCxnSpPr>
            <a:stCxn id="146" idx="4"/>
            <a:endCxn id="148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0" name="Gerader Verbinder 149">
            <a:extLst>
              <a:ext uri="{FF2B5EF4-FFF2-40B4-BE49-F238E27FC236}">
                <a16:creationId xmlns:a16="http://schemas.microsoft.com/office/drawing/2014/main" id="{AA8A9AA1-E043-9527-2130-720B8FFDDB23}"/>
              </a:ext>
            </a:extLst>
          </xdr:cNvPr>
          <xdr:cNvCxnSpPr>
            <a:stCxn id="14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1" name="Textfeld 150">
            <a:extLst>
              <a:ext uri="{FF2B5EF4-FFF2-40B4-BE49-F238E27FC236}">
                <a16:creationId xmlns:a16="http://schemas.microsoft.com/office/drawing/2014/main" id="{B9D34097-38E0-01B5-B20D-767E849C9FBE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52" name="Gruppieren 151">
          <a:extLst>
            <a:ext uri="{FF2B5EF4-FFF2-40B4-BE49-F238E27FC236}">
              <a16:creationId xmlns:a16="http://schemas.microsoft.com/office/drawing/2014/main" id="{3AFC1D98-623D-4F6B-98BE-2C99B00FAF31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53" name="Rechteck 152">
            <a:extLst>
              <a:ext uri="{FF2B5EF4-FFF2-40B4-BE49-F238E27FC236}">
                <a16:creationId xmlns:a16="http://schemas.microsoft.com/office/drawing/2014/main" id="{57001FB1-14CF-9373-6D5E-6E99FE6052B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4" name="Gerader Verbinder 153">
            <a:extLst>
              <a:ext uri="{FF2B5EF4-FFF2-40B4-BE49-F238E27FC236}">
                <a16:creationId xmlns:a16="http://schemas.microsoft.com/office/drawing/2014/main" id="{EB35914C-D27B-1D28-F4D7-600472ACF417}"/>
              </a:ext>
            </a:extLst>
          </xdr:cNvPr>
          <xdr:cNvCxnSpPr>
            <a:stCxn id="180" idx="2"/>
            <a:endCxn id="153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5" name="Gerader Verbinder 154">
            <a:extLst>
              <a:ext uri="{FF2B5EF4-FFF2-40B4-BE49-F238E27FC236}">
                <a16:creationId xmlns:a16="http://schemas.microsoft.com/office/drawing/2014/main" id="{189E7658-12A2-5C77-BF46-E16A73AF1791}"/>
              </a:ext>
            </a:extLst>
          </xdr:cNvPr>
          <xdr:cNvCxnSpPr>
            <a:stCxn id="15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56" name="Textfeld 155">
            <a:extLst>
              <a:ext uri="{FF2B5EF4-FFF2-40B4-BE49-F238E27FC236}">
                <a16:creationId xmlns:a16="http://schemas.microsoft.com/office/drawing/2014/main" id="{39F8A9CD-2F91-0CAB-0F5A-BE4E97B21F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57" name="Gruppieren 156">
          <a:extLst>
            <a:ext uri="{FF2B5EF4-FFF2-40B4-BE49-F238E27FC236}">
              <a16:creationId xmlns:a16="http://schemas.microsoft.com/office/drawing/2014/main" id="{437134A4-0CEE-4714-B9D7-3BF3611380A4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58" name="Rechteck 157">
            <a:extLst>
              <a:ext uri="{FF2B5EF4-FFF2-40B4-BE49-F238E27FC236}">
                <a16:creationId xmlns:a16="http://schemas.microsoft.com/office/drawing/2014/main" id="{D01DAB39-3693-5D3D-7D49-FDEEA64CD16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59" name="Gerader Verbinder 158">
            <a:extLst>
              <a:ext uri="{FF2B5EF4-FFF2-40B4-BE49-F238E27FC236}">
                <a16:creationId xmlns:a16="http://schemas.microsoft.com/office/drawing/2014/main" id="{14147CF4-F094-2D14-A539-BA41F8C1B9F0}"/>
              </a:ext>
            </a:extLst>
          </xdr:cNvPr>
          <xdr:cNvCxnSpPr>
            <a:stCxn id="173" idx="4"/>
            <a:endCxn id="158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0" name="Gerader Verbinder 159">
            <a:extLst>
              <a:ext uri="{FF2B5EF4-FFF2-40B4-BE49-F238E27FC236}">
                <a16:creationId xmlns:a16="http://schemas.microsoft.com/office/drawing/2014/main" id="{660999F3-5C2D-D751-5480-708481C6D20C}"/>
              </a:ext>
            </a:extLst>
          </xdr:cNvPr>
          <xdr:cNvCxnSpPr>
            <a:stCxn id="158" idx="2"/>
            <a:endCxn id="174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1" name="Textfeld 160">
            <a:extLst>
              <a:ext uri="{FF2B5EF4-FFF2-40B4-BE49-F238E27FC236}">
                <a16:creationId xmlns:a16="http://schemas.microsoft.com/office/drawing/2014/main" id="{AF1DF503-4789-5450-528E-688479731BF8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91465A1C-B7D8-4CA7-A582-CC5E9575D63C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63" name="Rechteck 162">
            <a:extLst>
              <a:ext uri="{FF2B5EF4-FFF2-40B4-BE49-F238E27FC236}">
                <a16:creationId xmlns:a16="http://schemas.microsoft.com/office/drawing/2014/main" id="{2A17A572-7079-F6A4-1B5A-FCB9812D411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271B0E60-81B6-C9CA-5641-D72CADB06B82}"/>
              </a:ext>
            </a:extLst>
          </xdr:cNvPr>
          <xdr:cNvCxnSpPr>
            <a:endCxn id="16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5" name="Gerader Verbinder 164">
            <a:extLst>
              <a:ext uri="{FF2B5EF4-FFF2-40B4-BE49-F238E27FC236}">
                <a16:creationId xmlns:a16="http://schemas.microsoft.com/office/drawing/2014/main" id="{946A9F84-8271-0518-0039-5936937C415A}"/>
              </a:ext>
            </a:extLst>
          </xdr:cNvPr>
          <xdr:cNvCxnSpPr>
            <a:stCxn id="16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6" name="Textfeld 165">
            <a:extLst>
              <a:ext uri="{FF2B5EF4-FFF2-40B4-BE49-F238E27FC236}">
                <a16:creationId xmlns:a16="http://schemas.microsoft.com/office/drawing/2014/main" id="{D6E32B9B-467B-6E49-7821-1198236E021A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67" name="Gerader Verbinder 166">
          <a:extLst>
            <a:ext uri="{FF2B5EF4-FFF2-40B4-BE49-F238E27FC236}">
              <a16:creationId xmlns:a16="http://schemas.microsoft.com/office/drawing/2014/main" id="{FA78A989-8061-4CF6-808B-8CE2867DC637}"/>
            </a:ext>
          </a:extLst>
        </xdr:cNvPr>
        <xdr:cNvCxnSpPr/>
      </xdr:nvCxnSpPr>
      <xdr:spPr>
        <a:xfrm flipH="1" flipV="1">
          <a:off x="1885950" y="34095871"/>
          <a:ext cx="6861175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68" name="Gerader Verbinder 167">
          <a:extLst>
            <a:ext uri="{FF2B5EF4-FFF2-40B4-BE49-F238E27FC236}">
              <a16:creationId xmlns:a16="http://schemas.microsoft.com/office/drawing/2014/main" id="{A3462B73-A66F-422D-9C9A-B6E4923C905C}"/>
            </a:ext>
          </a:extLst>
        </xdr:cNvPr>
        <xdr:cNvCxnSpPr/>
      </xdr:nvCxnSpPr>
      <xdr:spPr>
        <a:xfrm flipH="1">
          <a:off x="1524000" y="39416397"/>
          <a:ext cx="62230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D00415E7-9DDF-4DB8-8370-468B78714A4A}"/>
            </a:ext>
          </a:extLst>
        </xdr:cNvPr>
        <xdr:cNvCxnSpPr/>
      </xdr:nvCxnSpPr>
      <xdr:spPr>
        <a:xfrm flipH="1">
          <a:off x="1714954" y="39200952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70" name="Gerader Verbinder 169">
          <a:extLst>
            <a:ext uri="{FF2B5EF4-FFF2-40B4-BE49-F238E27FC236}">
              <a16:creationId xmlns:a16="http://schemas.microsoft.com/office/drawing/2014/main" id="{BDAE797E-CC3F-4A99-9B7A-F8238833C6DB}"/>
            </a:ext>
          </a:extLst>
        </xdr:cNvPr>
        <xdr:cNvCxnSpPr/>
      </xdr:nvCxnSpPr>
      <xdr:spPr>
        <a:xfrm flipH="1">
          <a:off x="1724025" y="39490196"/>
          <a:ext cx="29845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71" name="Gerader Verbinder 170">
          <a:extLst>
            <a:ext uri="{FF2B5EF4-FFF2-40B4-BE49-F238E27FC236}">
              <a16:creationId xmlns:a16="http://schemas.microsoft.com/office/drawing/2014/main" id="{73D8817E-F4EA-42AA-B0CE-60CCBD0B13EE}"/>
            </a:ext>
          </a:extLst>
        </xdr:cNvPr>
        <xdr:cNvCxnSpPr/>
      </xdr:nvCxnSpPr>
      <xdr:spPr>
        <a:xfrm flipH="1">
          <a:off x="1857375" y="39515596"/>
          <a:ext cx="9525" cy="8323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72" name="Gerader Verbinder 171">
          <a:extLst>
            <a:ext uri="{FF2B5EF4-FFF2-40B4-BE49-F238E27FC236}">
              <a16:creationId xmlns:a16="http://schemas.microsoft.com/office/drawing/2014/main" id="{06202494-9E89-4C4A-B670-0F37F72E9652}"/>
            </a:ext>
          </a:extLst>
        </xdr:cNvPr>
        <xdr:cNvCxnSpPr>
          <a:stCxn id="175" idx="6"/>
        </xdr:cNvCxnSpPr>
      </xdr:nvCxnSpPr>
      <xdr:spPr>
        <a:xfrm flipH="1" flipV="1">
          <a:off x="1866900" y="40322046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73" name="Ellipse 172">
          <a:extLst>
            <a:ext uri="{FF2B5EF4-FFF2-40B4-BE49-F238E27FC236}">
              <a16:creationId xmlns:a16="http://schemas.microsoft.com/office/drawing/2014/main" id="{2D8C6FB1-E7A6-46C6-8718-28B32FC3484F}"/>
            </a:ext>
          </a:extLst>
        </xdr:cNvPr>
        <xdr:cNvSpPr/>
      </xdr:nvSpPr>
      <xdr:spPr>
        <a:xfrm>
          <a:off x="4886325" y="34029196"/>
          <a:ext cx="95250" cy="1030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74" name="Ellipse 173">
          <a:extLst>
            <a:ext uri="{FF2B5EF4-FFF2-40B4-BE49-F238E27FC236}">
              <a16:creationId xmlns:a16="http://schemas.microsoft.com/office/drawing/2014/main" id="{6B2B26F0-0514-4D68-BC20-4AEC5128B805}"/>
            </a:ext>
          </a:extLst>
        </xdr:cNvPr>
        <xdr:cNvSpPr/>
      </xdr:nvSpPr>
      <xdr:spPr>
        <a:xfrm>
          <a:off x="4895850" y="40298461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75" name="Ellipse 174">
          <a:extLst>
            <a:ext uri="{FF2B5EF4-FFF2-40B4-BE49-F238E27FC236}">
              <a16:creationId xmlns:a16="http://schemas.microsoft.com/office/drawing/2014/main" id="{A76AE270-011E-4B5E-8B0B-E0E3C92A40E8}"/>
            </a:ext>
          </a:extLst>
        </xdr:cNvPr>
        <xdr:cNvSpPr/>
      </xdr:nvSpPr>
      <xdr:spPr>
        <a:xfrm>
          <a:off x="8686346" y="40290750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76" name="Gerader Verbinder 175">
          <a:extLst>
            <a:ext uri="{FF2B5EF4-FFF2-40B4-BE49-F238E27FC236}">
              <a16:creationId xmlns:a16="http://schemas.microsoft.com/office/drawing/2014/main" id="{278AC868-F5A0-4687-9230-24273C5BEEAC}"/>
            </a:ext>
          </a:extLst>
        </xdr:cNvPr>
        <xdr:cNvCxnSpPr/>
      </xdr:nvCxnSpPr>
      <xdr:spPr>
        <a:xfrm flipH="1">
          <a:off x="1553308" y="39159542"/>
          <a:ext cx="625658" cy="432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77" name="Gerader Verbinder 176">
          <a:extLst>
            <a:ext uri="{FF2B5EF4-FFF2-40B4-BE49-F238E27FC236}">
              <a16:creationId xmlns:a16="http://schemas.microsoft.com/office/drawing/2014/main" id="{DD0EB5AF-659E-450A-86E3-A8D599D0ED0E}"/>
            </a:ext>
          </a:extLst>
        </xdr:cNvPr>
        <xdr:cNvCxnSpPr/>
      </xdr:nvCxnSpPr>
      <xdr:spPr>
        <a:xfrm flipH="1">
          <a:off x="1871889" y="39198229"/>
          <a:ext cx="4536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78" name="Ellipse 177">
          <a:extLst>
            <a:ext uri="{FF2B5EF4-FFF2-40B4-BE49-F238E27FC236}">
              <a16:creationId xmlns:a16="http://schemas.microsoft.com/office/drawing/2014/main" id="{B1A2D2D1-7B1B-47B0-AF85-178A9A6ED76B}"/>
            </a:ext>
          </a:extLst>
        </xdr:cNvPr>
        <xdr:cNvSpPr/>
      </xdr:nvSpPr>
      <xdr:spPr>
        <a:xfrm>
          <a:off x="8679997" y="34023300"/>
          <a:ext cx="95250" cy="1284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79" name="Gruppieren 178">
          <a:extLst>
            <a:ext uri="{FF2B5EF4-FFF2-40B4-BE49-F238E27FC236}">
              <a16:creationId xmlns:a16="http://schemas.microsoft.com/office/drawing/2014/main" id="{C8FCC86A-6B4B-463F-988B-B3B5E5E439A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80" name="Rechteck 179">
            <a:extLst>
              <a:ext uri="{FF2B5EF4-FFF2-40B4-BE49-F238E27FC236}">
                <a16:creationId xmlns:a16="http://schemas.microsoft.com/office/drawing/2014/main" id="{CD85D656-45FB-CF00-B656-9CE370075D9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1" name="Gerader Verbinder 180">
            <a:extLst>
              <a:ext uri="{FF2B5EF4-FFF2-40B4-BE49-F238E27FC236}">
                <a16:creationId xmlns:a16="http://schemas.microsoft.com/office/drawing/2014/main" id="{46C7DF74-AD1D-42FC-6E78-B2CB458F6196}"/>
              </a:ext>
            </a:extLst>
          </xdr:cNvPr>
          <xdr:cNvCxnSpPr>
            <a:stCxn id="178" idx="4"/>
            <a:endCxn id="180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2" name="Textfeld 181">
            <a:extLst>
              <a:ext uri="{FF2B5EF4-FFF2-40B4-BE49-F238E27FC236}">
                <a16:creationId xmlns:a16="http://schemas.microsoft.com/office/drawing/2014/main" id="{8347CB08-FCD4-A68B-0453-BD0D6CDBF977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83" name="Gruppieren 182">
          <a:extLst>
            <a:ext uri="{FF2B5EF4-FFF2-40B4-BE49-F238E27FC236}">
              <a16:creationId xmlns:a16="http://schemas.microsoft.com/office/drawing/2014/main" id="{4A037C9E-D85A-4780-9ACA-60D6FFCC768C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184" name="Rechteck 183">
            <a:extLst>
              <a:ext uri="{FF2B5EF4-FFF2-40B4-BE49-F238E27FC236}">
                <a16:creationId xmlns:a16="http://schemas.microsoft.com/office/drawing/2014/main" id="{F2C651FB-0B24-7EBE-35BD-722F65E77A9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85" name="Gerader Verbinder 184">
            <a:extLst>
              <a:ext uri="{FF2B5EF4-FFF2-40B4-BE49-F238E27FC236}">
                <a16:creationId xmlns:a16="http://schemas.microsoft.com/office/drawing/2014/main" id="{84BC848B-742F-B2C3-C66B-665E60EF010A}"/>
              </a:ext>
            </a:extLst>
          </xdr:cNvPr>
          <xdr:cNvCxnSpPr>
            <a:stCxn id="208" idx="4"/>
            <a:endCxn id="184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86" name="Gerader Verbinder 185">
            <a:extLst>
              <a:ext uri="{FF2B5EF4-FFF2-40B4-BE49-F238E27FC236}">
                <a16:creationId xmlns:a16="http://schemas.microsoft.com/office/drawing/2014/main" id="{AEDDFE22-C4BA-9033-7B61-A71F2C00C6C1}"/>
              </a:ext>
            </a:extLst>
          </xdr:cNvPr>
          <xdr:cNvCxnSpPr>
            <a:stCxn id="184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7" name="Textfeld 186">
            <a:extLst>
              <a:ext uri="{FF2B5EF4-FFF2-40B4-BE49-F238E27FC236}">
                <a16:creationId xmlns:a16="http://schemas.microsoft.com/office/drawing/2014/main" id="{ACBAA779-506E-90AF-FA09-79BAFBA2037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188" name="Gruppieren 187">
          <a:extLst>
            <a:ext uri="{FF2B5EF4-FFF2-40B4-BE49-F238E27FC236}">
              <a16:creationId xmlns:a16="http://schemas.microsoft.com/office/drawing/2014/main" id="{28F78CC0-FCA5-4AA7-BC20-EDE20120B4DF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189" name="Rechteck 188">
            <a:extLst>
              <a:ext uri="{FF2B5EF4-FFF2-40B4-BE49-F238E27FC236}">
                <a16:creationId xmlns:a16="http://schemas.microsoft.com/office/drawing/2014/main" id="{01D7E6F1-2061-3D21-FDDA-5A1C84FE1DE2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0" name="Gerader Verbinder 189">
            <a:extLst>
              <a:ext uri="{FF2B5EF4-FFF2-40B4-BE49-F238E27FC236}">
                <a16:creationId xmlns:a16="http://schemas.microsoft.com/office/drawing/2014/main" id="{75964405-6FF5-A673-72A1-A2FDA6A8EF68}"/>
              </a:ext>
            </a:extLst>
          </xdr:cNvPr>
          <xdr:cNvCxnSpPr>
            <a:stCxn id="204" idx="4"/>
            <a:endCxn id="189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1" name="Gerader Verbinder 190">
            <a:extLst>
              <a:ext uri="{FF2B5EF4-FFF2-40B4-BE49-F238E27FC236}">
                <a16:creationId xmlns:a16="http://schemas.microsoft.com/office/drawing/2014/main" id="{55C2A37C-9982-594E-21DC-292E04AC1ED2}"/>
              </a:ext>
            </a:extLst>
          </xdr:cNvPr>
          <xdr:cNvCxnSpPr>
            <a:stCxn id="189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2" name="Textfeld 191">
            <a:extLst>
              <a:ext uri="{FF2B5EF4-FFF2-40B4-BE49-F238E27FC236}">
                <a16:creationId xmlns:a16="http://schemas.microsoft.com/office/drawing/2014/main" id="{24FBE744-AB48-ECDF-1947-9BE4CCF4AD6A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193" name="Gruppieren 192">
          <a:extLst>
            <a:ext uri="{FF2B5EF4-FFF2-40B4-BE49-F238E27FC236}">
              <a16:creationId xmlns:a16="http://schemas.microsoft.com/office/drawing/2014/main" id="{48BF3F16-44BF-43F3-AAC8-AF4BA1988782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194" name="Rechteck 193">
            <a:extLst>
              <a:ext uri="{FF2B5EF4-FFF2-40B4-BE49-F238E27FC236}">
                <a16:creationId xmlns:a16="http://schemas.microsoft.com/office/drawing/2014/main" id="{84F0754A-EDC9-A2D5-F92C-3C48445012C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5" name="Gerader Verbinder 194">
            <a:extLst>
              <a:ext uri="{FF2B5EF4-FFF2-40B4-BE49-F238E27FC236}">
                <a16:creationId xmlns:a16="http://schemas.microsoft.com/office/drawing/2014/main" id="{2BB4F6FC-65E3-E89A-A2EB-D73D7C312EFE}"/>
              </a:ext>
            </a:extLst>
          </xdr:cNvPr>
          <xdr:cNvCxnSpPr>
            <a:endCxn id="194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04E57CFE-4B36-0658-14D2-9FDBF6F962BB}"/>
              </a:ext>
            </a:extLst>
          </xdr:cNvPr>
          <xdr:cNvCxnSpPr>
            <a:stCxn id="194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7" name="Textfeld 196">
            <a:extLst>
              <a:ext uri="{FF2B5EF4-FFF2-40B4-BE49-F238E27FC236}">
                <a16:creationId xmlns:a16="http://schemas.microsoft.com/office/drawing/2014/main" id="{8D6CC58F-6B6C-F4A8-AA15-D560D8F1A14A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198" name="Gerader Verbinder 197">
          <a:extLst>
            <a:ext uri="{FF2B5EF4-FFF2-40B4-BE49-F238E27FC236}">
              <a16:creationId xmlns:a16="http://schemas.microsoft.com/office/drawing/2014/main" id="{1944C9E0-F4B1-4142-92C3-B9399866D310}"/>
            </a:ext>
          </a:extLst>
        </xdr:cNvPr>
        <xdr:cNvCxnSpPr>
          <a:stCxn id="208" idx="6"/>
        </xdr:cNvCxnSpPr>
      </xdr:nvCxnSpPr>
      <xdr:spPr>
        <a:xfrm flipH="1">
          <a:off x="1885950" y="42276177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199" name="Gerader Verbinder 198">
          <a:extLst>
            <a:ext uri="{FF2B5EF4-FFF2-40B4-BE49-F238E27FC236}">
              <a16:creationId xmlns:a16="http://schemas.microsoft.com/office/drawing/2014/main" id="{2979FB1E-3C62-4E5D-BF84-A0F4F8ABBB09}"/>
            </a:ext>
          </a:extLst>
        </xdr:cNvPr>
        <xdr:cNvCxnSpPr/>
      </xdr:nvCxnSpPr>
      <xdr:spPr>
        <a:xfrm flipH="1">
          <a:off x="1524000" y="47055447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00" name="Gerader Verbinder 199">
          <a:extLst>
            <a:ext uri="{FF2B5EF4-FFF2-40B4-BE49-F238E27FC236}">
              <a16:creationId xmlns:a16="http://schemas.microsoft.com/office/drawing/2014/main" id="{FFE98438-EF7B-4DF2-8A0D-A28FDC83CF51}"/>
            </a:ext>
          </a:extLst>
        </xdr:cNvPr>
        <xdr:cNvCxnSpPr/>
      </xdr:nvCxnSpPr>
      <xdr:spPr>
        <a:xfrm flipH="1">
          <a:off x="1714954" y="4670665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01" name="Gerader Verbinder 200">
          <a:extLst>
            <a:ext uri="{FF2B5EF4-FFF2-40B4-BE49-F238E27FC236}">
              <a16:creationId xmlns:a16="http://schemas.microsoft.com/office/drawing/2014/main" id="{410FF696-D40C-453C-A3AB-C9B8A9BD4EC2}"/>
            </a:ext>
          </a:extLst>
        </xdr:cNvPr>
        <xdr:cNvCxnSpPr/>
      </xdr:nvCxnSpPr>
      <xdr:spPr>
        <a:xfrm flipH="1">
          <a:off x="1695450" y="4710384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02" name="Gerader Verbinder 201">
          <a:extLst>
            <a:ext uri="{FF2B5EF4-FFF2-40B4-BE49-F238E27FC236}">
              <a16:creationId xmlns:a16="http://schemas.microsoft.com/office/drawing/2014/main" id="{8E705A46-3AD0-4AC0-AA59-A248426F724D}"/>
            </a:ext>
          </a:extLst>
        </xdr:cNvPr>
        <xdr:cNvCxnSpPr>
          <a:endCxn id="210" idx="4"/>
        </xdr:cNvCxnSpPr>
      </xdr:nvCxnSpPr>
      <xdr:spPr>
        <a:xfrm>
          <a:off x="1876425" y="47123350"/>
          <a:ext cx="2325" cy="49520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03" name="Gerader Verbinder 202">
          <a:extLst>
            <a:ext uri="{FF2B5EF4-FFF2-40B4-BE49-F238E27FC236}">
              <a16:creationId xmlns:a16="http://schemas.microsoft.com/office/drawing/2014/main" id="{68199558-FFDD-4568-962B-C543D2861D39}"/>
            </a:ext>
          </a:extLst>
        </xdr:cNvPr>
        <xdr:cNvCxnSpPr>
          <a:cxnSpLocks/>
          <a:stCxn id="209" idx="5"/>
        </xdr:cNvCxnSpPr>
      </xdr:nvCxnSpPr>
      <xdr:spPr>
        <a:xfrm flipH="1" flipV="1">
          <a:off x="1857375" y="47592795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04" name="Ellipse 203">
          <a:extLst>
            <a:ext uri="{FF2B5EF4-FFF2-40B4-BE49-F238E27FC236}">
              <a16:creationId xmlns:a16="http://schemas.microsoft.com/office/drawing/2014/main" id="{D61CE888-0E0E-4A85-B624-FC5D5227736F}"/>
            </a:ext>
          </a:extLst>
        </xdr:cNvPr>
        <xdr:cNvSpPr/>
      </xdr:nvSpPr>
      <xdr:spPr>
        <a:xfrm>
          <a:off x="4886325" y="4222704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05" name="Ellipse 204">
          <a:extLst>
            <a:ext uri="{FF2B5EF4-FFF2-40B4-BE49-F238E27FC236}">
              <a16:creationId xmlns:a16="http://schemas.microsoft.com/office/drawing/2014/main" id="{3BD646D1-1590-4164-B365-3BD6DD5FA255}"/>
            </a:ext>
          </a:extLst>
        </xdr:cNvPr>
        <xdr:cNvSpPr/>
      </xdr:nvSpPr>
      <xdr:spPr>
        <a:xfrm>
          <a:off x="4886325" y="47569210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06" name="Gerader Verbinder 205">
          <a:extLst>
            <a:ext uri="{FF2B5EF4-FFF2-40B4-BE49-F238E27FC236}">
              <a16:creationId xmlns:a16="http://schemas.microsoft.com/office/drawing/2014/main" id="{3C90A4AF-756D-498E-87E8-7A4DDB7C3C91}"/>
            </a:ext>
          </a:extLst>
        </xdr:cNvPr>
        <xdr:cNvCxnSpPr/>
      </xdr:nvCxnSpPr>
      <xdr:spPr>
        <a:xfrm flipH="1" flipV="1">
          <a:off x="1597269" y="46668593"/>
          <a:ext cx="581697" cy="299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07" name="Gerader Verbinder 206">
          <a:extLst>
            <a:ext uri="{FF2B5EF4-FFF2-40B4-BE49-F238E27FC236}">
              <a16:creationId xmlns:a16="http://schemas.microsoft.com/office/drawing/2014/main" id="{F680BE61-C0AA-4C29-86D7-09EC3CD12A9A}"/>
            </a:ext>
          </a:extLst>
        </xdr:cNvPr>
        <xdr:cNvCxnSpPr/>
      </xdr:nvCxnSpPr>
      <xdr:spPr>
        <a:xfrm>
          <a:off x="1875064" y="46707104"/>
          <a:ext cx="1361" cy="3495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08" name="Ellipse 207">
          <a:extLst>
            <a:ext uri="{FF2B5EF4-FFF2-40B4-BE49-F238E27FC236}">
              <a16:creationId xmlns:a16="http://schemas.microsoft.com/office/drawing/2014/main" id="{484B70D1-A5DF-4664-9E3C-5470D4561ADA}"/>
            </a:ext>
          </a:extLst>
        </xdr:cNvPr>
        <xdr:cNvSpPr/>
      </xdr:nvSpPr>
      <xdr:spPr>
        <a:xfrm>
          <a:off x="6022125" y="42232079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09" name="Ellipse 208">
          <a:extLst>
            <a:ext uri="{FF2B5EF4-FFF2-40B4-BE49-F238E27FC236}">
              <a16:creationId xmlns:a16="http://schemas.microsoft.com/office/drawing/2014/main" id="{C3B655DE-54A9-49B6-88A6-F802FDB9E86C}"/>
            </a:ext>
          </a:extLst>
        </xdr:cNvPr>
        <xdr:cNvSpPr/>
      </xdr:nvSpPr>
      <xdr:spPr>
        <a:xfrm>
          <a:off x="5971325" y="4754147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10" name="Ellipse 209">
          <a:extLst>
            <a:ext uri="{FF2B5EF4-FFF2-40B4-BE49-F238E27FC236}">
              <a16:creationId xmlns:a16="http://schemas.microsoft.com/office/drawing/2014/main" id="{5428695A-CAEB-42A7-9FB0-307FF76D299D}"/>
            </a:ext>
          </a:extLst>
        </xdr:cNvPr>
        <xdr:cNvSpPr/>
      </xdr:nvSpPr>
      <xdr:spPr>
        <a:xfrm>
          <a:off x="1831125" y="47524009"/>
          <a:ext cx="95250" cy="945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237</xdr:row>
      <xdr:rowOff>0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4304C7A7-A79B-4E82-989A-A58B8B227335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12" name="Rechteck 211">
            <a:extLst>
              <a:ext uri="{FF2B5EF4-FFF2-40B4-BE49-F238E27FC236}">
                <a16:creationId xmlns:a16="http://schemas.microsoft.com/office/drawing/2014/main" id="{C264CAC7-1286-6759-F101-B5E417221927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3" name="Gerader Verbinder 212">
            <a:extLst>
              <a:ext uri="{FF2B5EF4-FFF2-40B4-BE49-F238E27FC236}">
                <a16:creationId xmlns:a16="http://schemas.microsoft.com/office/drawing/2014/main" id="{765B2529-8273-91E8-415B-C18054C3B75A}"/>
              </a:ext>
            </a:extLst>
          </xdr:cNvPr>
          <xdr:cNvCxnSpPr>
            <a:stCxn id="229" idx="4"/>
            <a:endCxn id="212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4" name="Gerader Verbinder 213">
            <a:extLst>
              <a:ext uri="{FF2B5EF4-FFF2-40B4-BE49-F238E27FC236}">
                <a16:creationId xmlns:a16="http://schemas.microsoft.com/office/drawing/2014/main" id="{3A83F0AC-BCE2-D18C-46BE-E8792C93A4EB}"/>
              </a:ext>
            </a:extLst>
          </xdr:cNvPr>
          <xdr:cNvCxnSpPr>
            <a:stCxn id="212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5" name="Textfeld 214">
            <a:extLst>
              <a:ext uri="{FF2B5EF4-FFF2-40B4-BE49-F238E27FC236}">
                <a16:creationId xmlns:a16="http://schemas.microsoft.com/office/drawing/2014/main" id="{F85BFFE0-065E-62D4-3483-D7BF2C646DEB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16" name="Gruppieren 215">
          <a:extLst>
            <a:ext uri="{FF2B5EF4-FFF2-40B4-BE49-F238E27FC236}">
              <a16:creationId xmlns:a16="http://schemas.microsoft.com/office/drawing/2014/main" id="{580B9708-8A7D-4F82-8EB5-760F73C174A6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17" name="Rechteck 216">
            <a:extLst>
              <a:ext uri="{FF2B5EF4-FFF2-40B4-BE49-F238E27FC236}">
                <a16:creationId xmlns:a16="http://schemas.microsoft.com/office/drawing/2014/main" id="{CB3BBDE5-2A4B-A535-382D-42EBE7F7112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7861FAA3-271D-BF1A-7D87-F513DC0E4474}"/>
              </a:ext>
            </a:extLst>
          </xdr:cNvPr>
          <xdr:cNvCxnSpPr>
            <a:endCxn id="21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9" name="Gerader Verbinder 218">
            <a:extLst>
              <a:ext uri="{FF2B5EF4-FFF2-40B4-BE49-F238E27FC236}">
                <a16:creationId xmlns:a16="http://schemas.microsoft.com/office/drawing/2014/main" id="{C1762107-65DC-53ED-6928-A93859BCF292}"/>
              </a:ext>
            </a:extLst>
          </xdr:cNvPr>
          <xdr:cNvCxnSpPr>
            <a:stCxn id="21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20" name="Textfeld 219">
            <a:extLst>
              <a:ext uri="{FF2B5EF4-FFF2-40B4-BE49-F238E27FC236}">
                <a16:creationId xmlns:a16="http://schemas.microsoft.com/office/drawing/2014/main" id="{58BD2623-66C6-5413-609F-323BD804EC79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21" name="Gerader Verbinder 220">
          <a:extLst>
            <a:ext uri="{FF2B5EF4-FFF2-40B4-BE49-F238E27FC236}">
              <a16:creationId xmlns:a16="http://schemas.microsoft.com/office/drawing/2014/main" id="{64D9F6EF-CB5E-410A-AC75-2E3794A38DF9}"/>
            </a:ext>
          </a:extLst>
        </xdr:cNvPr>
        <xdr:cNvCxnSpPr>
          <a:stCxn id="229" idx="6"/>
        </xdr:cNvCxnSpPr>
      </xdr:nvCxnSpPr>
      <xdr:spPr>
        <a:xfrm flipH="1">
          <a:off x="1885950" y="5090628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F201A006-DB1D-41CF-B4C8-2770392DC57E}"/>
            </a:ext>
          </a:extLst>
        </xdr:cNvPr>
        <xdr:cNvCxnSpPr/>
      </xdr:nvCxnSpPr>
      <xdr:spPr>
        <a:xfrm flipH="1">
          <a:off x="1524000" y="55317251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4B4C9223-C6B9-40A7-9B58-179FFE4F3AA2}"/>
            </a:ext>
          </a:extLst>
        </xdr:cNvPr>
        <xdr:cNvCxnSpPr/>
      </xdr:nvCxnSpPr>
      <xdr:spPr>
        <a:xfrm flipH="1">
          <a:off x="1714954" y="55095456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24" name="Gerader Verbinder 223">
          <a:extLst>
            <a:ext uri="{FF2B5EF4-FFF2-40B4-BE49-F238E27FC236}">
              <a16:creationId xmlns:a16="http://schemas.microsoft.com/office/drawing/2014/main" id="{90440322-514B-4FFF-A6E5-8C04CA21FC26}"/>
            </a:ext>
          </a:extLst>
        </xdr:cNvPr>
        <xdr:cNvCxnSpPr/>
      </xdr:nvCxnSpPr>
      <xdr:spPr>
        <a:xfrm flipH="1">
          <a:off x="1724025" y="5559425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25" name="Gerader Verbinder 224">
          <a:extLst>
            <a:ext uri="{FF2B5EF4-FFF2-40B4-BE49-F238E27FC236}">
              <a16:creationId xmlns:a16="http://schemas.microsoft.com/office/drawing/2014/main" id="{F4A59D43-E3DD-43D7-85DF-1516CE04AAE1}"/>
            </a:ext>
          </a:extLst>
        </xdr:cNvPr>
        <xdr:cNvCxnSpPr/>
      </xdr:nvCxnSpPr>
      <xdr:spPr>
        <a:xfrm flipH="1">
          <a:off x="1857375" y="55610125"/>
          <a:ext cx="9525" cy="9525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26" name="Gerader Verbinder 225">
          <a:extLst>
            <a:ext uri="{FF2B5EF4-FFF2-40B4-BE49-F238E27FC236}">
              <a16:creationId xmlns:a16="http://schemas.microsoft.com/office/drawing/2014/main" id="{60A513B6-832A-4F64-9764-BBA35913D50D}"/>
            </a:ext>
          </a:extLst>
        </xdr:cNvPr>
        <xdr:cNvCxnSpPr>
          <a:cxnSpLocks/>
        </xdr:cNvCxnSpPr>
      </xdr:nvCxnSpPr>
      <xdr:spPr>
        <a:xfrm flipH="1" flipV="1">
          <a:off x="1857375" y="565372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27" name="Gerader Verbinder 226">
          <a:extLst>
            <a:ext uri="{FF2B5EF4-FFF2-40B4-BE49-F238E27FC236}">
              <a16:creationId xmlns:a16="http://schemas.microsoft.com/office/drawing/2014/main" id="{2B5EEAFE-A5A2-4CD4-A08A-8F71185490B2}"/>
            </a:ext>
          </a:extLst>
        </xdr:cNvPr>
        <xdr:cNvCxnSpPr/>
      </xdr:nvCxnSpPr>
      <xdr:spPr>
        <a:xfrm flipH="1">
          <a:off x="1575288" y="55054046"/>
          <a:ext cx="60367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28" name="Gerader Verbinder 227">
          <a:extLst>
            <a:ext uri="{FF2B5EF4-FFF2-40B4-BE49-F238E27FC236}">
              <a16:creationId xmlns:a16="http://schemas.microsoft.com/office/drawing/2014/main" id="{879532BD-3E38-471E-BCD7-2003B99AB794}"/>
            </a:ext>
          </a:extLst>
        </xdr:cNvPr>
        <xdr:cNvCxnSpPr/>
      </xdr:nvCxnSpPr>
      <xdr:spPr>
        <a:xfrm flipH="1">
          <a:off x="1878239" y="55099083"/>
          <a:ext cx="0" cy="2508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29" name="Ellipse 228">
          <a:extLst>
            <a:ext uri="{FF2B5EF4-FFF2-40B4-BE49-F238E27FC236}">
              <a16:creationId xmlns:a16="http://schemas.microsoft.com/office/drawing/2014/main" id="{4A2E53BB-5D74-4AB2-A8D9-461FBB0AD644}"/>
            </a:ext>
          </a:extLst>
        </xdr:cNvPr>
        <xdr:cNvSpPr/>
      </xdr:nvSpPr>
      <xdr:spPr>
        <a:xfrm>
          <a:off x="6022125" y="50855833"/>
          <a:ext cx="95250" cy="850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30" name="Ellipse 229">
          <a:extLst>
            <a:ext uri="{FF2B5EF4-FFF2-40B4-BE49-F238E27FC236}">
              <a16:creationId xmlns:a16="http://schemas.microsoft.com/office/drawing/2014/main" id="{747A741B-8F64-4878-9EB3-DE8CF9F2E0A8}"/>
            </a:ext>
          </a:extLst>
        </xdr:cNvPr>
        <xdr:cNvSpPr/>
      </xdr:nvSpPr>
      <xdr:spPr>
        <a:xfrm>
          <a:off x="5990375" y="56495427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31" name="Ellipse 230">
          <a:extLst>
            <a:ext uri="{FF2B5EF4-FFF2-40B4-BE49-F238E27FC236}">
              <a16:creationId xmlns:a16="http://schemas.microsoft.com/office/drawing/2014/main" id="{B0FA00AA-226E-474B-BD01-C6D72182CCDC}"/>
            </a:ext>
          </a:extLst>
        </xdr:cNvPr>
        <xdr:cNvSpPr/>
      </xdr:nvSpPr>
      <xdr:spPr>
        <a:xfrm>
          <a:off x="1821600" y="5646843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0D7EC2A5-24DD-4413-8DAD-829B39D17A04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FA6C45C3-34CA-2AA2-249B-EFA2E81B4730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2A326DF-2BF9-3B0A-8C7E-8C3DF7738FE3}"/>
              </a:ext>
            </a:extLst>
          </xdr:cNvPr>
          <xdr:cNvCxnSpPr>
            <a:endCxn id="233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EC454394-B150-3C49-EAA1-AD7B1E7B50F3}"/>
              </a:ext>
            </a:extLst>
          </xdr:cNvPr>
          <xdr:cNvCxnSpPr>
            <a:stCxn id="233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8E4D59BC-1ABC-631E-2F0F-3F5ED3A43792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8DF735A5-A02E-40CC-AACF-E410DE5635ED}"/>
            </a:ext>
          </a:extLst>
        </xdr:cNvPr>
        <xdr:cNvCxnSpPr>
          <a:cxnSpLocks/>
        </xdr:cNvCxnSpPr>
      </xdr:nvCxnSpPr>
      <xdr:spPr>
        <a:xfrm flipH="1">
          <a:off x="1877493" y="58912125"/>
          <a:ext cx="46557" cy="21090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63135489-57D4-4DFE-8D25-565CBDB533DC}"/>
            </a:ext>
          </a:extLst>
        </xdr:cNvPr>
        <xdr:cNvCxnSpPr/>
      </xdr:nvCxnSpPr>
      <xdr:spPr>
        <a:xfrm flipH="1">
          <a:off x="1847850" y="5889589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D2026D81-0329-48C2-A7FF-5160F2B1A555}"/>
            </a:ext>
          </a:extLst>
        </xdr:cNvPr>
        <xdr:cNvCxnSpPr/>
      </xdr:nvCxnSpPr>
      <xdr:spPr>
        <a:xfrm flipH="1">
          <a:off x="1524000" y="61274868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63BEBE56-4B99-4D39-B055-FFA14C6699C5}"/>
            </a:ext>
          </a:extLst>
        </xdr:cNvPr>
        <xdr:cNvCxnSpPr/>
      </xdr:nvCxnSpPr>
      <xdr:spPr>
        <a:xfrm flipH="1">
          <a:off x="1714954" y="61059423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56ED149C-A701-463A-A38A-7E6CCC49CD89}"/>
            </a:ext>
          </a:extLst>
        </xdr:cNvPr>
        <xdr:cNvCxnSpPr/>
      </xdr:nvCxnSpPr>
      <xdr:spPr>
        <a:xfrm flipH="1">
          <a:off x="1724025" y="61361367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0A84971E-F452-438D-891F-D93F8E6107EA}"/>
            </a:ext>
          </a:extLst>
        </xdr:cNvPr>
        <xdr:cNvCxnSpPr/>
      </xdr:nvCxnSpPr>
      <xdr:spPr>
        <a:xfrm flipH="1">
          <a:off x="1857375" y="61386767"/>
          <a:ext cx="9525" cy="71623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3FEF0455-C0CC-4FE3-A4E9-3FF614F1D058}"/>
            </a:ext>
          </a:extLst>
        </xdr:cNvPr>
        <xdr:cNvCxnSpPr>
          <a:cxnSpLocks/>
        </xdr:cNvCxnSpPr>
      </xdr:nvCxnSpPr>
      <xdr:spPr>
        <a:xfrm flipH="1" flipV="1">
          <a:off x="1870982" y="62076648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515E6B6-CD7F-4698-9B5B-3241ADC41E2C}"/>
            </a:ext>
          </a:extLst>
        </xdr:cNvPr>
        <xdr:cNvCxnSpPr/>
      </xdr:nvCxnSpPr>
      <xdr:spPr>
        <a:xfrm flipH="1">
          <a:off x="1568938" y="61024363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45" name="Gerader Verbinder 244">
          <a:extLst>
            <a:ext uri="{FF2B5EF4-FFF2-40B4-BE49-F238E27FC236}">
              <a16:creationId xmlns:a16="http://schemas.microsoft.com/office/drawing/2014/main" id="{4D5A26D5-7A12-45F5-889C-2C0347EB4276}"/>
            </a:ext>
          </a:extLst>
        </xdr:cNvPr>
        <xdr:cNvCxnSpPr/>
      </xdr:nvCxnSpPr>
      <xdr:spPr>
        <a:xfrm flipH="1">
          <a:off x="1878239" y="61069400"/>
          <a:ext cx="0" cy="2444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75AB15B9-5A28-44EF-8585-9E40633BF288}"/>
            </a:ext>
          </a:extLst>
        </xdr:cNvPr>
        <xdr:cNvSpPr/>
      </xdr:nvSpPr>
      <xdr:spPr>
        <a:xfrm>
          <a:off x="6031650" y="5886450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D98DDC0-4B93-414F-AA1A-5AE98EE8949E}"/>
            </a:ext>
          </a:extLst>
        </xdr:cNvPr>
        <xdr:cNvSpPr/>
      </xdr:nvSpPr>
      <xdr:spPr>
        <a:xfrm>
          <a:off x="5999900" y="62075219"/>
          <a:ext cx="95250" cy="1008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48" name="Ellipse 247">
          <a:extLst>
            <a:ext uri="{FF2B5EF4-FFF2-40B4-BE49-F238E27FC236}">
              <a16:creationId xmlns:a16="http://schemas.microsoft.com/office/drawing/2014/main" id="{4FC45F61-642B-4324-9F17-3A77B3D48C5B}"/>
            </a:ext>
          </a:extLst>
        </xdr:cNvPr>
        <xdr:cNvSpPr/>
      </xdr:nvSpPr>
      <xdr:spPr>
        <a:xfrm>
          <a:off x="1816954" y="6201771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49" name="Ellipse 248">
          <a:extLst>
            <a:ext uri="{FF2B5EF4-FFF2-40B4-BE49-F238E27FC236}">
              <a16:creationId xmlns:a16="http://schemas.microsoft.com/office/drawing/2014/main" id="{59C1B7ED-0F2B-44DB-9CBC-6FAF7F3A59A1}"/>
            </a:ext>
          </a:extLst>
        </xdr:cNvPr>
        <xdr:cNvSpPr/>
      </xdr:nvSpPr>
      <xdr:spPr>
        <a:xfrm>
          <a:off x="1869457" y="5886256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50" name="Pfeil: nach rechts 24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288A6BA-6AA3-4857-970D-20627D097E06}"/>
            </a:ext>
          </a:extLst>
        </xdr:cNvPr>
        <xdr:cNvSpPr/>
      </xdr:nvSpPr>
      <xdr:spPr>
        <a:xfrm rot="10800000">
          <a:off x="470647" y="264086"/>
          <a:ext cx="731557" cy="60549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51" name="Gerade Verbindung mit Pfeil 250">
          <a:extLst>
            <a:ext uri="{FF2B5EF4-FFF2-40B4-BE49-F238E27FC236}">
              <a16:creationId xmlns:a16="http://schemas.microsoft.com/office/drawing/2014/main" id="{F55185AA-96AC-48F3-A923-5C2398F50D9E}"/>
            </a:ext>
          </a:extLst>
        </xdr:cNvPr>
        <xdr:cNvCxnSpPr/>
      </xdr:nvCxnSpPr>
      <xdr:spPr>
        <a:xfrm>
          <a:off x="923636" y="5476009"/>
          <a:ext cx="0" cy="2612737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52" name="Textfeld 251">
          <a:extLst>
            <a:ext uri="{FF2B5EF4-FFF2-40B4-BE49-F238E27FC236}">
              <a16:creationId xmlns:a16="http://schemas.microsoft.com/office/drawing/2014/main" id="{0A74737B-38FA-4D78-8963-C33DFE94BA0C}"/>
            </a:ext>
          </a:extLst>
        </xdr:cNvPr>
        <xdr:cNvSpPr txBox="1"/>
      </xdr:nvSpPr>
      <xdr:spPr>
        <a:xfrm>
          <a:off x="181444" y="5589455"/>
          <a:ext cx="715588" cy="129683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53" name="Pfeil: nach oben 252">
          <a:extLst>
            <a:ext uri="{FF2B5EF4-FFF2-40B4-BE49-F238E27FC236}">
              <a16:creationId xmlns:a16="http://schemas.microsoft.com/office/drawing/2014/main" id="{B9C1E0EE-1E62-499F-B011-60B979F90C93}"/>
            </a:ext>
          </a:extLst>
        </xdr:cNvPr>
        <xdr:cNvSpPr/>
      </xdr:nvSpPr>
      <xdr:spPr>
        <a:xfrm>
          <a:off x="1446696" y="4481443"/>
          <a:ext cx="154608" cy="456372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54" name="Textfeld 253">
          <a:extLst>
            <a:ext uri="{FF2B5EF4-FFF2-40B4-BE49-F238E27FC236}">
              <a16:creationId xmlns:a16="http://schemas.microsoft.com/office/drawing/2014/main" id="{76EB4725-7C10-4162-A6E6-2CB9162985ED}"/>
            </a:ext>
          </a:extLst>
        </xdr:cNvPr>
        <xdr:cNvSpPr txBox="1"/>
      </xdr:nvSpPr>
      <xdr:spPr>
        <a:xfrm>
          <a:off x="981365" y="4400551"/>
          <a:ext cx="492940" cy="62561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55" name="Gerade Verbindung mit Pfeil 254">
          <a:extLst>
            <a:ext uri="{FF2B5EF4-FFF2-40B4-BE49-F238E27FC236}">
              <a16:creationId xmlns:a16="http://schemas.microsoft.com/office/drawing/2014/main" id="{6EDC038C-9CEF-40F8-A0DE-E1F28AF633E7}"/>
            </a:ext>
          </a:extLst>
        </xdr:cNvPr>
        <xdr:cNvCxnSpPr/>
      </xdr:nvCxnSpPr>
      <xdr:spPr>
        <a:xfrm>
          <a:off x="933946" y="20191720"/>
          <a:ext cx="0" cy="19018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56" name="Textfeld 255">
          <a:extLst>
            <a:ext uri="{FF2B5EF4-FFF2-40B4-BE49-F238E27FC236}">
              <a16:creationId xmlns:a16="http://schemas.microsoft.com/office/drawing/2014/main" id="{166A3F14-60CF-4071-9BB3-5F638437A769}"/>
            </a:ext>
          </a:extLst>
        </xdr:cNvPr>
        <xdr:cNvSpPr txBox="1"/>
      </xdr:nvSpPr>
      <xdr:spPr>
        <a:xfrm>
          <a:off x="480391" y="20985093"/>
          <a:ext cx="715588" cy="67566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57" name="Pfeil: nach oben 256">
          <a:extLst>
            <a:ext uri="{FF2B5EF4-FFF2-40B4-BE49-F238E27FC236}">
              <a16:creationId xmlns:a16="http://schemas.microsoft.com/office/drawing/2014/main" id="{1F93C272-4D71-47F6-9649-F4D100B72970}"/>
            </a:ext>
          </a:extLst>
        </xdr:cNvPr>
        <xdr:cNvSpPr/>
      </xdr:nvSpPr>
      <xdr:spPr>
        <a:xfrm>
          <a:off x="1457006" y="19203504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58" name="Textfeld 257">
          <a:extLst>
            <a:ext uri="{FF2B5EF4-FFF2-40B4-BE49-F238E27FC236}">
              <a16:creationId xmlns:a16="http://schemas.microsoft.com/office/drawing/2014/main" id="{0CDEF944-5471-4576-A815-050AA0218754}"/>
            </a:ext>
          </a:extLst>
        </xdr:cNvPr>
        <xdr:cNvSpPr txBox="1"/>
      </xdr:nvSpPr>
      <xdr:spPr>
        <a:xfrm>
          <a:off x="934357" y="19197983"/>
          <a:ext cx="550257" cy="62218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59" name="Gerade Verbindung mit Pfeil 258">
          <a:extLst>
            <a:ext uri="{FF2B5EF4-FFF2-40B4-BE49-F238E27FC236}">
              <a16:creationId xmlns:a16="http://schemas.microsoft.com/office/drawing/2014/main" id="{FF03A1C2-649C-4AB9-892D-06431B6E1000}"/>
            </a:ext>
          </a:extLst>
        </xdr:cNvPr>
        <xdr:cNvCxnSpPr/>
      </xdr:nvCxnSpPr>
      <xdr:spPr>
        <a:xfrm>
          <a:off x="884250" y="30336811"/>
          <a:ext cx="0" cy="12922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60" name="Textfeld 259">
          <a:extLst>
            <a:ext uri="{FF2B5EF4-FFF2-40B4-BE49-F238E27FC236}">
              <a16:creationId xmlns:a16="http://schemas.microsoft.com/office/drawing/2014/main" id="{999C0374-51D6-4AF9-93A7-A4035BEF2E06}"/>
            </a:ext>
          </a:extLst>
        </xdr:cNvPr>
        <xdr:cNvSpPr txBox="1"/>
      </xdr:nvSpPr>
      <xdr:spPr>
        <a:xfrm>
          <a:off x="381000" y="30436704"/>
          <a:ext cx="765283" cy="81066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61" name="Pfeil: nach oben 260">
          <a:extLst>
            <a:ext uri="{FF2B5EF4-FFF2-40B4-BE49-F238E27FC236}">
              <a16:creationId xmlns:a16="http://schemas.microsoft.com/office/drawing/2014/main" id="{7ED3E512-E09E-44CA-AA51-5C77CC32D120}"/>
            </a:ext>
          </a:extLst>
        </xdr:cNvPr>
        <xdr:cNvSpPr/>
      </xdr:nvSpPr>
      <xdr:spPr>
        <a:xfrm>
          <a:off x="1407310" y="29589895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62" name="Textfeld 261">
          <a:extLst>
            <a:ext uri="{FF2B5EF4-FFF2-40B4-BE49-F238E27FC236}">
              <a16:creationId xmlns:a16="http://schemas.microsoft.com/office/drawing/2014/main" id="{9FBB3374-D0BE-491F-AA61-2B514FB6E5F3}"/>
            </a:ext>
          </a:extLst>
        </xdr:cNvPr>
        <xdr:cNvSpPr txBox="1"/>
      </xdr:nvSpPr>
      <xdr:spPr>
        <a:xfrm>
          <a:off x="958273" y="29159777"/>
          <a:ext cx="476645" cy="93259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63" name="Gerade Verbindung mit Pfeil 262">
          <a:extLst>
            <a:ext uri="{FF2B5EF4-FFF2-40B4-BE49-F238E27FC236}">
              <a16:creationId xmlns:a16="http://schemas.microsoft.com/office/drawing/2014/main" id="{6A125E10-7FE6-4909-BF26-9D5891AC2998}"/>
            </a:ext>
          </a:extLst>
        </xdr:cNvPr>
        <xdr:cNvCxnSpPr/>
      </xdr:nvCxnSpPr>
      <xdr:spPr>
        <a:xfrm>
          <a:off x="1287338" y="38528862"/>
          <a:ext cx="0" cy="132396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64" name="Textfeld 263">
          <a:extLst>
            <a:ext uri="{FF2B5EF4-FFF2-40B4-BE49-F238E27FC236}">
              <a16:creationId xmlns:a16="http://schemas.microsoft.com/office/drawing/2014/main" id="{328D1882-43D5-4896-9298-ED367262472A}"/>
            </a:ext>
          </a:extLst>
        </xdr:cNvPr>
        <xdr:cNvSpPr txBox="1"/>
      </xdr:nvSpPr>
      <xdr:spPr>
        <a:xfrm>
          <a:off x="776179" y="39065513"/>
          <a:ext cx="721938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65" name="Pfeil: nach oben 264">
          <a:extLst>
            <a:ext uri="{FF2B5EF4-FFF2-40B4-BE49-F238E27FC236}">
              <a16:creationId xmlns:a16="http://schemas.microsoft.com/office/drawing/2014/main" id="{D5836D4E-FBD3-46FD-BD2F-C196F3D16503}"/>
            </a:ext>
          </a:extLst>
        </xdr:cNvPr>
        <xdr:cNvSpPr/>
      </xdr:nvSpPr>
      <xdr:spPr>
        <a:xfrm>
          <a:off x="1810398" y="37369196"/>
          <a:ext cx="154608" cy="44588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66" name="Textfeld 265">
          <a:extLst>
            <a:ext uri="{FF2B5EF4-FFF2-40B4-BE49-F238E27FC236}">
              <a16:creationId xmlns:a16="http://schemas.microsoft.com/office/drawing/2014/main" id="{944E8CE0-073C-441A-B1A0-D6436A36D1EE}"/>
            </a:ext>
          </a:extLst>
        </xdr:cNvPr>
        <xdr:cNvSpPr txBox="1"/>
      </xdr:nvSpPr>
      <xdr:spPr>
        <a:xfrm>
          <a:off x="1265464" y="37233678"/>
          <a:ext cx="575717" cy="90345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67" name="Gerade Verbindung mit Pfeil 266">
          <a:extLst>
            <a:ext uri="{FF2B5EF4-FFF2-40B4-BE49-F238E27FC236}">
              <a16:creationId xmlns:a16="http://schemas.microsoft.com/office/drawing/2014/main" id="{9CA28309-5B57-43F2-8510-785471486193}"/>
            </a:ext>
          </a:extLst>
        </xdr:cNvPr>
        <xdr:cNvCxnSpPr/>
      </xdr:nvCxnSpPr>
      <xdr:spPr>
        <a:xfrm>
          <a:off x="1287338" y="45922747"/>
          <a:ext cx="0" cy="1558913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68" name="Textfeld 267">
          <a:extLst>
            <a:ext uri="{FF2B5EF4-FFF2-40B4-BE49-F238E27FC236}">
              <a16:creationId xmlns:a16="http://schemas.microsoft.com/office/drawing/2014/main" id="{10806E74-4D3B-4594-82F2-38D261F72589}"/>
            </a:ext>
          </a:extLst>
        </xdr:cNvPr>
        <xdr:cNvSpPr txBox="1"/>
      </xdr:nvSpPr>
      <xdr:spPr>
        <a:xfrm>
          <a:off x="789787" y="46417216"/>
          <a:ext cx="721938" cy="59797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69" name="Pfeil: nach oben 268">
          <a:extLst>
            <a:ext uri="{FF2B5EF4-FFF2-40B4-BE49-F238E27FC236}">
              <a16:creationId xmlns:a16="http://schemas.microsoft.com/office/drawing/2014/main" id="{E80FF9F2-9921-4066-83C7-32376549DDF5}"/>
            </a:ext>
          </a:extLst>
        </xdr:cNvPr>
        <xdr:cNvSpPr/>
      </xdr:nvSpPr>
      <xdr:spPr>
        <a:xfrm>
          <a:off x="1810398" y="45175831"/>
          <a:ext cx="154608" cy="414131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70" name="Textfeld 269">
          <a:extLst>
            <a:ext uri="{FF2B5EF4-FFF2-40B4-BE49-F238E27FC236}">
              <a16:creationId xmlns:a16="http://schemas.microsoft.com/office/drawing/2014/main" id="{5FF12ADD-5425-4C8C-84A3-7BF37227E43C}"/>
            </a:ext>
          </a:extLst>
        </xdr:cNvPr>
        <xdr:cNvSpPr txBox="1"/>
      </xdr:nvSpPr>
      <xdr:spPr>
        <a:xfrm>
          <a:off x="1265464" y="44913550"/>
          <a:ext cx="575717" cy="77621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71" name="Gerade Verbindung mit Pfeil 270">
          <a:extLst>
            <a:ext uri="{FF2B5EF4-FFF2-40B4-BE49-F238E27FC236}">
              <a16:creationId xmlns:a16="http://schemas.microsoft.com/office/drawing/2014/main" id="{C4BC860A-0925-4CDB-8244-88E02868F4E9}"/>
            </a:ext>
          </a:extLst>
        </xdr:cNvPr>
        <xdr:cNvCxnSpPr/>
      </xdr:nvCxnSpPr>
      <xdr:spPr>
        <a:xfrm>
          <a:off x="1292860" y="54363278"/>
          <a:ext cx="0" cy="1630696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72" name="Textfeld 271">
          <a:extLst>
            <a:ext uri="{FF2B5EF4-FFF2-40B4-BE49-F238E27FC236}">
              <a16:creationId xmlns:a16="http://schemas.microsoft.com/office/drawing/2014/main" id="{93417CD5-C7B1-470E-92C0-C918A43500FC}"/>
            </a:ext>
          </a:extLst>
        </xdr:cNvPr>
        <xdr:cNvSpPr txBox="1"/>
      </xdr:nvSpPr>
      <xdr:spPr>
        <a:xfrm>
          <a:off x="798484" y="54861830"/>
          <a:ext cx="712413" cy="5128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73" name="Pfeil: nach oben 272">
          <a:extLst>
            <a:ext uri="{FF2B5EF4-FFF2-40B4-BE49-F238E27FC236}">
              <a16:creationId xmlns:a16="http://schemas.microsoft.com/office/drawing/2014/main" id="{4550657A-A2D1-4B66-89A0-AE79C211DFEC}"/>
            </a:ext>
          </a:extLst>
        </xdr:cNvPr>
        <xdr:cNvSpPr/>
      </xdr:nvSpPr>
      <xdr:spPr>
        <a:xfrm>
          <a:off x="1815920" y="53305213"/>
          <a:ext cx="154608" cy="414130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74" name="Textfeld 273">
          <a:extLst>
            <a:ext uri="{FF2B5EF4-FFF2-40B4-BE49-F238E27FC236}">
              <a16:creationId xmlns:a16="http://schemas.microsoft.com/office/drawing/2014/main" id="{5AF0AEC1-051D-4B08-93EA-BBD27C9F7AD8}"/>
            </a:ext>
          </a:extLst>
        </xdr:cNvPr>
        <xdr:cNvSpPr txBox="1"/>
      </xdr:nvSpPr>
      <xdr:spPr>
        <a:xfrm>
          <a:off x="1306286" y="53213907"/>
          <a:ext cx="534067" cy="7449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75" name="Gerade Verbindung mit Pfeil 274">
          <a:extLst>
            <a:ext uri="{FF2B5EF4-FFF2-40B4-BE49-F238E27FC236}">
              <a16:creationId xmlns:a16="http://schemas.microsoft.com/office/drawing/2014/main" id="{B0C31531-82B7-4C90-A9EB-ABF47B60334F}"/>
            </a:ext>
          </a:extLst>
        </xdr:cNvPr>
        <xdr:cNvCxnSpPr/>
      </xdr:nvCxnSpPr>
      <xdr:spPr>
        <a:xfrm>
          <a:off x="1270773" y="60174633"/>
          <a:ext cx="0" cy="1484645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76" name="Textfeld 275">
          <a:extLst>
            <a:ext uri="{FF2B5EF4-FFF2-40B4-BE49-F238E27FC236}">
              <a16:creationId xmlns:a16="http://schemas.microsoft.com/office/drawing/2014/main" id="{64358763-B98D-4A17-A57F-32511A2E20C5}"/>
            </a:ext>
          </a:extLst>
        </xdr:cNvPr>
        <xdr:cNvSpPr txBox="1"/>
      </xdr:nvSpPr>
      <xdr:spPr>
        <a:xfrm>
          <a:off x="762789" y="60890899"/>
          <a:ext cx="718763" cy="37311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77" name="Pfeil: nach oben 276">
          <a:extLst>
            <a:ext uri="{FF2B5EF4-FFF2-40B4-BE49-F238E27FC236}">
              <a16:creationId xmlns:a16="http://schemas.microsoft.com/office/drawing/2014/main" id="{CD842404-8731-4E79-B0FB-F450EAB6DFA8}"/>
            </a:ext>
          </a:extLst>
        </xdr:cNvPr>
        <xdr:cNvSpPr/>
      </xdr:nvSpPr>
      <xdr:spPr>
        <a:xfrm>
          <a:off x="1793833" y="59618217"/>
          <a:ext cx="154608" cy="244613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78" name="Textfeld 277">
          <a:extLst>
            <a:ext uri="{FF2B5EF4-FFF2-40B4-BE49-F238E27FC236}">
              <a16:creationId xmlns:a16="http://schemas.microsoft.com/office/drawing/2014/main" id="{9E536692-6E64-4604-81A8-62B39E5FB468}"/>
            </a:ext>
          </a:extLst>
        </xdr:cNvPr>
        <xdr:cNvSpPr txBox="1"/>
      </xdr:nvSpPr>
      <xdr:spPr>
        <a:xfrm>
          <a:off x="1224643" y="59517643"/>
          <a:ext cx="593623" cy="4367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279" name="Gerader Verbinder 278">
          <a:extLst>
            <a:ext uri="{FF2B5EF4-FFF2-40B4-BE49-F238E27FC236}">
              <a16:creationId xmlns:a16="http://schemas.microsoft.com/office/drawing/2014/main" id="{BEF703F0-CAF9-4030-9F3F-C3E8BD04FDEB}"/>
            </a:ext>
          </a:extLst>
        </xdr:cNvPr>
        <xdr:cNvCxnSpPr/>
      </xdr:nvCxnSpPr>
      <xdr:spPr>
        <a:xfrm flipH="1" flipV="1">
          <a:off x="1454150" y="32240532"/>
          <a:ext cx="8401050" cy="444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280" name="Ellipse 279">
          <a:extLst>
            <a:ext uri="{FF2B5EF4-FFF2-40B4-BE49-F238E27FC236}">
              <a16:creationId xmlns:a16="http://schemas.microsoft.com/office/drawing/2014/main" id="{2674E4B5-B66A-4698-9E3E-2A6C839F2756}"/>
            </a:ext>
          </a:extLst>
        </xdr:cNvPr>
        <xdr:cNvSpPr/>
      </xdr:nvSpPr>
      <xdr:spPr>
        <a:xfrm>
          <a:off x="4648200" y="322008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281" name="Ellipse 280">
          <a:extLst>
            <a:ext uri="{FF2B5EF4-FFF2-40B4-BE49-F238E27FC236}">
              <a16:creationId xmlns:a16="http://schemas.microsoft.com/office/drawing/2014/main" id="{C5589CC8-3DD6-46C7-B987-0CEAA1239826}"/>
            </a:ext>
          </a:extLst>
        </xdr:cNvPr>
        <xdr:cNvSpPr/>
      </xdr:nvSpPr>
      <xdr:spPr>
        <a:xfrm>
          <a:off x="8280400" y="32206293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282" name="Ellipse 281">
          <a:extLst>
            <a:ext uri="{FF2B5EF4-FFF2-40B4-BE49-F238E27FC236}">
              <a16:creationId xmlns:a16="http://schemas.microsoft.com/office/drawing/2014/main" id="{8F455379-9D43-4C97-A3AB-77E2F5E89CAD}"/>
            </a:ext>
          </a:extLst>
        </xdr:cNvPr>
        <xdr:cNvSpPr/>
      </xdr:nvSpPr>
      <xdr:spPr>
        <a:xfrm>
          <a:off x="9800771" y="3223895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283" name="Ellipse 282">
          <a:extLst>
            <a:ext uri="{FF2B5EF4-FFF2-40B4-BE49-F238E27FC236}">
              <a16:creationId xmlns:a16="http://schemas.microsoft.com/office/drawing/2014/main" id="{F9A7326E-FC0F-4317-A81C-41351BD68BFC}"/>
            </a:ext>
          </a:extLst>
        </xdr:cNvPr>
        <xdr:cNvSpPr/>
      </xdr:nvSpPr>
      <xdr:spPr>
        <a:xfrm>
          <a:off x="9474128" y="4469151"/>
          <a:ext cx="99892" cy="7558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284" name="Ellipse 283">
          <a:extLst>
            <a:ext uri="{FF2B5EF4-FFF2-40B4-BE49-F238E27FC236}">
              <a16:creationId xmlns:a16="http://schemas.microsoft.com/office/drawing/2014/main" id="{F5D86754-A8ED-46AF-936C-412F638EA662}"/>
            </a:ext>
          </a:extLst>
        </xdr:cNvPr>
        <xdr:cNvSpPr/>
      </xdr:nvSpPr>
      <xdr:spPr>
        <a:xfrm>
          <a:off x="10424790" y="4467815"/>
          <a:ext cx="93542" cy="8193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85" name="Ellipse 284">
          <a:extLst>
            <a:ext uri="{FF2B5EF4-FFF2-40B4-BE49-F238E27FC236}">
              <a16:creationId xmlns:a16="http://schemas.microsoft.com/office/drawing/2014/main" id="{117AD0EA-EC79-4D29-9E14-3A3AD0508ED8}"/>
            </a:ext>
          </a:extLst>
        </xdr:cNvPr>
        <xdr:cNvSpPr/>
      </xdr:nvSpPr>
      <xdr:spPr>
        <a:xfrm>
          <a:off x="4537441" y="896729"/>
          <a:ext cx="93542" cy="9178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286" name="Ellipse 285">
          <a:extLst>
            <a:ext uri="{FF2B5EF4-FFF2-40B4-BE49-F238E27FC236}">
              <a16:creationId xmlns:a16="http://schemas.microsoft.com/office/drawing/2014/main" id="{1F247C41-9EB3-44F0-BDAC-7E6050774ED8}"/>
            </a:ext>
          </a:extLst>
        </xdr:cNvPr>
        <xdr:cNvSpPr/>
      </xdr:nvSpPr>
      <xdr:spPr>
        <a:xfrm>
          <a:off x="3778616" y="883591"/>
          <a:ext cx="90367" cy="8861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287" name="Ellipse 286">
          <a:extLst>
            <a:ext uri="{FF2B5EF4-FFF2-40B4-BE49-F238E27FC236}">
              <a16:creationId xmlns:a16="http://schemas.microsoft.com/office/drawing/2014/main" id="{B8C14369-8139-412D-97D2-F71C0BE1BD90}"/>
            </a:ext>
          </a:extLst>
        </xdr:cNvPr>
        <xdr:cNvSpPr/>
      </xdr:nvSpPr>
      <xdr:spPr>
        <a:xfrm>
          <a:off x="7600854" y="4464049"/>
          <a:ext cx="111221" cy="6922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288" name="Ellipse 287">
          <a:extLst>
            <a:ext uri="{FF2B5EF4-FFF2-40B4-BE49-F238E27FC236}">
              <a16:creationId xmlns:a16="http://schemas.microsoft.com/office/drawing/2014/main" id="{73A5D1C5-E045-4983-B83D-301E9A3E0988}"/>
            </a:ext>
          </a:extLst>
        </xdr:cNvPr>
        <xdr:cNvSpPr/>
      </xdr:nvSpPr>
      <xdr:spPr>
        <a:xfrm>
          <a:off x="8329394" y="914400"/>
          <a:ext cx="108046" cy="7240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289" name="Ellipse 288">
          <a:extLst>
            <a:ext uri="{FF2B5EF4-FFF2-40B4-BE49-F238E27FC236}">
              <a16:creationId xmlns:a16="http://schemas.microsoft.com/office/drawing/2014/main" id="{2AA33470-B725-483D-BD8B-8B9551EB2C56}"/>
            </a:ext>
          </a:extLst>
        </xdr:cNvPr>
        <xdr:cNvSpPr/>
      </xdr:nvSpPr>
      <xdr:spPr>
        <a:xfrm>
          <a:off x="9862039" y="9847385"/>
          <a:ext cx="106242" cy="868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290" name="Ellipse 289">
          <a:extLst>
            <a:ext uri="{FF2B5EF4-FFF2-40B4-BE49-F238E27FC236}">
              <a16:creationId xmlns:a16="http://schemas.microsoft.com/office/drawing/2014/main" id="{5BFC12C0-FE7D-4551-8678-EEFD5B3E7DCA}"/>
            </a:ext>
          </a:extLst>
        </xdr:cNvPr>
        <xdr:cNvSpPr/>
      </xdr:nvSpPr>
      <xdr:spPr>
        <a:xfrm>
          <a:off x="3751385" y="1497183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291" name="Ellipse 290">
          <a:extLst>
            <a:ext uri="{FF2B5EF4-FFF2-40B4-BE49-F238E27FC236}">
              <a16:creationId xmlns:a16="http://schemas.microsoft.com/office/drawing/2014/main" id="{D02E9D41-CEAF-44B0-9230-79F6AD843916}"/>
            </a:ext>
          </a:extLst>
        </xdr:cNvPr>
        <xdr:cNvSpPr/>
      </xdr:nvSpPr>
      <xdr:spPr>
        <a:xfrm>
          <a:off x="9836884" y="14979162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292" name="Ellipse 291">
          <a:extLst>
            <a:ext uri="{FF2B5EF4-FFF2-40B4-BE49-F238E27FC236}">
              <a16:creationId xmlns:a16="http://schemas.microsoft.com/office/drawing/2014/main" id="{0FB4EFD0-6FD7-4EFA-ABFA-CD271A811407}"/>
            </a:ext>
          </a:extLst>
        </xdr:cNvPr>
        <xdr:cNvSpPr/>
      </xdr:nvSpPr>
      <xdr:spPr>
        <a:xfrm>
          <a:off x="8316058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78A6349B-95D0-4B62-B815-AD9BD18C1DA7}"/>
            </a:ext>
          </a:extLst>
        </xdr:cNvPr>
        <xdr:cNvSpPr/>
      </xdr:nvSpPr>
      <xdr:spPr>
        <a:xfrm>
          <a:off x="7590693" y="14949854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294" name="Ellipse 293">
          <a:extLst>
            <a:ext uri="{FF2B5EF4-FFF2-40B4-BE49-F238E27FC236}">
              <a16:creationId xmlns:a16="http://schemas.microsoft.com/office/drawing/2014/main" id="{D9F312F0-E1F5-447C-8588-7346C0432CB4}"/>
            </a:ext>
          </a:extLst>
        </xdr:cNvPr>
        <xdr:cNvSpPr/>
      </xdr:nvSpPr>
      <xdr:spPr>
        <a:xfrm>
          <a:off x="4528039" y="14957181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593436</xdr:colOff>
      <xdr:row>5</xdr:row>
      <xdr:rowOff>3160</xdr:rowOff>
    </xdr:from>
    <xdr:to>
      <xdr:col>6</xdr:col>
      <xdr:colOff>362085</xdr:colOff>
      <xdr:row>21</xdr:row>
      <xdr:rowOff>17319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8AF6DB47-CE7B-47C7-B394-70D78F8486ED}"/>
            </a:ext>
          </a:extLst>
        </xdr:cNvPr>
        <xdr:cNvGrpSpPr/>
      </xdr:nvGrpSpPr>
      <xdr:grpSpPr>
        <a:xfrm>
          <a:off x="2117436" y="1028929"/>
          <a:ext cx="2970514" cy="3267313"/>
          <a:chOff x="2241838" y="1392092"/>
          <a:chExt cx="2816649" cy="2955048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32F63FAB-BB33-8D3F-14C2-0B0CA8A46B38}"/>
              </a:ext>
            </a:extLst>
          </xdr:cNvPr>
          <xdr:cNvGrpSpPr/>
        </xdr:nvGrpSpPr>
        <xdr:grpSpPr>
          <a:xfrm>
            <a:off x="2407516" y="1392092"/>
            <a:ext cx="2650971" cy="2955048"/>
            <a:chOff x="2140047" y="10266032"/>
            <a:chExt cx="2650971" cy="2914527"/>
          </a:xfrm>
        </xdr:grpSpPr>
        <xdr:cxnSp macro="">
          <xdr:nvCxnSpPr>
            <xdr:cNvPr id="9" name="Gerader Verbinder 8">
              <a:extLst>
                <a:ext uri="{FF2B5EF4-FFF2-40B4-BE49-F238E27FC236}">
                  <a16:creationId xmlns:a16="http://schemas.microsoft.com/office/drawing/2014/main" id="{25C4EA90-85F0-8C29-7892-65D4971E4118}"/>
                </a:ext>
              </a:extLst>
            </xdr:cNvPr>
            <xdr:cNvCxnSpPr>
              <a:cxnSpLocks/>
              <a:endCxn id="10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0" name="Textfeld 9">
              <a:extLst>
                <a:ext uri="{FF2B5EF4-FFF2-40B4-BE49-F238E27FC236}">
                  <a16:creationId xmlns:a16="http://schemas.microsoft.com/office/drawing/2014/main" id="{5C5586A2-4B48-5CB9-18F3-03273E74146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1</a:t>
              </a:r>
            </a:p>
          </xdr:txBody>
        </xdr: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879475CA-7283-8803-ECC6-99C4B638D894}"/>
                </a:ext>
              </a:extLst>
            </xdr:cNvPr>
            <xdr:cNvCxnSpPr>
              <a:cxnSpLocks/>
              <a:endCxn id="1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4" name="Gerader Verbinder 53">
              <a:extLst>
                <a:ext uri="{FF2B5EF4-FFF2-40B4-BE49-F238E27FC236}">
                  <a16:creationId xmlns:a16="http://schemas.microsoft.com/office/drawing/2014/main" id="{E1B60450-ADC0-939D-CE25-AE4D2DABF83D}"/>
                </a:ext>
              </a:extLst>
            </xdr:cNvPr>
            <xdr:cNvCxnSpPr>
              <a:cxnSpLocks/>
            </xdr:cNvCxnSpPr>
          </xdr:nvCxnSpPr>
          <xdr:spPr>
            <a:xfrm flipH="1">
              <a:off x="3666933" y="11710868"/>
              <a:ext cx="1124085" cy="804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7" name="Gerader Verbinder 56">
              <a:extLst>
                <a:ext uri="{FF2B5EF4-FFF2-40B4-BE49-F238E27FC236}">
                  <a16:creationId xmlns:a16="http://schemas.microsoft.com/office/drawing/2014/main" id="{62E9AC64-1D92-9FCD-644B-F676EA504348}"/>
                </a:ext>
              </a:extLst>
            </xdr:cNvPr>
            <xdr:cNvCxnSpPr>
              <a:cxnSpLocks/>
            </xdr:cNvCxnSpPr>
          </xdr:nvCxnSpPr>
          <xdr:spPr>
            <a:xfrm flipH="1">
              <a:off x="2140047" y="10274262"/>
              <a:ext cx="1538431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58" name="Gerader Verbinder 57">
              <a:extLst>
                <a:ext uri="{FF2B5EF4-FFF2-40B4-BE49-F238E27FC236}">
                  <a16:creationId xmlns:a16="http://schemas.microsoft.com/office/drawing/2014/main" id="{A450DFDB-4924-A1E0-F20A-70F82CB01346}"/>
                </a:ext>
              </a:extLst>
            </xdr:cNvPr>
            <xdr:cNvCxnSpPr>
              <a:cxnSpLocks/>
            </xdr:cNvCxnSpPr>
          </xdr:nvCxnSpPr>
          <xdr:spPr>
            <a:xfrm flipH="1" flipV="1">
              <a:off x="2140047" y="13172062"/>
              <a:ext cx="2643907" cy="8497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20B84350-3FFD-FD8D-0CE9-4F9BE493FCBE}"/>
              </a:ext>
            </a:extLst>
          </xdr:cNvPr>
          <xdr:cNvCxnSpPr>
            <a:cxnSpLocks/>
          </xdr:cNvCxnSpPr>
        </xdr:nvCxnSpPr>
        <xdr:spPr>
          <a:xfrm flipH="1">
            <a:off x="3743902" y="1719230"/>
            <a:ext cx="2886" cy="91043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AA6912A-BAB2-BDD1-9271-152B6D068939}"/>
              </a:ext>
            </a:extLst>
          </xdr:cNvPr>
          <xdr:cNvSpPr txBox="1"/>
        </xdr:nvSpPr>
        <xdr:spPr>
          <a:xfrm>
            <a:off x="3421783" y="196472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7" name="Gerade Verbindung mit Pfeil 6">
            <a:extLst>
              <a:ext uri="{FF2B5EF4-FFF2-40B4-BE49-F238E27FC236}">
                <a16:creationId xmlns:a16="http://schemas.microsoft.com/office/drawing/2014/main" id="{42C91B53-60A4-514C-CC8C-5011D51D4C0E}"/>
              </a:ext>
            </a:extLst>
          </xdr:cNvPr>
          <xdr:cNvCxnSpPr/>
        </xdr:nvCxnSpPr>
        <xdr:spPr>
          <a:xfrm>
            <a:off x="3939188" y="1523918"/>
            <a:ext cx="6760" cy="94792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E89557A5-3255-CCD4-B50F-E5D91BBB5053}"/>
              </a:ext>
            </a:extLst>
          </xdr:cNvPr>
          <xdr:cNvSpPr txBox="1"/>
        </xdr:nvSpPr>
        <xdr:spPr>
          <a:xfrm>
            <a:off x="3998630" y="1422154"/>
            <a:ext cx="392971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Total</a:t>
            </a:r>
            <a:endParaRPr lang="de-CH" sz="1100">
              <a:solidFill>
                <a:srgbClr val="FF0000"/>
              </a:solidFill>
            </a:endParaRPr>
          </a:p>
        </xdr:txBody>
      </xdr:sp>
      <xdr:cxnSp macro="">
        <xdr:nvCxnSpPr>
          <xdr:cNvPr id="61" name="Gerader Verbinder 60">
            <a:extLst>
              <a:ext uri="{FF2B5EF4-FFF2-40B4-BE49-F238E27FC236}">
                <a16:creationId xmlns:a16="http://schemas.microsoft.com/office/drawing/2014/main" id="{714B2490-4203-FF0B-3199-AF629B7449B3}"/>
              </a:ext>
            </a:extLst>
          </xdr:cNvPr>
          <xdr:cNvCxnSpPr>
            <a:cxnSpLocks/>
          </xdr:cNvCxnSpPr>
        </xdr:nvCxnSpPr>
        <xdr:spPr>
          <a:xfrm flipH="1">
            <a:off x="2626302" y="1836983"/>
            <a:ext cx="6350" cy="2188637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3" name="Textfeld 62">
            <a:extLst>
              <a:ext uri="{FF2B5EF4-FFF2-40B4-BE49-F238E27FC236}">
                <a16:creationId xmlns:a16="http://schemas.microsoft.com/office/drawing/2014/main" id="{B249301F-52E2-F8A1-698C-2D0A9B9A024A}"/>
              </a:ext>
            </a:extLst>
          </xdr:cNvPr>
          <xdr:cNvSpPr txBox="1"/>
        </xdr:nvSpPr>
        <xdr:spPr>
          <a:xfrm>
            <a:off x="2241838" y="2982205"/>
            <a:ext cx="327891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IN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4</xdr:col>
      <xdr:colOff>189833</xdr:colOff>
      <xdr:row>13</xdr:row>
      <xdr:rowOff>9509</xdr:rowOff>
    </xdr:from>
    <xdr:to>
      <xdr:col>5</xdr:col>
      <xdr:colOff>305288</xdr:colOff>
      <xdr:row>21</xdr:row>
      <xdr:rowOff>26489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AA2B10C3-E94F-DD79-294B-FDA94231965C}"/>
            </a:ext>
          </a:extLst>
        </xdr:cNvPr>
        <xdr:cNvGrpSpPr/>
      </xdr:nvGrpSpPr>
      <xdr:grpSpPr>
        <a:xfrm>
          <a:off x="3391698" y="2708992"/>
          <a:ext cx="877455" cy="1599595"/>
          <a:chOff x="3416011" y="1392091"/>
          <a:chExt cx="871105" cy="1493694"/>
        </a:xfrm>
      </xdr:grpSpPr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9E9FB659-A8D3-A6B5-85DD-A63337254789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84AAD715-C42E-8BF7-4CA9-B5B91FC3135C}"/>
                </a:ext>
              </a:extLst>
            </xdr:cNvPr>
            <xdr:cNvCxnSpPr>
              <a:cxnSpLocks/>
              <a:endCxn id="19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3F747EAB-0EC7-9342-5CEE-850B441F882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2</a:t>
              </a:r>
            </a:p>
          </xdr:txBody>
        </xdr:sp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16B32DD5-289F-B133-F0D7-F80BD8D7E602}"/>
                </a:ext>
              </a:extLst>
            </xdr:cNvPr>
            <xdr:cNvCxnSpPr>
              <a:cxnSpLocks/>
              <a:endCxn id="19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FDB8CC80-535F-CB78-9F3D-C436EFFF1962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Textfeld 14">
            <a:extLst>
              <a:ext uri="{FF2B5EF4-FFF2-40B4-BE49-F238E27FC236}">
                <a16:creationId xmlns:a16="http://schemas.microsoft.com/office/drawing/2014/main" id="{03902AEE-ED06-54C4-C269-08AABD815823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16" name="Gerade Verbindung mit Pfeil 15">
            <a:extLst>
              <a:ext uri="{FF2B5EF4-FFF2-40B4-BE49-F238E27FC236}">
                <a16:creationId xmlns:a16="http://schemas.microsoft.com/office/drawing/2014/main" id="{1FCF48E1-F031-E07C-6E9A-F16020020992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7" name="Textfeld 16">
            <a:extLst>
              <a:ext uri="{FF2B5EF4-FFF2-40B4-BE49-F238E27FC236}">
                <a16:creationId xmlns:a16="http://schemas.microsoft.com/office/drawing/2014/main" id="{31001B81-990C-35E9-0E81-CA79B02F0A60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2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5</xdr:col>
      <xdr:colOff>587774</xdr:colOff>
      <xdr:row>12</xdr:row>
      <xdr:rowOff>154609</xdr:rowOff>
    </xdr:from>
    <xdr:to>
      <xdr:col>6</xdr:col>
      <xdr:colOff>703229</xdr:colOff>
      <xdr:row>21</xdr:row>
      <xdr:rowOff>27352</xdr:rowOff>
    </xdr:to>
    <xdr:grpSp>
      <xdr:nvGrpSpPr>
        <xdr:cNvPr id="43" name="Gruppieren 42">
          <a:extLst>
            <a:ext uri="{FF2B5EF4-FFF2-40B4-BE49-F238E27FC236}">
              <a16:creationId xmlns:a16="http://schemas.microsoft.com/office/drawing/2014/main" id="{43A20452-A11A-8E72-C05E-098D156DB7DC}"/>
            </a:ext>
          </a:extLst>
        </xdr:cNvPr>
        <xdr:cNvGrpSpPr/>
      </xdr:nvGrpSpPr>
      <xdr:grpSpPr>
        <a:xfrm>
          <a:off x="4551639" y="2638436"/>
          <a:ext cx="877455" cy="1671014"/>
          <a:chOff x="3416011" y="1359881"/>
          <a:chExt cx="871105" cy="1525899"/>
        </a:xfrm>
      </xdr:grpSpPr>
      <xdr:grpSp>
        <xdr:nvGrpSpPr>
          <xdr:cNvPr id="44" name="Gruppieren 43">
            <a:extLst>
              <a:ext uri="{FF2B5EF4-FFF2-40B4-BE49-F238E27FC236}">
                <a16:creationId xmlns:a16="http://schemas.microsoft.com/office/drawing/2014/main" id="{6419C350-7D47-F44C-CBB9-0D0384CE3E72}"/>
              </a:ext>
            </a:extLst>
          </xdr:cNvPr>
          <xdr:cNvGrpSpPr/>
        </xdr:nvGrpSpPr>
        <xdr:grpSpPr>
          <a:xfrm>
            <a:off x="3810000" y="1359881"/>
            <a:ext cx="264365" cy="1525899"/>
            <a:chOff x="3542531" y="10234268"/>
            <a:chExt cx="264365" cy="1504976"/>
          </a:xfrm>
        </xdr:grpSpPr>
        <xdr:cxnSp macro="">
          <xdr:nvCxnSpPr>
            <xdr:cNvPr id="49" name="Gerader Verbinder 48">
              <a:extLst>
                <a:ext uri="{FF2B5EF4-FFF2-40B4-BE49-F238E27FC236}">
                  <a16:creationId xmlns:a16="http://schemas.microsoft.com/office/drawing/2014/main" id="{421D9430-9E08-BE57-9D78-5B3A67287A53}"/>
                </a:ext>
              </a:extLst>
            </xdr:cNvPr>
            <xdr:cNvCxnSpPr>
              <a:cxnSpLocks/>
              <a:endCxn id="50" idx="1"/>
            </xdr:cNvCxnSpPr>
          </xdr:nvCxnSpPr>
          <xdr:spPr>
            <a:xfrm>
              <a:off x="3669268" y="10234268"/>
              <a:ext cx="5446" cy="418803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50" name="Textfeld 49">
              <a:extLst>
                <a:ext uri="{FF2B5EF4-FFF2-40B4-BE49-F238E27FC236}">
                  <a16:creationId xmlns:a16="http://schemas.microsoft.com/office/drawing/2014/main" id="{893BBC12-A5D2-4F59-9434-D024F9E1D507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</a:t>
              </a:r>
            </a:p>
          </xdr:txBody>
        </xdr:sp>
        <xdr:cxnSp macro="">
          <xdr:nvCxnSpPr>
            <xdr:cNvPr id="51" name="Gerader Verbinder 50">
              <a:extLst>
                <a:ext uri="{FF2B5EF4-FFF2-40B4-BE49-F238E27FC236}">
                  <a16:creationId xmlns:a16="http://schemas.microsoft.com/office/drawing/2014/main" id="{539F5BD0-5876-77FF-AF60-5C3A3D02017F}"/>
                </a:ext>
              </a:extLst>
            </xdr:cNvPr>
            <xdr:cNvCxnSpPr>
              <a:cxnSpLocks/>
              <a:endCxn id="50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35211C2F-A426-5882-56EF-2502C414092B}"/>
              </a:ext>
            </a:extLst>
          </xdr:cNvPr>
          <xdr:cNvCxnSpPr>
            <a:cxnSpLocks/>
          </xdr:cNvCxnSpPr>
        </xdr:nvCxnSpPr>
        <xdr:spPr>
          <a:xfrm>
            <a:off x="3727161" y="1753121"/>
            <a:ext cx="0" cy="786936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DC252E91-ECD3-7237-9057-CAE1CFD2F4BE}"/>
              </a:ext>
            </a:extLst>
          </xdr:cNvPr>
          <xdr:cNvSpPr txBox="1"/>
        </xdr:nvSpPr>
        <xdr:spPr>
          <a:xfrm>
            <a:off x="3416011" y="1973341"/>
            <a:ext cx="296719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L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96707AD2-0D8A-D542-B673-459A06026B1F}"/>
              </a:ext>
            </a:extLst>
          </xdr:cNvPr>
          <xdr:cNvCxnSpPr/>
        </xdr:nvCxnSpPr>
        <xdr:spPr>
          <a:xfrm>
            <a:off x="3944961" y="1518174"/>
            <a:ext cx="1564" cy="79857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8" name="Textfeld 47">
            <a:extLst>
              <a:ext uri="{FF2B5EF4-FFF2-40B4-BE49-F238E27FC236}">
                <a16:creationId xmlns:a16="http://schemas.microsoft.com/office/drawing/2014/main" id="{476EEF5E-EE36-E109-5DB4-667002C7B888}"/>
              </a:ext>
            </a:extLst>
          </xdr:cNvPr>
          <xdr:cNvSpPr txBox="1"/>
        </xdr:nvSpPr>
        <xdr:spPr>
          <a:xfrm>
            <a:off x="3998631" y="1422154"/>
            <a:ext cx="288485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L</a:t>
            </a:r>
            <a:endParaRPr lang="de-CH" sz="1100">
              <a:solidFill>
                <a:srgbClr val="FF0000"/>
              </a:solidFill>
            </a:endParaRPr>
          </a:p>
        </xdr:txBody>
      </xdr:sp>
    </xdr:grpSp>
    <xdr:clientData/>
  </xdr:twoCellAnchor>
  <xdr:twoCellAnchor>
    <xdr:from>
      <xdr:col>4</xdr:col>
      <xdr:colOff>651219</xdr:colOff>
      <xdr:row>20</xdr:row>
      <xdr:rowOff>126438</xdr:rowOff>
    </xdr:from>
    <xdr:to>
      <xdr:col>5</xdr:col>
      <xdr:colOff>19168</xdr:colOff>
      <xdr:row>21</xdr:row>
      <xdr:rowOff>83163</xdr:rowOff>
    </xdr:to>
    <xdr:sp macro="" textlink="">
      <xdr:nvSpPr>
        <xdr:cNvPr id="449" name="Ellipse 448">
          <a:extLst>
            <a:ext uri="{FF2B5EF4-FFF2-40B4-BE49-F238E27FC236}">
              <a16:creationId xmlns:a16="http://schemas.microsoft.com/office/drawing/2014/main" id="{1CC0F4F4-7D8C-4EA2-871E-5C608E146EA7}"/>
            </a:ext>
          </a:extLst>
        </xdr:cNvPr>
        <xdr:cNvSpPr/>
      </xdr:nvSpPr>
      <xdr:spPr>
        <a:xfrm>
          <a:off x="3853084" y="4222188"/>
          <a:ext cx="129949" cy="139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663501</xdr:colOff>
      <xdr:row>12</xdr:row>
      <xdr:rowOff>75194</xdr:rowOff>
    </xdr:from>
    <xdr:to>
      <xdr:col>5</xdr:col>
      <xdr:colOff>31450</xdr:colOff>
      <xdr:row>13</xdr:row>
      <xdr:rowOff>31919</xdr:rowOff>
    </xdr:to>
    <xdr:sp macro="" textlink="">
      <xdr:nvSpPr>
        <xdr:cNvPr id="450" name="Ellipse 449">
          <a:extLst>
            <a:ext uri="{FF2B5EF4-FFF2-40B4-BE49-F238E27FC236}">
              <a16:creationId xmlns:a16="http://schemas.microsoft.com/office/drawing/2014/main" id="{60C37C0C-C017-22EB-54D0-B4C2C4DE7518}"/>
            </a:ext>
          </a:extLst>
        </xdr:cNvPr>
        <xdr:cNvSpPr/>
      </xdr:nvSpPr>
      <xdr:spPr>
        <a:xfrm>
          <a:off x="3866110" y="2543411"/>
          <a:ext cx="129949" cy="13894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595574</xdr:colOff>
      <xdr:row>35</xdr:row>
      <xdr:rowOff>137398</xdr:rowOff>
    </xdr:from>
    <xdr:to>
      <xdr:col>20</xdr:col>
      <xdr:colOff>0</xdr:colOff>
      <xdr:row>56</xdr:row>
      <xdr:rowOff>163286</xdr:rowOff>
    </xdr:to>
    <xdr:graphicFrame macro="">
      <xdr:nvGraphicFramePr>
        <xdr:cNvPr id="477" name="Diagramm 476">
          <a:extLst>
            <a:ext uri="{FF2B5EF4-FFF2-40B4-BE49-F238E27FC236}">
              <a16:creationId xmlns:a16="http://schemas.microsoft.com/office/drawing/2014/main" id="{ADB562CD-3418-61AD-F40F-9CFA36FF3A5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oneCellAnchor>
    <xdr:from>
      <xdr:col>0</xdr:col>
      <xdr:colOff>618637</xdr:colOff>
      <xdr:row>59</xdr:row>
      <xdr:rowOff>26133</xdr:rowOff>
    </xdr:from>
    <xdr:ext cx="4637942" cy="5775812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82D3890B-2A6F-94BE-114C-162C56712072}"/>
            </a:ext>
          </a:extLst>
        </xdr:cNvPr>
        <xdr:cNvSpPr txBox="1"/>
      </xdr:nvSpPr>
      <xdr:spPr>
        <a:xfrm>
          <a:off x="618637" y="11529402"/>
          <a:ext cx="4637942" cy="5775812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Gegeben: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Eingangsspannung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unbelastete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belastete Ausgangsspannung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Lastwiderstand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 u="sng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Gesucht: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1. Leerlaufmessung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a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folgt: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((1 - a) / a)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2. Lastmessung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 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/ (R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+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Mit b =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/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.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3. Ergebnis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 b="1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Endformeln: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1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*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</a:t>
          </a: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b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</a:b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2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R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 /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RL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* (U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IN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- U</a:t>
          </a:r>
          <a:r>
            <a:rPr lang="en-US" sz="1100" baseline="-250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L∞</a:t>
          </a:r>
          <a:r>
            <a:rPr lang="en-US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))</a:t>
          </a:r>
          <a:endParaRPr lang="de-CH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30178" y="2617304"/>
          <a:ext cx="600075" cy="273050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33390" y="2996717"/>
          <a:ext cx="600075" cy="279400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7115" y="3006241"/>
          <a:ext cx="603250" cy="28892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30178" y="2043872"/>
          <a:ext cx="596900" cy="276225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95704" y="2053397"/>
          <a:ext cx="600075" cy="279400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3575" y="6062179"/>
          <a:ext cx="596900" cy="276225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46504" y="2617304"/>
          <a:ext cx="596900" cy="276225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49717" y="2996716"/>
          <a:ext cx="603250" cy="276225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76616" y="3009416"/>
          <a:ext cx="600075" cy="28257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34230" y="2972903"/>
          <a:ext cx="425450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88887" y="3226598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42004" y="5474804"/>
          <a:ext cx="600075" cy="273050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45216" y="5854217"/>
          <a:ext cx="600075" cy="279400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68941" y="5863741"/>
          <a:ext cx="603250" cy="28892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84387" y="608727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57357" y="7271440"/>
          <a:ext cx="600075" cy="279400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720654" y="7261915"/>
          <a:ext cx="600075" cy="26987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8173" y="10480261"/>
          <a:ext cx="603250" cy="276225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82370" y="11713956"/>
          <a:ext cx="603250" cy="28575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3575" y="10551353"/>
          <a:ext cx="596900" cy="276225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69173" y="11706087"/>
          <a:ext cx="603250" cy="276225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59700" y="9963978"/>
          <a:ext cx="596900" cy="276225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62913" y="10343390"/>
          <a:ext cx="603250" cy="276225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89812" y="10356090"/>
          <a:ext cx="600075" cy="28257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49330" y="9963978"/>
          <a:ext cx="600075" cy="273050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52542" y="10343391"/>
          <a:ext cx="600075" cy="279400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76267" y="10352915"/>
          <a:ext cx="603250" cy="28892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5375" y="1230589"/>
          <a:ext cx="1696152" cy="118268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4374" y="1166161"/>
          <a:ext cx="1581439" cy="1508306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31792" y="1189950"/>
          <a:ext cx="2645276" cy="713470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11</xdr:row>
      <xdr:rowOff>182440</xdr:rowOff>
    </xdr:from>
    <xdr:to>
      <xdr:col>10</xdr:col>
      <xdr:colOff>331682</xdr:colOff>
      <xdr:row>26</xdr:row>
      <xdr:rowOff>45801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2304073"/>
          <a:ext cx="7666392" cy="2617307"/>
          <a:chOff x="288465" y="2305545"/>
          <a:chExt cx="7666392" cy="259915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51" name="Gerader Verbinder 50">
            <a:extLst>
              <a:ext uri="{FF2B5EF4-FFF2-40B4-BE49-F238E27FC236}">
                <a16:creationId xmlns:a16="http://schemas.microsoft.com/office/drawing/2014/main" id="{87C2BFC2-378B-4A43-13A8-132A07A67F19}"/>
              </a:ext>
            </a:extLst>
          </xdr:cNvPr>
          <xdr:cNvCxnSpPr>
            <a:cxnSpLocks/>
          </xdr:cNvCxnSpPr>
        </xdr:nvCxnSpPr>
        <xdr:spPr>
          <a:xfrm flipV="1">
            <a:off x="6868394" y="4490569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40907EFC-95BE-133B-F2FF-AF6B18B2D27B}"/>
              </a:ext>
            </a:extLst>
          </xdr:cNvPr>
          <xdr:cNvCxnSpPr>
            <a:cxnSpLocks/>
          </xdr:cNvCxnSpPr>
        </xdr:nvCxnSpPr>
        <xdr:spPr>
          <a:xfrm flipV="1">
            <a:off x="6856180" y="2316022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602D22EA-167B-B7EB-9F47-5216261673EE}"/>
              </a:ext>
            </a:extLst>
          </xdr:cNvPr>
          <xdr:cNvCxnSpPr>
            <a:cxnSpLocks/>
            <a:endCxn id="49" idx="4"/>
          </xdr:cNvCxnSpPr>
        </xdr:nvCxnSpPr>
        <xdr:spPr>
          <a:xfrm flipH="1" flipV="1">
            <a:off x="6863329" y="3819538"/>
            <a:ext cx="4440" cy="6726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AA243DAF-C311-016A-255A-9029B1A9FF29}"/>
              </a:ext>
            </a:extLst>
          </xdr:cNvPr>
          <xdr:cNvCxnSpPr>
            <a:cxnSpLocks/>
            <a:stCxn id="49" idx="0"/>
          </xdr:cNvCxnSpPr>
        </xdr:nvCxnSpPr>
        <xdr:spPr>
          <a:xfrm flipH="1" flipV="1">
            <a:off x="6848231" y="2305545"/>
            <a:ext cx="15098" cy="65956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1384" y="6403151"/>
          <a:ext cx="4157445" cy="2465563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5392" y="9519758"/>
          <a:ext cx="5125354" cy="1547326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8755" y="11680476"/>
          <a:ext cx="3885345" cy="2574286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5810" y="18803782"/>
          <a:ext cx="974958" cy="2437247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2385" y="14685134"/>
          <a:ext cx="5564837" cy="5002844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12</xdr:col>
      <xdr:colOff>8283</xdr:colOff>
      <xdr:row>4</xdr:row>
      <xdr:rowOff>24848</xdr:rowOff>
    </xdr:from>
    <xdr:to>
      <xdr:col>14</xdr:col>
      <xdr:colOff>11458</xdr:colOff>
      <xdr:row>12</xdr:row>
      <xdr:rowOff>74543</xdr:rowOff>
    </xdr:to>
    <xdr:grpSp>
      <xdr:nvGrpSpPr>
        <xdr:cNvPr id="19" name="Gruppieren 18">
          <a:extLst>
            <a:ext uri="{FF2B5EF4-FFF2-40B4-BE49-F238E27FC236}">
              <a16:creationId xmlns:a16="http://schemas.microsoft.com/office/drawing/2014/main" id="{D4BD43DB-10D6-3AD1-A0CA-9A8DC6324104}"/>
            </a:ext>
          </a:extLst>
        </xdr:cNvPr>
        <xdr:cNvGrpSpPr/>
      </xdr:nvGrpSpPr>
      <xdr:grpSpPr>
        <a:xfrm>
          <a:off x="9155458" y="870619"/>
          <a:ext cx="612287" cy="1511905"/>
          <a:chOff x="9152283" y="870192"/>
          <a:chExt cx="614363" cy="1510195"/>
        </a:xfrm>
      </xdr:grpSpPr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7BE249C2-7891-474F-9A79-C43994FA7BE5}"/>
              </a:ext>
            </a:extLst>
          </xdr:cNvPr>
          <xdr:cNvCxnSpPr>
            <a:cxnSpLocks/>
          </xdr:cNvCxnSpPr>
        </xdr:nvCxnSpPr>
        <xdr:spPr>
          <a:xfrm flipV="1">
            <a:off x="9449594" y="870192"/>
            <a:ext cx="0" cy="69677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9" name="Gerader Verbinder 68">
            <a:extLst>
              <a:ext uri="{FF2B5EF4-FFF2-40B4-BE49-F238E27FC236}">
                <a16:creationId xmlns:a16="http://schemas.microsoft.com/office/drawing/2014/main" id="{1BEDE7B8-0A3D-B18F-794F-3610D901B4C7}"/>
              </a:ext>
            </a:extLst>
          </xdr:cNvPr>
          <xdr:cNvCxnSpPr>
            <a:cxnSpLocks/>
          </xdr:cNvCxnSpPr>
        </xdr:nvCxnSpPr>
        <xdr:spPr>
          <a:xfrm flipV="1">
            <a:off x="9449594" y="1686442"/>
            <a:ext cx="0" cy="693945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71" name="Gerader Verbinder 70">
            <a:extLst>
              <a:ext uri="{FF2B5EF4-FFF2-40B4-BE49-F238E27FC236}">
                <a16:creationId xmlns:a16="http://schemas.microsoft.com/office/drawing/2014/main" id="{478BEEDF-8779-75D1-B146-65C23DD135BC}"/>
              </a:ext>
            </a:extLst>
          </xdr:cNvPr>
          <xdr:cNvCxnSpPr>
            <a:cxnSpLocks/>
          </xdr:cNvCxnSpPr>
        </xdr:nvCxnSpPr>
        <xdr:spPr>
          <a:xfrm>
            <a:off x="9155458" y="1578769"/>
            <a:ext cx="60801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9D314197-3948-07BE-FC3D-4A1739F43189}"/>
              </a:ext>
            </a:extLst>
          </xdr:cNvPr>
          <xdr:cNvCxnSpPr>
            <a:cxnSpLocks/>
          </xdr:cNvCxnSpPr>
        </xdr:nvCxnSpPr>
        <xdr:spPr>
          <a:xfrm>
            <a:off x="9152283" y="1681335"/>
            <a:ext cx="614363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8</xdr:col>
      <xdr:colOff>311283</xdr:colOff>
      <xdr:row>15</xdr:row>
      <xdr:rowOff>115011</xdr:rowOff>
    </xdr:from>
    <xdr:to>
      <xdr:col>9</xdr:col>
      <xdr:colOff>461374</xdr:colOff>
      <xdr:row>20</xdr:row>
      <xdr:rowOff>57284</xdr:rowOff>
    </xdr:to>
    <xdr:sp macro="" textlink="">
      <xdr:nvSpPr>
        <xdr:cNvPr id="49" name="Ellipse 48">
          <a:extLst>
            <a:ext uri="{FF2B5EF4-FFF2-40B4-BE49-F238E27FC236}">
              <a16:creationId xmlns:a16="http://schemas.microsoft.com/office/drawing/2014/main" id="{09280A74-4B4E-5781-5FA2-46335BD268F5}"/>
            </a:ext>
          </a:extLst>
        </xdr:cNvPr>
        <xdr:cNvSpPr/>
      </xdr:nvSpPr>
      <xdr:spPr>
        <a:xfrm>
          <a:off x="6407283" y="3011588"/>
          <a:ext cx="912091" cy="870350"/>
        </a:xfrm>
        <a:prstGeom prst="ellipse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G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G</a:t>
          </a:r>
          <a:b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</a:br>
          <a:r>
            <a:rPr lang="de-CH" sz="1400" baseline="0">
              <a:solidFill>
                <a:schemeClr val="tx1">
                  <a:lumMod val="95000"/>
                  <a:lumOff val="5000"/>
                </a:schemeClr>
              </a:solidFill>
            </a:rPr>
            <a:t>    </a:t>
          </a:r>
          <a:r>
            <a:rPr lang="de-CH" sz="1400">
              <a:solidFill>
                <a:schemeClr val="tx1">
                  <a:lumMod val="95000"/>
                  <a:lumOff val="5000"/>
                </a:schemeClr>
              </a:solidFill>
            </a:rPr>
            <a:t>~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69</xdr:row>
      <xdr:rowOff>103654</xdr:rowOff>
    </xdr:from>
    <xdr:to>
      <xdr:col>11</xdr:col>
      <xdr:colOff>1922556</xdr:colOff>
      <xdr:row>112</xdr:row>
      <xdr:rowOff>87643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25</xdr:col>
      <xdr:colOff>682626</xdr:colOff>
      <xdr:row>17</xdr:row>
      <xdr:rowOff>37777</xdr:rowOff>
    </xdr:from>
    <xdr:to>
      <xdr:col>26</xdr:col>
      <xdr:colOff>1139826</xdr:colOff>
      <xdr:row>23</xdr:row>
      <xdr:rowOff>123825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31</xdr:col>
      <xdr:colOff>121790</xdr:colOff>
      <xdr:row>0</xdr:row>
      <xdr:rowOff>161585</xdr:rowOff>
    </xdr:from>
    <xdr:to>
      <xdr:col>40</xdr:col>
      <xdr:colOff>425823</xdr:colOff>
      <xdr:row>30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25</xdr:col>
      <xdr:colOff>660401</xdr:colOff>
      <xdr:row>35</xdr:row>
      <xdr:rowOff>88901</xdr:rowOff>
    </xdr:from>
    <xdr:to>
      <xdr:col>26</xdr:col>
      <xdr:colOff>942975</xdr:colOff>
      <xdr:row>41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31</xdr:col>
      <xdr:colOff>182424</xdr:colOff>
      <xdr:row>31</xdr:row>
      <xdr:rowOff>156056</xdr:rowOff>
    </xdr:from>
    <xdr:to>
      <xdr:col>40</xdr:col>
      <xdr:colOff>497087</xdr:colOff>
      <xdr:row>49</xdr:row>
      <xdr:rowOff>156107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25</xdr:col>
      <xdr:colOff>368300</xdr:colOff>
      <xdr:row>56</xdr:row>
      <xdr:rowOff>133349</xdr:rowOff>
    </xdr:from>
    <xdr:to>
      <xdr:col>26</xdr:col>
      <xdr:colOff>665694</xdr:colOff>
      <xdr:row>64</xdr:row>
      <xdr:rowOff>199399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31</xdr:col>
      <xdr:colOff>172035</xdr:colOff>
      <xdr:row>53</xdr:row>
      <xdr:rowOff>153679</xdr:rowOff>
    </xdr:from>
    <xdr:to>
      <xdr:col>40</xdr:col>
      <xdr:colOff>449007</xdr:colOff>
      <xdr:row>75</xdr:row>
      <xdr:rowOff>61578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58</xdr:col>
      <xdr:colOff>452600</xdr:colOff>
      <xdr:row>36</xdr:row>
      <xdr:rowOff>289849</xdr:rowOff>
    </xdr:from>
    <xdr:to>
      <xdr:col>58</xdr:col>
      <xdr:colOff>483265</xdr:colOff>
      <xdr:row>37</xdr:row>
      <xdr:rowOff>8054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14:cNvPr>
            <xdr14:cNvContentPartPr/>
          </xdr14:nvContentPartPr>
          <xdr14:nvPr macro=""/>
          <xdr14:xfrm>
            <a:off x="47569600" y="8036849"/>
            <a:ext cx="33840" cy="38880"/>
          </xdr14:xfrm>
        </xdr:contentPart>
      </mc:Choice>
      <mc:Fallback xmlns="">
        <xdr:pic>
          <xdr:nvPicPr>
            <xdr:cNvPr id="7" name="Freihand 6">
              <a:extLst>
                <a:ext uri="{FF2B5EF4-FFF2-40B4-BE49-F238E27FC236}">
                  <a16:creationId xmlns:a16="http://schemas.microsoft.com/office/drawing/2014/main" id="{E709A5C4-E54F-CEF0-DA6C-8AF0A66B8160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35364209" y="1056600"/>
              <a:ext cx="4248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374480</xdr:colOff>
      <xdr:row>36</xdr:row>
      <xdr:rowOff>52106</xdr:rowOff>
    </xdr:from>
    <xdr:to>
      <xdr:col>59</xdr:col>
      <xdr:colOff>617535</xdr:colOff>
      <xdr:row>39</xdr:row>
      <xdr:rowOff>48188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14:cNvPr>
            <xdr14:cNvContentPartPr/>
          </xdr14:nvContentPartPr>
          <xdr14:nvPr macro=""/>
          <xdr14:xfrm>
            <a:off x="47491480" y="7799106"/>
            <a:ext cx="1001880" cy="824757"/>
          </xdr14:xfrm>
        </xdr:contentPart>
      </mc:Choice>
      <mc:Fallback xmlns="">
        <xdr:pic>
          <xdr:nvPicPr>
            <xdr:cNvPr id="15" name="Freihand 14">
              <a:extLst>
                <a:ext uri="{FF2B5EF4-FFF2-40B4-BE49-F238E27FC236}">
                  <a16:creationId xmlns:a16="http://schemas.microsoft.com/office/drawing/2014/main" id="{198D8AF2-C8F8-F413-8CD7-0D7FBA09F1E5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35272415" y="823320"/>
              <a:ext cx="103750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402568</xdr:colOff>
      <xdr:row>42</xdr:row>
      <xdr:rowOff>64869</xdr:rowOff>
    </xdr:from>
    <xdr:to>
      <xdr:col>59</xdr:col>
      <xdr:colOff>616103</xdr:colOff>
      <xdr:row>45</xdr:row>
      <xdr:rowOff>26245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14:cNvPr>
            <xdr14:cNvContentPartPr/>
          </xdr14:nvContentPartPr>
          <xdr14:nvPr macro=""/>
          <xdr14:xfrm>
            <a:off x="47519568" y="9335869"/>
            <a:ext cx="972360" cy="529702"/>
          </xdr14:xfrm>
        </xdr:contentPart>
      </mc:Choice>
      <mc:Fallback xmlns="">
        <xdr:pic>
          <xdr:nvPicPr>
            <xdr:cNvPr id="25" name="Freihand 24">
              <a:extLst>
                <a:ext uri="{FF2B5EF4-FFF2-40B4-BE49-F238E27FC236}">
                  <a16:creationId xmlns:a16="http://schemas.microsoft.com/office/drawing/2014/main" id="{A80F7FF3-B90C-2921-4A59-F38874B6AC3E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35300857" y="2278440"/>
              <a:ext cx="1008000" cy="547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60</xdr:col>
      <xdr:colOff>240808</xdr:colOff>
      <xdr:row>41</xdr:row>
      <xdr:rowOff>178977</xdr:rowOff>
    </xdr:from>
    <xdr:to>
      <xdr:col>61</xdr:col>
      <xdr:colOff>730593</xdr:colOff>
      <xdr:row>44</xdr:row>
      <xdr:rowOff>124877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14:cNvPr>
            <xdr14:cNvContentPartPr/>
          </xdr14:nvContentPartPr>
          <xdr14:nvPr macro=""/>
          <xdr14:xfrm>
            <a:off x="48881808" y="9259477"/>
            <a:ext cx="1254960" cy="568654"/>
          </xdr14:xfrm>
        </xdr:contentPart>
      </mc:Choice>
      <mc:Fallback xmlns="">
        <xdr:pic>
          <xdr:nvPicPr>
            <xdr:cNvPr id="33" name="Freihand 32">
              <a:extLst>
                <a:ext uri="{FF2B5EF4-FFF2-40B4-BE49-F238E27FC236}">
                  <a16:creationId xmlns:a16="http://schemas.microsoft.com/office/drawing/2014/main" id="{A5F1C871-720E-C990-E08F-DBD2B11792B8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36662737" y="2211480"/>
              <a:ext cx="1290600" cy="577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529400</xdr:colOff>
      <xdr:row>35</xdr:row>
      <xdr:rowOff>170814</xdr:rowOff>
    </xdr:from>
    <xdr:to>
      <xdr:col>69</xdr:col>
      <xdr:colOff>408025</xdr:colOff>
      <xdr:row>38</xdr:row>
      <xdr:rowOff>143226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14:cNvPr>
            <xdr14:cNvContentPartPr/>
          </xdr14:nvContentPartPr>
          <xdr14:nvPr macro=""/>
          <xdr14:xfrm>
            <a:off x="54504400" y="7600314"/>
            <a:ext cx="1405800" cy="858237"/>
          </xdr14:xfrm>
        </xdr:contentPart>
      </mc:Choice>
      <mc:Fallback xmlns="">
        <xdr:pic>
          <xdr:nvPicPr>
            <xdr:cNvPr id="64" name="Freihand 63">
              <a:extLst>
                <a:ext uri="{FF2B5EF4-FFF2-40B4-BE49-F238E27FC236}">
                  <a16:creationId xmlns:a16="http://schemas.microsoft.com/office/drawing/2014/main" id="{062D94BC-0AB1-6791-744F-0DCA4E107811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42285329" y="633960"/>
              <a:ext cx="1441440" cy="848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64</xdr:col>
      <xdr:colOff>143120</xdr:colOff>
      <xdr:row>36</xdr:row>
      <xdr:rowOff>94297</xdr:rowOff>
    </xdr:from>
    <xdr:to>
      <xdr:col>67</xdr:col>
      <xdr:colOff>217575</xdr:colOff>
      <xdr:row>38</xdr:row>
      <xdr:rowOff>221706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14:cNvPr>
            <xdr14:cNvContentPartPr/>
          </xdr14:nvContentPartPr>
          <xdr14:nvPr macro=""/>
          <xdr14:xfrm>
            <a:off x="51832120" y="7841297"/>
            <a:ext cx="2357280" cy="695734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A2E9AE68-6218-C54D-A113-4BA64A52DA51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39613409" y="856800"/>
              <a:ext cx="2392920" cy="70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232400</xdr:colOff>
      <xdr:row>36</xdr:row>
      <xdr:rowOff>6386</xdr:rowOff>
    </xdr:from>
    <xdr:to>
      <xdr:col>66</xdr:col>
      <xdr:colOff>190160</xdr:colOff>
      <xdr:row>46</xdr:row>
      <xdr:rowOff>179888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14:cNvPr>
            <xdr14:cNvContentPartPr/>
          </xdr14:nvContentPartPr>
          <xdr14:nvPr macro=""/>
          <xdr14:xfrm>
            <a:off x="47349400" y="7753386"/>
            <a:ext cx="6053760" cy="2533888"/>
          </xdr14:xfrm>
        </xdr:contentPart>
      </mc:Choice>
      <mc:Fallback xmlns="">
        <xdr:pic>
          <xdr:nvPicPr>
            <xdr:cNvPr id="86" name="Freihand 85">
              <a:extLst>
                <a:ext uri="{FF2B5EF4-FFF2-40B4-BE49-F238E27FC236}">
                  <a16:creationId xmlns:a16="http://schemas.microsoft.com/office/drawing/2014/main" id="{B9100471-1197-3150-1A9B-FC1EF3D18DCD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35130329" y="777960"/>
              <a:ext cx="6089400" cy="245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17120</xdr:colOff>
      <xdr:row>50</xdr:row>
      <xdr:rowOff>8657</xdr:rowOff>
    </xdr:from>
    <xdr:to>
      <xdr:col>62</xdr:col>
      <xdr:colOff>6865</xdr:colOff>
      <xdr:row>53</xdr:row>
      <xdr:rowOff>49309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14:cNvPr>
            <xdr14:cNvContentPartPr/>
          </xdr14:nvContentPartPr>
          <xdr14:nvPr macro=""/>
          <xdr14:xfrm>
            <a:off x="49420120" y="10803657"/>
            <a:ext cx="754920" cy="608977"/>
          </xdr14:xfrm>
        </xdr:contentPart>
      </mc:Choice>
      <mc:Fallback xmlns="">
        <xdr:pic>
          <xdr:nvPicPr>
            <xdr:cNvPr id="91" name="Freihand 90">
              <a:extLst>
                <a:ext uri="{FF2B5EF4-FFF2-40B4-BE49-F238E27FC236}">
                  <a16:creationId xmlns:a16="http://schemas.microsoft.com/office/drawing/2014/main" id="{3AB3EC81-5E61-3B60-3C0F-E25E3DB912D1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37201049" y="3691800"/>
              <a:ext cx="790560" cy="66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398120</xdr:colOff>
      <xdr:row>47</xdr:row>
      <xdr:rowOff>96894</xdr:rowOff>
    </xdr:from>
    <xdr:to>
      <xdr:col>63</xdr:col>
      <xdr:colOff>198505</xdr:colOff>
      <xdr:row>50</xdr:row>
      <xdr:rowOff>66322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14:cNvPr>
            <xdr14:cNvContentPartPr/>
          </xdr14:nvContentPartPr>
          <xdr14:nvPr macro=""/>
          <xdr14:xfrm>
            <a:off x="50563120" y="10320394"/>
            <a:ext cx="565560" cy="544103"/>
          </xdr14:xfrm>
        </xdr:contentPart>
      </mc:Choice>
      <mc:Fallback xmlns="">
        <xdr:pic>
          <xdr:nvPicPr>
            <xdr:cNvPr id="95" name="Freihand 94">
              <a:extLst>
                <a:ext uri="{FF2B5EF4-FFF2-40B4-BE49-F238E27FC236}">
                  <a16:creationId xmlns:a16="http://schemas.microsoft.com/office/drawing/2014/main" id="{CD56C02E-6FFF-7B80-38C2-1D0C80FD7C2F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344049" y="3226680"/>
              <a:ext cx="601200" cy="561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218608</xdr:colOff>
      <xdr:row>33</xdr:row>
      <xdr:rowOff>11600</xdr:rowOff>
    </xdr:from>
    <xdr:to>
      <xdr:col>70</xdr:col>
      <xdr:colOff>174328</xdr:colOff>
      <xdr:row>40</xdr:row>
      <xdr:rowOff>74339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14:cNvPr>
            <xdr14:cNvContentPartPr/>
          </xdr14:nvContentPartPr>
          <xdr14:nvPr macro=""/>
          <xdr14:xfrm>
            <a:off x="54193608" y="7060100"/>
            <a:ext cx="2241720" cy="1843914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6A2EEA7-192C-5E2F-CC7D-7D07E74B5A2C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41974537" y="120600"/>
              <a:ext cx="2277360" cy="1788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353368</xdr:colOff>
      <xdr:row>49</xdr:row>
      <xdr:rowOff>726</xdr:rowOff>
    </xdr:from>
    <xdr:to>
      <xdr:col>66</xdr:col>
      <xdr:colOff>344488</xdr:colOff>
      <xdr:row>53</xdr:row>
      <xdr:rowOff>38213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14:cNvPr>
            <xdr14:cNvContentPartPr/>
          </xdr14:nvContentPartPr>
          <xdr14:nvPr macro=""/>
          <xdr14:xfrm>
            <a:off x="52804368" y="10605226"/>
            <a:ext cx="753120" cy="799488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400B8F56-1914-6A8C-8554-FF5346114DAC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40585288" y="3502792"/>
              <a:ext cx="788777" cy="84421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732568</xdr:colOff>
      <xdr:row>47</xdr:row>
      <xdr:rowOff>190494</xdr:rowOff>
    </xdr:from>
    <xdr:to>
      <xdr:col>68</xdr:col>
      <xdr:colOff>685288</xdr:colOff>
      <xdr:row>52</xdr:row>
      <xdr:rowOff>21714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14:cNvPr>
            <xdr14:cNvContentPartPr/>
          </xdr14:nvContentPartPr>
          <xdr14:nvPr macro=""/>
          <xdr14:xfrm>
            <a:off x="53945568" y="10413994"/>
            <a:ext cx="1476720" cy="783720"/>
          </xdr14:xfrm>
        </xdr:contentPart>
      </mc:Choice>
      <mc:Fallback xmlns="">
        <xdr:pic>
          <xdr:nvPicPr>
            <xdr:cNvPr id="112" name="Freihand 111">
              <a:extLst>
                <a:ext uri="{FF2B5EF4-FFF2-40B4-BE49-F238E27FC236}">
                  <a16:creationId xmlns:a16="http://schemas.microsoft.com/office/drawing/2014/main" id="{29EEA610-8F6B-D786-82B1-632EAE36097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41726857" y="3320632"/>
              <a:ext cx="1512360" cy="81937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592745</xdr:colOff>
      <xdr:row>56</xdr:row>
      <xdr:rowOff>112563</xdr:rowOff>
    </xdr:from>
    <xdr:to>
      <xdr:col>58</xdr:col>
      <xdr:colOff>450240</xdr:colOff>
      <xdr:row>59</xdr:row>
      <xdr:rowOff>26134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14:cNvPr>
            <xdr14:cNvContentPartPr/>
          </xdr14:nvContentPartPr>
          <xdr14:nvPr macro=""/>
          <xdr14:xfrm>
            <a:off x="46947745" y="12050563"/>
            <a:ext cx="616320" cy="481897"/>
          </xdr14:xfrm>
        </xdr:contentPart>
      </mc:Choice>
      <mc:Fallback xmlns="">
        <xdr:pic>
          <xdr:nvPicPr>
            <xdr:cNvPr id="118" name="Freihand 117">
              <a:extLst>
                <a:ext uri="{FF2B5EF4-FFF2-40B4-BE49-F238E27FC236}">
                  <a16:creationId xmlns:a16="http://schemas.microsoft.com/office/drawing/2014/main" id="{A6A94D19-7886-CC36-99D1-CFF30F304D75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34729034" y="4984063"/>
              <a:ext cx="651960" cy="535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58</xdr:col>
      <xdr:colOff>636785</xdr:colOff>
      <xdr:row>56</xdr:row>
      <xdr:rowOff>27603</xdr:rowOff>
    </xdr:from>
    <xdr:to>
      <xdr:col>60</xdr:col>
      <xdr:colOff>259680</xdr:colOff>
      <xdr:row>58</xdr:row>
      <xdr:rowOff>143554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14:cNvPr>
            <xdr14:cNvContentPartPr/>
          </xdr14:nvContentPartPr>
          <xdr14:nvPr macro=""/>
          <xdr14:xfrm>
            <a:off x="47753785" y="11965603"/>
            <a:ext cx="1143720" cy="493777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BC9318C6-C2A0-A73E-8B0E-2F52463F2235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35534714" y="4899116"/>
              <a:ext cx="1179360" cy="54753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434105</xdr:colOff>
      <xdr:row>51</xdr:row>
      <xdr:rowOff>63606</xdr:rowOff>
    </xdr:from>
    <xdr:to>
      <xdr:col>66</xdr:col>
      <xdr:colOff>143890</xdr:colOff>
      <xdr:row>60</xdr:row>
      <xdr:rowOff>180304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14:cNvPr>
            <xdr14:cNvContentPartPr/>
          </xdr14:nvContentPartPr>
          <xdr14:nvPr macro=""/>
          <xdr14:xfrm>
            <a:off x="49837105" y="11049106"/>
            <a:ext cx="3522960" cy="1891523"/>
          </xdr14:xfrm>
        </xdr:contentPart>
      </mc:Choice>
      <mc:Fallback xmlns="">
        <xdr:pic>
          <xdr:nvPicPr>
            <xdr:cNvPr id="148" name="Freihand 147">
              <a:extLst>
                <a:ext uri="{FF2B5EF4-FFF2-40B4-BE49-F238E27FC236}">
                  <a16:creationId xmlns:a16="http://schemas.microsoft.com/office/drawing/2014/main" id="{2F7BFBAD-7B27-6133-EFE0-41238B0D022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37618034" y="3946325"/>
              <a:ext cx="3558600" cy="199065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351905</xdr:colOff>
      <xdr:row>54</xdr:row>
      <xdr:rowOff>4654</xdr:rowOff>
    </xdr:from>
    <xdr:to>
      <xdr:col>60</xdr:col>
      <xdr:colOff>616930</xdr:colOff>
      <xdr:row>60</xdr:row>
      <xdr:rowOff>67747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14:cNvPr>
            <xdr14:cNvContentPartPr/>
          </xdr14:nvContentPartPr>
          <xdr14:nvPr macro=""/>
          <xdr14:xfrm>
            <a:off x="46706905" y="11561654"/>
            <a:ext cx="2554200" cy="1263243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EBDD1D09-1033-325B-C751-35EC7E6CCC20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34488196" y="4477011"/>
              <a:ext cx="2589835" cy="1344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404105</xdr:colOff>
      <xdr:row>61</xdr:row>
      <xdr:rowOff>138885</xdr:rowOff>
    </xdr:from>
    <xdr:to>
      <xdr:col>61</xdr:col>
      <xdr:colOff>293770</xdr:colOff>
      <xdr:row>65</xdr:row>
      <xdr:rowOff>16271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14:cNvPr>
            <xdr14:cNvContentPartPr/>
          </xdr14:nvContentPartPr>
          <xdr14:nvPr macro=""/>
          <xdr14:xfrm>
            <a:off x="46759105" y="13156385"/>
            <a:ext cx="2940840" cy="894746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4AD6D00B-8E0C-B008-2EC4-EA459E4107F8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34540034" y="6126171"/>
              <a:ext cx="2976480" cy="95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491345</xdr:colOff>
      <xdr:row>62</xdr:row>
      <xdr:rowOff>192685</xdr:rowOff>
    </xdr:from>
    <xdr:to>
      <xdr:col>62</xdr:col>
      <xdr:colOff>113465</xdr:colOff>
      <xdr:row>63</xdr:row>
      <xdr:rowOff>130278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14:cNvPr>
            <xdr14:cNvContentPartPr/>
          </xdr14:nvContentPartPr>
          <xdr14:nvPr macro=""/>
          <xdr14:xfrm>
            <a:off x="49894345" y="13464185"/>
            <a:ext cx="384120" cy="191592"/>
          </xdr14:xfrm>
        </xdr:contentPart>
      </mc:Choice>
      <mc:Fallback xmlns="">
        <xdr:pic>
          <xdr:nvPicPr>
            <xdr:cNvPr id="176" name="Freihand 175">
              <a:extLst>
                <a:ext uri="{FF2B5EF4-FFF2-40B4-BE49-F238E27FC236}">
                  <a16:creationId xmlns:a16="http://schemas.microsoft.com/office/drawing/2014/main" id="{FB583499-BC33-AEF4-B70C-53E531DCD6B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37675634" y="6434331"/>
              <a:ext cx="419760" cy="21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336928</xdr:colOff>
      <xdr:row>61</xdr:row>
      <xdr:rowOff>186405</xdr:rowOff>
    </xdr:from>
    <xdr:to>
      <xdr:col>63</xdr:col>
      <xdr:colOff>199463</xdr:colOff>
      <xdr:row>63</xdr:row>
      <xdr:rowOff>238343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14:cNvPr>
            <xdr14:cNvContentPartPr/>
          </xdr14:nvContentPartPr>
          <xdr14:nvPr macro=""/>
          <xdr14:xfrm>
            <a:off x="50501928" y="13203905"/>
            <a:ext cx="621360" cy="563112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ED50838-28E8-7B66-6893-B013A85743A4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38282857" y="6173691"/>
              <a:ext cx="657000" cy="58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317968</xdr:colOff>
      <xdr:row>61</xdr:row>
      <xdr:rowOff>63645</xdr:rowOff>
    </xdr:from>
    <xdr:to>
      <xdr:col>65</xdr:col>
      <xdr:colOff>8183</xdr:colOff>
      <xdr:row>64</xdr:row>
      <xdr:rowOff>149734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14:cNvPr>
            <xdr14:cNvContentPartPr/>
          </xdr14:nvContentPartPr>
          <xdr14:nvPr macro=""/>
          <xdr14:xfrm>
            <a:off x="51244968" y="13081145"/>
            <a:ext cx="1211040" cy="848089"/>
          </xdr14:xfrm>
        </xdr:contentPart>
      </mc:Choice>
      <mc:Fallback xmlns="">
        <xdr:pic>
          <xdr:nvPicPr>
            <xdr:cNvPr id="190" name="Freihand 189">
              <a:extLst>
                <a:ext uri="{FF2B5EF4-FFF2-40B4-BE49-F238E27FC236}">
                  <a16:creationId xmlns:a16="http://schemas.microsoft.com/office/drawing/2014/main" id="{7C6D1D6A-38C9-29EE-83E0-F3B2CF73EA55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39026257" y="6051291"/>
              <a:ext cx="1246680" cy="892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317848</xdr:colOff>
      <xdr:row>58</xdr:row>
      <xdr:rowOff>49200</xdr:rowOff>
    </xdr:from>
    <xdr:to>
      <xdr:col>72</xdr:col>
      <xdr:colOff>483383</xdr:colOff>
      <xdr:row>65</xdr:row>
      <xdr:rowOff>46576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14:cNvPr>
            <xdr14:cNvContentPartPr/>
          </xdr14:nvContentPartPr>
          <xdr14:nvPr macro=""/>
          <xdr14:xfrm>
            <a:off x="52768848" y="12368200"/>
            <a:ext cx="5496360" cy="1716411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32E0FDFA-E9FD-2418-63C3-4AE8D13A318C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0549777" y="5310767"/>
              <a:ext cx="5531999" cy="18064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689266</xdr:colOff>
      <xdr:row>86</xdr:row>
      <xdr:rowOff>25802</xdr:rowOff>
    </xdr:from>
    <xdr:to>
      <xdr:col>62</xdr:col>
      <xdr:colOff>85601</xdr:colOff>
      <xdr:row>87</xdr:row>
      <xdr:rowOff>12356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14:cNvPr>
            <xdr14:cNvContentPartPr/>
          </xdr14:nvContentPartPr>
          <xdr14:nvPr macro=""/>
          <xdr14:xfrm>
            <a:off x="50092266" y="17996302"/>
            <a:ext cx="155160" cy="160272"/>
          </xdr14:xfrm>
        </xdr:contentPart>
      </mc:Choice>
      <mc:Fallback xmlns="">
        <xdr:pic>
          <xdr:nvPicPr>
            <xdr:cNvPr id="253" name="Freihand 252">
              <a:extLst>
                <a:ext uri="{FF2B5EF4-FFF2-40B4-BE49-F238E27FC236}">
                  <a16:creationId xmlns:a16="http://schemas.microsoft.com/office/drawing/2014/main" id="{B07F1A4D-77CB-4D73-842C-6C83B20436D7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37873514" y="10820945"/>
              <a:ext cx="190883" cy="186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630466</xdr:colOff>
      <xdr:row>85</xdr:row>
      <xdr:rowOff>2751</xdr:rowOff>
    </xdr:from>
    <xdr:to>
      <xdr:col>61</xdr:col>
      <xdr:colOff>391251</xdr:colOff>
      <xdr:row>88</xdr:row>
      <xdr:rowOff>73705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14:cNvPr>
            <xdr14:cNvContentPartPr/>
          </xdr14:nvContentPartPr>
          <xdr14:nvPr macro=""/>
          <xdr14:xfrm>
            <a:off x="46985466" y="17782751"/>
            <a:ext cx="2811960" cy="642454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3A688A8A-6833-D4CF-356D-F13393C12D62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34766755" y="10616465"/>
              <a:ext cx="2847600" cy="650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512266</xdr:colOff>
      <xdr:row>83</xdr:row>
      <xdr:rowOff>136359</xdr:rowOff>
    </xdr:from>
    <xdr:to>
      <xdr:col>65</xdr:col>
      <xdr:colOff>75586</xdr:colOff>
      <xdr:row>87</xdr:row>
      <xdr:rowOff>124590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14:cNvPr>
            <xdr14:cNvContentPartPr/>
          </xdr14:nvContentPartPr>
          <xdr14:nvPr macro=""/>
          <xdr14:xfrm>
            <a:off x="50677266" y="17535359"/>
            <a:ext cx="1849320" cy="753406"/>
          </xdr14:xfrm>
        </xdr:contentPart>
      </mc:Choice>
      <mc:Fallback xmlns="">
        <xdr:pic>
          <xdr:nvPicPr>
            <xdr:cNvPr id="261" name="Freihand 260">
              <a:extLst>
                <a:ext uri="{FF2B5EF4-FFF2-40B4-BE49-F238E27FC236}">
                  <a16:creationId xmlns:a16="http://schemas.microsoft.com/office/drawing/2014/main" id="{28ED8352-9AC7-5142-7442-80F0203AB3B1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38458555" y="10378514"/>
              <a:ext cx="1884960" cy="75274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486346</xdr:colOff>
      <xdr:row>86</xdr:row>
      <xdr:rowOff>170594</xdr:rowOff>
    </xdr:from>
    <xdr:to>
      <xdr:col>65</xdr:col>
      <xdr:colOff>717401</xdr:colOff>
      <xdr:row>87</xdr:row>
      <xdr:rowOff>144980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14:cNvPr>
            <xdr14:cNvContentPartPr/>
          </xdr14:nvContentPartPr>
          <xdr14:nvPr macro=""/>
          <xdr14:xfrm>
            <a:off x="52937346" y="18141094"/>
            <a:ext cx="227880" cy="161711"/>
          </xdr14:xfrm>
        </xdr:contentPart>
      </mc:Choice>
      <mc:Fallback xmlns="">
        <xdr:pic>
          <xdr:nvPicPr>
            <xdr:cNvPr id="264" name="Freihand 263">
              <a:extLst>
                <a:ext uri="{FF2B5EF4-FFF2-40B4-BE49-F238E27FC236}">
                  <a16:creationId xmlns:a16="http://schemas.microsoft.com/office/drawing/2014/main" id="{A3569F34-FD9D-70A6-9BB1-2628E2772EA1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0718275" y="10956707"/>
              <a:ext cx="263520" cy="18819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355811</xdr:colOff>
      <xdr:row>47</xdr:row>
      <xdr:rowOff>153803</xdr:rowOff>
    </xdr:from>
    <xdr:to>
      <xdr:col>52</xdr:col>
      <xdr:colOff>325091</xdr:colOff>
      <xdr:row>59</xdr:row>
      <xdr:rowOff>150631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14:cNvPr>
            <xdr14:cNvContentPartPr/>
          </xdr14:nvContentPartPr>
          <xdr14:nvPr macro=""/>
          <xdr14:xfrm>
            <a:off x="41376811" y="10377303"/>
            <a:ext cx="1493280" cy="2286003"/>
          </xdr14:xfrm>
        </xdr:contentPart>
      </mc:Choice>
      <mc:Fallback xmlns="">
        <xdr:pic>
          <xdr:nvPicPr>
            <xdr:cNvPr id="292" name="Freihand 291">
              <a:extLst>
                <a:ext uri="{FF2B5EF4-FFF2-40B4-BE49-F238E27FC236}">
                  <a16:creationId xmlns:a16="http://schemas.microsoft.com/office/drawing/2014/main" id="{81F617A9-4A8E-34BA-34E5-BACF0506E2ED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29158100" y="3283589"/>
              <a:ext cx="1528920" cy="236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50</xdr:col>
      <xdr:colOff>390731</xdr:colOff>
      <xdr:row>46</xdr:row>
      <xdr:rowOff>141552</xdr:rowOff>
    </xdr:from>
    <xdr:to>
      <xdr:col>52</xdr:col>
      <xdr:colOff>598756</xdr:colOff>
      <xdr:row>48</xdr:row>
      <xdr:rowOff>173034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14:cNvPr>
            <xdr14:cNvContentPartPr/>
          </xdr14:nvContentPartPr>
          <xdr14:nvPr macro=""/>
          <xdr14:xfrm>
            <a:off x="41411731" y="10174552"/>
            <a:ext cx="1735200" cy="429263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4BFBF693-A558-8F61-FD2F-E612A77A3DEA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29193020" y="3090269"/>
              <a:ext cx="1770840" cy="44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72611</xdr:colOff>
      <xdr:row>41</xdr:row>
      <xdr:rowOff>132566</xdr:rowOff>
    </xdr:from>
    <xdr:to>
      <xdr:col>55</xdr:col>
      <xdr:colOff>647291</xdr:colOff>
      <xdr:row>46</xdr:row>
      <xdr:rowOff>47358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14:cNvPr>
            <xdr14:cNvContentPartPr/>
          </xdr14:nvContentPartPr>
          <xdr14:nvPr macro=""/>
          <xdr14:xfrm>
            <a:off x="44141611" y="9213066"/>
            <a:ext cx="1336680" cy="931246"/>
          </xdr14:xfrm>
        </xdr:contentPart>
      </mc:Choice>
      <mc:Fallback xmlns="">
        <xdr:pic>
          <xdr:nvPicPr>
            <xdr:cNvPr id="305" name="Freihand 304">
              <a:extLst>
                <a:ext uri="{FF2B5EF4-FFF2-40B4-BE49-F238E27FC236}">
                  <a16:creationId xmlns:a16="http://schemas.microsoft.com/office/drawing/2014/main" id="{A9E78D70-709C-3D8D-07F1-2090E865F920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31922540" y="2165069"/>
              <a:ext cx="1372320" cy="93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133931</xdr:colOff>
      <xdr:row>43</xdr:row>
      <xdr:rowOff>132949</xdr:rowOff>
    </xdr:from>
    <xdr:to>
      <xdr:col>52</xdr:col>
      <xdr:colOff>370026</xdr:colOff>
      <xdr:row>45</xdr:row>
      <xdr:rowOff>114252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14:cNvPr>
            <xdr14:cNvContentPartPr/>
          </xdr14:nvContentPartPr>
          <xdr14:nvPr macro=""/>
          <xdr14:xfrm>
            <a:off x="42678931" y="9594449"/>
            <a:ext cx="232920" cy="362303"/>
          </xdr14:xfrm>
        </xdr:contentPart>
      </mc:Choice>
      <mc:Fallback xmlns="">
        <xdr:pic>
          <xdr:nvPicPr>
            <xdr:cNvPr id="308" name="Freihand 307">
              <a:extLst>
                <a:ext uri="{FF2B5EF4-FFF2-40B4-BE49-F238E27FC236}">
                  <a16:creationId xmlns:a16="http://schemas.microsoft.com/office/drawing/2014/main" id="{AFDAEFE1-3FF8-5311-2CE5-BB8DAF9ED497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30460220" y="2528309"/>
              <a:ext cx="268560" cy="379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51</xdr:col>
      <xdr:colOff>123011</xdr:colOff>
      <xdr:row>59</xdr:row>
      <xdr:rowOff>47246</xdr:rowOff>
    </xdr:from>
    <xdr:to>
      <xdr:col>51</xdr:col>
      <xdr:colOff>390426</xdr:colOff>
      <xdr:row>60</xdr:row>
      <xdr:rowOff>132655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14:cNvPr>
            <xdr14:cNvContentPartPr/>
          </xdr14:nvContentPartPr>
          <xdr14:nvPr macro=""/>
          <xdr14:xfrm>
            <a:off x="41906011" y="12556746"/>
            <a:ext cx="264240" cy="339409"/>
          </xdr14:xfrm>
        </xdr:contentPart>
      </mc:Choice>
      <mc:Fallback xmlns="">
        <xdr:pic>
          <xdr:nvPicPr>
            <xdr:cNvPr id="309" name="Freihand 308">
              <a:extLst>
                <a:ext uri="{FF2B5EF4-FFF2-40B4-BE49-F238E27FC236}">
                  <a16:creationId xmlns:a16="http://schemas.microsoft.com/office/drawing/2014/main" id="{B2EC23E1-F32A-B6C0-74C3-34518D4A4926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29686940" y="5508749"/>
              <a:ext cx="29988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49091</xdr:colOff>
      <xdr:row>45</xdr:row>
      <xdr:rowOff>72492</xdr:rowOff>
    </xdr:from>
    <xdr:to>
      <xdr:col>56</xdr:col>
      <xdr:colOff>349626</xdr:colOff>
      <xdr:row>47</xdr:row>
      <xdr:rowOff>26365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14:cNvPr>
            <xdr14:cNvContentPartPr/>
          </xdr14:nvContentPartPr>
          <xdr14:nvPr macro=""/>
          <xdr14:xfrm>
            <a:off x="45642091" y="9914992"/>
            <a:ext cx="297360" cy="348480"/>
          </xdr14:xfrm>
        </xdr:contentPart>
      </mc:Choice>
      <mc:Fallback xmlns="">
        <xdr:pic>
          <xdr:nvPicPr>
            <xdr:cNvPr id="310" name="Freihand 309">
              <a:extLst>
                <a:ext uri="{FF2B5EF4-FFF2-40B4-BE49-F238E27FC236}">
                  <a16:creationId xmlns:a16="http://schemas.microsoft.com/office/drawing/2014/main" id="{D9804259-856C-D48D-0F1A-31090D77DC29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>
              <a:off x="33423380" y="2830349"/>
              <a:ext cx="333000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12371</xdr:colOff>
      <xdr:row>43</xdr:row>
      <xdr:rowOff>136909</xdr:rowOff>
    </xdr:from>
    <xdr:to>
      <xdr:col>57</xdr:col>
      <xdr:colOff>8106</xdr:colOff>
      <xdr:row>43</xdr:row>
      <xdr:rowOff>174349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14:cNvPr>
            <xdr14:cNvContentPartPr/>
          </xdr14:nvContentPartPr>
          <xdr14:nvPr macro=""/>
          <xdr14:xfrm>
            <a:off x="45605371" y="9598409"/>
            <a:ext cx="754560" cy="3744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9F8FDE03-3C29-A278-142A-237C32B6B471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33386300" y="2531909"/>
              <a:ext cx="790200" cy="7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56</xdr:col>
      <xdr:colOff>195251</xdr:colOff>
      <xdr:row>40</xdr:row>
      <xdr:rowOff>211895</xdr:rowOff>
    </xdr:from>
    <xdr:to>
      <xdr:col>56</xdr:col>
      <xdr:colOff>428236</xdr:colOff>
      <xdr:row>42</xdr:row>
      <xdr:rowOff>17375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14:cNvPr>
            <xdr14:cNvContentPartPr/>
          </xdr14:nvContentPartPr>
          <xdr14:nvPr macro=""/>
          <xdr14:xfrm>
            <a:off x="45788251" y="9038395"/>
            <a:ext cx="236160" cy="307583"/>
          </xdr14:xfrm>
        </xdr:contentPart>
      </mc:Choice>
      <mc:Fallback xmlns="">
        <xdr:pic>
          <xdr:nvPicPr>
            <xdr:cNvPr id="315" name="Freihand 314">
              <a:extLst>
                <a:ext uri="{FF2B5EF4-FFF2-40B4-BE49-F238E27FC236}">
                  <a16:creationId xmlns:a16="http://schemas.microsoft.com/office/drawing/2014/main" id="{BA4F7AF0-F90E-F283-67C5-2D2E4DC7B4DC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33569540" y="1999469"/>
              <a:ext cx="271800" cy="325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53</xdr:col>
      <xdr:colOff>405491</xdr:colOff>
      <xdr:row>50</xdr:row>
      <xdr:rowOff>140015</xdr:rowOff>
    </xdr:from>
    <xdr:to>
      <xdr:col>54</xdr:col>
      <xdr:colOff>335706</xdr:colOff>
      <xdr:row>52</xdr:row>
      <xdr:rowOff>132983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14:cNvPr>
            <xdr14:cNvContentPartPr/>
          </xdr14:nvContentPartPr>
          <xdr14:nvPr macro=""/>
          <xdr14:xfrm>
            <a:off x="43712491" y="10935015"/>
            <a:ext cx="689040" cy="373968"/>
          </xdr14:xfrm>
        </xdr:contentPart>
      </mc:Choice>
      <mc:Fallback xmlns="">
        <xdr:pic>
          <xdr:nvPicPr>
            <xdr:cNvPr id="319" name="Freihand 318">
              <a:extLst>
                <a:ext uri="{FF2B5EF4-FFF2-40B4-BE49-F238E27FC236}">
                  <a16:creationId xmlns:a16="http://schemas.microsoft.com/office/drawing/2014/main" id="{53B8DA24-6FB5-34F3-A93D-895DCA69DB4A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1493780" y="3832589"/>
              <a:ext cx="72468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54</xdr:col>
      <xdr:colOff>435131</xdr:colOff>
      <xdr:row>49</xdr:row>
      <xdr:rowOff>122506</xdr:rowOff>
    </xdr:from>
    <xdr:to>
      <xdr:col>57</xdr:col>
      <xdr:colOff>277746</xdr:colOff>
      <xdr:row>54</xdr:row>
      <xdr:rowOff>47536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14:cNvPr>
            <xdr14:cNvContentPartPr/>
          </xdr14:nvContentPartPr>
          <xdr14:nvPr macro=""/>
          <xdr14:xfrm>
            <a:off x="44504131" y="10727006"/>
            <a:ext cx="2125440" cy="880706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038E922C-12C5-B0A1-D2DD-B9BC3DFC6E4F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32285417" y="3615149"/>
              <a:ext cx="2161086" cy="943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321328</xdr:colOff>
      <xdr:row>84</xdr:row>
      <xdr:rowOff>169112</xdr:rowOff>
    </xdr:from>
    <xdr:to>
      <xdr:col>66</xdr:col>
      <xdr:colOff>761608</xdr:colOff>
      <xdr:row>87</xdr:row>
      <xdr:rowOff>2878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14:cNvPr>
            <xdr14:cNvContentPartPr/>
          </xdr14:nvContentPartPr>
          <xdr14:nvPr macro=""/>
          <xdr14:xfrm>
            <a:off x="53534328" y="17758612"/>
            <a:ext cx="440280" cy="401183"/>
          </xdr14:xfrm>
        </xdr:contentPart>
      </mc:Choice>
      <mc:Fallback xmlns="">
        <xdr:pic>
          <xdr:nvPicPr>
            <xdr:cNvPr id="338" name="Freihand 337">
              <a:extLst>
                <a:ext uri="{FF2B5EF4-FFF2-40B4-BE49-F238E27FC236}">
                  <a16:creationId xmlns:a16="http://schemas.microsoft.com/office/drawing/2014/main" id="{90CEE0D9-7541-05A7-CF51-77098008A78E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1315617" y="10592326"/>
              <a:ext cx="47592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263128</xdr:colOff>
      <xdr:row>82</xdr:row>
      <xdr:rowOff>171609</xdr:rowOff>
    </xdr:from>
    <xdr:to>
      <xdr:col>69</xdr:col>
      <xdr:colOff>294623</xdr:colOff>
      <xdr:row>88</xdr:row>
      <xdr:rowOff>26821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14:cNvPr>
            <xdr14:cNvContentPartPr/>
          </xdr14:nvContentPartPr>
          <xdr14:nvPr macro=""/>
          <xdr14:xfrm>
            <a:off x="54238128" y="17380109"/>
            <a:ext cx="1552320" cy="995037"/>
          </xdr14:xfrm>
        </xdr:contentPart>
      </mc:Choice>
      <mc:Fallback xmlns="">
        <xdr:pic>
          <xdr:nvPicPr>
            <xdr:cNvPr id="346" name="Freihand 345">
              <a:extLst>
                <a:ext uri="{FF2B5EF4-FFF2-40B4-BE49-F238E27FC236}">
                  <a16:creationId xmlns:a16="http://schemas.microsoft.com/office/drawing/2014/main" id="{B4637990-99C8-E498-978D-C261F7154A88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2019057" y="10231966"/>
              <a:ext cx="1587960" cy="985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523528</xdr:colOff>
      <xdr:row>86</xdr:row>
      <xdr:rowOff>163735</xdr:rowOff>
    </xdr:from>
    <xdr:to>
      <xdr:col>65</xdr:col>
      <xdr:colOff>629728</xdr:colOff>
      <xdr:row>87</xdr:row>
      <xdr:rowOff>9890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14:cNvPr>
            <xdr14:cNvContentPartPr/>
          </xdr14:nvContentPartPr>
          <xdr14:nvPr macro=""/>
          <xdr14:xfrm>
            <a:off x="52974528" y="18134235"/>
            <a:ext cx="106200" cy="33480"/>
          </xdr14:xfrm>
        </xdr:contentPart>
      </mc:Choice>
      <mc:Fallback xmlns="">
        <xdr:pic>
          <xdr:nvPicPr>
            <xdr:cNvPr id="347" name="Freihand 346">
              <a:extLst>
                <a:ext uri="{FF2B5EF4-FFF2-40B4-BE49-F238E27FC236}">
                  <a16:creationId xmlns:a16="http://schemas.microsoft.com/office/drawing/2014/main" id="{4F8E3F6A-EF9E-CB8E-A3E4-E2D44C209BB2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40755457" y="10949806"/>
              <a:ext cx="141840" cy="6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388320</xdr:colOff>
      <xdr:row>85</xdr:row>
      <xdr:rowOff>107492</xdr:rowOff>
    </xdr:from>
    <xdr:to>
      <xdr:col>69</xdr:col>
      <xdr:colOff>730385</xdr:colOff>
      <xdr:row>86</xdr:row>
      <xdr:rowOff>140760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14:cNvPr>
            <xdr14:cNvContentPartPr/>
          </xdr14:nvContentPartPr>
          <xdr14:nvPr macro=""/>
          <xdr14:xfrm>
            <a:off x="55887320" y="17887492"/>
            <a:ext cx="345240" cy="226943"/>
          </xdr14:xfrm>
        </xdr:contentPart>
      </mc:Choice>
      <mc:Fallback xmlns="">
        <xdr:pic>
          <xdr:nvPicPr>
            <xdr:cNvPr id="350" name="Freihand 349">
              <a:extLst>
                <a:ext uri="{FF2B5EF4-FFF2-40B4-BE49-F238E27FC236}">
                  <a16:creationId xmlns:a16="http://schemas.microsoft.com/office/drawing/2014/main" id="{A4E753FB-642C-E3DC-C9B7-3B06D3436BC1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43668249" y="10721206"/>
              <a:ext cx="380880" cy="24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127440</xdr:colOff>
      <xdr:row>83</xdr:row>
      <xdr:rowOff>107537</xdr:rowOff>
    </xdr:from>
    <xdr:to>
      <xdr:col>73</xdr:col>
      <xdr:colOff>334145</xdr:colOff>
      <xdr:row>87</xdr:row>
      <xdr:rowOff>48478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14:cNvPr>
            <xdr14:cNvContentPartPr/>
          </xdr14:nvContentPartPr>
          <xdr14:nvPr macro=""/>
          <xdr14:xfrm>
            <a:off x="56388440" y="17506537"/>
            <a:ext cx="2495880" cy="699766"/>
          </xdr14:xfrm>
        </xdr:contentPart>
      </mc:Choice>
      <mc:Fallback xmlns="">
        <xdr:pic>
          <xdr:nvPicPr>
            <xdr:cNvPr id="367" name="Freihand 366">
              <a:extLst>
                <a:ext uri="{FF2B5EF4-FFF2-40B4-BE49-F238E27FC236}">
                  <a16:creationId xmlns:a16="http://schemas.microsoft.com/office/drawing/2014/main" id="{E53DD29E-3EA8-B935-2576-B0F9979E8D35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44169372" y="10358394"/>
              <a:ext cx="2531515" cy="699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334288</xdr:colOff>
      <xdr:row>83</xdr:row>
      <xdr:rowOff>187134</xdr:rowOff>
    </xdr:from>
    <xdr:to>
      <xdr:col>74</xdr:col>
      <xdr:colOff>235473</xdr:colOff>
      <xdr:row>86</xdr:row>
      <xdr:rowOff>1459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14:cNvPr>
            <xdr14:cNvContentPartPr/>
          </xdr14:nvContentPartPr>
          <xdr14:nvPr macro=""/>
          <xdr14:xfrm>
            <a:off x="58881288" y="17586134"/>
            <a:ext cx="666360" cy="381743"/>
          </xdr14:xfrm>
        </xdr:contentPart>
      </mc:Choice>
      <mc:Fallback xmlns="">
        <xdr:pic>
          <xdr:nvPicPr>
            <xdr:cNvPr id="373" name="Freihand 372">
              <a:extLst>
                <a:ext uri="{FF2B5EF4-FFF2-40B4-BE49-F238E27FC236}">
                  <a16:creationId xmlns:a16="http://schemas.microsoft.com/office/drawing/2014/main" id="{443D893D-24FB-9841-D3E9-829962B54064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46662227" y="10429280"/>
              <a:ext cx="701981" cy="39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247720</xdr:colOff>
      <xdr:row>83</xdr:row>
      <xdr:rowOff>82886</xdr:rowOff>
    </xdr:from>
    <xdr:to>
      <xdr:col>75</xdr:col>
      <xdr:colOff>619593</xdr:colOff>
      <xdr:row>87</xdr:row>
      <xdr:rowOff>6907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14:cNvPr>
            <xdr14:cNvContentPartPr/>
          </xdr14:nvContentPartPr>
          <xdr14:nvPr macro=""/>
          <xdr14:xfrm>
            <a:off x="59556720" y="17481886"/>
            <a:ext cx="1137048" cy="682846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3542600C-A185-A31E-8F6C-014FC80FE21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47337652" y="10334103"/>
              <a:ext cx="1172682" cy="682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699808</xdr:colOff>
      <xdr:row>84</xdr:row>
      <xdr:rowOff>32857</xdr:rowOff>
    </xdr:from>
    <xdr:to>
      <xdr:col>76</xdr:col>
      <xdr:colOff>449433</xdr:colOff>
      <xdr:row>86</xdr:row>
      <xdr:rowOff>50586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14:cNvPr>
            <xdr14:cNvContentPartPr/>
          </xdr14:nvContentPartPr>
          <xdr14:nvPr macro=""/>
          <xdr14:xfrm>
            <a:off x="60770808" y="17622357"/>
            <a:ext cx="514800" cy="401903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5B1F61CF-87F7-E056-9F85-2C351B4F4775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48551737" y="10465143"/>
              <a:ext cx="550440" cy="41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76</xdr:col>
      <xdr:colOff>683360</xdr:colOff>
      <xdr:row>83</xdr:row>
      <xdr:rowOff>133357</xdr:rowOff>
    </xdr:from>
    <xdr:to>
      <xdr:col>77</xdr:col>
      <xdr:colOff>335785</xdr:colOff>
      <xdr:row>86</xdr:row>
      <xdr:rowOff>6535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14:cNvPr>
            <xdr14:cNvContentPartPr/>
          </xdr14:nvContentPartPr>
          <xdr14:nvPr macro=""/>
          <xdr14:xfrm>
            <a:off x="61516360" y="17532357"/>
            <a:ext cx="417600" cy="441503"/>
          </xdr14:xfrm>
        </xdr:contentPart>
      </mc:Choice>
      <mc:Fallback xmlns="">
        <xdr:pic>
          <xdr:nvPicPr>
            <xdr:cNvPr id="391" name="Freihand 390">
              <a:extLst>
                <a:ext uri="{FF2B5EF4-FFF2-40B4-BE49-F238E27FC236}">
                  <a16:creationId xmlns:a16="http://schemas.microsoft.com/office/drawing/2014/main" id="{A71B5EBE-787C-B5AF-F611-1BAD04D57DCF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49297649" y="10375143"/>
              <a:ext cx="453240" cy="459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414320</xdr:colOff>
      <xdr:row>87</xdr:row>
      <xdr:rowOff>22812</xdr:rowOff>
    </xdr:from>
    <xdr:to>
      <xdr:col>77</xdr:col>
      <xdr:colOff>353065</xdr:colOff>
      <xdr:row>88</xdr:row>
      <xdr:rowOff>45208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14:cNvPr>
            <xdr14:cNvContentPartPr/>
          </xdr14:nvContentPartPr>
          <xdr14:nvPr macro=""/>
          <xdr14:xfrm>
            <a:off x="60485320" y="18183812"/>
            <a:ext cx="1465920" cy="216071"/>
          </xdr14:xfrm>
        </xdr:contentPart>
      </mc:Choice>
      <mc:Fallback xmlns="">
        <xdr:pic>
          <xdr:nvPicPr>
            <xdr:cNvPr id="394" name="Freihand 393">
              <a:extLst>
                <a:ext uri="{FF2B5EF4-FFF2-40B4-BE49-F238E27FC236}">
                  <a16:creationId xmlns:a16="http://schemas.microsoft.com/office/drawing/2014/main" id="{AA910E4F-AE05-4BE4-44A9-69E8297E3656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48266609" y="10999383"/>
              <a:ext cx="1501560" cy="24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52</xdr:col>
      <xdr:colOff>164260</xdr:colOff>
      <xdr:row>47</xdr:row>
      <xdr:rowOff>105168</xdr:rowOff>
    </xdr:from>
    <xdr:to>
      <xdr:col>52</xdr:col>
      <xdr:colOff>530740</xdr:colOff>
      <xdr:row>59</xdr:row>
      <xdr:rowOff>104746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14:cNvPr>
            <xdr14:cNvContentPartPr/>
          </xdr14:nvContentPartPr>
          <xdr14:nvPr macro=""/>
          <xdr14:xfrm>
            <a:off x="42709260" y="10328668"/>
            <a:ext cx="366480" cy="2282403"/>
          </xdr14:xfrm>
        </xdr:contentPart>
      </mc:Choice>
      <mc:Fallback xmlns="">
        <xdr:pic>
          <xdr:nvPicPr>
            <xdr:cNvPr id="397" name="Freihand 396">
              <a:extLst>
                <a:ext uri="{FF2B5EF4-FFF2-40B4-BE49-F238E27FC236}">
                  <a16:creationId xmlns:a16="http://schemas.microsoft.com/office/drawing/2014/main" id="{A2FD35C3-4860-8215-4B02-9C9448422EB7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30490207" y="3235314"/>
              <a:ext cx="402085" cy="2363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61</xdr:col>
      <xdr:colOff>715060</xdr:colOff>
      <xdr:row>91</xdr:row>
      <xdr:rowOff>84089</xdr:rowOff>
    </xdr:from>
    <xdr:to>
      <xdr:col>62</xdr:col>
      <xdr:colOff>257555</xdr:colOff>
      <xdr:row>92</xdr:row>
      <xdr:rowOff>103836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14:cNvPr>
            <xdr14:cNvContentPartPr/>
          </xdr14:nvContentPartPr>
          <xdr14:nvPr macro=""/>
          <xdr14:xfrm>
            <a:off x="50118060" y="19007089"/>
            <a:ext cx="301320" cy="207071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D8821B14-1660-FFA9-DC63-16CBF12E4C1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37899349" y="11795446"/>
              <a:ext cx="33696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621700</xdr:colOff>
      <xdr:row>89</xdr:row>
      <xdr:rowOff>185369</xdr:rowOff>
    </xdr:from>
    <xdr:to>
      <xdr:col>61</xdr:col>
      <xdr:colOff>380260</xdr:colOff>
      <xdr:row>93</xdr:row>
      <xdr:rowOff>152583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14:cNvPr>
            <xdr14:cNvContentPartPr/>
          </xdr14:nvContentPartPr>
          <xdr14:nvPr macro=""/>
          <xdr14:xfrm>
            <a:off x="46976700" y="18727369"/>
            <a:ext cx="2806560" cy="729214"/>
          </xdr14:xfrm>
        </xdr:contentPart>
      </mc:Choice>
      <mc:Fallback xmlns="">
        <xdr:pic>
          <xdr:nvPicPr>
            <xdr:cNvPr id="422" name="Freihand 421">
              <a:extLst>
                <a:ext uri="{FF2B5EF4-FFF2-40B4-BE49-F238E27FC236}">
                  <a16:creationId xmlns:a16="http://schemas.microsoft.com/office/drawing/2014/main" id="{C3C892F5-7698-4C94-A3D9-187B13B5C9D2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34757629" y="11515726"/>
              <a:ext cx="2842200" cy="737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427900</xdr:colOff>
      <xdr:row>90</xdr:row>
      <xdr:rowOff>53189</xdr:rowOff>
    </xdr:from>
    <xdr:to>
      <xdr:col>63</xdr:col>
      <xdr:colOff>600755</xdr:colOff>
      <xdr:row>93</xdr:row>
      <xdr:rowOff>63887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14:cNvPr>
            <xdr14:cNvContentPartPr/>
          </xdr14:nvContentPartPr>
          <xdr14:nvPr macro=""/>
          <xdr14:xfrm>
            <a:off x="50592900" y="18785689"/>
            <a:ext cx="931680" cy="579023"/>
          </xdr14:xfrm>
        </xdr:contentPart>
      </mc:Choice>
      <mc:Fallback xmlns="">
        <xdr:pic>
          <xdr:nvPicPr>
            <xdr:cNvPr id="428" name="Freihand 427">
              <a:extLst>
                <a:ext uri="{FF2B5EF4-FFF2-40B4-BE49-F238E27FC236}">
                  <a16:creationId xmlns:a16="http://schemas.microsoft.com/office/drawing/2014/main" id="{2341E965-F3FA-64AB-E459-A9B5F9A9ED2F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38373829" y="11574395"/>
              <a:ext cx="967320" cy="59654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63</xdr:col>
      <xdr:colOff>749860</xdr:colOff>
      <xdr:row>90</xdr:row>
      <xdr:rowOff>33389</xdr:rowOff>
    </xdr:from>
    <xdr:to>
      <xdr:col>65</xdr:col>
      <xdr:colOff>230620</xdr:colOff>
      <xdr:row>93</xdr:row>
      <xdr:rowOff>48407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14:cNvPr>
            <xdr14:cNvContentPartPr/>
          </xdr14:nvContentPartPr>
          <xdr14:nvPr macro=""/>
          <xdr14:xfrm>
            <a:off x="51676860" y="18765889"/>
            <a:ext cx="1004760" cy="583343"/>
          </xdr14:xfrm>
        </xdr:contentPart>
      </mc:Choice>
      <mc:Fallback xmlns="">
        <xdr:pic>
          <xdr:nvPicPr>
            <xdr:cNvPr id="436" name="Freihand 435">
              <a:extLst>
                <a:ext uri="{FF2B5EF4-FFF2-40B4-BE49-F238E27FC236}">
                  <a16:creationId xmlns:a16="http://schemas.microsoft.com/office/drawing/2014/main" id="{1A3E1103-C42A-B069-114A-18DDDF886B3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39457795" y="11554606"/>
              <a:ext cx="1040387" cy="60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490900</xdr:colOff>
      <xdr:row>91</xdr:row>
      <xdr:rowOff>53489</xdr:rowOff>
    </xdr:from>
    <xdr:to>
      <xdr:col>65</xdr:col>
      <xdr:colOff>697605</xdr:colOff>
      <xdr:row>92</xdr:row>
      <xdr:rowOff>9933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14:cNvPr>
            <xdr14:cNvContentPartPr/>
          </xdr14:nvContentPartPr>
          <xdr14:nvPr macro=""/>
          <xdr14:xfrm>
            <a:off x="52941900" y="18976489"/>
            <a:ext cx="209880" cy="136511"/>
          </xdr14:xfrm>
        </xdr:contentPart>
      </mc:Choice>
      <mc:Fallback xmlns="">
        <xdr:pic>
          <xdr:nvPicPr>
            <xdr:cNvPr id="439" name="Freihand 438">
              <a:extLst>
                <a:ext uri="{FF2B5EF4-FFF2-40B4-BE49-F238E27FC236}">
                  <a16:creationId xmlns:a16="http://schemas.microsoft.com/office/drawing/2014/main" id="{F4B3BF4B-3207-B2A5-7E4B-34BDE6DFF76E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40723159" y="11765206"/>
              <a:ext cx="245581" cy="16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222974</xdr:colOff>
      <xdr:row>88</xdr:row>
      <xdr:rowOff>34806</xdr:rowOff>
    </xdr:from>
    <xdr:to>
      <xdr:col>73</xdr:col>
      <xdr:colOff>607574</xdr:colOff>
      <xdr:row>93</xdr:row>
      <xdr:rowOff>87647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14:cNvPr>
            <xdr14:cNvContentPartPr/>
          </xdr14:nvContentPartPr>
          <xdr14:nvPr macro=""/>
          <xdr14:xfrm>
            <a:off x="53435974" y="18386306"/>
            <a:ext cx="5718600" cy="1002166"/>
          </xdr14:xfrm>
        </xdr:contentPart>
      </mc:Choice>
      <mc:Fallback xmlns="">
        <xdr:pic>
          <xdr:nvPicPr>
            <xdr:cNvPr id="466" name="Freihand 465">
              <a:extLst>
                <a:ext uri="{FF2B5EF4-FFF2-40B4-BE49-F238E27FC236}">
                  <a16:creationId xmlns:a16="http://schemas.microsoft.com/office/drawing/2014/main" id="{4AB01DBD-4E01-64ED-A6D4-1C9BE7C6AADA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41217263" y="11193166"/>
              <a:ext cx="5754240" cy="1001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631168</xdr:colOff>
      <xdr:row>88</xdr:row>
      <xdr:rowOff>38406</xdr:rowOff>
    </xdr:from>
    <xdr:to>
      <xdr:col>79</xdr:col>
      <xdr:colOff>316953</xdr:colOff>
      <xdr:row>93</xdr:row>
      <xdr:rowOff>54952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14:cNvPr>
            <xdr14:cNvContentPartPr/>
          </xdr14:nvContentPartPr>
          <xdr14:nvPr macro=""/>
          <xdr14:xfrm>
            <a:off x="59178168" y="18389906"/>
            <a:ext cx="4260960" cy="969046"/>
          </xdr14:xfrm>
        </xdr:contentPart>
      </mc:Choice>
      <mc:Fallback xmlns="">
        <xdr:pic>
          <xdr:nvPicPr>
            <xdr:cNvPr id="493" name="Freihand 492">
              <a:extLst>
                <a:ext uri="{FF2B5EF4-FFF2-40B4-BE49-F238E27FC236}">
                  <a16:creationId xmlns:a16="http://schemas.microsoft.com/office/drawing/2014/main" id="{EF916773-7DF7-C566-D450-B18D5254AA9C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46959457" y="11196406"/>
              <a:ext cx="4296600" cy="9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69</xdr:col>
      <xdr:colOff>108808</xdr:colOff>
      <xdr:row>96</xdr:row>
      <xdr:rowOff>24283</xdr:rowOff>
    </xdr:from>
    <xdr:to>
      <xdr:col>75</xdr:col>
      <xdr:colOff>388463</xdr:colOff>
      <xdr:row>102</xdr:row>
      <xdr:rowOff>49111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14:cNvPr>
            <xdr14:cNvContentPartPr/>
          </xdr14:nvContentPartPr>
          <xdr14:nvPr macro=""/>
          <xdr14:xfrm>
            <a:off x="55607808" y="19899783"/>
            <a:ext cx="4848480" cy="1171003"/>
          </xdr14:xfrm>
        </xdr:contentPart>
      </mc:Choice>
      <mc:Fallback xmlns="">
        <xdr:pic>
          <xdr:nvPicPr>
            <xdr:cNvPr id="498" name="Freihand 497">
              <a:extLst>
                <a:ext uri="{FF2B5EF4-FFF2-40B4-BE49-F238E27FC236}">
                  <a16:creationId xmlns:a16="http://schemas.microsoft.com/office/drawing/2014/main" id="{36BE2C4B-833C-3675-83F5-1F0FF0726228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43389096" y="12643143"/>
              <a:ext cx="4884123" cy="1125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471928</xdr:colOff>
      <xdr:row>96</xdr:row>
      <xdr:rowOff>183186</xdr:rowOff>
    </xdr:from>
    <xdr:to>
      <xdr:col>75</xdr:col>
      <xdr:colOff>20248</xdr:colOff>
      <xdr:row>103</xdr:row>
      <xdr:rowOff>10918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14:cNvPr>
            <xdr14:cNvContentPartPr/>
          </xdr14:nvContentPartPr>
          <xdr14:nvPr macro=""/>
          <xdr14:xfrm>
            <a:off x="57494928" y="20058686"/>
            <a:ext cx="2596320" cy="1138100"/>
          </xdr14:xfrm>
        </xdr:contentPart>
      </mc:Choice>
      <mc:Fallback xmlns="">
        <xdr:pic>
          <xdr:nvPicPr>
            <xdr:cNvPr id="499" name="Freihand 498">
              <a:extLst>
                <a:ext uri="{FF2B5EF4-FFF2-40B4-BE49-F238E27FC236}">
                  <a16:creationId xmlns:a16="http://schemas.microsoft.com/office/drawing/2014/main" id="{DA7CA505-1603-B2BD-5619-55CBFD8C611C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5276217" y="12783543"/>
              <a:ext cx="2631960" cy="111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754048</xdr:colOff>
      <xdr:row>98</xdr:row>
      <xdr:rowOff>110849</xdr:rowOff>
    </xdr:from>
    <xdr:to>
      <xdr:col>71</xdr:col>
      <xdr:colOff>30503</xdr:colOff>
      <xdr:row>100</xdr:row>
      <xdr:rowOff>27058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14:cNvPr>
            <xdr14:cNvContentPartPr/>
          </xdr14:nvContentPartPr>
          <xdr14:nvPr macro=""/>
          <xdr14:xfrm>
            <a:off x="57015048" y="20367349"/>
            <a:ext cx="35280" cy="300383"/>
          </xdr14:xfrm>
        </xdr:contentPart>
      </mc:Choice>
      <mc:Fallback xmlns="">
        <xdr:pic>
          <xdr:nvPicPr>
            <xdr:cNvPr id="500" name="Freihand 499">
              <a:extLst>
                <a:ext uri="{FF2B5EF4-FFF2-40B4-BE49-F238E27FC236}">
                  <a16:creationId xmlns:a16="http://schemas.microsoft.com/office/drawing/2014/main" id="{2C8C2238-A66F-F05B-5D7B-A279E59B3578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44796337" y="13074423"/>
              <a:ext cx="70920" cy="317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67</xdr:col>
      <xdr:colOff>195688</xdr:colOff>
      <xdr:row>96</xdr:row>
      <xdr:rowOff>79146</xdr:rowOff>
    </xdr:from>
    <xdr:to>
      <xdr:col>71</xdr:col>
      <xdr:colOff>488783</xdr:colOff>
      <xdr:row>102</xdr:row>
      <xdr:rowOff>141501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14:cNvPr>
            <xdr14:cNvContentPartPr/>
          </xdr14:nvContentPartPr>
          <xdr14:nvPr macro=""/>
          <xdr14:xfrm>
            <a:off x="54170688" y="19954646"/>
            <a:ext cx="3337920" cy="1202180"/>
          </xdr14:xfrm>
        </xdr:contentPart>
      </mc:Choice>
      <mc:Fallback xmlns="">
        <xdr:pic>
          <xdr:nvPicPr>
            <xdr:cNvPr id="503" name="Freihand 502">
              <a:extLst>
                <a:ext uri="{FF2B5EF4-FFF2-40B4-BE49-F238E27FC236}">
                  <a16:creationId xmlns:a16="http://schemas.microsoft.com/office/drawing/2014/main" id="{50BEBE41-FD85-264B-48D7-139C4FFDBBCE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41951619" y="12679503"/>
              <a:ext cx="3373556" cy="1174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70</xdr:col>
      <xdr:colOff>761248</xdr:colOff>
      <xdr:row>98</xdr:row>
      <xdr:rowOff>150449</xdr:rowOff>
    </xdr:from>
    <xdr:to>
      <xdr:col>71</xdr:col>
      <xdr:colOff>30863</xdr:colOff>
      <xdr:row>102</xdr:row>
      <xdr:rowOff>54807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14:cNvPr>
            <xdr14:cNvContentPartPr/>
          </xdr14:nvContentPartPr>
          <xdr14:nvPr macro=""/>
          <xdr14:xfrm>
            <a:off x="57022248" y="20406949"/>
            <a:ext cx="28440" cy="666357"/>
          </xdr14:xfrm>
        </xdr:contentPart>
      </mc:Choice>
      <mc:Fallback xmlns="">
        <xdr:pic>
          <xdr:nvPicPr>
            <xdr:cNvPr id="504" name="Freihand 503">
              <a:extLst>
                <a:ext uri="{FF2B5EF4-FFF2-40B4-BE49-F238E27FC236}">
                  <a16:creationId xmlns:a16="http://schemas.microsoft.com/office/drawing/2014/main" id="{DD758CE1-D718-1844-A839-F7F0E5D0F670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44803537" y="13113663"/>
              <a:ext cx="64080" cy="65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173248</xdr:colOff>
      <xdr:row>97</xdr:row>
      <xdr:rowOff>36966</xdr:rowOff>
    </xdr:from>
    <xdr:to>
      <xdr:col>72</xdr:col>
      <xdr:colOff>209968</xdr:colOff>
      <xdr:row>99</xdr:row>
      <xdr:rowOff>159237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14:cNvPr>
            <xdr14:cNvContentPartPr/>
          </xdr14:nvContentPartPr>
          <xdr14:nvPr macro=""/>
          <xdr14:xfrm>
            <a:off x="57958248" y="20102966"/>
            <a:ext cx="36720" cy="506446"/>
          </xdr14:xfrm>
        </xdr:contentPart>
      </mc:Choice>
      <mc:Fallback xmlns="">
        <xdr:pic>
          <xdr:nvPicPr>
            <xdr:cNvPr id="505" name="Freihand 504">
              <a:extLst>
                <a:ext uri="{FF2B5EF4-FFF2-40B4-BE49-F238E27FC236}">
                  <a16:creationId xmlns:a16="http://schemas.microsoft.com/office/drawing/2014/main" id="{8A042CA3-655E-BF84-F207-1995101E6A3D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45739177" y="12828183"/>
              <a:ext cx="72360" cy="505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74</xdr:col>
      <xdr:colOff>703408</xdr:colOff>
      <xdr:row>76</xdr:row>
      <xdr:rowOff>100877</xdr:rowOff>
    </xdr:from>
    <xdr:to>
      <xdr:col>80</xdr:col>
      <xdr:colOff>636023</xdr:colOff>
      <xdr:row>81</xdr:row>
      <xdr:rowOff>131894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14:cNvPr>
            <xdr14:cNvContentPartPr/>
          </xdr14:nvContentPartPr>
          <xdr14:nvPr macro=""/>
          <xdr14:xfrm>
            <a:off x="60012408" y="16166377"/>
            <a:ext cx="4501440" cy="983517"/>
          </xdr14:xfrm>
        </xdr:contentPart>
      </mc:Choice>
      <mc:Fallback xmlns="">
        <xdr:pic>
          <xdr:nvPicPr>
            <xdr:cNvPr id="508" name="Freihand 507">
              <a:extLst>
                <a:ext uri="{FF2B5EF4-FFF2-40B4-BE49-F238E27FC236}">
                  <a16:creationId xmlns:a16="http://schemas.microsoft.com/office/drawing/2014/main" id="{5DCC06FF-F04C-D982-557B-55F157C1E896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47793337" y="9073023"/>
              <a:ext cx="4537080" cy="97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80</xdr:col>
      <xdr:colOff>636088</xdr:colOff>
      <xdr:row>78</xdr:row>
      <xdr:rowOff>157420</xdr:rowOff>
    </xdr:from>
    <xdr:to>
      <xdr:col>81</xdr:col>
      <xdr:colOff>87273</xdr:colOff>
      <xdr:row>80</xdr:row>
      <xdr:rowOff>7187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14:cNvPr>
            <xdr14:cNvContentPartPr/>
          </xdr14:nvContentPartPr>
          <xdr14:nvPr macro=""/>
          <xdr14:xfrm>
            <a:off x="64517088" y="16603920"/>
            <a:ext cx="216360" cy="227592"/>
          </xdr14:xfrm>
        </xdr:contentPart>
      </mc:Choice>
      <mc:Fallback xmlns="">
        <xdr:pic>
          <xdr:nvPicPr>
            <xdr:cNvPr id="509" name="Freihand 508">
              <a:extLst>
                <a:ext uri="{FF2B5EF4-FFF2-40B4-BE49-F238E27FC236}">
                  <a16:creationId xmlns:a16="http://schemas.microsoft.com/office/drawing/2014/main" id="{92CF0D3F-16ED-A87F-1897-4094C133F9AE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52298377" y="9492063"/>
              <a:ext cx="252000" cy="254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77</xdr:col>
      <xdr:colOff>197968</xdr:colOff>
      <xdr:row>76</xdr:row>
      <xdr:rowOff>176117</xdr:rowOff>
    </xdr:from>
    <xdr:to>
      <xdr:col>79</xdr:col>
      <xdr:colOff>648928</xdr:colOff>
      <xdr:row>82</xdr:row>
      <xdr:rowOff>67819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14:cNvPr>
            <xdr14:cNvContentPartPr/>
          </xdr14:nvContentPartPr>
          <xdr14:nvPr macro=""/>
          <xdr14:xfrm>
            <a:off x="61792968" y="16241617"/>
            <a:ext cx="1974960" cy="1037877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17DC1982-CCA8-B284-BB57-FB1E7EBA1877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49574257" y="9147903"/>
              <a:ext cx="2010600" cy="102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75</xdr:col>
      <xdr:colOff>18448</xdr:colOff>
      <xdr:row>76</xdr:row>
      <xdr:rowOff>148757</xdr:rowOff>
    </xdr:from>
    <xdr:to>
      <xdr:col>77</xdr:col>
      <xdr:colOff>549328</xdr:colOff>
      <xdr:row>81</xdr:row>
      <xdr:rowOff>125839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14:cNvPr>
            <xdr14:cNvContentPartPr/>
          </xdr14:nvContentPartPr>
          <xdr14:nvPr macro=""/>
          <xdr14:xfrm>
            <a:off x="60089448" y="16214257"/>
            <a:ext cx="2054880" cy="932757"/>
          </xdr14:xfrm>
        </xdr:contentPart>
      </mc:Choice>
      <mc:Fallback xmlns="">
        <xdr:pic>
          <xdr:nvPicPr>
            <xdr:cNvPr id="517" name="Freihand 516">
              <a:extLst>
                <a:ext uri="{FF2B5EF4-FFF2-40B4-BE49-F238E27FC236}">
                  <a16:creationId xmlns:a16="http://schemas.microsoft.com/office/drawing/2014/main" id="{9C3E718C-9EFB-594A-9854-2DC7953BD08B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47870737" y="9120550"/>
              <a:ext cx="2090520" cy="923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78</xdr:col>
      <xdr:colOff>341728</xdr:colOff>
      <xdr:row>81</xdr:row>
      <xdr:rowOff>184814</xdr:rowOff>
    </xdr:from>
    <xdr:to>
      <xdr:col>81</xdr:col>
      <xdr:colOff>525033</xdr:colOff>
      <xdr:row>86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14:cNvPr>
            <xdr14:cNvContentPartPr/>
          </xdr14:nvContentPartPr>
          <xdr14:nvPr macro=""/>
          <xdr14:xfrm>
            <a:off x="62698728" y="17202814"/>
            <a:ext cx="2472480" cy="769606"/>
          </xdr14:xfrm>
        </xdr:contentPart>
      </mc:Choice>
      <mc:Fallback xmlns="">
        <xdr:pic>
          <xdr:nvPicPr>
            <xdr:cNvPr id="535" name="Freihand 534">
              <a:extLst>
                <a:ext uri="{FF2B5EF4-FFF2-40B4-BE49-F238E27FC236}">
                  <a16:creationId xmlns:a16="http://schemas.microsoft.com/office/drawing/2014/main" id="{BD57C663-4AC2-6829-B4CE-A853C9266ACB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50480017" y="10063743"/>
              <a:ext cx="2508120" cy="768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81</xdr:col>
      <xdr:colOff>613288</xdr:colOff>
      <xdr:row>81</xdr:row>
      <xdr:rowOff>41103</xdr:rowOff>
    </xdr:from>
    <xdr:to>
      <xdr:col>82</xdr:col>
      <xdr:colOff>7823</xdr:colOff>
      <xdr:row>86</xdr:row>
      <xdr:rowOff>105665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14:cNvPr>
            <xdr14:cNvContentPartPr/>
          </xdr14:nvContentPartPr>
          <xdr14:nvPr macro=""/>
          <xdr14:xfrm>
            <a:off x="65256288" y="17059103"/>
            <a:ext cx="153360" cy="1020237"/>
          </xdr14:xfrm>
        </xdr:contentPart>
      </mc:Choice>
      <mc:Fallback xmlns="">
        <xdr:pic>
          <xdr:nvPicPr>
            <xdr:cNvPr id="536" name="Freihand 535">
              <a:extLst>
                <a:ext uri="{FF2B5EF4-FFF2-40B4-BE49-F238E27FC236}">
                  <a16:creationId xmlns:a16="http://schemas.microsoft.com/office/drawing/2014/main" id="{1F3E5A9E-696D-49EE-8862-DEC57E9AAAD3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53037577" y="9929103"/>
              <a:ext cx="189000" cy="1010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57</xdr:col>
      <xdr:colOff>752834</xdr:colOff>
      <xdr:row>102</xdr:row>
      <xdr:rowOff>48909</xdr:rowOff>
    </xdr:from>
    <xdr:to>
      <xdr:col>61</xdr:col>
      <xdr:colOff>597369</xdr:colOff>
      <xdr:row>106</xdr:row>
      <xdr:rowOff>114835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14:cNvPr>
            <xdr14:cNvContentPartPr/>
          </xdr14:nvContentPartPr>
          <xdr14:nvPr macro=""/>
          <xdr14:xfrm>
            <a:off x="47107834" y="21067409"/>
            <a:ext cx="2889360" cy="827926"/>
          </xdr14:xfrm>
        </xdr:contentPart>
      </mc:Choice>
      <mc:Fallback xmlns="">
        <xdr:pic>
          <xdr:nvPicPr>
            <xdr:cNvPr id="555" name="Freihand 554">
              <a:extLst>
                <a:ext uri="{FF2B5EF4-FFF2-40B4-BE49-F238E27FC236}">
                  <a16:creationId xmlns:a16="http://schemas.microsoft.com/office/drawing/2014/main" id="{A8073191-E78B-9B54-A845-F8A4682776ED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34889121" y="13729126"/>
              <a:ext cx="2925004" cy="827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62</xdr:col>
      <xdr:colOff>146114</xdr:colOff>
      <xdr:row>100</xdr:row>
      <xdr:rowOff>166317</xdr:rowOff>
    </xdr:from>
    <xdr:to>
      <xdr:col>65</xdr:col>
      <xdr:colOff>380474</xdr:colOff>
      <xdr:row>105</xdr:row>
      <xdr:rowOff>122317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14:cNvPr>
            <xdr14:cNvContentPartPr/>
          </xdr14:nvContentPartPr>
          <xdr14:nvPr macro=""/>
          <xdr14:xfrm>
            <a:off x="50311114" y="20803817"/>
            <a:ext cx="2520360" cy="905326"/>
          </xdr14:xfrm>
        </xdr:contentPart>
      </mc:Choice>
      <mc:Fallback xmlns="">
        <xdr:pic>
          <xdr:nvPicPr>
            <xdr:cNvPr id="566" name="Freihand 565">
              <a:extLst>
                <a:ext uri="{FF2B5EF4-FFF2-40B4-BE49-F238E27FC236}">
                  <a16:creationId xmlns:a16="http://schemas.microsoft.com/office/drawing/2014/main" id="{B04A1F4F-19F7-20BA-5223-BC62B31DCF29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38092043" y="13474606"/>
              <a:ext cx="2556000" cy="904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66</xdr:col>
      <xdr:colOff>43445</xdr:colOff>
      <xdr:row>101</xdr:row>
      <xdr:rowOff>176477</xdr:rowOff>
    </xdr:from>
    <xdr:to>
      <xdr:col>67</xdr:col>
      <xdr:colOff>106140</xdr:colOff>
      <xdr:row>104</xdr:row>
      <xdr:rowOff>151240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14:cNvPr>
            <xdr14:cNvContentPartPr/>
          </xdr14:nvContentPartPr>
          <xdr14:nvPr macro=""/>
          <xdr14:xfrm>
            <a:off x="53256445" y="21004477"/>
            <a:ext cx="821520" cy="546263"/>
          </xdr14:xfrm>
        </xdr:contentPart>
      </mc:Choice>
      <mc:Fallback xmlns="">
        <xdr:pic>
          <xdr:nvPicPr>
            <xdr:cNvPr id="570" name="Freihand 569">
              <a:extLst>
                <a:ext uri="{FF2B5EF4-FFF2-40B4-BE49-F238E27FC236}">
                  <a16:creationId xmlns:a16="http://schemas.microsoft.com/office/drawing/2014/main" id="{065E4F09-9046-DC25-B380-56ECD13D0590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41037374" y="13666194"/>
              <a:ext cx="857160" cy="563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65</xdr:col>
      <xdr:colOff>543365</xdr:colOff>
      <xdr:row>99</xdr:row>
      <xdr:rowOff>175663</xdr:rowOff>
    </xdr:from>
    <xdr:to>
      <xdr:col>71</xdr:col>
      <xdr:colOff>333420</xdr:colOff>
      <xdr:row>106</xdr:row>
      <xdr:rowOff>2733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14:cNvPr>
            <xdr14:cNvContentPartPr/>
          </xdr14:nvContentPartPr>
          <xdr14:nvPr macro=""/>
          <xdr14:xfrm>
            <a:off x="52994365" y="20622663"/>
            <a:ext cx="4358880" cy="1143788"/>
          </xdr14:xfrm>
        </xdr:contentPart>
      </mc:Choice>
      <mc:Fallback xmlns="">
        <xdr:pic>
          <xdr:nvPicPr>
            <xdr:cNvPr id="593" name="Freihand 592">
              <a:extLst>
                <a:ext uri="{FF2B5EF4-FFF2-40B4-BE49-F238E27FC236}">
                  <a16:creationId xmlns:a16="http://schemas.microsoft.com/office/drawing/2014/main" id="{9A22937F-1F8C-8253-9416-C8C609135EF1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40775294" y="13311588"/>
              <a:ext cx="4394520" cy="112501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72</xdr:col>
      <xdr:colOff>39845</xdr:colOff>
      <xdr:row>102</xdr:row>
      <xdr:rowOff>175303</xdr:rowOff>
    </xdr:from>
    <xdr:to>
      <xdr:col>73</xdr:col>
      <xdr:colOff>302765</xdr:colOff>
      <xdr:row>105</xdr:row>
      <xdr:rowOff>86481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14:cNvPr>
            <xdr14:cNvContentPartPr/>
          </xdr14:nvContentPartPr>
          <xdr14:nvPr macro=""/>
          <xdr14:xfrm>
            <a:off x="57824845" y="21193803"/>
            <a:ext cx="1024920" cy="485854"/>
          </xdr14:xfrm>
        </xdr:contentPart>
      </mc:Choice>
      <mc:Fallback xmlns="">
        <xdr:pic>
          <xdr:nvPicPr>
            <xdr:cNvPr id="599" name="Freihand 598">
              <a:extLst>
                <a:ext uri="{FF2B5EF4-FFF2-40B4-BE49-F238E27FC236}">
                  <a16:creationId xmlns:a16="http://schemas.microsoft.com/office/drawing/2014/main" id="{8B31D48F-B1E6-32A8-E922-E9CBB8608DE3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45605774" y="13855160"/>
              <a:ext cx="1060560" cy="49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71</xdr:col>
      <xdr:colOff>728405</xdr:colOff>
      <xdr:row>106</xdr:row>
      <xdr:rowOff>109109</xdr:rowOff>
    </xdr:from>
    <xdr:to>
      <xdr:col>74</xdr:col>
      <xdr:colOff>438245</xdr:colOff>
      <xdr:row>108</xdr:row>
      <xdr:rowOff>9405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14:cNvPr>
            <xdr14:cNvContentPartPr/>
          </xdr14:nvContentPartPr>
          <xdr14:nvPr macro=""/>
          <xdr14:xfrm>
            <a:off x="57751405" y="21889609"/>
            <a:ext cx="1995840" cy="284471"/>
          </xdr14:xfrm>
        </xdr:contentPart>
      </mc:Choice>
      <mc:Fallback xmlns="">
        <xdr:pic>
          <xdr:nvPicPr>
            <xdr:cNvPr id="605" name="Freihand 604">
              <a:extLst>
                <a:ext uri="{FF2B5EF4-FFF2-40B4-BE49-F238E27FC236}">
                  <a16:creationId xmlns:a16="http://schemas.microsoft.com/office/drawing/2014/main" id="{FDA32972-DD3E-DCB5-35F5-34476EAB59C9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45532694" y="14515017"/>
              <a:ext cx="2031480" cy="3110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73</xdr:col>
      <xdr:colOff>479525</xdr:colOff>
      <xdr:row>102</xdr:row>
      <xdr:rowOff>122023</xdr:rowOff>
    </xdr:from>
    <xdr:to>
      <xdr:col>74</xdr:col>
      <xdr:colOff>254220</xdr:colOff>
      <xdr:row>105</xdr:row>
      <xdr:rowOff>77056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14:cNvPr>
            <xdr14:cNvContentPartPr/>
          </xdr14:nvContentPartPr>
          <xdr14:nvPr macro=""/>
          <xdr14:xfrm>
            <a:off x="59026525" y="21140523"/>
            <a:ext cx="533520" cy="526534"/>
          </xdr14:xfrm>
        </xdr:contentPart>
      </mc:Choice>
      <mc:Fallback xmlns="">
        <xdr:pic>
          <xdr:nvPicPr>
            <xdr:cNvPr id="606" name="Freihand 605">
              <a:extLst>
                <a:ext uri="{FF2B5EF4-FFF2-40B4-BE49-F238E27FC236}">
                  <a16:creationId xmlns:a16="http://schemas.microsoft.com/office/drawing/2014/main" id="{81333CC1-B02E-8F99-EB00-75D2D379C757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46807454" y="13802227"/>
              <a:ext cx="569160" cy="534986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70188" y="3438525"/>
          <a:ext cx="4222851" cy="1904303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660452</xdr:colOff>
      <xdr:row>20</xdr:row>
      <xdr:rowOff>123265</xdr:rowOff>
    </xdr:from>
    <xdr:to>
      <xdr:col>7</xdr:col>
      <xdr:colOff>328146</xdr:colOff>
      <xdr:row>21</xdr:row>
      <xdr:rowOff>190664</xdr:rowOff>
    </xdr:to>
    <xdr:sp macro="" textlink="">
      <xdr:nvSpPr>
        <xdr:cNvPr id="4" name="Textfeld 3">
          <a:extLst>
            <a:ext uri="{FF2B5EF4-FFF2-40B4-BE49-F238E27FC236}">
              <a16:creationId xmlns:a16="http://schemas.microsoft.com/office/drawing/2014/main" id="{BE985966-4C8C-4E93-A5CF-B3AC0FD7F8C6}"/>
            </a:ext>
          </a:extLst>
        </xdr:cNvPr>
        <xdr:cNvSpPr txBox="1"/>
      </xdr:nvSpPr>
      <xdr:spPr>
        <a:xfrm>
          <a:off x="5803952" y="4560794"/>
          <a:ext cx="429694" cy="302723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00B0F0"/>
              </a:solidFill>
            </a:rPr>
            <a:t>U</a:t>
          </a:r>
          <a:r>
            <a:rPr lang="de-CH" sz="1100" baseline="-25000">
              <a:solidFill>
                <a:srgbClr val="00B0F0"/>
              </a:solidFill>
            </a:rPr>
            <a:t>c</a:t>
          </a:r>
          <a:endParaRPr lang="de-CH" sz="1100">
            <a:solidFill>
              <a:srgbClr val="00B0F0"/>
            </a:solidFill>
          </a:endParaRPr>
        </a:p>
      </xdr:txBody>
    </xdr:sp>
    <xdr:clientData/>
  </xdr:twoCellAnchor>
  <xdr:twoCellAnchor>
    <xdr:from>
      <xdr:col>6</xdr:col>
      <xdr:colOff>672353</xdr:colOff>
      <xdr:row>19</xdr:row>
      <xdr:rowOff>100853</xdr:rowOff>
    </xdr:from>
    <xdr:to>
      <xdr:col>6</xdr:col>
      <xdr:colOff>675528</xdr:colOff>
      <xdr:row>22</xdr:row>
      <xdr:rowOff>126440</xdr:rowOff>
    </xdr:to>
    <xdr:cxnSp macro="">
      <xdr:nvCxnSpPr>
        <xdr:cNvPr id="31" name="Gerader Verbinder 30">
          <a:extLst>
            <a:ext uri="{FF2B5EF4-FFF2-40B4-BE49-F238E27FC236}">
              <a16:creationId xmlns:a16="http://schemas.microsoft.com/office/drawing/2014/main" id="{45EAFB6A-8C4D-4B2B-A2BB-31E7E261A198}"/>
            </a:ext>
          </a:extLst>
        </xdr:cNvPr>
        <xdr:cNvCxnSpPr>
          <a:cxnSpLocks/>
        </xdr:cNvCxnSpPr>
      </xdr:nvCxnSpPr>
      <xdr:spPr>
        <a:xfrm>
          <a:off x="5815853" y="4303059"/>
          <a:ext cx="3175" cy="731557"/>
        </a:xfrm>
        <a:prstGeom prst="line">
          <a:avLst/>
        </a:prstGeom>
        <a:ln w="19050">
          <a:solidFill>
            <a:srgbClr val="00B0F0"/>
          </a:solidFill>
          <a:headEnd type="none"/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9486" y="836386"/>
          <a:ext cx="5570765" cy="1806575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81643</xdr:colOff>
      <xdr:row>65</xdr:row>
      <xdr:rowOff>10431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249703</xdr:colOff>
      <xdr:row>19</xdr:row>
      <xdr:rowOff>89086</xdr:rowOff>
    </xdr:from>
    <xdr:to>
      <xdr:col>28</xdr:col>
      <xdr:colOff>405279</xdr:colOff>
      <xdr:row>41</xdr:row>
      <xdr:rowOff>155762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951793"/>
          <a:ext cx="452591" cy="5145332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1596" y="4538662"/>
          <a:ext cx="455766" cy="539432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527468"/>
          <a:ext cx="455766" cy="540869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508646"/>
          <a:ext cx="455766" cy="10577977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59750" y="4510088"/>
          <a:ext cx="462116" cy="10567986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78812" y="926646"/>
          <a:ext cx="462116" cy="3586615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0275"/>
          <a:ext cx="455766" cy="1416685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68800" y="933450"/>
          <a:ext cx="462116" cy="68675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68811" y="7772399"/>
          <a:ext cx="462116" cy="7324725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1225"/>
          <a:ext cx="500491" cy="5420860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3151699"/>
          <a:ext cx="455766" cy="1876270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07239" y="19005694"/>
          <a:ext cx="494492" cy="4146005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200445" y="18980295"/>
          <a:ext cx="464838" cy="614985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1956" y="16619084"/>
          <a:ext cx="455766" cy="2919864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622713"/>
          <a:ext cx="455766" cy="85160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1513" y="16654463"/>
          <a:ext cx="503156" cy="8489746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66973" y="16606838"/>
          <a:ext cx="562575" cy="434612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28496" y="29570815"/>
          <a:ext cx="474363" cy="250212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4868" y="29618896"/>
          <a:ext cx="455313" cy="23710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6333" y="26683134"/>
          <a:ext cx="474363" cy="5279168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4822" y="26673170"/>
          <a:ext cx="474364" cy="4000047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4082" y="26724879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27465" y="36492890"/>
          <a:ext cx="408607" cy="3478318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2808" y="33895754"/>
          <a:ext cx="399082" cy="6154965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4657" y="33856159"/>
          <a:ext cx="417526" cy="500017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6699" y="33921607"/>
          <a:ext cx="409867" cy="2568964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51255" y="42059926"/>
          <a:ext cx="476894" cy="5260275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2063439"/>
          <a:ext cx="420052" cy="5215487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4647" y="42023846"/>
          <a:ext cx="429883" cy="4333422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8748" y="50474129"/>
          <a:ext cx="483802" cy="553287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5006" y="50441225"/>
          <a:ext cx="480089" cy="4088947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9532" y="58356501"/>
          <a:ext cx="474363" cy="316547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2.911"/>
    </inkml:context>
    <inkml:brush xml:id="br0">
      <inkml:brushProperty name="width" value="0.025" units="cm"/>
      <inkml:brushProperty name="height" value="0.025" units="cm"/>
    </inkml:brush>
  </inkml:definitions>
  <inkml:trace contextRef="#ctx0" brushRef="#br0">103 16 16639,'-29'9'0,"29"-9"1,0 0 0,-1 0-1,1 0 1,0 0-1,0 0 1,0 0-1,-1 0 1,1 0 0,0 1-1,0-1 1,-1 0-1,1 0 1,0 0-1,0 0 1,-1 0-1,1 0 1,0 0 0,0 0-1,-1 0 1,1 0-1,0 0 1,-1 0-1,1 0 1,0 0 0,0 0-1,-1 0 1,1 0-1,0 0 1,0 0-1,-1 0 1,1 0-1,0 0 1,0 0 0,-1 0-1,1-1 1,0 1-1,0 0 1,-2 0-1,2 0 1,0 0 0,0 0-1,0 0 1,-1 0-1,1 0 1,0 0-1,0 0 1,0 0-1,0 0 1,0 0 0,-1 0-1,1 0 1,0 0-1,0-1 1,0 1-1,0 0 1,0 0 0,0 0-1,0 0 1,0 0-1,0 0 1,0 0-1,0 0 1,0 0-1,0-1 1,1 1 0,-1-6 68,0 6-69,1-2-19,-1 1 88,2 0-1,-2 0 1,1 0-1,-1 1 0,0-2 1,-1 1-1,1 1 1,0-2-1,-2 2 0,1-1 1,0 0-1,0 0 0,-2-1 1,3 1 59,-2 2 11,0 0-1,-1-1 1,1 1 0,0-1 0,0 1 0,0 0-1,-5 0 1,-13 3 415,18-3-403,0 1 0,1-1-1,-1 0 1,0 0 0,0 0 0,1 0 0,0 1 0,1-1 0,-1 0 0,1 0 0,0 1 0,0-1 0,1 1-1,-1 1 532,0-3 86,2 0-986,2 0-1,-1 1 0,-1-1 1,1 0-1,1 0 0,-1 0 1,3 0-1,3-3-10320,-4-1 4164,-3-1 2798,-7-2 2906,2 5 671,-1-1 0,-2 1 0,-6-3 0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28.8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266 0 18815,'3'4'20,"12"16"92,-15-20-103,0 1 1,0 0 0,0 0 0,0 0 0,0 0-1,0-1 1,0 1 0,0 0 0,0 0 0,0 0-1,0 0 1,0 0 0,-1-1 0,1 1-1,0 0 1,-1 0 0,1 0 0,0-1 0,-1 1-1,1 0 1,-1-1 0,1 1 0,-1 0 0,0-1-1,1 1 1,-1 0 0,-1 0 0,-14 13 299,0-1 0,-1-1 1,-29 16-1,39-24-246,-1-1 0,1 2 0,0-1 0,1 1 0,-13 10 0,16-12-11,1-1-1,-1 1 1,1 1-1,-1-1 1,1 0 0,0 1-1,0 0 1,1-1-1,-1 1 1,1 0 0,0 0-1,0 0 1,0 0-1,-1 6 1,2 4 50,1-1-1,0 1 1,1 0 0,1-1-1,7 26 1,-4-20 9,5 37 0,-5-11 129,-3-1 0,-1 2 0,-9 87 0,-14 51-48,1-1 149,11-127-207,2 1-1,3 0 0,4 61 1,2-86-70,2 20 177,-2 2 1,-10 101 0,-22 16-103,11-72 154,-7 111 0,28-151-719,1-46-1791,0-39-1668,0-60-11480,-3 43 11544,-2-1 3680,-4-36 141</inkml:trace>
  <inkml:trace contextRef="#ctx0" brushRef="#br0" timeOffset="612.9">236 80 19711,'-65'65'384,"61"-56"11,9-8-175,12-4 126,-16 2-261,28-9 322,-26 8-356,1 0 1,0 0-1,-1 1 1,1-1-1,0 1 1,0 0 0,0 0-1,0 1 1,0-1-1,1 1 1,-1 0-1,0 0 1,0 0-1,0 0 1,0 1 0,0 0-1,0 0 1,7 2-1,32 17-7,-16-6 34,0-2 0,31 10 0,60 8 211,-84-24-146,-1 2-1,1 2 1,-1 1 0,53 26-1,-69-28-123,-1 1 1,0 1-1,-1 0 0,0 2 0,-1-1 0,0 2 1,-1 0-1,0 0 0,10 18 0,-15-20-4,-1-1 0,0 2 0,-1 0-1,-1 0 1,0 1 0,-1 0 0,0-1-1,-1 1 1,-1 1 0,0-1 0,-1 0-1,-1 25 1,-1-18-6,-1 0 1,-1 0-1,-1 0 0,-1-1 0,-1 1 0,-13 29 0,12-36-2,0-1-1,-1 1 0,0-1 1,-1-1-1,0 1 1,-1-2-1,-1 1 0,0-1 1,-20 16-1,7-11 9,0-1-1,-1-1 0,-1-1 0,0-2 1,-1 0-1,-54 13 0,25-12-47,0-3 0,-87 4-1,128-11 2507</inkml:trace>
  <inkml:trace contextRef="#ctx0" brushRef="#br0" timeOffset="1368.4">1840 1052 19583,'0'0'2560,"7"6"-2453,8 7-103,0-3-1,2 1 1,-1-1-1,1 0 1,23 8-1,25 9 104,1-3 0,2-3-1,0-3 1,124 16 0,68-12-2155,-218-17-5416,-9 0 482,-14-5 5172,-19 0 1800,0 0-1,0 0 1,0 0 0,0 0-1,0 0 1,0 0 0,0 0-1,1 0 1,-1 0 0,0 0-1,0 0 1,0 0 0,0 0-1,0 0 1,0 0-1,0 0 1,0 0 0,0 0-1,0 0 1,0 0 0,1-1-1,-1 1 1,0 0 0,0 0-1,0 0 1,0 0 0,0 0-1,0 0 1,0 0 0,0 0-1,0 0 1,0-1-1,0 1 1,0 0 0,0 0-1,0 0 1,0 0 0,0 0-1,0 0 1,0 0 0,0 0-1,0-1 1,0 1 0,0 0-1,0 0 1,0 0-1,0 0 1,0 0 0,0 0-1,-1 0 1,1 0 0,0 0-1,0-1 1,0 1-113,-2-8-2160</inkml:trace>
  <inkml:trace contextRef="#ctx0" brushRef="#br0" timeOffset="1668.89">1818 668 23679,'0'0'0,"51"20"0,-33-12 0,-3-3 0,-2-2 0,-4-3 128,21-11 0,11-8-128,14-4 0,12-2-256,5 4 128,9 1-5376,15 14 1,10 3 5503,96-7-7552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2.74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39 264 14976,'0'0'1280,"0"4"-1046,-9 102 582,-1 2-224,-1 231 462,3-144-657,14 0 96,-1-102-240,-5-78-173,2-1-1,2 16 0,-3-26-57,0 0-1,0 0 0,0-1 0,0 1 0,1 0 0,0-1 0,-1 1 0,1-1 0,1 0 0,-1 0 0,0 0 1,1 0-1,3 3 0,-5-5-15,0 0 0,0-1 0,0 1 1,0 0-1,0-1 0,1 1 0,-1-1 0,0 1 1,0-1-1,1 0 0,-1 0 0,0 0 1,1 1-1,-1-1 0,0 0 0,1 0 0,-1-1 1,0 1-1,0 0 0,1 0 0,-1-1 1,0 1-1,0-1 0,1 1 0,-1-1 0,0 1 1,0-1-1,0 0 0,0 0 0,0 1 1,0-1-1,0 0 0,0 0 0,2-2 0,1-2 15,0 0 0,0 0-1,0 0 1,-1 0-1,6-12 1,27-73 103,6-13 8,16-18-57,95-146-1,-53 125-74,-45 67 0,-3-1 0,52-105 0,-76 120 16,0-2 40,58-91 0,-66 121-34,-18 50 191,-13 93 83,4-47-124,1 84 0,8-48-59,0 3 87,26 189-1,1-159-110,-10-51 5,10 112 0,-21-131-94,-4-34 0,1 37 0,-5-65-6,0 1 0,0 0 0,0-1 0,0 1 0,0-1-1,0 1 1,0 0 0,0-1 0,0 1 0,0-1 0,0 1-1,0-1 1,0 1 0,0 0 0,1-1 0,-1 1 0,0-1 0,1 1-1,-1-1 1,0 1 0,1-1 0,-1 1 0,0-1 0,1 1-1,0 0 1,0-1-16,-1-1 1,1 1-1,0 0 0,-1 0 0,1 0 0,-1 0 0,1-1 0,0 1 0,-1 0 0,1 0 0,-1-1 1,1 1-1,-1-1 0,1 1 0,-1 0 0,1-1 0,-1 1 0,1-2 0,21-27-1194,-17 20 579,0 0 0,0 0-1,-1-1 1,0 0 0,-1 0-1,0 0 1,3-19 0,1-17-10392</inkml:trace>
  <inkml:trace contextRef="#ctx0" brushRef="#br0" timeOffset="792.02">1951 880 18943,'3'-4'128,"4"-5"-38,0 0-1,16-15 0,-20 21-62,0 1 0,1-1-1,-1 1 1,0 0-1,1 0 1,0 0-1,-1 0 1,1 0 0,0 1-1,0 0 1,0 0-1,0 0 1,6 0-1,17 2 75,1 1 0,0 2 0,-1 0 0,0 2 0,45 16 0,37 8 189,-106-29-287,117 19 408,-107-19-367,-1 0 0,1-1 1,0 0-1,0-1 0,-1 0 1,1-1-1,17-6 0,-24 6-94,0-1 0,0 0 0,-1 0-1,0-1 1,1 1 0,-1-1 0,0 0-1,-1-1 1,1 1 0,6-10 0,-4 6-1316,-1-2 0,9-16 0</inkml:trace>
  <inkml:trace contextRef="#ctx0" brushRef="#br0" timeOffset="1117.99">1933 569 19327,'0'0'0,"60"16"0,-48-9 128,-10 3 0,-2 1 0,-5-2 0,10-4 0,3-2 0,9-3 0,11-3 0,15 1 0,11-1-384,22 3 128,13 0-512,-5 3 128,1-1-13183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19.80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114 266 13440,'0'0'3093,"-1"6"-2645,-1 10-236,0 0 1,1 0-1,2 30 1,-1 25 387,-9 59 46,-5 101 10,13-172-484,5 244 637,3-223-579,4 110 351,0-205-475,-9-1-197,0 1 0,-1-1 0,0 1 1,-1-1-1,-1 0 0,-1 1 0,-3-17 0,-1-19-355,-10-258-7511,16 257-320</inkml:trace>
  <inkml:trace contextRef="#ctx0" brushRef="#br0" timeOffset="546.12">0 307 14848,'8'-17'125,"0"0"0,1 1 1,0 0-1,19-23 1,-12 18 253,16-31 1,-26 42-266,-1 0-1,1 0 0,1 1 1,0 0-1,0 0 0,1 1 1,0 0-1,0 0 1,12-8-1,-14 12-54,2 0 0,-1 0 1,0 1-1,1-1 0,-1 2 0,1-1 0,0 1 1,0 0-1,0 1 0,0 0 0,0 0 0,0 1 1,13 0-1,-4 3 31,1-1 0,-1 2 0,0 1 0,0 0 0,-1 1 0,1 0 1,26 16-1,103 73 542,-135-87-577,4 2 38,0 2 0,-1-1 0,0 2 0,21 24 0,-30-30-59,0 0 0,-1 0 1,1 1-1,-1-1 0,-1 1 0,1 0 0,-1 0 0,-1 1 0,0-1 0,0 0 0,1 18 0,-2-17 28,0 1-1,-1 0 1,-1-1-1,0 1 0,-2 11 1,2-16-34,-1-1 0,1 0 0,-1 0 0,0 0 0,0 0 0,0-1 0,0 1 0,-1 0 0,1-1 0,-1 0 0,0 1 0,0-1 1,-1 0-1,-3 2 0,-41 28 146,-92 46 1,93-56-43,2 3 1,-82 59-1,120-79-119,0 0 0,1 0 0,0 0 0,0 1-1,0-1 1,0 2 0,1-1 0,1 0 0,-5 10-1,8-16-13,1 0 0,0-1 0,0 1 0,0 0 0,0 0 0,0-1 0,0 1 0,0 0 1,0 0-1,1 0 0,-1-1 0,0 1 0,0 0 0,1 0 0,-1-1 0,0 1 0,1 0 0,-1-1 0,1 1 0,-1 0 0,1-1 0,-1 1 0,1-1 0,-1 1 0,1-1 0,-1 1 0,1-1 0,0 1 0,-1-1 0,1 0 0,0 1 0,0-1 0,-1 0 0,1 0 0,0 1 0,0-1 0,-1 0 0,1 0 0,0 0 0,0 0 0,1 0 0,39 0-287,-37 0 191,31 0-2079,39 4 1,-51-2-66,8 0-7892</inkml:trace>
  <inkml:trace contextRef="#ctx0" brushRef="#br0" timeOffset="1636.56">381 789 17535,'11'0'19,"-2"-1"105,0 2 0,0-1 0,16 4 0,-21-3-87,0 0 1,-1 0-1,1 1 1,-1-1 0,0 1-1,0 0 1,1 0-1,-1 0 1,-1 0-1,1 1 1,0-1 0,4 6-1,0 0 56,1-2 1,0 1-1,0-1 1,0 0-1,0-1 0,19 9 1,-15-8 14,-1 0 0,0 1 0,0 0 1,12 12-1,-9-4 15,-2 0 1,0 2-1,0-1 0,-2 2 1,12 23-1,15 25 267,-22-43-283,-1 0 0,-1 1-1,-1 0 1,15 46 0,-9-22 8,-17-46-119,0 1 0,0-1 0,1 0 0,-1 0 1,0 0-1,1 0 0,0 0 0,-1 0 0,1-1 1,0 1-1,0 0 0,0-1 0,0 1 0,0-1 1,0 0-1,0 0 0,1 0 0,3 2 0,-5-3-18,0 0 0,0 0 0,0 0-1,0 0 1,0 0 0,0 0 0,1-1-1,-1 1 1,0 0 0,0 0 0,0-1-1,0 1 1,0-1 0,0 1 0,0-1-1,0 1 1,-1-1 0,1 0-1,0 1 1,0-1 0,0 0 0,1-1-1,14-25-1255,-9 14-644,20-32-10045</inkml:trace>
  <inkml:trace contextRef="#ctx0" brushRef="#br0" timeOffset="2116.27">1527 668 21887,'0'0'0</inkml:trace>
  <inkml:trace contextRef="#ctx0" brushRef="#br0" timeOffset="2829.45">2491 76 21247,'-31'38'0,"29"-31"0,7-8 0,11-8 0,-2-2 0,-15 23 0,-3 14 0,-4 253 406,31 186-236,-3-181-106,-17-241-77,-1-8-34,-2 41 1,-2-64 20,1-10-56,0 0-1,1 0 1,-1 0-1,1 0 1,0-1 0,0 1-1,-1 0 1,1 0-1,0 0 1,0 0 0,1 0-1,-1 0 1,0 0-1,1 0 1,0 2 0,-1-4 49,0 0-1,0 0 1,0 0 0,0 1 0,0-1 0,0 0-1,1 0 1,-1 0 0,0 0 0,0 0 0,0 0 0,0 0-1,0 1 1,0-1 0,0 0 0,0 0 0,1 0-1,-1 0 1,0 0 0,0 0 0,0 0 0,0 0 0,0 0-1,1 0 1,-1 0 0,0 0 0,0 0 0,0 0 0,0 0-1,0 0 1,1 0 0,-1 0 0,0 0 0,0 0-1,0 0 1,0 0 0,0 0 0,1 0 0,-1 0 0,0 0-1,0 0 1,0 0 0,0 0 0,0-1 0,0 1-1,1 0 1,-1 0 0,0 0 0,0 0 0,0 0 0,0 0-1,0-1 1,1-10-987,-3-14 257,-4-2-1711,-2-1-7339</inkml:trace>
  <inkml:trace contextRef="#ctx0" brushRef="#br0" timeOffset="3259.8">1855 96 20479,'11'11'6,"-8"-7"-6,0-1 0,0 0 0,1 0 1,-1 0-1,7 4 0,-8-6 14,0 0 1,0 0 0,0 0 0,0-1-1,0 1 1,0-1 0,0 0-1,0 1 1,0-1 0,0 0-1,0 0 1,0 0 0,0-1-1,0 1 1,0 0 0,4-2-1,47-12 175,2 2-1,-1 2 1,1 3-1,1 2 1,106 5-1,-21 3-49,141-14-1,-247 9-305,1 1 0,-1 2 0,1 1 0,-1 2 0,62 15 0,-86-15-329,0 0 0,-1 0 0,1 1 0,-1 1 0,1 0 0,-2 0 0,14 11 0,18 15-11173</inkml:trace>
  <inkml:trace contextRef="#ctx0" brushRef="#br0" timeOffset="3733.05">2184 1502 19583,'0'0'128,"4"-1"0,12-3-17,-1 0 0,1 2 0,0 0 0,0 0 0,19 2 0,86 9 296,-27-1-178,0-8 34,135-18 0,-142 8-1251,168 3-1,-137 15-2019,67 4-8042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04.02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291 726 16639,'0'0'128,"-5"2"0,-1 3-92,0 0-1,1 0 0,-1 1 0,1-1 0,0 1 1,0 1-1,1-1 0,0 1 0,0-1 0,0 1 0,-4 13 1,-5 14 101,-9 44 0,14-50-66,-43 224 465,14-54-197,6-7-184,27-159-139,-5 18 78,-17 55 0,13-56-26,5 6 20,7-55-99,1 0 0,0 1 1,0-1-1,0 0 0,0 0 1,0 1-1,0-1 0,-1 0 1,1 1-1,0-1 0,0 0 1,0 0-1,0 1 0,0-1 1,0 0-1,0 1 0,0-1 1,0 0-1,1 1 0,-1-1 1,0 0-1,0 0 0,0 1 1,0-1-1,0 0 0,0 0 1,1 1-1,-1-1 0,0 0 1,0 0-1,0 1 0,0-1 1,1 0-1,-1 0 0,0 0 1,0 0-1,1 1 0,11-26-1101,-8 8 342,0 1 0,-1-1 0,2-27 0,-3 24-779,3-26-7133</inkml:trace>
  <inkml:trace contextRef="#ctx0" brushRef="#br0" timeOffset="784.5">34 685 17663,'0'0'1024,"5"-1"-917,17-4-45,1 2-1,-1 1 1,1 0 0,-1 1-1,1 1 1,-1 1-1,1 1 1,24 5 0,100 38 44,-133-40-84,-1 0-1,1 0 0,-1 1 1,0 1-1,-1 1 0,0-1 1,0 2-1,0 0 0,-1 0 1,-1 1-1,1 0 0,-2 1 1,1 0-1,-2 1 0,1 0 1,-2 0-1,10 21 0,-11-18-21,-1 0 0,-1 1 0,-1 0 0,3 32 0,-5-42 0,-1 2 0,0 1 0,0-1-1,0 1 1,-1-1-1,0 0 1,-1 1-1,0-1 1,-1 0 0,1 0-1,-1 0 1,-8 13-1,-3 3 6,-2 0 0,-21 25-1,19-26 9,6-7 73,-27 27 0,35-39-48,-1 0-1,1 0 0,-1-1 0,0 0 0,0 0 0,0 0 1,0 0-1,0-1 0,-1 0 0,1 0 0,-8 1 0,12-2-37,-1-1 0,0 0 0,0 1 0,1 0 0,-1-1 0,0 1 0,0 0 0,1 0 0,-1 0 0,1 0 0,-3 2 0,3-3 0,1 1 0,0-1 0,-1 1 0,1-1 0,0 1 0,-1-1 0,1 1 0,0-1 0,0 1 0,0-1 0,0 1 0,0-1 0,-1 1 0,1-1 0,0 1 0,0 0 0,0-1 0,0 1 0,1-1 0,-1 1 0,0-1 0,0 1 0,0-1 0,0 1 0,0-1 0,1 1 0,-1-1 0,0 1 0,1-1 0,-1 1 0,0-1 0,1 1 0,-1-1 0,0 1 0,1-1 0,-1 0 0,1 1 0,-1-1 0,1 0 0,0 1 0,59 49 0,1-1 0,60 63 0,-92-81 9,-14-17 5,-1 1 0,0 1 0,-1 0 0,-1 1 0,0 0 0,13 29 0,-7-1 9,-15-33-24,1-1 1,1 1 0,0-1 0,0 0 0,1 0 0,1 0 0,0-1 0,10 13-1,-15-22-4,-1 0 0,1 1 1,-1-1-1,1 0 0,-1 0 0,1 1 0,0-1 0,-1-1 0,1 1 0,0 0 0,0 0 0,0-1 0,0 1 0,0-1 0,-1 1 0,1-1 0,0 0 0,0 0 1,0 0-1,0 0 0,0 0 0,0 0 0,0-1 0,0 1 0,0 0 0,2-2 0,-1 1-278,0-1-1,0 0 1,0 0-1,0 0 1,0-1-1,0 1 1,-1-1-1,1 1 1,-1-1-1,0 0 1,0 0-1,3-6 1,13-22-11130</inkml:trace>
  <inkml:trace contextRef="#ctx0" brushRef="#br0" timeOffset="1236.52">1640 1285 21759,'0'0'0,"-25"4"0,13-4 128,2-1-128,2-2 128,1-1 0,2 3 0,0-2 0,1 1-256,0-4 0,4 1-1408,5-3 0,3 2 256</inkml:trace>
  <inkml:trace contextRef="#ctx0" brushRef="#br0" timeOffset="1863.16">2495 605 18559,'0'0'747,"-1"7"-619,-45 317 194,10-55-111,-27 149-211,48-264-1642,28-191-297,-9 29 1138,0-1 1,-1 1-1,2-12 1,2-15-8032</inkml:trace>
  <inkml:trace contextRef="#ctx0" brushRef="#br0" timeOffset="2312.51">2079 311 19455,'3'13'-7,"-1"-8"46,0 1 1,-1 0-1,1-1 0,-1 1 0,-1 0 0,1 0 0,-1 0 0,0 0 0,-2 10 0,2-14 2,-1-1-1,0 1 1,1-1-1,-1 1 0,0-1 1,0 0-1,0 1 1,0-1-1,0 0 1,0 0-1,-1 0 0,1 0 1,0 0-1,-1 0 1,1 0-1,0 0 1,-1-1-1,-2 2 0,4-2-35,0 0 0,0 0 0,0 0 0,-1 0 0,1 0 0,0 1 0,0-1 0,0 0 0,0 0 0,0 0 0,-1 0 0,1 0 0,0 0 1,0 0-1,0 0 0,0 1 0,0-1 0,0 0 0,0 0 0,0 0 0,0 0 0,-1 0 0,1 1 0,0-1 0,0 0 0,0 0 0,0 0 0,0 0 0,0 0 0,0 1 0,0-1 0,0 0 0,0 0 0,0 0 0,0 0 0,0 1 0,0-1 0,0 0 0,0 0 0,1 0 0,-1 0 0,0 0 0,0 1 0,0-1 0,0 0 0,0 0 0,0 0 0,0 0 0,0 0 0,0 0 0,1 1 0,8 8 118,-4-7-93,0 0-1,1 1 1,-1-2-1,1 1 1,-1-1-1,1 1 0,0-1 1,6 0-1,53 0 179,-51-1-147,210-8 451,-79 4-348,-70 1-246,142 11 0,-212-7-167,0 0 0,0 0 0,-1 0 0,1 0 0,0 1 0,-1 0 0,1 0 1,-1 0-1,0 0 0,0 1 0,0 0 0,0-1 0,0 1 0,0 1 0,-1-1 1,0 1-1,1-1 0,-1 1 0,-1 0 0,1 0 0,0 0 0,-1 1 0,0-1 1,0 0-1,0 1 0,1 7 0,8 21-10076</inkml:trace>
  <inkml:trace contextRef="#ctx0" brushRef="#br0" timeOffset="2899.13">1534 2252 18431,'17'-4'2,"-10"2"2,1 0 0,-1 1 0,1 0 0,12 0 0,-20 1 6,0 1 1,0-1 0,0 0-1,0 0 1,0 1 0,-1-1-1,1 0 1,0 0 0,0 0-1,0 1 1,0-1 0,-1 0-1,1 0 1,0 0 0,0 0-1,-1 0 1,1 1 0,0-1-1,0 0 1,0 0 0,-1 0-1,1 0 1,0 0 0,-1 0-1,1 0 1,0 0 0,0 0-1,-1 0 1,1 0 0,0 0-1,0 0 1,-1 0 0,1 0-1,0 0 1,0 0 0,-1 0-1,1-1 1,0 1 0,0 0-1,0 0 1,-1 0 0,1 0-1,0 0 1,0-1 0,0 1-1,-1 0 1,1 0 0,0 0-1,0-1 1,0 1 0,0 0-1,-1 0 1,1 0 0,0-1-1,0 1 1,0 0 0,0 0-1,0-1 1,0 1 0,0-3 29,0 0 0,0 0 0,0 0 0,0 0 0,0 0 0,1 0 0,0 0 0,-1 1 0,1-1 0,0 0 0,0 0 0,1 1 0,-1-1 0,1 1 0,-1-1 0,1 1 0,0 0 0,-1-1 0,1 1 0,3-2 0,2-3 65,0 1 0,0-1 0,1 2 0,16-11 0,1 5 36,0 2-1,0 0 1,1 2 0,1 1-1,32-4 1,-28 5-46,86-11 448,194 1 1,-152 11-351,-147 3-183,89-6 105,-86 5-247,0 0 1,-1-1-1,0-1 0,24-8 0,-31 8-114,1-1-1,-1 0 1,0 0 0,0 0-1,8-9 1,3-2-2414</inkml:trace>
  <inkml:trace contextRef="#ctx0" brushRef="#br0" timeOffset="3205.86">3330 27 18687</inkml:trace>
  <inkml:trace contextRef="#ctx0" brushRef="#br0" timeOffset="3651.77">3330 27 18687,'0'0'512,"4"-1"-384,23-7 113,-15 4-110,0 0 0,0 1 0,0 0 0,13 0 0,-18 3-98,0 0 0,-1 0 0,1 1-1,0 0 1,-1 1 0,1 0-1,-1 0 1,1 0 0,-1 0-1,0 1 1,7 4 0,-4-1-3,0 0 1,-1 1-1,0 0 1,0 0-1,0 1 0,10 13 1,-8-7-1,0 1 0,-1 0 0,-1 1-1,0 0 1,-1 0 0,-1 1 0,0 0 0,3 22 0,-3 1-23,-3 1 0,-1 48 0,-2-79-7,-1 0 0,0 0 0,0-1 0,-1 1 0,0 0 0,-1-1 0,0 0 0,0 0 0,-1 1 0,0-2 0,-1 1 0,0-1 0,0 1 0,-1-1 0,0-1 0,0 1 0,-1-1 0,-13 11 0,-25 21 0,-48 40 0,89-76-1,-18 17-41,22-20 40,-1 1 0,1 0 0,-1-1 1,1 1-1,-1 0 0,1-1 0,0 1 0,0 0 1,-1-1-1,1 1 0,0 0 0,0-1 0,0 1 1,-1 0-1,1 0 0,0 0 0,0-1 0,0 1 1,0 0-1,1 0 0,-1-1 0,0 1 0,0 0 1,0-1-1,1 1 0,-1 0 0,0 0 0,1-1 1,-1 1-1,0 0 0,1-1 0,-1 1 0,1-1 0,0 2 1,15 12-8,1-1 1,21 13-1,3 3 13,-28-19 2,30 23-11,79 46-1,-107-71-352,1 0 0,0-1 1,0-1-1,1-1 0,0 0 0,0-1 0,0-1 0,0 0 0,25 0 0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1:55.62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111 157 15360,'0'0'277,"0"4"-64,3 15-18,-1 0 0,0 1-1,-2-1 1,-1 0-1,0 0 1,-1 0 0,-9 37-1,3-10 43,1 0-1,1 83 0,2-31 58,-65 843 389,69-756-509,2-125-220,-1-83-662,2-1 1,7-30 0,1-8-2398,-4 1-6281</inkml:trace>
  <inkml:trace contextRef="#ctx0" brushRef="#br0" timeOffset="871.25">1 26 17535,'5'49'0,"-5"-48"0,0-1 0,0 1 0,1-1 0,-1 1 0,0-1 0,0 1 0,0-1 0,0 1-1,1-1 1,-1 1 0,0-1 0,0 1 0,1-1 0,-1 0 0,0 1 0,1-1 0,-1 0-1,1 1 1,-1-1 0,0 0 0,1 1 0,-1-1 0,1 0 0,-1 0 0,1 1 0,-1-1 0,1 0-1,-1 0 1,1 0 0,-1 0 0,1 1 0,-1-1 0,1 0 0,-1 0 0,1 0 0,-1 0-1,1 0 1,-1-1 0,1 1 0,-1 0 0,1 0 0,-1 0 0,1 0 0,0-1 0,24-13 9,-18 9 8,11-5 68,0 1 0,0 0 1,1 2-1,0 0 0,0 1 1,1 1-1,0 1 0,0 0 1,24 0-1,-42 4-77,1 0 0,-1 0 0,1 0 0,-1 1 0,1-1 0,-1 1 1,0 0-1,1-1 0,-1 1 0,0 0 0,1 0 0,-1 1 0,0-1 0,0 0 0,0 1 0,0 0 0,0-1 0,0 1 0,-1 0 0,1 0 0,0 0 0,-1 0 0,1 0 1,-1 0-1,0 0 0,0 0 0,0 1 0,0-1 0,1 5 0,1 6 31,-1 0 0,0 1 0,0-1 1,-2 21-1,2 4 35,5 17-2,0-11-48,-3 1 1,-1 0 0,-5 71 0,-8-45 26,-22 89 1,21-120-14,-2-1 0,-1 0 1,-32 60-1,42-91-24,-1-1 0,0 0 1,0 1-1,0-2 0,-1 1 1,0-1-1,-9 8 0,12-12-14,-1 1-1,1-1 1,-1 0-1,0 0 1,0 0-1,0 0 1,0-1 0,0 1-1,0-1 1,0 0-1,0-1 1,0 1-1,-1-1 1,1 0-1,0 1 1,-7-2-1,3 0 1,0-1 0,0 0 0,1 0 0,-1 0 0,1-1 0,-11-5 0,14 6 0,1 0 0,-1-1 0,1 1 0,0-1 0,0 1 0,0-1 0,0 0 0,1 0 0,-1 0 0,1 0 0,0-1 0,0 1 0,0-1 0,-2-4 0,4 7 0,0 1 0,0 0 0,0 0 0,0 0 0,0-1 0,0 1 0,0 0 0,0 0 0,0-1 0,0 1 0,0 0 0,0 0 0,0 0 0,0-1 0,0 1 0,0 0 0,0 0 0,0 0 0,0-1 0,0 1 0,1 0 0,-1 0 0,0 0 0,0 0 0,0-1 0,0 1 0,0 0 0,1 0 0,-1 0 0,0 0 0,0 0 0,0 0 0,1 0 0,-1-1 0,0 1 0,0 0 0,0 0 0,1 0 0,-1 0 0,0 0 0,0 0 0,0 0 0,1 0 0,11-1 0,-9 1 0,17-1 0,0 0 0,0 1-1,1 1 1,20 4 0,-29-3 2,0 1 1,-1 0-1,0 0 1,1 1-1,-1 1 1,-1 0 0,1 0-1,13 10 1,-12-4 33,0 0 1,0 1 0,-1 1-1,0 0 1,16 28 0,-12-20-23,-3 0 14,-1 1-1,0 0 1,-2 1-1,0-1 0,5 26 1,-8-25 5,1 0 0,1-1 0,2 0 0,0 0 0,16 24 0,19 28-3,12 14 89,-54-84-227,0 0 1,1-1-1,-1 1 0,1-1 0,0 1 0,0-1 0,1-1 0,-1 1 0,1 0 0,5 1 0,-8-3-111,1 0-1,-1 0 1,0 0-1,1-1 1,-1 1-1,1-1 1,0 0-1,-1 0 1,1 0-1,-1 0 1,1 0-1,-1 0 1,1-1-1,-1 1 1,1-1 0,-1 0-1,1 1 1,-1-1-1,0 0 1,1-1-1,2-1 1</inkml:trace>
  <inkml:trace contextRef="#ctx0" brushRef="#br0" timeOffset="1250.83">1114 975 20607,'0'0'0,"33"-36"-1536,-9 17 512,7-1-128,-12 4 129</inkml:trace>
  <inkml:trace contextRef="#ctx0" brushRef="#br0" timeOffset="1920.27">2257 134 20607,'-35'14'0,"35"-14"0,0 0 0,0 0 0,0 0 0,0 0 0,0 0 0,0 0 0,0-1 0,0 1 0,0 0 0,0 0 0,0 0 0,0 0 0,0 0 0,0 0 0,0 0 0,0 0 0,0-1 0,0 1 0,0 0 0,0 0 0,0 0 0,1 0 0,-1 0 0,0 0 0,0 0 0,0 0 0,0 0 0,0 0 0,0 0 0,0 0 0,0-1 0,0 1 0,1 0 0,-1 0 0,0 0 0,0 0 0,0 0 0,0 0 0,0 0 0,0 0 0,0 0 0,0 0 0,1 0 0,-1 0 0,0 0 0,0 0 0,0 0 0,0 0 0,0 0 0,0 0 0,0 1 0,1-1 0,-1 0 0,0 0 0,0 0 0,0 0 0,0 0 0,0 0 0,0 0 0,9-14 79,-6 9 12,-6 13-26,-18 55-60,2 2 1,2 0-1,-14 130 0,17-62-5,-55 228 0,58-319 0,-58 222 0,66-248-1,-2 9-52,-2-1 0,0 0 0,-13 30 0,20-54 31,0 0 1,0 1-1,-1-1 0,1 0 1,0 0-1,0 0 1,0 0-1,0 0 0,0 1 1,0-1-1,0 0 0,0 0 1,0 0-1,0 0 0,0 0 1,0 0-1,0 1 0,0-1 1,0 0-1,-1 0 1,1 0-1,0 0 0,0 0 1,0 0-1,0 0 0,0 0 1,0 0-1,-1 0 0,1 0 1,0 1-1,0-1 0,0 0 1,0 0-1,0 0 0,-1 0 1,1 0-1,0 0 1,0 0-1,0 0 0,0 0 1,0 0-1,-1 0 0,1 0 1,0-1-1,0 1 0,-3-7-872,1-12-309,3-33-2509,-1 25-5525</inkml:trace>
  <inkml:trace contextRef="#ctx0" brushRef="#br0" timeOffset="2353.39">1622 274 18559,'24'43'0,"-25"-47"25,-6-29 88,6 31-107,1 0 0,0 0 0,0-1 0,0 1 0,0 0 0,0 0 0,0 0 0,0 0 0,1-1 1,-1 1-1,1 0 0,0 0 0,-1 0 0,1 0 0,2-2 0,1-1 5,2 0 0,-1 0 0,1 0-1,-1 1 1,1-1 0,0 2 0,1-1 0,-1 0-1,1 1 1,-1 1 0,1-1 0,0 1 0,0 0 0,9-1-1,12-1-15,1 1-1,36 1 1,-33 2 30,187 0 204,58-1 54,-162-8-121,57-2-239,-169 11-207,28 1-943,-14 5-3043</inkml:trace>
  <inkml:trace contextRef="#ctx0" brushRef="#br0" timeOffset="2835.33">1653 1723 19583,'19'-10'0,"-1"-1"0,34-26 0,-47 34 0,0-1 0,1 2 0,-1-1 0,0 0 0,1 1 0,0 0 0,0 0 0,-1 1 0,1 0 0,0 0 0,7 0 0,12-1 0,33 3 0,-37 0 0,165 16 175,-125-9-63,-1-3 1,110-4-1,-63-6-867,-34 4-2671</inkml:trace>
  <inkml:trace contextRef="#ctx0" brushRef="#br0" timeOffset="3697.8">3239 825 20607,'0'0'640,"34"-6"-2816,-15 4 1152</inkml:trace>
  <inkml:trace contextRef="#ctx0" brushRef="#br0" timeOffset="4486.65">4304 204 19967,'-12'53'16,"-8"101"-1,11 56 45,-1 24-23,-10-74-9,-4 62 51,23-169-63,1-33-21,0 1-1,-1-1 1,-1 0 0,-1 0-1,-1 1 1,-9 27 0,3-29-583,5-19-505,4-12-106,3-44-2406,-2 24-5611</inkml:trace>
  <inkml:trace contextRef="#ctx0" brushRef="#br0" timeOffset="4898.2">3718 129 19327,'8'1'107,"49"8"71,0-3 0,72-2-1,170-9 507,168-7-88,-449 10-833,37 1-29,-50 1-204,-1 1 0,0-1-1,0 1 1,1 0 0,-1 0 0,0 0 0,0 1 0,0 0 0,0 0 0,4 2 0</inkml:trace>
  <inkml:trace contextRef="#ctx0" brushRef="#br0" timeOffset="5313.82">3690 1524 20223,'0'0'0,"28"-17"0,-1 9 0,10 2 0,9 3 0,8 3 0,11 12 0,10 8 0,6 5 128,12 5-128,21 8 128,21 5-128,-18-8 0,-3-5-640,-9-10 128,-5-8-384,104 21-12159</inkml:trace>
  <inkml:trace contextRef="#ctx0" brushRef="#br0" timeOffset="7444.84">5912 1103 18303,'41'22'-4,"-17"-9"91,1-1 0,30 11-1,11 3 267,-52-20-272,0 1 0,1-2 1,0 0-1,0-1 0,1 0 0,-1-1 1,27 1-1,123 4-115,-114-5-913,-45-2 405,1-1 1,0 0 0,0-1-1,0 0 1,-1 0 0,1 0 0,8-3-1</inkml:trace>
  <inkml:trace contextRef="#ctx0" brushRef="#br0" timeOffset="7784.07">5793 864 18943,'0'0'0,"25"0"0,-5 0 0,7 3 0,20 0 0,15 2 0,-16 3 128,-9 4-128,-6-2 128,-2-1-128,4-3 0,1-4 0,0-7 0,4-4-384,14-2 0,10-2-512,-4 4 0,-1-2-10879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31:34.3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4665 271 18175,'0'0'640,"-1"4"-512,-16 60 0,3-1 0,3 1 0,-4 75 0,3 608 768,20-644-682,5 0-1,27 104 0,-28-158-79,32 88 0,-36-116-102,2 0 0,1 0 0,0-1-1,1-1 1,2 0 0,20 23 0,-30-37-28,1 0 0,0-1 0,0 1 0,0-1 0,1-1 0,0 1 0,-1-1 0,1 0-1,0 0 1,1 0 0,-1-1 0,0 0 0,1 0 0,-1 0 0,1-1 0,0 0 0,-1-1 0,1 1 0,0-1 0,0 0 0,-1-1 0,10-1 0,-4-1 1,-1-1-1,1 0 1,0 0 0,-1-1 0,0 0 0,0-1 0,0 0 0,-1-1 0,0 0 0,-1-1-1,11-10 1,-4 2-5,0-2 0,-1 0 0,20-32 0,31-66 0,-23 38 0,235-452 256,-214 388-256,14-30 0,-10 29 0,63-196 0,-34 58 0,-94 274 0,-1 2 0,0 0 0,-1 0 0,0-1 0,1 1 0,-2 0 0,1 0 0,0 0 0,-1-9 0,0 14 0,0-1 0,0 1 0,0 0 0,0-1 0,0 1 0,0 0 0,0 0 0,0-1 0,0 1 0,-1 0 0,1-1 0,0 1 0,0 0 0,0 0 0,0-1 0,0 1 0,0 0 0,-1 0 0,1-1 0,0 1 0,0 0 0,0 0 0,-1-1 0,1 1 0,0 0 0,0 0 0,0 0 0,-1 0 0,1 0 0,0-1 0,-1 1 0,1 0 0,0 0 0,0 0 0,-1 0 0,1 0 0,0 0 0,-1 0 0,1 0 0,0 0 0,0 0 0,-1 0 0,1 0 0,0 0 0,-1 0 0,1 0 0,0 0 0,0 0 0,-1 0 0,1 0 0,0 1 0,0-1 0,-1 0 0,1 0 0,0 0 0,0 0 0,-1 1 0,1-1 0,0 0 0,0 0 0,0 1 0,-1-1 0,1 0 0,0 1 0,-11 15 0,11-16 0,-11 21 8,1 2-1,2-2 1,0 3-1,-6 29 1,-11 100 61,2 183 174,18-221-187,1 358 200,41-158-32,-20-202-107,-8-55-97,-3-25-19,-2 0-1,-1 0 0,-2 56 0,-11 34-576,10-122 412,-1 0 0,1 0 0,0 0 0,0 0-1,0 1 1,0-1 0,0 0 0,0 0 0,0 0-1,0 0 1,1 0 0,-1 0 0,0 0 0,1 0-1,-1 0 1,1 0 0,-1 0 0,1 0 0,-1 0-1,1 0 1,0 0 0,-1 0 0,1-1 0,0 1-1,0 0 1,0 0 0,-1-1 0,1 1 0,0 0-1,0-1 1,0 1 0,2 0 0</inkml:trace>
  <inkml:trace contextRef="#ctx0" brushRef="#br0" timeOffset="449.29">6944 1137 23551,'0'0'0,"25"-28"-3200,-6 13 1408,4-2 1024,-6 4 128</inkml:trace>
  <inkml:trace contextRef="#ctx0" brushRef="#br0" timeOffset="1149.74">7954 271 21119,'-25'12'0,"25"-12"0,-1 0 0,1 0 0,0 1 0,0-1 0,0 0 0,0 0 0,-1 0 0,1 0 0,0 0 0,0 0 0,0 0 0,-1 0 0,1 0 0,0 0 0,0 0 0,0 0 0,-1 1 0,1-1 0,0-1 0,0 1 0,0 0 0,-1 0 0,1 0 0,0 0 0,0 0 0,0 0 0,-1 0 0,1 0 0,0 0 0,0 0 0,0 0 0,-1 0 0,1-1 0,0 1 0,0 0 0,0 0 0,0 0 0,2-8 0,10-8 0,-11 15 0,-3 6 0,1-1 0,1 1 0,-1-1 0,1 1 0,0 6 0,-1 5 0,-9 59 11,2 117 0,31 298 479,-21-440-445,6 581 550,-10-533-501,0-15 51,-17 127 0,14-193-187,1-14-24,-3-10-39,3-3-295,-1 1-1,1-1 1,1 0-1,0 0 1,0 0 0,1 0-1,-1-17 1,1-76-3124,2 68 1803,0-29-7665</inkml:trace>
  <inkml:trace contextRef="#ctx0" brushRef="#br0" timeOffset="1749.08">7251 144 19199,'46'36'0,"-41"-33"22,-6-5 4,1 1 0,0 0-1,-1-1 1,1 1 0,0 0 0,0-1 0,0 1 0,0-1 0,1 1 0,-1 0 0,0-1 0,0 1-1,2-2 1,-1-2-4,1 0-1,0 1 0,1-1 0,-1 2 0,1-1 0,0-1 0,0 1 0,0 0 0,1 1 0,-1-1 1,1 1-1,0-1 0,4-2 0,7-5 34,36-16 0,-26 16 22,1 0 0,0 2 0,0 1 0,1 1 0,0 1 0,0 1 0,0 2 0,42-1 0,16 6 75,122 19 0,-158-16-125,474 78 335,-291-40-24,-170-36-133,107 1-1,-156-8-163,0-1-1,0-1 1,14-3 0,-23 4-39,0 0 0,0 0 0,-1 0 0,1-1 0,0 1 0,-1-1 0,1 0 0,-1 0 1,0-1-1,1 1 0,-1 0 0,0 0 0,3-4 0,-5 4-75,0 1 1,-1 0-1,1-1 0,0 1 0,-1 0 1,1-1-1,-1 1 0,1-1 0,-1 1 1,0 0-1,1-1 0,-1 1 1,0-1-1,0 1 0,0-1 0,0 1 1,-1-3-1,-5-15-3930</inkml:trace>
  <inkml:trace contextRef="#ctx0" brushRef="#br0" timeOffset="2416.91">7210 2230 19711,'0'0'128,"5"1"0,21 3 16,1-1-1,-1-1 0,0-2 0,0 0 1,0-2-1,31-5 0,369-119 826,-234 63-765,-89 32-76,2 3 0,1 6 0,108-11 0,-40 23-426,223 14-1,-349-3-3605</inkml:trace>
  <inkml:trace contextRef="#ctx0" brushRef="#br0" timeOffset="184034.15">1242 3471 6400,'4'3'22,"9"14"83,-14-9-6,-12-4 59,-33 0 336,-75-2 1,78-3-320,-1 1 0,-57 9 0,90-7-169,-12 1-22,0 0 0,1 1 0,-1 2 0,1 1 0,0 1 0,-21 11 0,-8 15-35,1 2-1,2 3 1,2 0 0,-42 48 0,33-26 102,2 3 0,4 2 0,2 2 1,-43 84-1,73-119 4,1 0-1,2 1 1,1 0 0,2 1 0,1 0 0,-8 67 0,-7 312 1678,27-329-1365,4-1 0,31 157 0,87 206 997,-97-373-1284,3 2 0,3-3 0,4-2 1,66 99-1,-67-115 9,37 55-62,-61-94-52,1-1 1,0-1-1,0-1 0,27 21 1,-32-29 18,1 0 0,0-1 0,0 1 0,0-1 0,1-1 0,-1 0 0,1 0 0,0-1 0,0 0 0,0 0 0,0-1 1,15-1-1,6-1-17,1-1 1,49-11 0,-52 6 21,0 0 0,0-2 0,-1-2 0,0-1 0,-1-1 0,-2 1 0,1-4 0,38-28 0,13-18 0,86-90 0,-106 97 0,8-11 112,78-97 0,-113 121-55,-1 1 1,-3-1-1,-1-2 1,21-55 0,-21 33 146,-4-3 1,-3 1 0,14-103 0,-5-214 490,-31 184-172,-37-241 0,35 388-499,-39-260 196,33 254-185,-3 0 0,-2 1 0,-28-61 0,33 92-42,-2 3 1,0-1-1,-2 1 1,-1 0 0,-1 1-1,0 1 1,-2 1-1,-1 2 1,-29-25-1,44 42-53,0-1 0,0 1 0,0 0 0,-1 0 0,1 0 0,-1 1 0,1 0 0,-1 0 0,0 1 0,0 0 0,0 0 0,0 1 0,0 0 0,-9 0 0,4 1-395,0 1-1,-1 0 1,1 1-1,1 0 1,-1 0-1,0 1 1,-13 6 0,14-4-330,0 1 0,1-1 0,0 2-1,0-1 1,1 1 0,0 1 0,0-2 0,0 2 0,2 1 0,-1 0 0,1 0 0,0 0 0,1 0 0,-5 14 0,-7 23 785</inkml:trace>
  <inkml:trace contextRef="#ctx0" brushRef="#br0" timeOffset="185185.59">1971 3963 10368,'0'0'-86,"5"4"150,0 0-54,1-1 0,0 1 0,0 0 0,1 0 0,-1-1-1,1 0 1,0 0 0,0-1 0,0 0 0,0 0 0,0-1-1,11 1 1,3 0 66,-1-2 0,0 0 0,0-2 0,0 0 0,0-1-1,0-1 1,0-1 0,28-11 0,-4 1 121,-22 7-64,1-1 1,37-20-1,270-179 785,41-30-1,-301 188-618,115-58-1,-89 57 33,104-71 0,-165 95-137,53-50 0,-8 8 58,-38 35-106,72-53 127,-91 71-218,1 1 0,1 1 1,27-11-1,-37 19 12,0-1 1,0-1-1,-1 1 1,0-2-1,21-17 1,-21 17 21,-10 6-60,0 1 1,-1 0-1,1-1 1,0 0-1,-1-1 1,0 1-1,1-1 1,-1 1-1,4-9 1,-6 10-23,0 0 0,-1 0 0,1 0 0,0 0 0,0 0 0,0 0 1,1 0-1,-1 0 0,0 0 0,1 0 0,-1 1 0,1 0 0,-1 0 0,4-3 0,1-1-23,0-1 0,-1 0 0,1 1 0,-2-2 0,1 1 0,0-1 0,-1 1 0,-1 0 0,1-1 0,-1-1 0,3-8 0,-2 8-242,1 0 0,-1 0 0,1 1 0,1-1 1,0 0-1,0 1 0,0 0 0,14-10 0,18-22-2519,-18 15-5116</inkml:trace>
  <inkml:trace contextRef="#ctx0" brushRef="#br0" timeOffset="186102.31">4676 2135 15232,'-12'59'-128,"12"-58"119,-1 0 0,1 0 1,-1 0-1,1 0 1,-1 0-1,0-1 1,1 1-1,-1 0 1,0 0-1,0 0 1,1-1-1,-1 1 1,0 0-1,0-1 1,0 1-1,0 0 1,0-1-1,0 1 0,0-1 1,0 0-1,0 1 1,0-1-1,0 0 1,0 0-1,-2 1 1,-35 0-294,11-1 186,20 2 96,1 1 1,-1-1 0,0 1 0,1 0 0,-1 1-1,1 0 1,0 0 0,0 0 0,-5 5 0,-8 7-77,-18 23 0,-206 200 96,158-150 0,56-58 0,0-1 0,-42 32 0,53-48 2,10-7-7,0 0 1,0-1-1,-1 0 0,-12 5 0,37-15-162,2 0 0,-1 0 0,0 2 0,29-1 0,18-3-128,-37 2 303,13-2 102,47-1-1,-72 7-76,-1 1 0,0 0 0,0 1 0,0 0-1,0 1 1,0 1 0,14 6 0,17 11 226,-32-13 53,1-1 0,15 5 0,-29-12-289,1 0-1,-1 0 1,1 0 0,-1 0 0,1 0 0,-1 0-1,1 0 1,-1 0 0,1 0 0,-1-1-1,1 1 1,-1 0 0,1 0 0,-1 0 0,1-1-1,-1 1 1,1 0 0,-1-1 0,0 1-1,1 0 1,-1-1 0,1 1 0,-1 0 0,0-1-1,0 1 1,1-1 0,-1 1 0,0-1-1,0 1 1,1-1 0,-1 1 0,0-1 0,0 1-1,0-1 1,0 1 0,0-1 0,0 1-1,0-2 1,3-23 305,-2 22-285,2-46 264,1-7-154,-2-2 1,-9-91-1,6 142-425,2 6 133,-1 0 0,0 0 0,0 0 0,0 1 1,0-1-1,0 0 0,0 1 0,-1-1 0,1 0 0,0 0 0,0 0 0,-1 1 1,1-1-1,0 0 0,-1 0 0,1 0 0,-1 1 0,1-1 0,-1 0 0,1 0 0,-2 0 1</inkml:trace>
  <inkml:trace contextRef="#ctx0" brushRef="#br0" timeOffset="188088.37">10515 1218 18431,'19'-4'51,"0"0"0,0 1-1,1 0 1,-1 2 0,1 1-1,-1 0 1,28 4 0,-27-1-43,71 9 41,113 28 0,-139-25-1201,1-2 0,0-3 1,1-3-1,78-2 0,-115-5-7680</inkml:trace>
  <inkml:trace contextRef="#ctx0" brushRef="#br0" timeOffset="188478.11">10330 705 18431,'0'0'0,"47"11"0,-16-5 0,3 2 0,4 3 0,4 4 0,2-3 0,6 1 0,10-1 0,7 1-128,4-6 128,5-6-768,4 2 128,3-3-383,-19-3 127,0 2-9728</inkml:trace>
  <inkml:trace contextRef="#ctx0" brushRef="#br0" timeOffset="206144.92">9025 4954 19071,'41'22'117,"0"-1"-1,2-1 1,0-3-1,1-1 1,46 11-1,-26-14 67,-1-2-1,0-3 1,73 1 0,-44-9-432,0-3 0,176-30 0,-245 29-960,-1-1 0,34-14 1,-12 0-9800</inkml:trace>
  <inkml:trace contextRef="#ctx0" brushRef="#br0" timeOffset="206631.29">9031 4540 18815,'32'16'-128,"-32"-16"128,1 0 0,-1 0 0,0 0 0,1 0 0,-1 0 0,1 0 0,-1 0 0,1 0 0,-1 0 0,1 0 0,-1 0 0,1 0 0,-1-1 0,1 1 0,-1 0 0,1 0 0,-1 0 0,0-1 0,1 1 0,-1 0 0,1-1 0,-1 1 0,0 0 0,1-1 0,-1 1 0,0 0 0,1-1 0,-1 1 0,0 0 0,0-1 0,0 1 0,1-1 0,-1 1 0,0-2 0,6-5 0,4 4 0,0 0 0,0 1 0,0 0 0,0 1 0,0 0 0,16 0 0,69 8 0,-47-3 0,314 15 0,-230-12-448,0-6 0,1-5 0,190-31 0,-289 28-2026,-1 0-7339</inkml:trace>
  <inkml:trace contextRef="#ctx0" brushRef="#br0" timeOffset="207843.33">10629 4164 17919,'10'30'0,"-2"2"0,9 57 0,-10-54 19,14 41 1,5 19 69,-20-48-15,-1 2 0,-3-1 0,-7 93 0,0-53-7,4-51-51,-2 54 168,-17 110 0,16-191-163,-1-12-42,-4-19-64,4-5-37,1 0 1,1 0 0,1-1 0,2 1-1,3-34 1,0-17-303,-22-283-200,5 174 458,13 94 248,-2-24 156,1 102-202,0-1 0,-1 0-1,-1 0 1,0 1-1,-11-24 1,9 23 100,-11-20 146,16 34-231,0-1 0,0 0 0,0 0 0,0 1-1,-1-1 1,1 0 0,-1 1 0,1 1 0,-1-2 0,0 1 0,1 0 0,-1-1 0,-3 0-1,6 2-17,0 1-1,1 0 0,-1-1 0,0 1 0,1 0 0,-1 0 0,0 0 0,0 0 0,0 0 0,0-1 1,2 3-1,11 9 94,8 1-23,0-1-1,1-1 0,1-1 0,37 9 0,-15-3 6,49 12 105,1-3 1,147 17-1,-175-30-128,129 43 1,-84-23 46,-71-21-55,-2 1 0,62 26-1,-100-37-73,0 0 0,0 0-1,0 0 1,0 0 0,0 1-1,0-1 1,-1 1 0,1 0-1,0-1 1,-1 1 0,1 0-1,-1 0 1,0 0 0,0 0-1,0 0 1,0 0 0,0 0-1,1 4 1,-1-2 7,-1 0 1,1 0-1,-1-1 1,0 0-1,0 1 1,-1 0-1,1 0 0,-1-1 1,0 1-1,-2 6 1,-2 3 22,-1-1-1,0 0 1,-1 0 0,-1-1 0,-11 14 0,-168 185 202,-16-13 145,-135 147-1102,311-311-866,-23 39-1,41-58 52,-11 15-9492</inkml:trace>
  <inkml:trace contextRef="#ctx0" brushRef="#br0" timeOffset="210748.02">12886 3860 16639,'-2'525'670,"-1"-335"-465,-10 520 456,7-618-532,1-8-2796,3-104 256,0-2-6463</inkml:trace>
  <inkml:trace contextRef="#ctx0" brushRef="#br0" timeOffset="211196.28">12240 3816 20607,'37'-36'50,"0"3"0,74-51 0,-77 62-7,2 2 0,0 0-1,1 3 1,1 2 0,0 1 0,43-11 0,19 4-12,124-15 0,-133 28-347,0 2-1,0 5 1,0 3 0,-1 5-1,102 19 1,-172-23-606,-1 2 1,0 0-1,0 2 0,22 7 1,1 7-8828</inkml:trace>
  <inkml:trace contextRef="#ctx0" brushRef="#br0" timeOffset="211633.26">12287 5485 20735,'0'0'0,"55"-24"128,-17 7 0,4-4-128,13 2 128,12-1 0,2 2 0,9 4 0,29 8 0,24 6-128,4 12 128,7 7-128,-15 3 0,-9 2-640,1-2 0,-3-1-768,121 20-11903</inkml:trace>
  <inkml:trace contextRef="#ctx0" brushRef="#br0" timeOffset="212595.09">14154 4618 21375,'0'0'256,"5"4"-128,6 4-83,0-1-1,0-1 1,1 0-1,0 0 1,14 5-1,71 20 68,-70-23-85,154 42 181,81 28-2784,-234-66-1755</inkml:trace>
  <inkml:trace contextRef="#ctx0" brushRef="#br0" timeOffset="212880.66">14095 4321 21759,'0'0'128,"47"10"-128,-5-7 128,11-3-128,8-3 0,13-2-256,3-11 128,7-3-896,77-16-13695</inkml:trace>
  <inkml:trace contextRef="#ctx0" brushRef="#br0" timeOffset="-205365.54">15634 2980 17023,'0'0'1302,"-2"5"-1089,-19 37 97,9-19-134,-12 34-1,6 2-7,4 1-1,2 0 0,3 2 0,2-2 0,4 116 0,4-156-133,1 0 0,0-2 0,1 2 1,12 35-1,-12-47-27,0 0 0,0 0 0,1-1 0,0 0 0,0 0 0,0 0 0,1 0 1,1 0-1,-1-1 0,1 1 0,0-1 0,0-2 0,1 2 0,7 4 0,-9-8-7,-1 1 0,1-2 0,0 1 0,0-1 0,-1 1 0,1-1 0,0-1 0,0 1 0,0-1 0,0 0 0,0 0 0,0 0 0,0-1 0,0 1 0,0-1 0,0-1 0,0 1 0,5-3 0,9-4 0,1 0 0,32-22 0,-48 28 0,10-7 0,0-1 0,-1 0 0,-1 0 0,0-2 0,0 0 0,11-15 0,55-85 0,-70 99 0,68-123-20,6-7-109,-50 93 104,96-139-176,-92 142 133,76-80-1,-105 121 69,-6 4 0,1 0 0,-1 1 0,1-1 0,-1 0 0,1 0 0,0 0 0,0 1 0,0-1 0,0 1 0,0 0 0,0-1 0,0 1 0,5-2 0,-7 4 0,0-1 0,1 0 0,-1 0 0,0 1 0,0-1 0,0 0 0,1 1 0,-1-1 0,0 0 0,0 1 0,0-1 0,0 0 0,0 1 0,0-1 0,1 0 0,-1 1 0,0-1 0,0 0 0,0 1 0,0-1 0,0 1 0,0-1 0,-1 0 0,1 1 0,0-1 0,0 0 0,0 1 0,0-1 0,0 0 0,0 1 0,-1-1 0,-5 15 0,6-15 0,-28 60 65,16-38-12,2 1 1,0 0-1,-6 25 0,-50 278 506,60-293-500,-5 37 37,2-1 0,4 2 0,6 119 0,2-92-416,-3-97 257,0 0 0,0 0-1,0 0 1,0 0 0,0 0-1,0 0 1,0-1 0,0 1-1,0 0 1,0 0 0,0 0-1,1 0 1,-1 0-1,0 0 1,1 0 0,-1 0-1,0-1 1,1 0 0,-1 1-1,1 0 1,0-1 0,-1 1-1,1 0 1,0-1 0,-1 1-1,1 0 1,0-1 0,0 1-1,-1-1 1,3 1 0,-2-1-93,0 0 0,0 0 1,0-1-1,0 1 1,0 0-1,0-1 0,0 1 1,0-1-1,-1 1 1,1-1-1,0 0 0,0 1 1,0-1-1,-1 0 1,1 1-1,0-1 0,0 1 1,-1-1-1,1 0 0,-1 0 1,1 0-1,-1 0 1,1 1-1,-1-1 0,0 0 1,1-2-1</inkml:trace>
  <inkml:trace contextRef="#ctx0" brushRef="#br0" timeOffset="-204825.61">15296 4471 18047,'8'1'34,"0"0"-1,1-1 0,-1 1 0,1-1 0,-1-1 0,0 0 0,1 0 1,-1 1-1,14-6 0,-11 3 18,0 0 1,0 1-1,0 0 1,0 1-1,17 1 0,53 10 232,152 38 0,-106-18-187,-92-24-54,0-1 1,1-2 0,-1-1-1,1-1 1,41-6-1,174-35-1352,-201 31 551,80-21-2931,-83 19-5547</inkml:trace>
  <inkml:trace contextRef="#ctx0" brushRef="#br0" timeOffset="-204244.59">15893 4881 19455,'-6'18'0,"0"0"0,2 1 0,0 0 0,1-1 0,1 1 0,1 26 0,14 115 0,-13-156 0,30 170 3,2 25 101,-12 43-17,3 26-25,-20-252-316,-1-20-361,2-23-798,-3-6-1403,-1-1-7061</inkml:trace>
  <inkml:trace contextRef="#ctx0" brushRef="#br0" timeOffset="-203614.72">15693 4856 16639,'0'0'1046,"8"-1"-833,49-8 71,-16 2-123,1 1 1,69 2-1,-100 5-143,0 1 0,0-1 0,0 2 0,-1 0 0,1 1 0,-1 0 0,17 8 0,67 47 110,-63-38-101,103 77 42,-112-79-60,0 2 1,-2-1-1,29 40 0,-43-53-18,-1 1-1,0 1 1,0 0-1,-1-1 0,0 1 1,-1 1-1,1-1 1,-2 1-1,3 13 0,-5-18 2,0 0 0,1 0 0,-2 1 0,1-1 0,-1 0 0,1 0 0,-2 0 0,1-1 0,0 1 0,-1 0 0,0 0 0,0-1 0,-1 0 0,1 1 0,-1-1 0,0 0 0,0 0 0,0 0 0,-6 6 0,-5 0-68,0 1 0,-1-1 1,0 0-1,-1-1 0,-30 11 0,20-8-80,-31 18-1,5 3-109,-53 45-1,104-78 264,0 1 1,0-1-1,0 1 0,0 0 1,1 0-1,-1 0 0,0 0 1,0 1-1,1-1 0,-1 0 0,1 0 1,-1 0-1,1 0 0,-1 1 1,1-1-1,0 0 0,-1 0 1,1 1-1,0-1 0,0 0 0,0 1 1,0-1-1,0 0 0,1 1 1,-1-1-1,0 0 0,0 0 1,1 1-1,-1-1 0,1 0 1,-1 0-1,1 0 0,0 0 0,-1 1 1,1-1-1,0 0 0,0 0 1,0 0-1,-1-1 0,1 1 1,0 0-1,2 1 0,5 5 5,1-2 0,-1 1 0,1-1 0,11 5-1,114 51 11,31 16 126,-139-62-57,0 0 1,0 3-1,-2 0 1,0 1-1,-2 2 1,0 0-1,-1 2 0,-1-1 1,-2 2-1,22 35 1,-7-2 81,18 26-3121,-24-40-7708</inkml:trace>
  <inkml:trace contextRef="#ctx0" brushRef="#br0" timeOffset="-201934.18">13507 2856 13824,'-4'-5'-107,"-1"-3"143,-1 0 0,0 0 1,-1 1-1,0 0 0,0 0 1,0 1-1,-1 0 0,0 1 0,-13-8 1,8 8 9,-1 1 0,0 0 1,-1 1-1,1 0 0,0 2 1,-1-1-1,0 2 0,-19 1 1,6 1 35,0 2 1,1 1-1,-40 11 0,19 0-3,1 1 1,1 3-1,0 2 0,2 0 0,0 4 1,-69 53-1,64-41-8,9-9 0,-47 47 0,13 0 75,-95 128 0,134-156-102,3 2 0,2 0 0,2 3 0,-25 68 0,-101 293 212,137-363-225,2 3 0,2 0 0,3-1 0,-5 75 0,13-52 10,2 2 0,18 117-1,53 291 88,-63-435-128,1 1 0,31 88 0,50 102 0,-83-220 1,73 191 4,-68-185-10,2-1 1,1 0-1,2-3 1,0 2 0,30 32-1,-21-31-50,2-1 0,0-1-1,2-2 1,1 0 0,0-3-1,48 24 1,-57-33-28,0-1-1,1-1 1,1-1 0,-1-1 0,1-2-1,1-1 1,-1-1 0,1-1-1,-1 0 1,1-1 0,26-4 0,-6-2-70,-1-3 0,0-2 1,0-2-1,41-17 0,-26 4-12,-1-2 0,70-43 0,-76 34 153,78-69 0,-79 61 15,0 0 35,-2-2 1,-2-2 0,52-69-1,-68 73 12,-1-1 0,-3-1 1,-1-2-1,30-79 0,-32 57 207,28-145 0,-10-76 360,-29 149-169,-7-1-1,-5 1 1,-34-252 0,-22 65 105,37 253-438,-2 2-1,-43-99 0,33 106-74,-3 3 0,-4 0 0,-53-74 0,59 98-24,-2 0 0,-1 2 0,-3 3 0,0 0 0,-66-47 0,84 69-16,0 3 0,-1 0 0,0 0 0,-1 1 0,0 0 0,-43-9 0,31 12 0,0 2 0,0 0 0,-60 2 0,53 5-132,0 1 0,1 2 0,0 1 0,0 2 0,1 2 0,0 2-1,1 1 1,-61 31 0,20 0-1214,2 3 1,-117 97-1,118-85-7635</inkml:trace>
  <inkml:trace contextRef="#ctx0" brushRef="#br0" timeOffset="-200910.41">12110 3725 16384,'34'-7'0,"-38"7"38,0 0-1,-1 0 1,1 0 0,0-1 0,0 0 0,0 0 0,0 0 0,0 0 0,0-1 0,0 1 0,-5-4 0,-60-31 297,28 13-123,19 14-153,0 0 0,0 0-1,-1 2 1,-38-7 0,-100-6 74,110 15-99,-409-51 447,371 39-359,1-3 0,2-3-1,-100-42 1,125 39-3,-92-53-1,128 64-63,1-2-1,0 0 1,1-2-1,1-1 1,1 1 0,-19-25-1,24 21-8,-1 2 1,-1 2-1,-1-1 0,-1 1 0,-39-27 0,-6 5 55,-2 4 0,-107-45 0,-158-42 253,133 54 13,-98-49 764,171 72-610,83 32-402,33 10-86,-1-1 0,1 0 1,0-1-1,1 0 0,-1 0 0,1-1 0,1-1 0,-14-16 1,-11-22 189,28 39-212,-4-2 79,8 10-88,1-1 1,0 1 0,0 0-1,-1 0 1,1 0 0,0 0-1,0 0 1,-1 0 0,1 0-1,0 0 1,0-1-1,0 1 1,-1 0 0,1 0-1,0 0 1,0 0 0,0-1-1,-1 1 1,1 0 0,0 0-1,0 0 1,0 0-1,0 0 1,0 0 0,0 0-1,-1-1 1,1 1 0,0 0-1,0 0 1,0-1 0,0 1-1,0 0 1,0 0 0,0-1-1,0 1 1,0 0-1,0 0 1,0-1 0,0 1-1,1 0 1,-1 0 0,0-1-1,0 1 1,0 0 0,0 0-1,0-1 1,0 1-1,0 0 1,1 0 0,-1 0-1,0-1 1,0 1 0,0 0-1,1 0 1,0-1-94,0 1 1,0-1-1,0 1 0,0 0 1,0-1-1,1 1 1,-1 0-1,0 0 0,0 0 1,0 0-1,0 0 0,1 0 1,-1 0-1,0 0 1,0 1-1,0-1 0,0 0 1,0 1-1,0-1 0,0 0 1,0 1-1,0 0 1,0-1-1,0 1 0,0-1 1,0 1-1,0 0 0,0 0 1,0 0-1,-1-1 1,2 2-1,5 6-616,-1 0 0,10 18 0,-7-12-1354,10 14-8883</inkml:trace>
  <inkml:trace contextRef="#ctx0" brushRef="#br0" timeOffset="-199987.58">8607 2203 20351,'42'5'-128,"-46"22"128,-1 28 0,4 81 0,2-64 0,13 173 107,-12-219 21,-1 0 0,-1-1 0,-4 33 0,1-95 128,7-99-101,8-99-161,-9 207 6,0-4 0,1-2 0,2 3 0,1-1 0,11-31 0,-12 44 0,-5 15 0,1-1 0,-1 1 0,1-1 0,0 2 0,0-1 0,4-6 0,-5 9 0,0 0 0,0 1 0,0-1 0,0 0 0,1 0 0,-1 0 0,0 0 0,1 0 0,-1 0 0,1 1 0,-1-1 0,1 0 0,-1 1 0,1 0 0,-1-1 0,1 1 0,0 0 0,-1 0 0,1 0 0,-1 0 0,1 0 0,0 0 0,1 0 0,5 2 0,1-1 0,-1 1 0,0 0 0,0 1 0,0-1 0,0 1 0,0 1 0,12 7 0,0 4 0,31 26 0,-39-29 0,0-1 0,1-1 0,0-1 0,0 0 0,1 0 0,26 11 0,-40-19 9,1-1 0,0 0 0,-1 1 0,1-1 0,0 1 0,-1-1 0,1 1 0,0-1 0,-1 1 0,1-1 0,-1 1 0,1 0-1,-1-1 1,0 1 0,1 0 0,-1-1 0,1 1 0,-1 0 0,0-1 0,0 0 0,1 1 0,-1 0 0,0 0 0,0-1 0,0 1 0,0 0-1,0 0 1,0-1 0,0 1 0,0 0 0,0 0 0,0 0 0,-1-1 0,1 1 0,0 0 0,0 0 0,-1-1 0,1 1 0,0 0 0,-1-1-1,1 0 1,-2 2 0,0 2 46,-1 0 0,0 1 0,0-1 0,-1-1 0,1 1-1,-5 4 1,-29 22-145,1 2-1,2 1 0,-50 62 1,79-89-46,0 1 1,1 0-1,0 0 1,1 1-1,-1-2 1,1 2 0,1 0-1,-1 0 1,1 0-1,1 0 1,0 0-1,-1 9 1,3 2-716,1 1 0,1-2 0,0 1 0,10 27 0,14 62-9410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35.7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49 218 18431,'10'36'168,"-2"1"0,-1 0 0,1 42-1,-5 116 425,-3-120-425,-41 846 1219,39-903-1661,1-26-825,2-34-853,-1-4-1332,0-5-6485</inkml:trace>
  <inkml:trace contextRef="#ctx0" brushRef="#br0" timeOffset="463.47">0 17 17919,'5'40'22,"0"-52"254,-1-12-40,-4 3 254,1 23-473,0 0 0,1-1 0,-1 0-1,0 0 1,1 1 0,-1-1 0,1 1 0,0-1-1,-1 0 1,1 0 0,0 0 0,0 0-1,0 0 1,2 0 0,1 1-13,26 14 4,0 1-1,39 28 0,-8 4 101,95 95 0,-126-109-83,-1 0 0,-2 1 0,-2 1 0,27 52 0,-41-64 26,-2-1-1,-1 1 1,-1-1 0,-1 2-1,-2-1 1,0 1 0,1 50-1,-8-60 31,0 0 0,0-1-1,-2 1 1,0-1 0,-13 30-1,16-44-73,-2 6 9,-1-1-1,0 1 1,0-1 0,-1 0-1,0 1 1,0-2 0,-1 1-1,1-1 1,-1 0 0,-1 0-1,1-1 1,-1 1 0,0-1-1,0-1 1,-9 5 0,1-2 6,-1 1 0,0-2 0,0 0 0,0-1 0,-1-1 0,-24 2 0,27-4-210,0-1-1,0-1 0,0 0 1,0-1-1,0 0 0,0-1 1,-14-5-1,4 0-996,1-1-1,0-2 1,-25-13 0,17 7-8564</inkml:trace>
  <inkml:trace contextRef="#ctx0" brushRef="#br0" timeOffset="967.28">1235 1214 20095,'19'-5'0,"0"0"0,0 1 0,1 1 0,-1 0 0,27 0 0,-13 5 2,0 2 0,63 12 0,62 27-19,-126-34 7,10 3-162,59 18-735,-33-13-3774</inkml:trace>
  <inkml:trace contextRef="#ctx0" brushRef="#br0" timeOffset="1313.62">1274 591 19199,'48'65'0,"-52"-68"22,-17-23-67,20 26 54,0-1 1,0 1 0,1-1-1,-1 0 1,1 0 0,-1 0-1,1 0 1,-1 0 0,1 0-1,0 0 1,-1 0 0,1 0-1,0 0 1,0 0-1,0 1 1,-1-1 0,1 0-1,0 0 1,1 0 0,-1 0-1,0 0 1,0 0 0,0 0-1,0 0 1,1 0-1,-1 0 1,1 0 0,-1 0-1,3 0 28,0 0 0,0-1 0,0 1 0,0 0 0,0 0 0,1 1 0,-1-1 0,0 1 0,6-1 0,-7 1-23,41 0 153,-1 1-1,1 2 1,66 13-1,-58-9-64,265 36-166,-299-40-563,0-1 0,0 2 0,0 1 0,27 11-1,5 6-11275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49.98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224 261 17535,'18'7'-2,"-18"-7"2,0 0 0,0 0 0,0 0 0,0 0 0,0 0 0,0 0 0,0 0 0,0-1 0,0 1 0,-1 0 0,1 0 0,0 0 0,0 0 0,0 0 0,0 0 0,0 0-1,0 0 1,0 0 0,0 0 0,0 0 0,0 0 0,0 0 0,0 0 0,1-1 0,-1 1 0,0 0 0,0 0 0,0 0 0,0 0 0,0 0 0,0 0 0,0 0 0,0 0 0,0 0 0,0 0 0,0 0 0,0 0-1,0 0 1,0 0 0,0 0 0,0 0 0,0 0 0,0 0 0,0 0 0,0 0 0,1-1 0,-1 1 0,0 0 0,0 0 0,0 0 0,0 0 0,0 0 0,0 0 0,0 0 0,0 0 0,0 0 0,0 0 0,0 0-1,0 0 1,0 1 0,0-1 0,1 0 0,-14-13 14,12 12-1,-8-5-52,4 3 171,1-1 0,-1 1 0,0 1 0,0-1 0,-8-3 0,11 6-101,1 0 0,-1-1 0,1 1 0,0 0 0,-1 0 0,1 0 0,-1 0 0,1 0 0,-1 0 0,1 1 0,0-1 0,-1 0 0,1 1 0,-1-1 0,1 1 0,0-1 0,0 1 0,-1 0 0,1-1 0,0 1 0,0 0 0,0 0 0,0 0 0,0 0 0,0 0 0,0 0 0,-1 2 0,-4 4 13,2 1 0,-1-1-1,1 1 1,0 1 0,1-1 0,-4 13-1,-11 57 148,15-64-155,-26 223 679,14-80-406,-1-41-193,-12 117 238,23-170-152,8 114 1,-3-172-185,1 0 1,-1-1-1,1 1 1,0-1-1,1 1 1,1 5-1,-2-9-13,-1-1-1,0 1 0,0-1 1,1 1-1,-1-1 1,0 1-1,1-1 1,-1 0-1,0 1 1,1-1-1,-1 1 1,1-1-1,-1 0 1,1 0-1,-1 1 1,1-1-1,-1 0 0,1 0 1,-1 0-1,1 1 1,-1-1-1,1 0 1,0 0-1,0 0 0,0 0 0,0-1 0,0 1 0,0 0 0,0-1 0,0 1 0,0-1-1,0 1 1,0-1 0,0 0 0,0 1 0,0-1 0,0 0 0,0 0 0,1-1 0,21-26 107,29-43 1,-28 37-79,151-231 139,-9 13 40,-120 185-91,-3-3-1,54-121 1,-104 248 7,-14 26-128,10-39 0,-8 51 0,6 48 0,-5 41 0,13-136 0,1 93 0,3-103 0,-2-1 0,-2 0 0,-14 57 0,13-74-81,6-26-145,0 5 43,3-8-195,1 0 0,0 0 0,0 0 0,1 1 0,0 0 0,1 0 0,0 0 1,0 1-1,9-9 0,22-31-2904,-12 8-7214</inkml:trace>
  <inkml:trace contextRef="#ctx0" brushRef="#br0" timeOffset="737.68">897 26 19711,'2'8'0,"-2"-6"0,1 0 0,-1-1 0,0 1 0,1-1 0,-1 1 0,1 0 0,-1-1 0,1 1 0,0-1 0,0 0 0,0 1 0,0-1 0,0 0 0,1 2 0,6-27 256,-7 22-233,1-1-1,-1 1 0,1 0 1,0 0-1,-1 0 0,1 0 1,0 1-1,0-1 0,0 0 1,1 1-1,-1-1 0,0 1 1,0 0-1,1 0 0,-1 0 1,1 0-1,-1 0 0,1 1 1,4-2-1,5 1 14,-1 0 1,1 0-1,13 2 1,-18-1-11,14 2 5,-1-1-1,0 2 1,0 1 0,0 1-1,19 6 1,-25-6 22,-1 1 0,0 0 0,0 1 0,0 0 0,-1 1 0,0 0 0,-1 1 0,13 12 0,-21-17-21,1 1 0,-1-1 1,0 1-1,0 0 0,0 0 0,-1 0 0,1 1 0,-1-1 0,-1 1 0,1-1 0,-1 1 0,1 8 0,-1-3 9,0 0 0,0 0-1,-2 0 1,1 1 0,-4 16 0,-3-4 0,-1 1-1,-2-1 1,0-1 0,-1 0 0,-22 33 0,0 3-52,19-36 11,-1 0 0,-24 28 0,20-28 0,14-15 0,0 0 0,1 1 0,-7 13 0,7-13 0,0 0 0,0 0 0,-8 10 0,11-17 0,1 0 0,-1 0 0,1 0 0,0 0 0,-1 1 0,1-1 0,0 0 0,0 0 0,1 0 0,-1 0 0,0 0 0,1 1 0,-1-1 0,1 0 0,0 0 0,0 0 0,2 3 0,1-2 0,1 0 0,-1 0 0,1 0 0,0-1 0,0 0 0,0 0 0,0-1 0,1 1 0,5 0 0,26 9 0,66 43 54,-77-39-41,1-1 0,0 0 1,40 12-1,-1-2-761,-21-1-3432,-10-4-7382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6.5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369 4440 14976,'0'0'384,"-3"5"-256,0 4-63,-1 1 1,2 0-1,-1-1 1,2 1-1,-1-1 1,1 1-1,0-1 1,1 2-1,0-1 1,1-1-1,0 1 1,0-1-1,6 19 1,-5-19 68,0-1 0,2 1 0,-1-1 0,8 15 0,-9-19-74,1-1 0,-1 0 1,1 0-1,0-1 0,0 1 1,0-1-1,0 1 0,1-1 1,-1 0-1,1 0 0,-1-1 1,1 1-1,4 1 0,6 1 94,0-1 0,1 0 0,-1 0 0,1-2 0,-1 0 0,1-1 0,-1 0 0,26-4 0,-3 1 18,137 5 397,-101 0-498,332 41 276,-180-14-332,-180-25-15,468 33 0,119-58 0,-443 8 0,81-7 0,-165 8 0,152-13 0,-25 16 0,340-30 0,-391 11 0,123-20 0,-239 34 0,-1-1 0,-1-3 0,-1-3 0,95-47 0,-108 43 0,-11 8 0,0-3 0,41-29 0,-56 31 0,90-60 0,-67 49 0,0-2 0,59-52 0,-79 59 0,-2-2 0,0 0 0,-2 0 0,38-62 0,10-41 0,67-175 0,-117 256-25,-3-1-1,-2 0 1,-2 0-1,6-54 0,-12 55 26,17-159 0,-22 170 0,-2-2 0,-1 1 0,-9-57 0,-2 37 71,-3 0-1,-2 1 0,-2 0 0,-3 3 1,-30-57-1,-10 0 295,-101-137 0,133 206-305,-15-23 102,-104-114 0,1 45 50,18 18-40,-121-94 113,-15 24-164,-122-55 106,84 53-92,295 183-135,-237-148 0,-8 19 0,110 71 0,-2 7 0,-3 6 0,-2 8 0,-1 5 0,-2 8 0,-193-12 0,239 37 0,-159 16 0,-98 40 0,287-34 0,1 6 0,-80 34 0,43-16 0,63-24 0,0 3 0,-92 51 0,84-33-21,2 3 0,-72 70-1,-89 113-42,164-163 23,3 2 1,-53 85-1,71-95 2,3 3 0,2 0 1,-27 83-1,31-65-25,3 2 0,3 0 0,-12 136 0,1 78-99,-3 27 85,25-2 84,11-129-6,5 78 0,-6-229 0,8 144 0,-10-129 0,12 87 0,5 0 0,-1 179 0,-16-282 0,2 48 0,2-1 0,5 2 0,3-2 0,41 142 0,-50-212 6,1-1 0,0 0 0,0-1 0,1 1 0,1-1 0,0 1 0,0-2 0,1 0 0,15 15 0,-10-13 16,2 1 0,-1-2 0,1 0 0,1-1 0,30 13 0,0-5 26,0-3 0,1-2 0,92 11 0,-57-11-42,341 40 133,3-21-28,-389-30-117,358 3-542,-345-10-81,-29 2-2113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38.46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102 719 20735,'13'319'281,"-13"-204"-178,-3 143 356,-44 284 0,44-516-432,-1 4-29,-1-1 0,-10 37 0,7-51-621,8-15 588,0 0-1,0 1 1,0-1-1,0 0 1,0 0-1,-1 0 0,1 0 1,0 0-1,0 0 1,0 1-1,0-1 1,0 0-1,-1 0 1,1 0-1,0 0 1,0 0-1,0 0 1,-1 0-1,1 0 0,0 0 1,0 0-1,0 0 1,0 0-1,-1 0 1,1 0-1,0 0 1,0 0-1,0 0 1,-1 0-1,1 0 1,0 0-1,0 0 1,0 0-1,-1 0 0,1 0 1,0 0-1,0 0 1,0-1-1,-2 0-111,1-1 0,0 0 0,0 0-1,1 1 1,-1 0 0,0-1-1,0 0 1,1 0 0,0 0 0,-1 0-1,1-3 1,-6-41-2690,-3-20-7232</inkml:trace>
  <inkml:trace contextRef="#ctx0" brushRef="#br0" timeOffset="448.6">21 127 18943,'6'-14'0,"2"2"0,16-24 0,-20 32 0,0-1 0,1 1 0,-1-1 0,1 2 0,0-1 0,0 0 0,0 1 0,0 0 0,1 0 0,6-3 0,-2 2 2,0 0-1,1 1 1,-1 1-1,1 0 1,-1 0-1,1 1 0,0 0 1,-1 0-1,1 1 1,0 0-1,0 1 0,-1 1 1,1-1-1,17 5 1,-1 6 97,0-1 1,0 1-1,-2 3 1,1-1 0,-2 2-1,0 1 1,-2 1-1,0 0 1,-1 1-1,0 2 1,-2 0-1,-1 2 1,-1-1-1,27 47 1,-31-43-7,-1 1 0,0 0 1,-3 1-1,0-1 0,-2 2 0,-1 0 1,3 40-1,-8-50-18,-1-1 1,-1 0 0,-1 1-1,-1-1 1,-7 26 0,6-32-37,0 1 1,-1-1 0,-1-1 0,0 1-1,0-1 1,-2 0 0,1 0 0,-14 14-1,13-17-14,0-2 0,-1 1 0,0 0-1,0-1 1,0 0 0,-1-1 0,0 0-1,0-1 1,0 1 0,0-2 0,-1 0-1,0 0 1,0-1 0,1 0 0,-2 0-1,1-1 1,0-1 0,0 0 0,0 0-1,0-1 1,0 0 0,0-1 0,0-1-1,-15-3 1,1-3 52,-43-19 0,59 23-632,-1-1-1,1 1 1,0-2 0,0 1 0,1-1 0,0-1-1,-12-13 1,-14-16-11775</inkml:trace>
  <inkml:trace contextRef="#ctx0" brushRef="#br0" timeOffset="1132.08">1350 1326 20223,'43'-2'0,"1"2"0,81 9 0,82 27 0,-139-22 0,-47-10-49,0 0 0,-1-2 0,1 0 0,27-2 0,-42 0-196,0 0 0,-1-1-1,1 0 1,-1 0 0,1 0-1,-1-1 1,0 0 0,0 0-1,0 0 1,0-1 0,0 1-1,0 0 1,0-1 0,-1-1-1,0 1 1,0-1 0,0 1-1,0-1 1,0 0 0,5-8-1,7-12-9716</inkml:trace>
  <inkml:trace contextRef="#ctx0" brushRef="#br0" timeOffset="1395.16">1391 841 20479,'0'0'256,"31"-5"-256,-1 0 0,11-2 0,4 3 0,10 1-128,4 3 128,9 4-1664,-4 1 128,0 2 257,-6-1-1,0-1-9088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3:40.8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42 690 19711,'6'17'3,"0"0"-1,0-1 1,-2 1-1,0 0 0,-1 0 1,-1 0-1,-1 0 0,-2 35 1,4 387 741,5-194-592,16 124 189,-22-339-307,-2-25-381,1-19-833,16-97-4303,-9 62-3903</inkml:trace>
  <inkml:trace contextRef="#ctx0" brushRef="#br0" timeOffset="668.8">1 479 18431,'21'-28'2,"-13"17"-3,0 1 0,1-1 0,11-10 0,-16 19 3,0-2 0,1 1 0,-1 0 0,1 0 0,0 0 0,0 1 0,0 0 0,0 0 0,0 0 0,1 1 0,6-2 0,5 1 47,0 1-1,-1 0 1,1 1 0,0 1 0,0 0-1,0 2 1,16 4 0,15 4 119,52 20-1,-67-18-88,0 0 0,57 34 1,-75-38-50,-1 0 1,0 1-1,-1 1 1,0 0-1,-1 0 1,0 2-1,-1-1 1,10 16-1,-15-19-6,-2 2 1,1-2-1,-1 2 0,-1-1 0,0 1 1,0-1-1,-1 1 0,-1 0 0,0-1 1,-1 21-1,-1-5 69,-1-1 0,-2 2 1,-9 33-1,10-50-72,0 0-1,-1-1 1,0 1-1,0-2 1,-1 2-1,0-2 1,-1 1-1,0-2 1,-11 13-1,6-9 31,-1-1 1,0 0-1,0-2 0,-1 1 0,-25 13 0,36-22-45,-13 7 44,0 1-1,1 1 0,0 0 0,-25 21 0,36-28-48,0 1-1,1-1 1,-1 1 0,1 0 0,0 0 0,0 0 0,0 0 0,0 0-1,1 0 1,-1 1 0,1-1 0,0 1 0,0-1 0,0 0 0,0 1-1,1 0 1,0-1 0,-1 1 0,1-1 0,1 1 0,-1-1 0,0 1-1,1 0 1,0-2 0,0 2 0,0-1 0,0 1 0,1-1 0,2 5-1,5 6 0,0-1 0,1-1 0,16 17 0,1 1 0,253 310 0,-241-291 17,-25-29 6,2 0-1,0-1 1,24 21-1,-22-23 108,-18-16-232,0-1 1,1 0 0,-1 0-1,0 1 1,1-1 0,-1 0-1,0 0 1,1 1-1,-1-1 1,0 1 0,0-1-1,1 0 1,-1 1 0,0-1-1,0 0 1,0 1 0,0-1-1,1 1 1,-1-1-1,0 0 1,0 1 0,0-1-1,0 1 1,0-1 0,0 1-1,0-1 1,0 0 0,0 1-1,0-1 1,-1 1-1,1-1 1,0 0 0,0 0-1,0 0 1,0 1 0,-1-1-1,1 0 1,0 1-1,0-1 1,-1 0 0,1 1-1,0-1 1,-1 0 0,1 1-1,0-1 1,-1 0 0,1 1-1</inkml:trace>
  <inkml:trace contextRef="#ctx0" brushRef="#br0" timeOffset="1097.09">1542 1083 21631,'0'0'0,"25"-1"-2944,-3-3 1152,4 0 641,24-3-9473</inkml:trace>
  <inkml:trace contextRef="#ctx0" brushRef="#br0" timeOffset="1614.1">2357 558 21503,'-4'77'0,"4"0"0,15 115 0,0 4 0,-21 371 0,4-541-11,-8 91-285,8-100 198,-1-2 0,-1 0 0,0 0 0,-1 0 0,-10 19-1,15-33 53,0-1-1,0 0 0,0 1 1,0-1-1,0 0 0,0 1 1,-1-1-1,1 0 0,0 1 1,0-1-1,0 0 0,-1 0 1,1 0-1,0 0 1,0 0-1,-1 1 0,1-1 1,0 0-1,-1 0 0,1 1 1,0-1-1,-1 0 0,1 0 1,0 0-1,-1 0 0,1 1 1,0-1-1,-1 0 0,1 0 1,0 0-1,-1 0 0,-7-9-3515</inkml:trace>
  <inkml:trace contextRef="#ctx0" brushRef="#br0" timeOffset="1983.45">1715 379 19967,'35'34'150,"-36"-35"-140,1 1 0,0 0 0,0-1 0,0 1 0,0 0 0,-1-1 0,1 1 0,0 0 0,0 0 0,0-1 0,0 1 0,0 0 0,0-1 0,0 1 0,0 0 0,0-1 0,0 1 0,0 0 0,0-1 0,0 1 0,1 0 0,-1-1 1,0 1-1,0 0 0,0-1 0,0 1 0,0 0 0,1 0 0,-1-1 0,0 1 0,0 0 0,0 0 0,1-1 0,-1 1 0,0 0 0,0 0 0,1 0 0,-1-1 0,0 1 0,1 0 0,-1 0 0,0 0 0,1 0 0,-1 0 0,1 0 0,15-6 126,20-2-89,2 1 1,-1 2-1,1 1 0,74 3 1,156 26 334,-38-3-212,92-26-2618,-272 2 758,3-1-10171</inkml:trace>
  <inkml:trace contextRef="#ctx0" brushRef="#br0" timeOffset="2447.84">1632 2050 20095,'4'2'24,"0"1"0,-1-1 0,1 0-1,0-1 1,0 1 0,0-1 0,0 1-1,0-1 1,1 0 0,5 1 0,-2-2 35,0 0 1,0 0-1,0-1 1,0 0-1,9-2 1,10-4 35,0-2 0,0 0 0,42-22 0,-41 18-51,0 1-1,1 1 1,35-8 0,202-23-16,-9 3-5709,-145 17-4559</inkml:trace>
  <inkml:trace contextRef="#ctx0" brushRef="#br0" timeOffset="3078.89">3136 1 21759,'79'2'0,"-35"-2"0,68 9 0,-84-5 16,0 2 0,0 0 0,33 13 0,-53-17-12,0 2 0,0 0 0,0 0 0,-1 1 0,0-2 0,0 3 0,0-1 0,0 1 0,-1-1 0,0 2 0,0-1 0,-1 0 0,0 2 0,0-1 0,4 8 0,-4-7-5,0 2 0,-1-1 0,0 1 0,-1-1 0,0 1 0,0 0-1,-1 0 1,0 0 0,-1 0 0,0 0 0,-1 1 0,-1-1 0,1 0 0,-1 0-1,-1 1 1,0-2 0,-1 1 0,-5 14 0,-13 19-24,-2-1 1,-2 0-1,-41 51 0,26-37 17,22-33 21,13-17-2,0-1-1,0 1 0,1 0 1,0-1-1,1 2 1,-1 0-1,1-2 1,-4 15-1,7-19-6,0 1 1,0-1-1,1 1 1,-1 0-1,0-1 1,1 1-1,-1 0 1,1-1-1,-1 1 0,1-1 1,0 1-1,0-2 1,0 2-1,-1-1 1,2 1-1,-1-1 1,0 0-1,0 0 1,0 1-1,0-1 0,1 0 1,-1 0-1,1 0 1,-1-1-1,0 1 1,1 0-1,0 0 1,-1-1-1,1 1 0,2 0 1,9 2 37,-1 0 0,26 4 0,-35-7-29,31 4-77,0-1 0,-1-3 0,1 0 0,0-1 0,-1-3 0,1-1 0,-1-1 0,0-1 0,-1-2 0,0 0 0,0-3 0,-1-1 0,41-22 0,-61 27-938,0 1-1,18-18 0,15-17-11476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46.70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323 857 23423,'44'-104'-108,"47"-94"-40,-59 138 148,40-71 0,-71 129 0,0-1 0,0 2 0,1-2 0,-1 1 0,0 0 0,1 0 0,0 0 0,-1 0 0,1 0 0,0 0 0,0 0 0,0 1 0,0-1 0,1 1 0,-1-1 0,4-1 0,-6 3 0,1 1 0,-1-1 0,1 1 0,0-1 0,-1 1 0,1-1 0,-1 1 0,1-1 0,-1 1 0,0 0 0,1-1 0,-1 1 0,0 0 0,1-1 0,-1 1 0,0-1 0,0 0 0,1 1 0,-1 0 0,0 0 0,0-1 0,0 1 0,0 0 0,0 0 0,0-1 0,0 1 0,-1 1 0,1-1 0,1 33 0,-3 0 0,-8 48 0,2-21 0,0 42 0,5 2 0,15 140 0,-12-240-1,1 2-153,0-1 0,0 0 0,0 1 0,3 7-1,-2-11-207,-1 0 0,1 0-1,0-1 1,0 1 0,0 0-1,0-1 1,1 0 0,-1 1-1,1-1 1,0 0 0,3 2-1</inkml:trace>
  <inkml:trace contextRef="#ctx0" brushRef="#br0" timeOffset="1478.7">141 0 18047,'-15'23'-2,"5"-8"10,-1 2 0,-13 30 0,-1 2 311,20-41-258,0 0 0,0 1 0,1-1 0,1 1 0,-1 0 0,-1 11 0,5-19-58,-7 43 259,2-1 0,1 47 1,0 37 581,0-4-263,5-104-491,0-1 1,2 1-1,1-1 1,9 30-1,5-4 49,2 0-1,2-1 1,50 72 0,-48-79-64,-16-23-30,1 1 0,1-1 0,20 21 1,-29-33-40,0 0-1,0 0 1,1 0 0,-1 0 0,0 0 0,0 0 0,0 0 0,1 0-1,-1 0 1,1-1 0,-1 0 0,1 1 0,-1-1 0,0 1 0,1-1 0,0 0-1,-1 1 1,1-1 0,-1 0 0,1 0 0,-1 0 0,1 0 0,2-1 0,-2 0 1,0 1 1,0-1 0,0 0 0,0 0 0,-1 0 0,1-1 0,0 1-1,0-1 1,-1 1 0,1-1 0,-1 1 0,1 0 0,-1-1 0,2-3-1,3-6 18,0 1 1,-1-1-1,0-1 0,3-15 0,50-226 278,-39 157-244,-3 40-59,2 0 0,39-80 0,16-46 0,-53 118 0,-21 57 0,0 10 0,2 8 0,-1-1 0,0 1 0,-1 0 0,0-1 0,-5 19 0,0 7 0,-3 13-4,4-25 17,-1 33 0,25 279 216,-1-104-117,3-66 31,-17-139-137,6 11 42,0-24-96,-10-14 43,1 1 0,-1-1 0,0 0 0,1 0-1,-1 0 1,0 0 0,1 0 0,-1 1 0,1-1-1,-1 0 1,0 0 0,1 0 0,-1 0 0,1 0-1,-1 0 1,0 0 0,1 0 0,-1 0 0,0-1-1,1 1 1,-1 0 0,1 0 0,-1 0 0,0 0 0,1 0-1,-1-1 1,0 1 0,1 0 0,-1 0 0,0-1-1,1 1 1,-1 0 0,0 0 0,0-1 0,1 1-1,-1 0 1,65-70-2875,-41 47-128</inkml:trace>
  <inkml:trace contextRef="#ctx0" brushRef="#br0" timeOffset="2302.86">1251 847 18687,'0'0'918,"7"3"-705,232 92 832,-207-82-842,63 17 0,-93-30-228,-1 1 1,1-1-1,-1 0 1,1 1-1,0-1 1,-1 0-1,1 0 1,-1 0-1,1 0 1,-1-1-1,1 1 1,0 0-1,-1-1 1,1 1-1,-1-1 1,1 1-1,-1-1 1,0 1-1,1 0 1,-1-1-1,1 0 1,-1 0-1,0 0 1,0 0-1,0 0 1,0 0-1,0-1 1,0 1-1,0 1 1,0-1 0,0-1-1,0 1 1,-1-1-1,1 1 1,0-2-1,2-4-752,-2 0-1,1 0 1,-1 0-1,0 1 1,0-15-1</inkml:trace>
  <inkml:trace contextRef="#ctx0" brushRef="#br0" timeOffset="2617.71">1280 495 19327,'0'0'1024,"7"2"-917,16 2-122,0-2-1,1 0 0,0 0 1,-1-2-1,1-1 1,0-1-1,-1-1 1,0 0-1,1-2 1,36-12-1,-34 9-1541,33-8 0,-14 7-10240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5:52.56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0 201 15104,'6'-3'-107,"10"-5"183,1 2 1,0 0-1,1 2 1,0-1-1,0 1 1,0 2-1,34-2 1,-28 3 70,-1 2 0,0 0 1,1 2-1,-1-1 0,0 3 0,22 6 0,-30-5-58,-1-1-1,0 2 0,-1-1 0,1 2 0,-1 0 0,-1 0 0,14 14 0,-7-6 56,-1 0 0,-1 2 0,23 32-1,-35-43-115,-1 0 1,0 1-1,-1-1 0,0 0 0,0 1 0,-1 0 0,0 0 0,0 0 0,-1-1 0,0 2 0,-1 8 0,-1 8 73,-1 0 0,-6 30 0,2-30-42,0-2-1,-2 0 0,-1 0 0,-1 0 0,-2-1 1,0-1-1,-1 1 0,-1-2 0,-1 0 0,-33 33 0,26-33 27,0-2-1,-1-1 1,-35 20-1,0 1 69,50-31-114,0-1-1,0 0 1,-8 10 0,14-14-31,0 0 1,0 1 0,0 0 0,0-1 0,0 1-1,1-1 1,0 1 0,-1 0 0,1 1-1,0-1 1,0-1 0,1 1 0,-1 6-1,1-9-8,0 2 0,0-1 0,1 1 0,-1-1 0,1 1 0,-1-1 0,1 1 0,0-1 0,-1 0 0,1 0 0,0 0 0,0 0 0,0 0 0,0 0 0,0 0 0,0 0 0,1 0 0,1 2 0,27 13 0,-24-13 0,66 30 0,1-4 0,82 23 0,-103-40 0,-40-10 0,1 0 0,-1 2 0,22 7 0,-30-8-106,0 1-1,0-1 1,0 1-1,0 0 1,0-1-1,5 9 1,-3-5-151,13 21-3199,-3-4-6933</inkml:trace>
  <inkml:trace contextRef="#ctx0" brushRef="#br0" timeOffset="974.45">957 219 18815,'25'-7'111,"0"0"0,1 2-1,50-5 1,-59 9-52,0 1 1,0 0-1,-1 1 0,1 0 1,0 1-1,0 1 0,19 6 1,-29-6-33,1 1-1,-1 0 1,0-1 0,0 2 0,-1 0 0,0-1-1,0 2 1,0-2 0,0 2 0,-1 0 0,6 8 0,2 4 79,-1 0 0,17 35 0,-26-46-78,0 1-1,0 1 1,-1-1 0,0 1 0,-1 0-1,0-1 1,-1 1 0,1-1 0,-2 1 0,1 0-1,-1-1 1,-1 1 0,-3 10 0,2-9 69,-1 1 1,0-1 0,0 1-1,-1-1 1,-1-1 0,0 1-1,-1 0 1,1-1-1,-17 15 1,23-23-97,0-1-1,-1 0 1,1 1-1,0-1 1,0 0 0,0 1-1,0-1 1,0 1-1,0-1 1,0 0 0,0 1-1,0-1 1,0 0-1,0 1 1,0-1 0,0 1-1,0-1 1,0 0-1,0 1 1,0-1 0,0 0-1,1 0 1,-1 0-1,0 0 1,0 1 0,0-1-1,1 0 1,-1 1-1,0-1 1,0 0 0,1 1-1,-1-1 1,0 0-1,1 0 1,-1 0 0,0 1-1,1-1 1,-1 0-1,0 0 1,1 0 0,-1 1-1,26 12 0,-6-3-4,27 16 4,-23-12 0,25 17 0,-42-26 0,0 0 0,0 2 0,0-2 0,-1 2 0,0-1 0,-1 2 0,7 8 0,-7-7 0,-1-2 0,0 1 0,0 0 0,-1 0 0,2 12 0,-5-16 0,1-2 0,-1 1 0,0 0 0,1 1 0,-2-2 0,1 1 0,0 1 0,-1-1 0,1-1 0,-1 1 0,0 1 0,1-1 0,-1 0 0,-1-1 0,1 1 0,-1 0 0,0-1 0,-2 4 0,-2 0 16,0 0-1,0 0 1,-1 0-1,0-1 0,0 0 1,0-1-1,-9 6 1,-59 20 223,11-4-90,53-20-583,-39 16 1484,46-21-2059,0 0 0,0 1-1,0-1 1,-1-1 0,-7 2-1</inkml:trace>
  <inkml:trace contextRef="#ctx0" brushRef="#br0" timeOffset="1787.59">2321 435 17279,'5'-4'1,"0"0"0,0 1 0,-1-1 0,1-1 0,-1 2 0,0-2 0,0 0 0,-1 0 0,0 0 0,1 0 0,-2 0 0,1-1 0,-1 2-1,0-2 1,0 0 0,0 0 0,-1 0 0,0 1 0,0-1 0,-1 1 0,0-2 0,0-9 0,-2 3 40,2 1 49,-2 1 1,-4-20-1,5 29-63,0-2 0,0 1 0,0 0 1,-1 1-1,1-1 0,-1 0 0,1 0 0,-1 1 0,0 0 1,0-1-1,-1 1 0,1 0 0,0-1 0,-1 1 0,-4-2 0,-3-2 39,-1 2-1,1-1 1,-1 1-1,-1 1 0,1 0 1,0 0-1,-1 0 0,-23-1 1,28 4-48,0 0 0,0 0-1,0 0 1,-1 1 0,1 0 0,0 1 0,0 0 0,0 0 0,0 0 0,1 1 0,-1-1 0,1 1-1,-1 1 1,1-1 0,-11 9 0,8-4-16,1 0 0,0 2 1,0-1-1,1 1 0,1-1 0,0 2 0,0-1 1,1 1-1,0-1 0,1 1 0,-4 19 0,-2 15-4,-5 76 0,10-69 1,0 6 52,2 63 0,5-89-18,1 1 0,1-1 1,15 49-1,-19-77-18,1-1 0,0 0 0,1 0-1,-1 0 1,1 0 0,-1 0 0,1-1 0,3 5 0,-4-5-3,1-1 1,-1 0-1,1 0 1,-1-1-1,0 1 1,1 0-1,-1-1 1,1 1-1,0 0 1,-1-1-1,1 1 1,0-1-1,-1 1 1,1-1 0,0 0-1,-1 0 1,1 0-1,0 0 1,2 0-1,3-1 18,-1 0 0,0 0 0,1 0 1,-1-1-1,0 1 0,0-1 0,0-1 0,0 0 0,-1 0 0,1 1 0,-1-2 1,1 0-1,-1 0 0,-1 1 0,1-1 0,7-9 0,3-5 95,-1 0 0,-1-2 0,12-23 0,-16 28-92,-3 4 11,-1-1-1,0 1 0,-1-1 1,0 0-1,3-19 0,1-63 82,-4 36-19,-3 51-88,0-2-1,0 2 1,-1-1-1,-1-1 1,1 2-1,-1-2 1,-1 2 0,1 0-1,-1-2 1,-1 2-1,0-1 1,0 1-1,0-1 1,-1 1 0,0 0-1,-6-7 1,-9-11 5,-6-9-131,6 14-3861</inkml:trace>
  <inkml:trace contextRef="#ctx0" brushRef="#br0" timeOffset="2568.34">2764 39 18303,'-37'26'0,"36"-25"1,1-1-1,-1 1 1,1-1-1,-1 1 1,1-1-1,-1 0 1,1 1-1,-1-1 1,1 0-1,-1 1 1,0-1-1,1 0 1,-1 0-1,1 0 1,-1 1-1,0-1 1,1 0-1,-1 0 1,0 0-1,1 0 1,-1 0-1,0 0 1,1 0-1,-1 0 1,0-1-1,1 1 1,-1 0-1,1 0 1,-1 0-1,0-1 1,1 1-1,-1 0 1,1-1-1,-1 1 1,1 0-1,-1-1 1,1 1-1,-1-1 1,1 1-1,-1-1 1,1 1-1,-1-2 1,-4 24 212,2-2-164,1-1 0,1 2-1,1-1 1,2 0 0,-1 0 0,2 0 0,6 20-1,50 134 358,-47-142-285,-7-17-71,10 25 282,1-1 0,28 46 0,-43-83-303,0 0 1,0-1-1,0 1 1,0 0-1,0-1 1,1 0-1,-1 0 1,1 1-1,-1-1 1,4 2-1,-4-2-13,-1-1-1,1 0 1,-1 0-1,1 0 1,-1 1-1,1-1 1,0 0-1,-1 0 1,1 0-1,-1 0 1,1 0-1,0 0 1,-1 0-1,1 0 1,-1-1-1,1 1 1,0 0-1,-1 0 1,1 0-1,-1-1 1,1 1-1,-1 0 1,2-1-1,1-2 43,0 0-1,0 0 0,0-1 1,0 0-1,0 1 0,-1-1 1,3-5-1,-2 2-60,24-36 241,-13 21-59,20-43 1,54-181 414,-63 171-313,8-55-196,-21 97-536,-12 32 350,0 0-1,1 1 0,-1-1 0,0 0 1,0 1-1,1-1 0,-1 0 0,0 1 1,1 0-1,-1 0 0,1-1 0,-1 0 1,1 1-1,-1-1 0,1 1 0,-1-1 1,1 1-1,-1 0 0,1-1 0,0 1 0,-1 0 1,1-1-1,0 1 0,-1 0 0,1 0 1,0-1-1,-1 1 0,1 0 0,0 0 1,0 0-1,-1 0 0,1 0 0,0 0 1,-1 0-1,1 0 0,0 0 0,0 1 1,-1-1-1,1 0 0,0 0 0,-1 1 1,1-1-1,1 1 0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2:51.49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1705 170 19711,'50'-8'0,"-29"7"18,-21 1-18,0 0 1,0 0 0,0 0-1,0 0 1,0 0 0,1 0-1,-1 0 1,0 0-1,0 0 1,0 0 0,0 0-1,0 0 1,0 0 0,0 0-1,0 0 1,0 0 0,0 0-1,1 0 1,-1 0-1,0 0 1,0 0 0,0 1-1,0-1 1,0 0 0,0 0-1,0 0 1,0 0 0,0 0-1,0 0 1,0 0-1,0 0 1,0 0 0,0 0-1,0 1 1,0-1 0,0 0-1,0 0 1,0 0 0,0 0-1,0 0 1,0 0-1,0 0 1,0 0 0,0 1-1,0-1 1,0 0 0,0 0-1,0 0 1,0 0 0,0 0-1,0 0 1,0 0-1,0 0 1,0 0 0,0 0-1,0 1 1,0-1 0,0 0-1,-1 0 1,1 0 0,0 0-1,0 0 1,0 0-1,0 0 1,-21 11 90,-10-5 143,33-9 53,7-4-190,12-5 95,24-16-1,-27 16-55,-1 1-1,25-10 1,4 3 51,1 3 0,1 2 0,0 1-1,1 2 1,95-5 0,-24 10-65,153 13 0,-198-1-62,0 4-1,0 1 1,-1 4 0,130 44 0,93 59 196,-281-114-242,0 1 1,1-2 0,-1 0-1,1-1 1,0-1 0,1 0-1,-1-1 1,33-1 0,-41-1-27,0 0 1,0-1-1,0 1 1,0-1-1,0-1 1,-1 0 0,0 0-1,1 0 1,-1-2-1,-1 2 1,1-2-1,-1 1 1,1-3-1,-2 2 1,1-1 0,-1 1-1,1-2 1,7-10-1,30-54-2589,-28 41-1134</inkml:trace>
  <inkml:trace contextRef="#ctx0" brushRef="#br0" timeOffset="2344.33">2148 595 4096,'0'0'18687,"0"4"-18559,-16 443 380,17-356-504,1 28 57,0-38 26,-16 162 0,13-237-78,-1 7 8,0 0 1,0-1-1,-1 0 1,-1 1 0,0-1-1,-1-1 1,-7 15-1,12-26-17,0 0 0,-1 0 1,1 0-1,0 0 0,0 0 0,-1 0 0,1 0 0,0 0 0,0 0 0,-1 0 0,1 0 1,0 0-1,0 0 0,0 0 0,-1-1 0,1 1 0,0 0 0,0 0 0,-1 0 0,1 0 1,0 0-1,0 0 0,0-1 0,0 1 0,-1 0 0,1 0 0,0 0 0,0 0 0,0-1 0,0 1 1,0 0-1,-1 0 0,1 0 0,0-1 0,0 1 0,0 0 0,0 0 0,0 0 0,0 0 1,0 0-1,0 0 0,0 0 0,0-1 0,0 1 0,0 0 0,0 0 0,0-1 0,0 1 1,0 0-1,-3-15-27,-3-26-223,-1-76 0,13-47-651,-2 79 531,27-298-675,-21 273 931,-9 76 121,3-1 0,0 0 1,19-64-1,-22 97 7,0 1 0,0-1 0,1 0 0,-1 0 0,0-1 0,1 2 0,-1 0 0,1-1 0,0 1 0,0-1 0,0 1 1,0 0-1,-1-1 0,2 1 0,-1 1 0,0-1 0,0 0 0,0 0 0,0 1 0,1-1 0,-1 1 0,0-1 0,1 1 0,-1 0 0,3 0 1,6-1 35,0 1 1,0 0-1,0 1 1,11 3-1,12 0 52,-1 3-1,0 1 0,44 15 1,-46-11-27,40 16 43,-64-24-100,1-1 1,-2 1-1,1 1 1,0-1-1,-1 1 1,0 1-1,6 5 1,4 7 17,0 1 25,-1-3 0,-1 2 0,-1 1 0,13 22 0,-23-34-43,0-1 0,-1 0 0,0 0 0,0 0 0,0 1 0,-1-1 0,0 1 0,0 1 0,-1-2 0,0 1 0,-1-1 0,1 0 0,-1 1 0,0 0 0,-1 1 0,0-3 0,0 1 0,-4 9 0,-5 4 44,0-1 1,-15 20-1,4-8 7,16-22-37,0 0 1,0-1-1,-1 1 1,0-2-1,0 0 1,-1 1-1,0-2 1,0 2-1,-13 5 1,0-3 65,-1 0 0,-42 13-1,51-21-61,10-1-26,0 0 0,-1 1 0,1-1 1,0 1-1,0-1 0,0 1 1,0 0-1,-4 1 0,-8 1-10,12-1 0,2 2 0,4 0 0,3-3 0,-2-4 0,39 33 0,-5 1 0,-30-26 0,0 2 0,0-1 0,13 15 0,-4-1 27,35 29-1,-35-34-7,-1 1 0,-1 0 0,22 27-1,22 61-18,3 4 0,-55-100 30,-1 1 1,2-2-1,-1 0 0,1 1 0,0-1 1,1-1-1,0 1 0,0-2 0,0 1 0,1-1 1,10 4-1,-12-7-21,5 6 259,-13-8-239,0 0 0,1 0 0,-1 0 0,0 0 0,0 1 0,1-1 0,-1 0 0,0 0 0,1 0-1,-1 0 1,0 0 0,1 0 0,-1 0 0,0 0 0,1 0 0,-1 0 0,0 0 0,1 0 0,-1 0 0,0 0 0,1 0-1,-1 0 1,0 0 0,0 0 0,1 0 0,-1-1 0,5 1-212,5 0-3124</inkml:trace>
  <inkml:trace contextRef="#ctx0" brushRef="#br0" timeOffset="191117.34">1834 2673 14464,'-3'24'114,"-1"2"1,2-1-1,1 0 1,2 32 0,19 101 523,-6-60-335,-2-1-164,57 483 277,-57-460-368,61 758-203,-63-715-600,-2-43-2778,-5-78-4509</inkml:trace>
  <inkml:trace contextRef="#ctx0" brushRef="#br0" timeOffset="191719.59">1015 3902 20607,'33'2'0,"57"-4"0,-56 0 0,0 2 0,0 1 0,61 10 0,100 29 0,-81-14 0,493 58 0,-177-30 0,219 73 324,-527-102-285,112 21 115,2-9-1,2-12 1,-1-5-1,296-19 1,-163-41-88,12-31-5077,-371 69 4708,161-32-10683</inkml:trace>
  <inkml:trace contextRef="#ctx0" brushRef="#br0" timeOffset="193435.9">1916 4257 18559,'41'-18'22,"-41"18"-20,-1 0 1,0 0 0,1 1-1,-1-1 1,0 0 0,1 0-1,-1 0 1,0 0 0,0 0-1,1 0 1,-1 0 0,0 0-1,1 0 1,-1 0 0,0 0-1,0 0 1,1-1 0,-1 1-1,0 0 1,1 0 0,-1-1-1,1 1 1,-1 0 0,0-1-1,1 1 1,-1-1 0,0 0-1,0-1 9,0 1-1,0-1 0,0 1 0,1-1 1,-1 0-1,0 1 0,1-1 0,0 1 0,-1-1 1,1 1-1,0-3 0,0-5 31,0 0 1,0 1-1,3-13 0,5-11-41,2-1 0,1-1 0,2 4 0,20-37 0,-18 40 51,2-1 1,1 3-1,1-2 0,35-35 0,102-84 375,-90 89-318,117-125 525,-151 149-541,-12 14-51,1-1-1,1 3 1,0-1-1,2 1 1,34-17 0,-38 22-8,1 3 1,0 0-1,0 2 1,1 1-1,0-1 1,1 3-1,33-5 1,-30 7-30,0 1 1,1 1-1,-1 1 1,-1 1-1,29 5 1,-42-3-6,0-2 1,-1 1 0,1 1-1,-1-1 1,0 2-1,0 0 1,0 0 0,-1 1-1,1 0 1,-2 3 0,1-2-1,-1 0 1,12 13-1,16 25 21,-2 1-1,52 96 1,31 110 71,-15-27 15,-102-221-107,8 10 19,-1 1 0,-1 0 0,0 1 0,-2 0 0,6 22 0,17 113 3,-12-36-21,-13-87 0,0 1 0,2-1 0,1 1 0,2 0 0,16 37 0,-18-54 0,11 25 0,1 0 0,2-4 0,47 65 0,-61-93 0,0 2 0,1-2 0,0 0 0,0 1 0,0-1 0,1-2 0,-1 2 0,1-2 0,0 1 0,17 4 0,5 1 0,56 5 0,-64-11 0,-20-2 0,42 5 79,85 3 1,-117-9-55,0 0 1,0 0-1,1-2 1,-1 0-1,0 0 1,0-1 0,-1 0-1,1-1 1,-1-1-1,0 1 1,0-1-1,13-9 1,58-42 113,80-72-1,-145 109-138,0 1 0,-2-1 0,0-2 0,12-21 0,14-19 0,-14 25 0,-9 14 0,-2 0 0,14-28 0,1-9 79,-2 0-1,29-92 0,-41 59 65,-1 10 98,-14 62-241,38 19-5099,-5-2-6676</inkml:trace>
  <inkml:trace contextRef="#ctx0" brushRef="#br0" timeOffset="197748.73">1165 3229 18815,'29'-12'-21,"0"1"0,1 0-1,0 2 1,1 2 0,0 1-1,0 1 1,1 2 0,-1 0-1,1 2 1,35 3 0,164 21-95,24 4 82,-140-19-19,189-10 0,-71-20-800,174-8-2731,-244 26-5824</inkml:trace>
  <inkml:trace contextRef="#ctx0" brushRef="#br0" timeOffset="199456.48">37 2770 18175,'0'3'107,"-3"9"-41,0 0 0,-9 22 0,9-26-28,-1 1-1,1-1 0,1 2 0,-1-2 0,2 1 1,-1 0-1,1 0 0,1 18 0,2-14-37,1 1-1,0 0 0,1-1 1,0-1-1,1 1 0,1 0 1,9 15-1,-12-23 2,0-2 1,0 3-1,1-2 0,-1-1 0,1 1 0,0 0 1,0-1-1,1 0 0,-1 1 0,1-2 0,-1 1 1,1-1-1,0 1 0,0-1 0,0-1 0,1 1 1,-1 0-1,0-1 0,1 1 0,-1-1 1,11 0-1,-3 0 13,0-1-1,0-1 1,1 0 0,23-7 0,-30 6-11,1 0 1,-1-1-1,0 0 1,-1 0-1,1-1 0,0 0 1,-1 1-1,0-2 1,0 1-1,5-7 0,33-30 76,-2-3-1,44-59 0,-35 40 36,12-17 177,-52 67-34,-11 13-253,0 0 0,0 0 0,0 0 0,0 0 1,1 0-1,-1 0 0,0 0 0,0 0 1,0 0-1,0 0 0,1 0 0,-1 0 0,0 0 1,0 0-1,0 0 0,0 0 0,1 0 1,-1 1-1,0-1 0,0 0 0,0 0 0,0 0 1,0 0-1,1 0 0,-1 0 0,0 0 1,0 1-1,0-1 0,0 0 0,0 0 0,0 0 1,0 0-1,0 0 0,0 2 0,1-2 1,-1 0-1,0 0 0,0 0 0,0 0 0,0 1 1,0-1-1,0 0 0,0 0 0,0 2 10,0 0 0,0 0-1,0 0 1,-1 1-1,1-2 1,0 1 0,-1 0-1,0 0 1,1 0-1,-1 0 1,0-1-1,-2 4 1,-5 9 30,-4 5 46,-18 37 0,28-51-86,0 0 0,0 0 0,0 1 0,1-1 0,0 2 0,0-2 1,1 1-1,-1-1 0,1 1 0,1-1 0,-1 1 0,3 8 0,2 5-21,-1 0-1,-1 2 0,0-2 0,-2 2 0,-2 35 1,1-51-102,-1-1 1,1 1-1,1 0 1,-1-1-1,1 1 1,0-1-1,0 2 1,0-2-1,1 0 1,3 9-1,-1-7-851,1 1 0,-1-1 0,10 10 0</inkml:trace>
  <inkml:trace contextRef="#ctx0" brushRef="#br0" timeOffset="202377.42">3186 2893 12160,'0'0'-363,"0"4"64,-2 18-62,-1 0-1,-1 0 0,-1 0 0,-1-1 1,-2 0-1,-11 25 0,6-14-142,-18 69-1,26-79 450,2 1-1,1-1 1,1 0-1,2 24 1,25 130-378,-6-68-30,24 321-1626,-24-194 765,6 13-383</inkml:trace>
  <inkml:trace contextRef="#ctx0" brushRef="#br0" timeOffset="204453.94">72 2188 18303,'0'0'2048,"2"-5"-1941,-2 4-107,24-56 150,-21 52-126,0-1-1,0 0 0,0 2 1,1-1-1,0 1 1,0-1-1,1 1 0,-1 0 1,9-7-1,179-119 233,-163 109-251,1 2 1,1 0-1,57-23 0,-87 42-5,0-1 0,1 0 0,-1 1 0,0 0 0,1-2 0,-1 2 0,1 0 0,-1-1 0,1 1 0,-1 0 0,1 0 0,-1 0 0,1 1 0,-1-1 0,0 0 0,1 2 0,-1-2 0,1 0 0,-1 1 0,0 0 0,1-1 0,1 2 0,0 0 0,-1 0 0,1 0 0,0 0 0,-1 1 0,0 0 0,1-1 0,-1 0 0,0 1 0,1 4 0,2 1 0,-1 1 0,-1 0 0,0-1 0,0 0 0,-1 2 0,2 12 0,1 72 0,4 37 0,12 80 256,-21-208-297,0 0-1,0 0 0,0-1 0,1 1 1,0 0-1,-1 0 0,1-2 1,0 3-1,0-1 0,1-1 0,2 5 1,-3-6-21,1 0 1,-1 2 0,1-2 0,-1 0 0,1 0-1,-1-1 1,1 0 0,0 1 0,-1-1-1,1 1 1,0-1 0,0 1 0,-1-1 0,1 0-1,0 1 1,0-1 0,0 0 0,2-1-1,13 1-2754</inkml:trace>
  <inkml:trace contextRef="#ctx0" brushRef="#br0" timeOffset="-210932.31">5433 2700 16639,'-1'4'-106,"-46"126"82,32-82 26,1-5 130,3 1-1,1 0 0,3 1 0,1-2 0,3 2 0,4 72 0,0-107-70,1-1 0,0 0 1,0 0-1,0 1 0,2-1 1,-1 0-1,8 12 0,-10-20-50,-1 1 0,1-1 0,-1 0 0,1 0 0,-1 0 0,1-1 0,0 1 0,0 0 0,-1-1 0,1 1 0,0 0 0,0-1 0,0 1 0,0-1 0,0 0 0,0 0 0,0 0 0,0 1 0,0-1 0,0 0 0,0 1 0,0-1 0,0 0 0,0 0 0,0 0-1,0 0 1,0 0 0,0 0 0,0-1 0,0 1 0,0 0 0,0 0 0,0-1 0,0 1 0,0 0 0,0 0 0,-1 0 0,1-1 0,0 0 0,0 1 0,0-1 0,0 0 0,0 0 0,6-6 49,0 2 0,0-1 1,10-13-1,-11 13-16,81-89 209,-13 16-49,76-106 1,-121 143-118,-20 24-38,1 3 1,2 0-1,-1-1 1,2 2-1,23-23 1,-24 30-25,-6 7 1,-5 17 17,-2 2-31,2 54 127,-10 76 0,-1-76-38,-1 19 11,9-6-11,-4 69 75,6-150-178,-1-1 0,1 2-1,1-2 1,-1 1 0,1 0-1,0 0 1,0-1-1,3 11 1,-4-15-1,0 0 0,0 0 0,1 0 1,-1 0-1,0 0 0,0 1 0,0-1 0,0 0 0,0 0 0,0 0 1,0 0-1,0 0 0,0 0 0,0 0 0,0 0 0,0 0 0,0 0 0,0 0 1,1 0-1,-1 0 0,0 0 0,0 0 0,0 0 0,0 1 0,0-1 1,0 0-1,0 0 0,0 0 0,0 0 0,1 0 0,-1 0 0,0 0 0,0 0 1,0 0-1,0-1 0,0 1 0,0 0 0,0 0 0,0 0 0,0 0 1,0 0-1,1 0 0,-1 0 0,0 0 0,0 0 0,0 0 0,0 0 1,0 0-1,0 0 0,0 0 0,0 0 0,0 0 0,0 0 0,0-1 0,0 1 1,0 0-1,0 0 0,0 0 0,0 0 0,1 0 0,-1 0 0,0 0 1,0 0-1,0-1 0,5-10-290,3-13-465,21-106-3679,-21 84-5611</inkml:trace>
  <inkml:trace contextRef="#ctx0" brushRef="#br0" timeOffset="-210237.9">5482 2472 17279,'0'0'256,"3"-5"-128,30-42 331,82-87 0,-95 111-313,-1 1 1,-1-2 0,-2 0-1,26-53 1,-22 41-6,-14 23-96,0 2 0,1 0-1,1 0 1,0 0-1,0 1 1,1 0 0,1 1-1,0 0 1,0-1-1,13-7 1,-22 16-41,-1 1 1,0 0-1,1 0 0,-1 0 0,0 0 1,1-1-1,-1 1 0,0 0 1,1 0-1,-1 0 0,0 0 0,1 0 1,-1 0-1,1 0 0,-1 0 1,0 0-1,1 0 0,-1 0 0,0 0 1,1 0-1,-1 0 0,0 1 1,1-1-1,-1 0 0,0 0 0,1 0 1,-1 0-1,0 1 0,1-1 1,-1 0-1,0 0 0,0 1 0,1-1 1,-1 0-1,0 1 0,0-1 1,1 0-1,-1 0 0,0 1 0,0-1 1,0 0-1,0 1 0,0-1 1,0 1-1,1-1 0,-1 0 0,0 1 1,0-1-1,0 0 0,0 1 1,0-1-1,0 0 0,0 1 0,-1-1 1,2 29 87,-1-19-36,1 38 71,-2 2 1,-15 86-1,8-80 13,-2 89-1,7-74-1013,4-70 758,-1 0 1,1 0 0,0 0-1,0 0 1,0 0 0,-1-1-1,1 1 1,0 1 0,0-2-1,0 1 1,0 0-1,0-1 1,0 0 0,0 0-1,0 0 1,0 1 0,1-1-1,-1 0 1,0 1 0,0-1-1,0 0 1,0 0 0,2 0-1,1 0-1424</inkml:trace>
  <inkml:trace contextRef="#ctx0" brushRef="#br0" timeOffset="-208405.46">6355 3182 17023,'28'-15'34,"-23"12"-18,0 0 1,1 0-1,-1-1 0,1 2 0,0-1 1,0 1-1,0 0 0,0 0 0,0 1 1,0 1-1,1-1 0,-1 0 0,0 1 1,9 0-1,-4 2 42,1-1 1,-1 2 0,0 1-1,0-1 1,0 2 0,-1 0-1,18 9 1,-22-11-65,1-1-1,0 0 1,0 0-1,-1-2 1,1 1-1,0 0 1,0 0-1,1-1 1,-1 0-1,0-1 1,8-1-1,5 2-256,-15 0-256,-1-1 0,1 1 0,-1-1-1,1 0 1,6-3 0</inkml:trace>
  <inkml:trace contextRef="#ctx0" brushRef="#br0" timeOffset="-208034.99">6370 2953 18175,'13'-3'-3,"0"0"0,0 2 0,0-1 0,0 1 0,0 1 0,21 1 0,187 6-3187,-179-7 748,-8 0-5856</inkml:trace>
  <inkml:trace contextRef="#ctx0" brushRef="#br0" timeOffset="-206901.12">7113 2603 18047,'8'-4'0,"0"0"0,0 1 0,0-1 0,14-2 0,-18 5 0,0 0 0,0 1 0,0 0 0,-1-1 0,1 1 0,0 1 0,0-1 0,0 0 0,0 1 0,0 0 0,-1 0 0,1 0 0,6 2 0,10 6 15,-10-6 23,0 2 0,16 10 0,-22-13-30,-1 0 1,0 1 0,0 0 0,0-1 0,0 1 0,-1 0 0,1 1 0,-1-2-1,0 2 1,0 0 0,2 3 0,0 4 12,-1-1 0,0 1 0,-1-1 1,0 0-1,-1 1 0,0 0 0,-1-1 0,0 0 0,-1 1 0,0 0 0,0-1 0,-2 0 0,1 1 1,-5 11-1,-8 14 65,-1 0 1,-32 51 0,22-41-24,-15 23 35,-24 49 188,61-110-274,1-1 0,0 1 0,1 1 0,0 0 0,0-1-1,1 0 1,0 0 0,0 0 0,1 0 0,1 1 0,-1-1 0,4 15 0,-2-16-5,0 1 1,0-2 0,1 1-1,0-1 1,0 0 0,0 0-1,1 0 1,0 0 0,0 0-1,1 0 1,0-1 0,0 0-1,0 0 1,1-1 0,9 7-1,-11-9-44,0 1 0,1-1-1,-1-2 1,0 3 0,1-2-1,-1 1 1,1-1 0,-1-1-1,1 1 1,-1-1 0,1 1-1,0-1 1,-1-1 0,1 1-1,-1-1 1,1 1 0,5-3-1,5-1-274,0-1 0,-1-1 0,25-11 0,-33 14-237,-1 0 0,0 0 0,0-1-1,0 1 1,0-3 0,0 2-1,3-5 1,12-11-8240</inkml:trace>
  <inkml:trace contextRef="#ctx0" brushRef="#br0" timeOffset="-206137.25">7428 2595 17919,'9'5'39,"1"2"-1,0-2 0,1 1 1,-1-2-1,1 1 0,0-1 1,1-1-1,-1 0 0,1-1 1,22 2-1,6 3 31,-36-6-62,1 0-1,-1-1 1,1 1-1,-1 1 0,0 0 1,0 0-1,0 0 1,0-1-1,0 2 1,0 0-1,0 0 1,-1 0-1,6 5 1,-4-1 1,0-1 1,-1 0-1,0 0 0,0 1 1,-1 1-1,5 12 0,-1-1 0,-3-8 11,0-2 0,-1 1 0,0 0 0,-1 0 0,1 13-1,-2-20-13,-2-1 0,1 1-1,0 0 1,0 0-1,-1-1 1,0 1-1,1 0 1,-1 0-1,0-2 1,-1 3-1,1-1 1,0 0 0,-1-2-1,1 2 1,-1-1-1,0 0 1,0 1-1,0-2 1,0 1-1,0 0 1,-1 0-1,1 0 1,-1-1 0,-3 2-1,-8 4-4,-1-2 0,0 2 0,0-3 0,-1 0 0,1 0 0,-21 1 0,36-5 0,-1 0-10,0 0 0,0 0 0,0 0-1,0 1 1,0-1 0,0 0 0,0 0 0,0 1 0,1-1-1,-1 1 1,0-1 0,0 1 0,0-1 0,1 1 0,-1-1-1,0 0 1,0 1 0,1-1 0,-1 1 0,1 0 0,-2 1-1,2-2-6,0 1-1,0 0 1,0 0 0,0 0-1,0-1 1,0 1-1,0 0 1,0-1-1,0 1 1,0 0-1,0-1 1,1 1-1,-1 0 1,0 0-1,1 0 1,-1-1-1,0 1 1,1 0 0,0 0-1,2 4-57,1-1 0,0 1 0,0-1-1,0 0 1,9 5 0,9 8-98,-1 2 0,-1 0 0,28 36-1,-38-43 120,-1-1 23,0 0 0,0 0 0,-2 1 0,1 0 0,-2 1 0,0 0 0,0 1-1,-1-1 1,4 19 0,-8-25 66,0 0 0,0 1-1,-1-1 1,0-1 0,0 2 0,-1-1 0,0 1-1,0-1 1,-1 0 0,0-1 0,0 2-1,-1-2 1,0 1 0,0 0 0,0-1-1,-1 1 1,0-1 0,-1 0 0,-7 7-1,7-9 24,1 1-1,-1-2 0,0 1 1,0-1-1,-1-1 0,1 1 1,-1 0-1,1-1 0,-1 0 1,0-1-1,0 1 0,-9 1 1,-6 0-15,0-1 0,-28-2 0,34 1-258,-47-2 262,57 0-499,0 0-1,0 0 1,0 0-1,0 0 1,0-1-1,0 1 0,0-1 1,1 0-1,-9-5 1</inkml:trace>
  <inkml:trace contextRef="#ctx0" brushRef="#br0" timeOffset="-205492.08">7984 2893 18303,'-1'-11'-2,"-3"-36"1,3 43-12,0 0 1,1 2 0,-1-2 0,-1 1 0,1 0 0,0-1 0,-1 0 0,0 2-1,0-1 1,0 0 0,-3-3 0,-28-34-457,33 40 455,-1-1 1,1 1 0,0 0-1,-1-1 1,1 1 0,0 0-1,-1 0 1,1 0 0,-1 0-1,1-1 1,-1 1 0,1 0-1,-1 0 1,1-1 0,0 1-1,-1 0 1,1 0 0,-1 0-1,1 0 1,-1 0 0,0-1-1,1 1 1,-1 0 0,1 0-1,-1 0 1,1 1 0,-1-1-1,1 0 1,-2 0 0,-9 12-393,-1 20 38,1 13 194,3 1-1,2 1 0,2 1 0,3 70 0,3-82 154,-3-19 21,2 0 0,0 0 0,1-1 0,1 2 0,7 21 0,-10-38 5,1 0 0,-1 1 0,1-1 0,-1 0 1,1-1-1,-1 1 0,1 0 0,0 0 1,0 0-1,-1 0 0,1 0 0,0 0 1,0 0-1,0 0 0,0 0 0,0-1 0,0 1 1,0-1-1,0 0 0,1 1 0,-1-1 1,0 1-1,0-1 0,0 0 0,2 1 1,0-1 20,-1 0 0,1 0 0,0-1 0,-1 1 0,1-1 0,0 1 0,-1-1 0,1 1 0,-1-1 0,1 0 0,2-2 0,5-3 89,-2 1 0,1-2 0,0-1 0,13-12 0,-14 11-5,0 0-1,0-2 0,-1 1 1,-1 0-1,7-16 0,22-59 365,-12 23-174,-3 18-22,-12 27-171,0 1-1,0-2 1,-2 1-1,-1-2 1,0 1-1,3-29 1,-7 37-25,-1 0 0,0 0 1,0-2-1,-1 2 0,-1 0 0,-3-12 1,5 21-80,0 0 0,0 1 0,0 0-1,0 0 1,-1-1 0,1 0 0,0 1 0,0-1 0,-1 1 0,1-2 0,0 2 0,-1-1 0,1 1 0,0-1 0,-1 1 0,1-1 0,-1 1 0,1-1-1,-1 1 1,1 0 0,-1-1 0,1 1 0,-1 0 0,1-1 0,-1 1 0,0 0 0,1 0 0,-1 0 0,1 0 0,-1-1 0,0 1 0,1 0-1,-1 0 1,1 0 0,-1 0 0,0 0 0,1 0 0,-1 1 0,0-1 0,1 0 0,-1 0 0,1 0 0,-1 0 0,0 1 0,1-1 0,-1 0 0,1 1-1,-1-1 1,1 0 0,-1 1 0,1-1 0,-1 1 0,1-1 0,-1 2 0,-5 3-17,1 0 1,0 0-1,-8 10 0,3-2-704,2 2 0,-1-2 0,2 1 0,0 1-1,-8 26 1,4-10-9756</inkml:trace>
  <inkml:trace contextRef="#ctx0" brushRef="#br0" timeOffset="-204643.3">8371 2654 17919,'-5'34'118,"0"47"-1,4-58-18,-9 45 0,6-44-49,-3 36 1,13 50 92,-1-12 76,-6 15 443,39-168 84,-13-2-521,-4 1 0,22-93-1,14-38-23,-47 159-191,41-100 138,-39 103-108,1 0-1,30-42 1,-43 66-44,1 0 0,0 0 0,-1-1 0,1 1 0,0 0 0,0 0 0,0 1-1,0-1 1,0 1 0,0-1 0,0 0 0,0 1 0,0-1 0,1 0 0,-1 1 0,0-1-1,2 0 1,-2 1-29,0 0 0,-1 1 0,1-1 0,0 0 0,-1 0 0,1 0-1,0 1 1,-1-1 0,1 0 0,-1 1 0,1-1 0,0 0 0,-1 1-1,1-1 1,-1 1 0,1-1 0,-1 1 0,0-1 0,1 0 0,-1 0-1,1 1 1,-1-1 0,1 2 0,1 4-249,1-1 0,-1 1 1,-1-1-1,1 1 0,0 9 0,3 14-2683,0 2-7765</inkml:trace>
  <inkml:trace contextRef="#ctx0" brushRef="#br0" timeOffset="-204127.65">9006 2917 21631,'0'0'0</inkml:trace>
  <inkml:trace contextRef="#ctx0" brushRef="#br0" timeOffset="-202759.34">9168 2712 17407,'-1'8'0,"1"0"0,0-1 0,1 1 0,-1 0 0,1-1 0,4 10 0,-1 2 0,-3-15 0,0 0 0,0 0 0,0 0 0,0 1 0,1-2 0,3 7 0,5 6 0,0 0 0,-1 2 0,-1-1 0,-1 2 0,-1-2 0,0 0 0,4 31 0,2 33 21,18 108 726,-29-184-692,6 16 481,-7-20-528,0-1 1,0 0 0,1 0 0,-1 1 0,0-1 0,0 0 0,1 0 0,-1 1 0,0-1 0,1 0 0,-1 0 0,0 0 0,1 0-1,-1 0 1,1 0 0,-1 0 0,0 0 0,1 0 0,-1 0 0,0 0 0,1 0 0,-1 0 0,1 0 0,-1 0 0,0 0 0,1 0-1,-1 0 1,0 0 0,1 0 0,-1 0 0,1 0 0,-1 0 0,0 0 0,1 0 0,-1-1 0,0 1 0,1 0 0,-1 0 0,0-1 0,0 1-1,1 0 1,-1 0 0,0-1 0,0 1 0,0 0 0,1-1 0,-1 1 0,0 0 0,0-1 0,0 0 0,4-3 21,-1 0 1,-1 0 0,1 0-1,-1-1 1,1 0-1,-1 1 1,-1-1-1,1-1 1,-1 1 0,2-9-1,-1-8 35,0-27 0,-2 15-19,-2-591 1468,0 585-1311,4-39 0,-2 76-197,1-1-1,0-1 1,0 2 0,0-1 0,1 1 0,-1 0 0,1-1 0,0 1-1,0 0 1,0 0 0,1-1 0,-1 2 0,1-1 0,0 0 0,0 0-1,0 2 1,0-3 0,0 2 0,0-1 0,1 1 0,-1 1 0,1-1-1,4-1 1,6-2 28,0 1-1,0 0 1,0 1-1,0 0 1,18-1-1,-14 3 43,31 2 0,-39 0-63,0 0-1,0-1 1,0 0-1,0-1 1,0 0-1,0 0 1,0-1-1,0 1 1,17-9-1,-1-2-17,25-10 288,-50 21-198,3-2-42,-4 3 42,-5 16-59,1-8-31,-10 39 5,7-24 0,-7 43 0,11-45 0,-2 14 0,2-1 0,2-1 0,3 41 0,-1-51-18,-1 34 0,0 17-66,1-67 67,0 2 1,0-1 0,1-1 0,0 1-1,0 0 1,7 12 0,-8-18-101,-1-2 1,0 1 0,1-1 0,-1 1 0,1-1 0,-1 0 0,1 0-1,-1 1 1,1-1 0,-1 0 0,1 1 0,-1-1 0,1 0-1,-1 1 1,1-1 0,0 0 0,-1 0 0,1 0 0,0 1 0,-1-1-1,1 0 1,0 0 0,-1 0 0,1 0 0,0 0 0,-1 0-1,1 0 1,0 0 0,-1-1 0,1 1 0,-1 0 0,1 0-1,0 0 1,-1-1 0,1 1 0,-1 0 0,1-1 0,-1 1 0,1 0-1,-1-1 1,1 1 0,-1 0 0,1 0 0,0-1 0</inkml:trace>
  <inkml:trace contextRef="#ctx0" brushRef="#br0" timeOffset="-202061.08">9488 2603 18047,'11'-1'5,"1"1"0,0 1-1,-1 0 1,1 0 0,-1 1-1,1-1 1,16 9 0,-23-8-1,1-1 0,-1 2 0,1 0 0,-1 0 0,0-1 0,0 2 0,0 0 0,0-1 0,-1 1 1,1 0-1,-1 0 0,0 0 0,-1 0 0,1 2 0,-1-1 0,3 7 0,-3-6 16,-1 1 0,1 1 0,-2 1 0,1-2-1,-1 1 1,0 0 0,-1-1 0,0 1 0,0-1 0,-3 15 0,-1 3 73,-17 48 0,-9 0-93,12-32 0,11-23 0,5-14 0,1 1 0,-1-1 0,0 1 0,-1-1 0,1 0 0,-1 1 0,-5 4 0,7-7 0,0-1 0,0 2 0,0-1 0,0 0 0,0 0 0,0 0 0,0-1 0,0 1 0,1 1 0,-1-1 0,1 0 0,0-1 0,0 2 0,0-1 0,0 0 0,0 1 0,0-2 0,1 1 0,-1 0 0,1 1 0,-1-1 0,1-1 0,0 1 0,0 0 0,0 0 0,0 1 0,0-1 0,0-1 0,1 1 0,-1 0 0,3 1 0,2 4 0,1 0 0,0 0 0,1-1 0,-1 1 0,13 6 0,-2-3-715,0-1-1,32 12 0,-41-18-315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3.98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1 481 17151,'5'36'279,"-1"-1"-1,-2 73 1,0 1 272,11 266 599,-10-241-977,-10 1001 1192,2-741-1642,9-369-457,-4-25 723,0 0 0,0 1-1,0-1 1,0 0 0,1 0 0,-1 0-1,0 0 1,0 0 0,0 0 0,0 0-1,0 0 1,0 0 0,0 0 0,1 0-1,-1 0 1,0 0 0,0 0 0,0 0-1,0 0 1,0 0 0,1 0-1,-1 0 1,0 0 0,0 0 0,0 0-1,0 0 1,0 0 0,0 0 0,1 0-1,-1 0 1,0 0 0,0 0 0,0 0-1,0 0 1,0 0 0,0 0 0,1 0-1,-1 0 1,0-1 0,0 1-1,0 0 1,0 0 0,0 0 0,0 0-1,0 0 1,0 0 0,0-1 0,10-14-614,-4-1 43,0 0 0,-2-1 0,0 1 0,-1 0 0,0-1 0,-1-22 0,4-49-9530</inkml:trace>
  <inkml:trace contextRef="#ctx0" brushRef="#br0" timeOffset="1398.83">376 0 19583,'54'2'58,"0"2"0,-1 1 0,0 4 0,-1 1 0,0 2 0,74 27 0,-114-35-32,265 88 349,10-20-158,126-12-32,5-26 32,-276-24-128,658 26 256,1-72-7,27-73-11,-194 21-57,-280 34-96,-112 16 36,-204 32-178,0 1 0,1 3 0,70 3 0,83 22 105,43 2-20,-179-21-59,0-3-1,69-8 1,-109 6-45,-1 0 0,1 0 1,0 1-1,-1 1 0,1 1 1,0 0-1,28 8 0,-43-10-11,0 1-1,-1-1 1,1 0-1,-1 1 0,1-1 1,0 1-1,-1-1 1,1 1-1,-1-1 1,1 1-1,-1-1 1,1 1-1,-1 0 0,0-1 1,1 1-1,-1 0 1,0-1-1,1 1 1,-1 0-1,0-1 1,0 0-1,1 1 0,-1 0 1,0-1-1,0 1 1,0 0-1,0 0 1,0-1-1,0 1 0,0 0 1,-1 0-1,1-1 1,0 1-1,-1 1 1,-11 25 68,8-21-63,-4 12 2,1 0 0,1 0 0,0 0 0,2 0 0,-5 33 0,3 102 62,6-119-68,9 289-3,-4-226 0,23 315 0,3 96 0,-26-40 128,-32-3 0,13-353-88,-8 76 48,23-63-88,1-7 0,-2-117 0,0 0 0,0-1 0,0 1 0,0 0 0,0 0 0,0-1 0,0 1 0,-1 0 0,1 0 0,0-1 0,0 1 0,-1 0 0,1-1 0,0 0 0,-1 1 0,1-1 0,-1 1 0,1-1 0,-1 1 0,1 0 0,-1-1 0,1 1 0,-1-1 0,0 0 0,1 1 0,-1-1 0,0 1 0,1-1 0,-1 0 0,0 0 0,0 1 0,1-1 0,-1 0 0,0 0 0,0 0 0,1 0 0,-1 0 0,0 0 0,0 0 0,1 0 0,-1 0 0,0 0 0,0 0 0,1 0 0,-1-1 0,0 1 0,0 0 0,1 0 0,-1-1 0,0 1 0,0-1 0,-8-3 0,0 0 0,1-1 0,-12-7 0,10 5 0,-21-10 0,0 0 0,-2 2 0,0 1 0,0 2 0,-1 0 0,-1 2 0,0 2 0,-1 1 0,-63-5 0,-169 4 0,54 2 0,-229-28 0,304 21 70,0 7-1,0 5 0,-237 28 1,-147 47 143,62-7-64,-187-12 37,323-32-94,-517 21 292,678-41-293,-198 0-54,194-11 9,-181 0 14,259 12-740,-96-9 0,-100-34-4680,207 25-7119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7:59.14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73 174 17023,'0'0'2838,"1"7"-2625,28 128 555,-27-128-727,0-1-1,0 0 1,-1 2-1,0-2 1,-1 1-1,1-1 1,-1 2-1,-1-2 1,-2 13-1,1-10 15,0-1-1,1 0 1,0 0-1,0 1 1,1-1-1,1 0 1,-1 0-1,4 16 1,1-4 37,-1 0 1,-1 0-1,-1 1 1,0-1-1,-4 31 1,-21 212 653,17-226-640,-2-1 0,-15 42 0,16-56-61,4-10-39,1 0 0,0 0 1,1-1-1,1 1 0,0 0 1,2 18-1,1 26 121,-10-22-31,7-32-90,0-1-1,-1 0 1,1 0 0,-1 1-1,1-1 1,-1 1-1,0-1 1,0 0-1,1 1 1,-1-1-1,0-1 1,0 2-1,0-1 1,0 0 0,0 0-1,-1 0 1,1 0-1,0 0 1,-1 0-1,-1 1 1,0-2 15,-2 0-21,1-2 0,3 1 0,0 1 0,1 0 0,-1-1 0,0 1 0,1 0 0,-1-1 0,1 1 0,-1-1 0,1 1 0,-1-1 0,1 1 0,-1-1 0,1 1 0,0-1 0,-1 0 0,1 1 0,0-1 0,-1 1 0,1 0 0,0-1 0,0 0 0,-1 1 0,1-1 0,0 0 0,0 0 0,0 1 0,0-1 0,0 0 0,0 1 0,0-1 0,0 0 0,1 0 0,-1 1 0,0-1 0,0 1 0,1 0 0,-1-1 0,0 0 0,1 0 0,0 0 0,0 0 0,-1 0 0,1 0 0,0 0 0,0 0 0,0 1 0,0-1 0,0 0 0,0 1 0,1 0 0,-1-1 0,0 1 0,0-1 0,0 1 0,0 0 0,1-1 0,1 1 0,1 0 0,1 0 0,0 0 0,1 0 0,-1 0 0,0 1 0,8 1 0,-12-2 0,0 0 0,0 1 0,0-1 0,-1 1 0,1-1 0,0 1 0,0-1 0,0 1 0,0-1 0,-1 1 0,1 0 0,0-1 0,-1 1 0,1 0 0,0 0 0,-1-1 0,1 1 0,-1 0 0,1-1 0,-1 1 0,0 0 0,1 0 0,-1 0 0,0 0 0,0 0 0,1 0 0,-1 0 0,0 0 0,0 0 0,0 0 0,0-1 0,0 0 0,-1 1 0,1 0 0,0 0 0,-1 2 0,0 3 0,0 0 0,0 0 0,1 0 0,0 0 0,0 0 0,1 0 0,0 0 0,0-1 0,0 2 0,3 6 0,2 10 0,-5-16 0,0 1 0,-1 0 0,0 0 0,-1-1 0,0 1 0,-2 10 0,-3 23 0,-3 62 0,33-144-256,-14 12-684,-1 2 0,-2-2 0,-1 1-1,3-46 1,-4 33-1377,2-12-8840</inkml:trace>
  <inkml:trace contextRef="#ctx0" brushRef="#br0" timeOffset="683.83">80 95 20351,'4'-1'128,"10"-5"-21,-1 1-1,0-1 1,0 0-1,17-13 1,-13 8 57,32-14 1,-41 22-133,-1 0 0,0 1 1,1 0-1,-1 1 0,1-1 1,0 1-1,0 0 0,11 0 0,2 3 37,0 1 0,0-1 0,30 9 0,2 1 39,-10-3-8,114 24 184,-132-26-186,-1 0 0,1 3 1,-2-1-1,28 16 0,-48-24-78,1 2 0,-1-1 1,1 1-1,-1 0 0,0-2 0,0 2 1,0 1-1,-1-1 0,1-1 0,-1 2 1,0-1-1,0 0 0,0 1 0,2 5 0,-2-3 11,-1-2 0,0 1-1,-1 1 1,1-2-1,-1 2 1,0-2 0,0 2-1,-1-2 1,0 2-1,-3 9 1,0 0-20,-2 1 1,0-1-1,-1 0 1,0 0-1,-1-1 1,-1-1-1,-1 1 1,0 0-1,-1-1 1,0-1-1,-1 0 1,-25 19-1,33-28-11,-211 151 325,181-134-262,0 0 0,-1-3 0,-2 0 0,-66 20 0,102-37-108,0 0 0,-1 0-1,1 0 1,0 1-1,0-1 1,-1 0 0,1 0-1,0-1 1,0 1 0,-1 0-1,1 0 1,0 0-1,0 0 1,-2-1 0,0-4-1097,10-2 298,11 2-2228</inkml:trace>
  <inkml:trace contextRef="#ctx0" brushRef="#br0" timeOffset="1649.83">1064 1097 8832,'0'0'0</inkml:trace>
  <inkml:trace contextRef="#ctx0" brushRef="#br0" timeOffset="3257.06">1114 1147 16000,'0'0'7039,"-4"-3"-6932,-11-6-96,2 0-7,-1 1 0,0-1 0,-23-8-1,32 15-3,1 1 0,-1-1 0,0 1-1,0 1 1,0-1 0,0 0-1,0 1 1,1-1 0,-1 1-1,0 1 1,0-1 0,0 1 0,0-1-1,0 1 1,0 0 0,-9 4-1,9-2 10,-1-1-1,1 2 0,0 0 1,-1 0-1,2-1 0,-1 1 0,0 0 1,1 1-1,0 0 0,0-1 1,1 1-1,-1 0 0,1 0 1,-2 7-1,-5 8 36,2 1-1,-8 29 1,15-46-44,0 0 0,0 1 0,0-1 0,0 1 0,0 0 0,1 0 0,0 0 0,0 8 0,1-11 0,0 2 0,0-1 0,0-1 0,0 1 0,1 0 0,-1 0 0,1 0 0,-1-2 0,1 2 0,0 0 0,0-1 0,0 0 0,5 3 0,2 3 0,1 0 0,0-1 0,1-1 0,0 0 0,0 0 0,18 6 0,74 18 0,-50-16 0,-50-13 0,0-1 0,0 0 0,0 2 0,0-1 0,0 0 0,0 1 0,0-1 0,0 1 0,0 0 0,-1-1 0,5 5 0,-6-5 0,-1 1 0,1-1 0,-1-1 0,1 2 0,-1-1 0,1 1 0,-1-1 0,0 1 0,0-1 0,0 0 0,0 1 0,0-2 0,0 2 0,0-1 0,0 1 0,-1-1 0,1 1 0,0-1 0,-1 0 0,1 0 0,-1 0 0,0 0 0,1 1 0,-1-1 0,0 0 0,0 0 0,0 0 0,-1 2 0,-8 9-1,0-1-1,-1 0 0,-1 0 1,-19 13-1,-56 33 80,-2 2 2,39-27-187,50-32 74,0 0-1,0 0 1,0 0-1,-1 0 1,1 1 0,0-1-1,0 0 1,0 0-1,0 0 1,0 0 0,0 0-1,0 0 1,0 1 0,0-1-1,0 0 1,1 0-1,-1 0 1,0 0 0,0 0-1,0 0 1,0 0-1,0 1 1,0-1 0,0 0-1,0 0 1,0 0 0,0 0-1,0 0 1,0 0-1,0 0 1,1 0 0,-1 0-1,0 0 1,0 1-1,0-1 1,0 0 0,0 0-1,0 0 1,0 0 0,1 0-1,-1 0 1,0 0-1,0 0 1,0 0 0,0 0-1,0 0 1,0 0-1,0 0 1,1 0 0,-1 0-1,0 0 1,0 0 0,0 0-1,0 0 1,0 0-1,0 0 1,0-1 0,1 1-1,-1 0 1,0 0-1,0 0 1,0 0 0,0 0-1,0 0 1,12-1-1232,21-10-2510</inkml:trace>
  <inkml:trace contextRef="#ctx0" brushRef="#br0" timeOffset="3797.29">1495 1403 20479,'-22'1'0,"22"-1"0,0 0 0,0 0 0,-1 0 0,1 0 0,0 0 0,0 0 0,-1 0 0,1 0 0,0 0 0,0 0 0,-1 0 0,1 0 0,0 0 0,0 0 0,0 0 0,-1 0 0,1 0 0,0 0 0,0 0 0,0 0 0,-1 0 0,1 0 0,0 0 0,0 0 0,0 1 0,0-1 0,-1 0 0,1 0 0,0 0 0,0 1 0,0-1 0,0 0 0,0 0 0,0 0 0,0 1 0,0-1 0,-1 0 0,1 0 0,0 1 0,0-1 0,0 0 0,0 0 0,0 0 0,0 1 0,0-1 0,0 0 0,1 0 0,-1 1 0,0-1 0,0 0 0,0 0 0,0 0 0,0 1 0,0-1 0,0 0 0,1 1 0,-1-1 0,0 0 0,0 0 0,0 0 0,0 1 0,0-1 0,0 0 0,0 0 0,0 1 0,0-1 0,0 0 0,0 0 0,0 0 0,0 1 0,0-1 0,0 0 0,0 0 0,0 1 0,-1-1 0,1 0 0,0 0 0,0 0 0,0 0 0,0 0 0,0 0 0,0 0 0,-1 0 0,1 0 0,0 1 0,0-1 0,0 0 0,0 0 0,-1 0 0,1 0 0,0 0 0,0 0 0,0 0 0,-1 1 0,1-1 0,0 0 0,0 0 0,-1 0 0,1 0 0,0 0 0,0 0 0,-1 0 0,1 0 0,0 0 0,0 0 0,0 0 0,-1 0 0,1 0 0,0 0 0,0-1 0,-1 1 0,1 0 0,-5 1-21,1-1 0,-1 2 0,1-1 0,-1 0 0,1 1 0,0 0 0,0-1 0,0 1 0,-7 4-1,-33 23-23,42-27 43,0-1 0,0 1-1,1-1 1,-1 1 0,0-1-1,1 1 1,0 0-1,-1 0 1,1 0 0,0 0-1,0-1 1,0 1 0,0 0-1,1 0 1,-1 1-1,0-1 1,1-1 0,0 2-1,-1-1 1,1 0 0,0 1-1,0-2 1,1 1-1,-1 1 1,0-1 0,2 3-1,0 1-4,0-1 0,1 1 0,0-1 0,0 1 0,0-1 0,1 0 0,0 0 0,7 8-1,-2-5-48,0 0 0,0 0 0,1 0 0,0-2 0,1 2 0,0-2 0,18 8 0,-23-12 4,1 0 0,-1 1 0,1-1 0,0-1 0,0 1 0,0-1 0,0-1 0,0 1 0,0-1 0,0 0 0,0 0 0,0-1 0,0 0 0,0-1 0,8-2 0,48-21-4385</inkml:trace>
  <inkml:trace contextRef="#ctx0" brushRef="#br0" timeOffset="4373.69">1749 1041 20607,'1'8'0,"-1"1"0,0-1 0,0 1 0,0-1 0,-1 1 0,-1-1 0,1 1 0,-6 14 0,0-6 6,2 0-1,0 0 0,1 0 1,1 2-1,-1 17 1,6 88 54,-1 8-25,-2-130-35,1 18 0,0-20 0,0 1 0,0-1 0,0 0 0,-1 1 0,1-1 0,0 0 0,0 1 0,0-1 0,0 0 0,0 1 0,0-1 0,0 0 0,0 1 0,1-1 0,-1 0 0,0 1 0,0-1 0,0 0 0,0 1 0,0-1 0,1 0 0,-1 1 0,0-1 0,0 0 0,0 0 0,1 0 0,-1 0 0,0 0 0,0 0 0,1 1 0,-1-1 0,0 0 0,0 0 0,1 0 0,-1 0 0,0 1 0,1-1 0,-1 0 0,0 0 0,1 0 0,-1 0 0,0 0 0,1 0 0,-1 0 0,0 0 0,1 0 0,-1 0 0,1 0 0,0-1 0,0 0 0,0 1 0,0-1 0,0 0 0,0 0 0,0 0 0,-1 0 0,1 0 0,0 0 0,-1-1 0,1 1 0,-1 0 0,1 1 0,-1-2 0,0 1 0,1-3 0,2-3 0,5-13-18,2 1 0,1 1 0,1-1-1,0 1 1,1 1 0,17-17-1,-24 29 19,0-1 0,1 1 0,0-1 0,0 2 0,0-1 0,1 1 0,-1 0 0,1 0 0,0 1 0,1 0 0,-1 0 0,18-3 0,-20 6 0,0-1 0,1 0 0,-1 0 0,0 1 0,1 1 0,-1-1 0,1 1 0,-1 0 0,0-1 0,0 1 0,0 1 0,0 0 0,0 1 0,0-1 0,0 0 0,0 1 0,-1 0 0,0 1 0,6 3 0,-5-1 1,0 0 0,0-1-1,-1 2 1,1 0-1,-2 0 1,1 0 0,-1 0-1,5 13 1,-6-15-3,-1 1 0,0-1 0,-1 1-1,1-1 1,-1 1 0,0 0 0,-1 0 0,0-1 0,0 2 0,0-2 0,-1 1 0,-2 11 0,2-15-40,0 0-1,0 0 1,0 0 0,0-1-1,0 1 1,0 0 0,-1 0-1,-2 2 1,4-4-158,-1 1 1,1-1 0,-1 1-1,1-1 1,-1 1-1,1-1 1,-1 0 0,0 1-1,1-1 1,-1 0-1,0 0 1,1 1-1,-1-1 1,0 0 0,1 0-1,-1 0 1,0 0-1,1 0 1,-1 0 0,0 0-1,0 0 1,1 0-1,-1 0 1,0 0-1,1 0 1,-1 0 0,0 0-1,1-1 1,-1 1-1,0 0 1,0-1 0</inkml:trace>
  <inkml:trace contextRef="#ctx0" brushRef="#br0" timeOffset="4924.01">2162 1440 16000,'0'0'128,"4"1"0,23 4 168,1-1 1,-1-2-1,42-1 1,-58-1-172,-1-1 1,0 0-1,0 0 1,0-1-1,0-1 1,-1 0 0,1 0-1,-1 0 1,1-1-1,-1-1 1,-1 1-1,1-1 1,10-9-1,-10 7 44,-1 0-1,0-1 0,0-2 1,-1 2-1,0-1 0,-1 0 0,0-1 1,5-13-1,-11 23-157,0 0 0,1-1-1,-1 0 1,0 1 0,0-1 0,0 0 0,0 1-1,0-1 1,-1 0 0,1 0 0,0 1 0,0-1-1,0 1 1,0-1 0,-1 0 0,1 1-1,0-1 1,-1 1 0,1 0 0,0-1 0,-1 1-1,1-1 1,-1 1 0,1-1 0,-1 1 0,1-1-1,-1 1 1,1 0 0,-1-1 0,0 1-1,0-1 1,-25-9 128,20 7-111,-9-2-4,-1-1 1,1 2-1,-1-1 0,0 1 1,0 2-1,-26-2 0,37 4-31,-1 0 0,1 0-1,-1 1 1,1 0-1,-1 0 1,1 0 0,-1 0-1,1 0 1,0 2-1,0-1 1,0 0 0,0 0-1,0 1 1,1 0-1,-1 0 1,1 0-1,0 1 1,0-1 0,0 1-1,0 0 1,1 0-1,-7 9 1,6-6-5,0 1 1,0 1-1,1-1 0,0 0 0,1 0 1,-1 1-1,2 0 0,0-1 0,0 1 1,0 0-1,1 0 0,1-1 0,-1 1 1,2 0-1,-1 0 0,1-1 1,1 0-1,0 1 0,5 11 0,-6-18 12,0 1 0,0-1 0,0 1 0,1 0 0,-1-2 0,1 2 0,-1-1 0,1 0 0,0 1 0,0-2 0,0 0 0,0 1 0,0 0 0,6 1 0,3 1 0,1-1 0,20 4 0,-25-6 0,0-1-135,1 0 0,0 0 0,-1 0-1,1-2 1,-1 1 0,1-1-1,-1 0 1,0-1 0,10-3 0,14-3-561,-3 0-2375,-2 0-7681</inkml:trace>
  <inkml:trace contextRef="#ctx0" brushRef="#br0" timeOffset="5206.96">2805 1399 20479,'0'0'0,"-3"26"0,2-18 0,1 1-128,0-2 128,1-4-512,5-6-1664,-4-6 513,3-6 127,1-11 0,-1 0-7296</inkml:trace>
  <inkml:trace contextRef="#ctx0" brushRef="#br0" timeOffset="5397.17">2808 875 19199,'0'0'0,"10"28"0,-7-13 0,-1 2 0,-2-2 0,0-1-512,-2 1 128,-1-3-640,3 1 1</inkml:trace>
  <inkml:trace contextRef="#ctx0" brushRef="#br0" timeOffset="5928.19">3062 1330 20095,'0'0'896,"5"-5"-768,39-40 101,-32 32-177,2-1 1,-1 0-1,2 2 1,18-14-1,-32 25-50,1 1 0,-1 0 1,0-1-1,1 1 0,-1-1 0,0 1 0,1-1 0,-1 1 1,1 0-1,-1 0 0,1-1 0,-1 1 0,1 0 0,-1 0 1,0 1-1,1-1 0,-1 0 0,3 1 0,0 0 5,-1 0-1,1 0 0,-1 1 0,1 0 0,-1 0 0,0 0 1,3 3-1,3 3 8,0 0 1,0 0 0,10 15-1,-3-1-46,-2 1 0,-1 0 0,0 1 0,-2 1 0,-1-1 0,-1 1 0,6 34 0,-14-57-616,-3-8 249,-3-13-2372,-2-6-9282</inkml:trace>
  <inkml:trace contextRef="#ctx0" brushRef="#br0" timeOffset="6875.2">3906 651 19199,'-24'30'0,"13"-23"2,6-9-5,5 1 4,0 0 0,0 0 0,-1 1 0,1-1 0,0 0 0,0 0 0,0 0 0,0 1 1,1-1-1,-1 0 0,0 1 0,0-1 0,0 1 0,1-1 0,-1 0 0,0 1 0,1-1 0,-1 0 1,0 0-1,1 0 0,10-5 95,-2 1-1,-9 5-89,0 0 0,0 0-1,-1 0 1,1 0 0,0 0-1,0 0 1,0 0-1,0 0 1,0 0 0,0 0-1,0 0 1,0 0 0,0 0-1,0 0 1,0 0 0,-1 0-1,1 0 1,0 0 0,0 0-1,0 0 1,0 0-1,0 0 1,0-1 0,0 1-1,0 0 1,0 0 0,0 0-1,0 0 1,0 0 0,0 0-1,-1 0 1,1 0 0,0 0-1,0 0 1,0 0-1,0 0 1,0 0 0,0 0-1,0 0 1,0-1 0,0 1-1,0 0 1,0 0 0,0 0-1,0 0 1,0 0 0,0 0-1,0 0 1,0 0 0,0 0-1,0 0 1,0-1-1,-2 2 18,-1 0 0,1 0 0,-1-1 0,1 1 0,-1 1 0,1-1 0,0 0 0,-1 0-1,1 0 1,0 1 0,0-1 0,0 1 0,0 0 0,0 0 0,1 0 0,-1-1 0,1 1-1,-1 1 1,1-1 0,0 0 0,0 0 0,0 0 0,0 1 0,-1 3 0,-3 8 83,2 0 0,-4 27 0,7-39-101,-22 118 194,-3 26-35,18-71-125,2-6-52,-4-1 0,-27 106 0,35-171-367,-3 13 216</inkml:trace>
  <inkml:trace contextRef="#ctx0" brushRef="#br0" timeOffset="7444.13">3917 1343 20863,'11'4'-38,"0"-2"0,0 1 0,1 0-1,-1-1 1,15 0 0,-19-2 20,0 0 1,0 0-1,1-1 0,-1 0 1,0 0-1,0-1 1,0 0-1,-1 0 1,14-6-1,-6 2 4,-1-2-1,0 0 1,0 0-1,0-1 1,-1-1-1,-1 1 1,18-19-1,-22 19 16,-1 1 0,1-1-1,-2 0 1,1-1 0,-1 1 0,-1-1-1,0 0 1,0 0 0,-1 0 0,-1 0 0,2-13-1,-4 18 0,0 1 0,0-1 0,0 0 0,-1 1 0,0 0 0,0-1 0,0 1 0,-1 0 0,1 0 0,-1-1 0,0 1 0,0 1 0,-1-1 0,0-1 0,-4-3 0,-4-4 0,0 0 0,-2 1 0,-13-11 0,25 22 0,0-1 0,-1 0 0,1 0 0,0 0 0,-1 1 0,1 0 0,0 0 0,-1-1 0,1 1 0,-1-1 0,1 1 0,-1 0 0,1 0 0,-1 0 0,1 0 0,-1 0 0,1 0 0,-1 0 0,1 0 0,-1 1 0,1-1 0,0 1 0,-1-1 0,1 0 0,-1 0 0,1 1 0,0 0 0,-1-1 0,1 1 0,0 0 0,0 0 0,-2 2 0,-4 2 0,0 2 0,1-1 0,-11 14 0,14-17 0,-5 8 0,0 0 0,1 1 0,1 0 0,0 0 0,1 0 0,0 1 0,1-1 0,-4 21 0,4-11 0,2-1 0,0 1 0,2-1 0,4 34 0,-2-43 0,0 0 0,1 1 0,7 16 0,-8-25 0,0 2 0,0-2 0,1 1 0,-1 0 0,1-1 0,0 1 0,1-1 0,-1 0 0,1 1 0,7 5 0,-7-8-14,-1-1 0,1 0 0,-1 0 1,1 0-1,-1 0 0,1 0 0,0 0 0,0-1 0,-1 1 0,1-1 0,0 0 0,0 0 0,0 0 0,-1-1 0,1 1 0,0-1 0,-1 0 0,8-2 0,6-3-504,-1 0 0,25-14-1,-36 17 355,63-37-3889,-35 19-5525</inkml:trace>
  <inkml:trace contextRef="#ctx0" brushRef="#br0" timeOffset="7692.96">4487 1292 21503,'0'0'0,"34"5"-6783,-13-18 5247</inkml:trace>
  <inkml:trace contextRef="#ctx0" brushRef="#br0" timeOffset="7854.9">4581 683 19327,'0'63'0,"3"40"384,-11-152 0,0 22 0,-1 4-128,0 9 0,1 7 0,-2 2 0,2 5-384,1 3 128,-1 2-384,3-1 128</inkml:trace>
  <inkml:trace contextRef="#ctx0" brushRef="#br0" timeOffset="8724">5063 1060 20607,'-32'-9'0,"23"5"21,11 2 24,2-1-4,-51 25-20,20-6-17,12-8-13,1 1 1,-26 19 0,38-25 0,-17 12-63,1 0 0,1 2 0,1 0 0,-28 36 0,44-51 61,-1-1-1,0 1 1,0-1-1,0 0 0,1 1 1,-1 0-1,1-1 1,-1 0-1,1 0 0,0 1 1,-1 0-1,1-1 1,0 1-1,0-1 0,0 0 1,0 1-1,0-1 1,1 1-1,-1 0 0,0-1 1,1 1-1,-1-1 1,1 0-1,0 0 0,0 1 1,-1-1-1,1 1 1,0-1-1,0 0 0,0 0 1,0 1-1,0-2 1,1 1-1,-1 0 0,0 0 1,1 0-1,-1 0 1,0 0-1,1 0 0,-1-1 1,1 1-1,-1-1 1,3 2-1,8 0-28,0 2 0,0-1 0,0-1-1,19 0 1,-27-1 40,44 2-48,0-2 0,-1-2 0,1-3 0,88-15 0,-136 19 41,21-3 154,-17 5 79,-10 4-62,-61 29 371,12-8-304,15-5-305,2 3-1,1 1 1,1 0 0,1 3 0,2 1 0,-38 44 0,67-69-326,-1 2 1,1-2-1,0 1 1,-3 9-1,1 3-2877</inkml:trace>
  <inkml:trace contextRef="#ctx0" brushRef="#br0" timeOffset="9253.99">5409 480 14848,'0'0'256,"0"4"85,-3 32 745,2 0-1,1 0 1,3 0 0,9 49 0,49 142-457,-1-16-522,-23-76-86,-25-96-107,-6-22-127,0 0 0,-2 1 0,0-1 0,-1 2-1,1 34 1,-4-53 185,0 1-1,0-1 1,0 0 0,0 0-1,0 0 1,0 1 0,0-1-1,0 0 1,0 0 0,0 1-1,0-1 1,0 0-1,0 0 1,0 0 0,0 1-1,0-1 1,-1 0 0,1 0-1,0 0 1,0 0 0,0 1-1,0-1 1,0 0 0,-1 0-1,1 0 1,0 0 0,0 0-1,0 1 1,0-1 0,-1 0-1,1 0 1,0 0-1,0 0 1,0 0 0,-1 0-1,1 0 1,0 0 0,0 0-1,0 0 1,-1 0 0,1 0-1,0 0 1,0 0 0,-1 0-1,1 0 1,0 0 0,0 0-1,0 0 1,-1 0-1,-10-7-1472,7 5 260</inkml:trace>
  <inkml:trace contextRef="#ctx0" brushRef="#br0" timeOffset="9502.94">5329 1032 21503,'0'0'0,"22"31"0,-14-20 0,-3-7 0,-2-8 0,3 1 0,5 0 0,6 6 0,8 1-768,10 4 0,7 3-768,-9-4 0,0 1-10367</inkml:trace>
  <inkml:trace contextRef="#ctx0" brushRef="#br0" timeOffset="10208.79">6117 1143 21119,'0'0'-128,"-3"6"-1045,-64 140-4693,64-138 6045,1 1 0,1-1 0,0 0 0,0 0 0,1 1 0,0 14 0,1-20-101,-1 1 1,0 0-1,1-1 1,0 0-1,0 1 1,0 0-1,0-2 1,1 2 0,-1 0-1,1-2 1,0 1-1,0 1 1,0-1-1,0-1 1,1 1-1,-1 0 1,7 4-1,-7-6-47,1 0 1,-1 0-1,1 0 0,-1 0 1,1-1-1,0 1 0,0-1 0,-1 0 1,1 1-1,0-1 0,0 0 1,-1-1-1,1 1 0,0 0 0,-1-1 1,1 0-1,0 0 0,-1 1 1,1-2-1,2 0 0,5-2 98,0-1 0,0 0 0,16-12 0,-14 6 24,0-1 0,-1 0-1,0 0 1,-1-1-1,0 0 1,11-21-1,9-12 60,-2 8-104,-8 12 19,23-40 1,-42 64-122,0 0-1,0 0 1,1 1-1,-1 0 1,0-1-1,1 0 1,-1 0 0,1 1-1,-1-1 1,1 1-1,0 1 1,0-2-1,-1 1 1,1 0 0,0 0-1,0 0 1,0 0-1,0 0 1,1 1-1,-1-1 1,0 1-1,4-1 1,-5 1-2,-1 0 0,1 0 0,-1 1 1,1-1-1,0 0 0,-1 1 0,1-1 0,-1 0 0,1 1 0,-1-1 1,0 0-1,1 1 0,-1-1 0,1 1 0,-1-1 0,0 1 0,1-1 1,-1 1-1,0-1 0,0 1 0,1-1 0,-1 1 0,0 0 0,0-1 1,0 0-1,0 0 0,0 1 0,0 0 0,0-1 0,0 1 0,0-1 1,0 1-1,0 0 0,0-1 0,0 1 0,-1 30 74,0-23-28,0 18 75,1 0 0,1 1 0,2-1 0,0 1 0,3-1 0,9 31 0,-7-33-37,-3-7-95,0 0-1,2 0 1,0 0-1,1-2 0,16 25 1,-24-40-58,0 1 1,1-1 0,-1 1 0,0 0-1,1-1 1,-1 0 0,1 0 0,-1 0-1,0 1 1,1-1 0,-1 0 0,1 1-1,0-1 1,-1 0 0,1 1-1,-1-1 1,1 0 0,-1 0 0,1 0-1,0 1 1,-1-1 0,1 0 0,-1 0-1,1 0 1,0 0 0,-1 0 0,1 0-1,0 0 1,0-1 0,1 1-19,-1-1 0,0 0 0,1 0 0,-1 1 1,0-1-1,0 0 0,1 0 0,-1 0 0,0 0 1,0 0-1,1-3 0,19-33-3238,-20 36 3207,11-28-9550</inkml:trace>
  <inkml:trace contextRef="#ctx0" brushRef="#br0" timeOffset="10792.95">6893 958 22783,'-24'44'26,"1"2"0,3 1-1,2 1 1,-14 55-1,25-76-28,2 0-1,0-1 1,2 2-1,1 0 1,2 37-1,2-63-89,2-8 46,3-10-10,-6 15 41,6-14-28,0 0 1,12-14 0,2-5 2,-6 10-49,0 0 1,2 2-1,1 0 0,1 0 0,1 2 1,32-26-1,-38 35 39,1 0 1,0 0-1,1 1 0,0 1 0,1 1 0,-1 1 1,2-1-1,-1 3 0,1-2 0,0 3 0,25-5 1,-39 9 49,0-1 0,-1 1 1,1 0-1,0 0 0,0 0 0,0 1 1,0-1-1,0 1 0,0 0 1,-1 0-1,1 0 0,0 1 1,-1-1-1,1 1 0,-1-1 0,1 1 1,-1 0-1,0 1 0,0-1 1,0 1-1,0-2 0,0 2 1,-1 0-1,1 0 0,-1-1 0,0 2 1,0-1-1,0 0 0,0 0 1,-1 1-1,1-1 0,0 4 0,4 11 2,-1 0-1,-2-1 1,0 2-1,1 34 0,-4-53 0,3 54-32,-2 0 0,-4-1 0,-12 78 0,23-144-2224,6-17-885,-5 7-7461</inkml:trace>
  <inkml:trace contextRef="#ctx0" brushRef="#br0" timeOffset="11506.68">8024 1014 23167,'-60'31'0,"60"-31"0,-1 0 0,1 0 0,0 1 0,-1-1 0,1 0 0,0 0 0,-1 0 0,1 0 0,-1 0 0,1 1 0,0-1 0,-1 0 0,1 0 0,-1 0 0,1 0 0,-1 0 0,1 0 0,0 0 0,-1-1 0,1 1 0,-1 0 0,1 0 0,0 0 0,-1 0 0,1 0 0,0-1 0,-1 1 0,1 0 0,0 0 0,-1 0 0,1-1 0,0 1 0,-1 0 0,1-1 0,0 1 0,0 0 0,-1-1 0,1 1 0,0 0 0,0-1 0,0 1 0,-1 0 0,1 0 0,0 0 0,0-1 0,0 1 0,0-1 0,1-21 0,0 10 0,-1 11 0,-1 0 0,1 0 0,0 0 0,-1 1 0,1-1 0,0 0 0,-1 0 0,1 1 0,-1-1 0,1 0 0,-1 1 0,1-1 0,-1 1 0,1 0 0,-1-1 0,0 1 0,1-1 0,-1 1 0,0 0 0,1-1 0,-1 1 0,0 0 0,0-1 0,0 1 0,1 0 0,-1 0 0,0-1 0,0 1 0,0 0 0,1 0 0,-1 0 0,0 0 0,0 0 0,-1 1 0,-29 4 0,26-4 0,-11 4-48,1 0 0,-1 1 0,1 0 0,1 2 0,-1-1 0,1 1 0,1 1 0,-1 1 0,2-1 0,0 1 0,-22 24 0,26-26 14,1 2 1,0-1-1,0 1 0,1-1 0,1 1 0,-1 1 0,2-1 0,0 1 0,0-1 0,1 1 1,0 0-1,1 1 0,1-1 0,0 0 0,0 0 0,3 21 0,1-14 27,0 1 0,2-2-1,0 0 1,1 1 0,1-1-1,1 0 1,11 17 0,-15-29 2,0 2 0,1-2 0,0 1 0,0-1 0,0 0 0,1 1 0,0-2 0,0 1 0,8 3 0,-9-5 3,0-1-1,0 0 0,0 0 0,0-1 1,1 1-1,-1-1 0,1 0 0,-1 0 1,1 0-1,-1-1 0,1 0 0,-1 0 1,1 0-1,6-2 0,1-1-4,-1-1 0,1 1 0,-1-1 0,0-1 0,0 0 0,-1-1 0,1 0 1,-1-1-1,18-14 0,-3 0-6,-2 0 1,35-40-1,-38 37 24,30-46 0,-39 45 157,-12 18-46,-13 15-28,0 4-43,1 0 1,1 1 0,0 0 0,1 1 0,1 0-1,-16 31 1,-31 99 191,27-62-102,11-34-56,-7 20 129,-64 118-1,-2-42-53,68-112-128,-1-1 0,-42 40 0,46-54-452,-1-1 0,-1-1 0,-36 19 0,6-4-460,6 1-2448,1-3-8703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48:17.73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1 298 17407,'0'0'1536,"5"2"-1408,-3-2-118,56 21 497,79 18 0,-53-23-249,-29-7 125,71 22 0,-116-27-323,0 1 0,0 1 0,-1-1 1,0 1-1,10 9 0,-8-7 18,0 0 0,0 0 1,24 11-1,-32-18-62,0 0 1,0 0-1,1 0 1,-1 0-1,1 0 1,-1-1-1,0 1 1,1-1-1,-1 0 0,1 0 1,-1 0-1,1-1 1,-1 1-1,0-1 1,1 0-1,-1 0 1,0 0-1,1 0 1,4-4-1,152-81-1211,-156 84 675,0 0 0,0 0 0,0-1 0,-1 1-1,1-1 1,-1 0 0,0 0 0,0 0 0,0 0-1,0 0 1,0-1 0,3-5 0</inkml:trace>
  <inkml:trace contextRef="#ctx0" brushRef="#br0" timeOffset="562.41">90 41 19711,'50'-14'0,"-29"7"0,0 1 0,1 1 0,24-2 0,-23 6 38,-1 1-1,1 1 0,0 1 1,33 7-1,87 32 182,-108-29-180,148 44 387,-149-48-399,0-1 1,0-2 0,55 0 0,-84-5-357,1 0-1,-1 0 1,0-1 0,1 0 0,-1 0 0,0 0 0,0-1 0,0 0 0,0 0-1,0 0 1,0-1 0,0 1 0,5-5 0,31-14-10380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05.444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1725 34 18815,'-1'0'0,"-1"1"0,0 0-1,0 0 1,0-1-1,0 1 1,0-1 0,0 0-1,0 0 1,0 0-1,0 1 1,-3-2-1,4 1 2,0-1 0,1 0 0,-1 1 0,0-1 0,1 0 0,-1 0 0,1 1 0,-1-1 0,1 0 0,-1 0 0,1 1 0,0-1 0,-1 0 0,1 1 0,0-1 1,0 0-1,-1 0 0,1 0 0,0 0 0,0 0 0,0 0 0,0 0 0,0 0 0,1 0 0,-1 0 0,0 0 9,0 0 0,0 1 1,-1-1-1,1 0 0,0 0 1,0 0-1,-1 1 0,1-1 1,-1 0-1,1 0 0,0 1 1,-1-1-1,1 0 0,-1 1 1,0 0-1,1-1 0,-1 1 1,0-1-1,1 1 0,-1-1 1,0 1-1,1-1 0,-1 1 1,0 0-1,0-1 0,0 1 1,1 0-1,-1 0 0,0-1 1,0 1-1,0 0 1,0 0-1,-1 0 0,-35 1 75,29-1-52,-87 11 378,1 3-1,-98 27 1,168-35-320,-1-1 31,1 2 0,1 0-1,0 2 1,0 0 0,0 1 0,-39 24 0,20-8 136,-89 39 0,91-47-131,1 1-1,-71 48 1,100-59-107,0-1-1,1 2 1,0 0-1,1 1 1,0-1-1,1 1 1,0 0-1,-7 13 1,11-16-5,0-2-1,0 2 1,1-1 0,0 1 0,0-1-1,1 1 1,0-1 0,0 2 0,0-2-1,1 0 1,0 2 0,1-2 0,0 1-1,0-1 1,0 1 0,3 7 0,0-4 1,0-1 1,1-1 0,0 0-1,1 1 1,0-1 0,0 0-1,12 12 1,-2-7 17,0-1 0,32 22-1,-11-9-33,-1 3 0,56 56 0,-78-70 55,0 1 1,19 27-1,-29-37-40,0 0 0,-1 1 0,0-1 0,-1 1 1,1-1-1,-1 2 0,0-2 0,-1 2 0,1-2 0,-1 2 1,-1-1-1,1 11 0,-4 16 65,2-17-33,0-1 0,-5 18 0,5-28-32,-1 0 0,1-1 0,-1 1-1,0 0 1,-1-1 0,0 1 0,1-1 0,-1 1-1,-1-1 1,-5 6 0,-8 5 18,-2-1 0,0 0 1,0-1-1,-1-1 0,-1-1 0,0-1 1,-1 0-1,-29 9 0,-11-2 212,-117 22 0,135-34-128,0-2 0,0-2 0,-47-3 0,-70 2 162,155 0-273,1 1 1,-1 0-1,1 0 1,0 1-1,0-1 1,0 1-1,0 0 1,-8 4-1,12-5-38,-1 0-1,1-1 0,0 1 0,0 0 0,0 0 0,0 0 0,0 0 0,0 0 0,0-1 0,0 1 0,0 1 0,1-1 0,-1 0 0,0 0 1,1 1-1,-1-1 0,1 0 0,-1 1 0,1-2 0,0 1 0,0 1 0,-1-1 0,1 1 0,0-1 0,0 0 0,0 1 0,1-1 0,-1 0 0,0 0 1,0 0-1,1 1 0,-1-1 0,1 0 0,-1 1 0,1-1 0,0 0 0,-1 0 0,1 0 0,1 1 0,1 1-422,0 0-1,0 0 1,0-1 0,0 0-1,0 1 1,0-1-1,1 0 1,0-1 0,6 4-1,-10-5 296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30.57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234 167 15872,'0'0'917,"1"5"-704,10 98 832,-6 153 1,-6-177-716,2-42-122,-7 53 0,-11 13 16,3-24 48,-4 115 0,17-139-179,-2 0-1,-17 90 1,-20 3 73,19-79-4,-17 112 0,37-164-110,-1 1 0,-1-1 0,-1 0 0,-1-2-1,0 2 1,-11 20 0,-15 43 119,30-79-161,1 0 0,-1-1 0,1 1 0,-1 0 0,1 0 0,0-1 0,-1 1 1,1 0-1,0-1 0,-1 1 0,1-1 0,0 1 0,0 0 0,0 0 0,0 0 0,0 0 0,0 0 1,0 1-1,15-4 195,-5 0-133,0-1-58,0 1-1,0 1 1,0-1-1,0 1 1,0 0-1,0 1 1,0 0 0,1 1-1,-1 0 1,13 2-1,137 44 9,-121-39 50,-1-2 0,1-1 0,-1-2 0,59-2 0,39 2 58,-119-2-133,0-1 0,0-1 0,0 0 0,0 0 0,0-1 0,16-6 0,-32 7-77,1 0-1,-1 1 1,0-2 0,0 2-1,1-1 1,-1 0 0,0 0-1,0-1 1,0 1 0,0 0-1,-1-1 1,1 1 0,0-1-1,-1 1 1,1 0 0,0 0-1,0-3 1,6-26-2037,-6 16-933</inkml:trace>
  <inkml:trace contextRef="#ctx0" brushRef="#br0" timeOffset="773.05">275 99 19967,'306'49'747,"-79"-17"-214,-108-3-254,-84-18-108,1-2-1,39 4 0,-45-12 24,-10 0-99,-18 0-432,-8-1-426,-5 2-2288</inkml:trace>
  <inkml:trace contextRef="#ctx0" brushRef="#br0" timeOffset="2816.53">1091 509 16767,'10'26'0,"-4"-19"114,-2-13 151,-3 5-223,-1 0-1,0-1 0,1 2 1,-1-2-1,0 1 1,0 0-1,0-1 1,0 1-1,0-1 0,0 1 1,0 0-1,-2-3 513,13 25 448,-10-15-856,-1-1 0,1 1 0,-1 0-1,-1-1 1,0 9 0,0-9-95,1-1 0,-1 1 1,1-1-1,0 1 0,0-1 0,1 1 0,0-1 1,-1 0-1,3 5 0,2 6 96,-1 0-1,0 0 1,-1-1 0,-1 1-1,-1 0 1,0 1 0,-2 26-1,-1-15 25,2 0 0,6 52-1,3 38 37,-1-3-51,3-44-73,21 116 218,-29-175-268,0 0 0,-2 0 1,1 1-1,-2 0 0,1-1 0,-2 0 0,0 1 0,-3 18 1,3-27-13,0 0 0,0-1 1,0 2-1,1-1 0,0 0 1,-1 0-1,1 0 0,0 1 1,1-1-1,0 4 0,-1-7-20,0 0 0,1 0 0,-1 1 0,0-1 0,0 0 1,1 0-1,-1 0 0,0 0 0,1 0 0,-1 0 0,0 1 0,1-1 0,-1 0 0,0 0 0,1 0 0,-1 0 0,0 0 0,1 0 0,-1 0 0,0 0 0,1 0 0,-1-1 0,0 1 0,1 0 0,-1 0 0,0 0 0,0 0 0,1 0 0,-1-1 0,0 1 0,1 0 0,-1 0 1,0 0-1,0-1 0,1 1 0,8-6 68,-4 2-54,1-2-1,-1 2 1,0-1-1,-1 0 1,1-1-1,-1 0 1,0 0-1,3-6 1,6-10 3,43-53-18,-29 40 0,30-49 0,-11-8 0,64-182 0,-85 213 0,2 0 0,3 2 0,55-80 0,-68 113 24,-8 10 29,2 0-1,-1 1 1,27-27 0,-66 105 96,-2-15-160,21-34-84,1 0-1,-12 23 0,9-14-938,9-18 504,0-1-1,1 0 1,-1 1 0,1 0 0,0-1 0,1 1-1,-1 0 1,1 0 0,0 7 0</inkml:trace>
  <inkml:trace contextRef="#ctx0" brushRef="#br0" timeOffset="4079.81">2265 505 18559,'-17'43'0,"20"-50"124,1-1 0,-2 1 0,1-1-1,2-12 1,-5 20-118,0 0 0,0 0 0,0 0 1,0 0-1,0-1 0,0 1 0,0 0 0,0 0 0,0 0 0,0 0 0,0-1 1,0 1-1,0 0 0,0 0 0,0 0 0,0 0 0,0 0 0,0-1 0,0 1 1,0 0-1,0 0 0,0 0 0,0 0 0,0 0 0,0 0 0,0-1 0,-1 1 1,1 0-1,0 0 0,0 0 0,0 0 0,0 0 0,0 0 0,0 0 0,-1 0 1,1 0-1,0 0 0,0 0 0,0-1 0,0 1 0,0 0 0,-1 0 0,1 0 1,-7 5 227,-6 11 73,5 1-128,1-1 0,1 2 0,0 0 0,1 0 0,-2 21 0,-3 6 27,-2 8 31,2-7-100,-21 58 1,-123 288 502,151-385-611,-1 0-1,0 0 1,0 0 0,0-1 0,-1 1 0,0-1 0,0 1 0,-1-1-1,0-1 1,0 1 0,0-2 0,-1 1 0,0 0 0,0-1 0,0 0-1,-10 4 1,17-8-29,0 0 0,0 0 0,0 0 0,0 0 0,0 1 0,-1-1 0,1 0 0,0 0 0,0 0 0,0 0 0,0 0 0,-1 0 0,1 0 0,0 0 0,0 0 0,0 0 0,0 0 0,-1 0 0,1 0 0,0 0 0,0-1 0,0 1 0,0 0 0,0 0 0,-1 0 0,1 0 0,0 0 0,0 0 0,0 0 0,0 0 0,0 0 0,0-1 0,-1 1 0,1 0 0,0 0 0,0 0 0,0 0 0,0 0 0,0-1 0,0 1 0,0 0 0,0 0 0,0 0 0,0 0 0,0 0 0,0-1 0,0-10 0,6-13 0,13-22 0,37-64 0,9-20 0,146-437 0,-181 496 0,-33 84 38,0 1-1,2-1 1,-1 1 0,2-1-1,0 1 1,3 22-1,0 17 63,-2-23-57,2-1-1,0 0 1,3 1 0,0-1-1,2-1 1,18 42 0,80 254 282,-29 7-32,-73-313-293,1 2 0,-1 0 0,-1 0 0,-1 0 0,0 1 0,-3 25 0,-2-35-10,1-14-17,1-20-42,7-38-1364,0-16-3321,-6 41-7384</inkml:trace>
  <inkml:trace contextRef="#ctx0" brushRef="#br0" timeOffset="4593.72">2066 1113 16000,'7'3'-27,"-3"0"12,0 0 0,0 0 0,0 0 0,0 0 0,4 6 0,-7-9 16,-1 1 0,1-1-1,-1 0 1,1 1 0,-1 0 0,1 0 0,-1-1-1,0 1 1,1 0 0,-1 0 0,0 0-1,0 0 1,0-1 0,0 1 0,0 0 0,0 0-1,0 0 1,0 0 0,0 0 0,0-1-1,0 0 1,0 1 0,0 0 0,-1 0 0,1 0-1,0-1 1,-1 1 0,1 0 0,-1 0-1,1-1 1,-1 1 0,1 0 0,-1-1 0,1 1-1,-1 0 1,0-1 0,1 1 0,-1-1-1,-1 1 1,-2 2 156,-1 0 0,1-1 0,-1 1 0,0 0-1,0-1 1,0-1 0,0 1 0,0-1 0,0 1 0,-1-1 0,1 0-1,-1-1 1,1 1 0,0-1 0,-1 0 0,-8-2 0,14 2-125,0 0 0,-1 0 0,1 0 0,0-1 0,0 1-1,0 0 1,-1 0 0,1-1 0,0 1 0,0 0 0,0 0 0,0-1 0,0 1 0,0 0 0,0 0 0,-1-1 0,1 1 0,0 0 0,0 0 0,0-1 0,0 1 0,0 0 0,0-1 0,0 1 0,0 0 0,1 0-1,-1-1 1,0 1 0,0 0 0,0 0 0,0 0 0,0 0 0,0 0 0,0-1 0,1 1 0,-1 0 0,0 0 0,6-11 247,-3 8-218,0-1 0,0 0 0,1 0 0,0 2 0,-1-2 0,1 1 0,0 0-1,0 1 1,1 0 0,-1-1 0,1 1 0,-1 0 0,1 0 0,0 1 0,0-1 0,7 0 0,5 0 102,1 1-1,-1 0 1,26 3 0,9-1 219,92-1 365,-142 0-771,0 0 16,1 0 0,-1 0 0,0 0-1,0 0 1,0-1 0,0 1 0,0 0-1,0-1 1,0 0 0,0 1 0,0-1-1,0 0 1,0 0 0,0 0 0,0 0-1,-1-1 1,1 1 0,0 0 0,-1 0-1,1 0 1,-1-1 0,2-1 0</inkml:trace>
  <inkml:trace contextRef="#ctx0" brushRef="#br0" timeOffset="6163.95">2253 110 18175,'0'0'1430,"6"1"-1217,351 16 1088,-320-18-1207,0 0-1,61-10 1,72-24 312,-14 3-90,-107 24-254,46-9 132,-65 7-111,-26 8-56,0 0 0,0 1 0,0-1 0,1 1 0,-1 0 0,0 0 0,9-1 0,-13 2-22,0 1 1,1-1-1,-1 1 1,0-1-1,0 0 1,1 1 0,-1-1-1,0 1 1,0-1-1,0 1 1,0-1-1,0 1 1,0-1 0,1 1-1,-1-1 1,0 0-1,-1 0 1,1 1-1,0-1 1,0 1 0,0-1-1,0 0 1,0 1-1,0-1 1,0 1-1,-1-1 1,1 1-1,0-1 1,0 1 0,-1-1-1,1 0 1,0 1-1,-1-1 1,1 0-1,0 1 1,-1-1 0,1 0-1,-1 1 1,1-1-1,0 0 1,-1 0-1,1 1 1,-1-1 0,1 0-1,-1 0 1,-24 7 67,10-3-19,1 1 0,-18 7 0,27-9-43,0-1 1,0 1 0,1 0-1,-1 0 1,1 1-1,0-1 1,0 1 0,0 0-1,0 0 1,-3 5-1,-3 7-11,0 1 0,2-1 0,0 2 0,1 0 0,0 0 0,2-1 0,0 2 0,-3 33 0,5-5 0,2 0 0,7 64 0,1-61 0,3 1 0,3-2 0,25 66 0,4 14 0,-18-42 0,-4 2 0,8 103 0,9 69 0,-34-244 0,8 128 11,-4-35 128,-5-86-81,-1-1 1,-2 1 0,-3 29-1,5-29-58,-1-23 0,1 1 0,-1 0 0,0 0 0,0-1 0,0 1 0,0 0 0,0 0 0,0 0 0,0 0 0,-1 0 0,1 0 0,-1-1 0,1 1 0,-1 0 0,0 0 0,0-1 0,0 1 0,-1 2 0,0-2 1,0 2 1,-1 0-1,2 0 0,-1-1 0,0 1 0,1 0 1,0 0-1,0 0 0,0 0 0,0 1 0,1-2 1,-1 1-1,1 1 0,0-2 0,1 2 0,-1-1 0,2 5 1,-2-7 1,1-1 1,-1 1-1,0-1 1,0 1-1,0-1 1,0 0-1,0 1 0,-1-1 1,1 1-1,0-1 1,-1 1-1,1-1 1,-1 1-1,1-1 1,-1 0-1,0 0 1,0 0-1,0 0 1,1 1-1,-1-1 1,-1 0-1,1 0 1,0 0-1,0 0 1,0 0-1,0 0 1,-1 0-1,1 0 1,0 0-1,-1-1 1,1 0-1,-3 1 1,-6 4 24,-1-1 0,0-1 0,-16 3 0,15-4-21,-3 1-7,0-1 0,0-1 0,-18 0 0,-1 0 0,-50-1 192,-137-14-1,109 4-83,61 7 1,-97 8 1,117-2-73,0 1 0,1 1 1,0 3-1,-41 12 0,65-17-172,0-1-1,0 1 0,1-1 0,-1 2 1,1-1-1,0 1 0,0-1 1,-6 8-1,8-8 30,1-2-1,0 2 1,0 0 0,0 0-1,0 1 1,0-2 0,1 1-1,0 1 1,-1-1 0,1 0-1,0 0 1,1 1 0,-1-1-1,1 1 1,-1 3 0,1 6-3180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0:51.26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172 3096 17151,'0'0'2155,"6"1"-1984,54 5 78,1-1 0,62-2-1,311-30 1012,-251 14-728,97 5 107,-271 8-638,28 0-978,-13 0-2910</inkml:trace>
  <inkml:trace contextRef="#ctx0" brushRef="#br0" timeOffset="674.53">0 2971 20095,'9'-5'0,"-6"4"0,0 0 0,0 0 0,0-1 0,0 0 0,1 0 0,-1 0 0,0 0 0,1 2 0,-1-1 0,1 0 0,-1 0 0,1 1 0,4-1 0,-4 2 22,1-1-1,0 0 1,-1 0-1,1 0 0,-1-1 1,1 0-1,-1 0 0,1 0 1,-1 0-1,1 0 1,-1 0-1,5-4 0,55-26 400,-54 26-373,14-9 61,-1 4-1,2-2 1,-1 2-1,1 2 1,1 0 0,0 2-1,0 0 1,1 2-1,1 0 1,45 0 0,395-5 381,-308 16-151,18 0 156,-145-8-410,-1-1 0,0-1 0,43-9 0,-71 11-188,-1 1 0,0-2 1,1 1-1,-1 0 1,0-1-1,1 1 0,-1 0 1,0-1-1,0 0 1,-1 0-1,1 0 0,0 0 1,-1 0-1,1-1 1,-1 0-1,0 2 0,0-2 1,0 0-1,0 0 1,2-4-1,-4 7-1,0-1 0,0 1 1,0-1-1,0 1 0,0 0 0,0-1 1,0 1-1,0 0 0,0 0 0,0-1 0,0 1 1,-1-1-1,1 1 0,0 0 0,0-1 1,0 1-1,0-1 0,-1 1 0,1 0 0,0-1 1,-1 1-1,1 0 0,0-2 0,-1 2 1,1 0-1,0 0 0,-1-1 0,1 1 0,0 0 1,-1 0-1,1-1 0,-1 1 0,1 0 0,0 0 1,-1 0-1,0 0 0</inkml:trace>
  <inkml:trace contextRef="#ctx0" brushRef="#br0" timeOffset="40116.83">2686 1065 17407,'0'0'384,"5"-3"-149,6-6-137,0 0-1,1 1 1,1 1-1,0 1 1,0-1 0,0 2-1,17-7 1,-8 6 6,-1 1 0,1 1 0,0-1 0,30-1 0,108 4 568,-136 4-525,-1 0 0,1 2 1,-1 1-1,37 9 0,-54-11-119,0 0 0,0-1 0,0 1 0,0 1 0,-1-2 0,1 2 0,-1 0 0,0 0 0,-1-1 0,1 1 0,-1 2 0,0-2 0,4 7 0,-3-3 1,0 0-1,-1-1 0,0 3 0,0-2 0,-1 1 0,-1-1 0,4 21 0,-5-13 18,0 2-1,-1 0 0,-1 0 0,0 0 0,-2 0 1,0-1-1,-2 1 0,-8 21 0,-4 4 50,-2-1-1,-3 0 1,-1-2-1,-2-2 1,-2-1-1,-38 43 1,48-65-29,15-13-45,-1-1 0,1 2 0,-1-1 0,1 0 0,0 0-1,0 1 1,0 0 0,-2 3 0,4-5-17,0 0 1,-1 1-1,1-2 0,0 1 0,0 1 0,0 0 0,0-2 0,1 2 1,-1-1-1,0 0 0,0 0 0,1 0 0,-1 0 0,1 0 1,-1 0-1,1 0 0,-1 1 0,1-1 0,0 0 0,0 0 1,0-1-1,-1 1 0,1 0 0,0 0 0,2 1 0,3 2 5,-1 1 0,1-1 0,0-1-1,0 0 1,0 2 0,1-4-1,0 2 1,-1 0 0,1-1 0,0 0-1,10 1 1,9 1 69,47 0 0,-53-3-61,66-3 135,5 1 51,-79 1-280,-1 0 0,1 2 0,-1 0 0,1 1 0,19 6 0,-28-6-109,0-2 1,0 1-1,1-1 1,-1 0-1,0 0 1,0 1-1,0 0 1,-1 0-1,1 0 0,-1 1 1,3 2-1,0 2-699,-1-2-1,-1 2 0,1 1 0,2 4 0</inkml:trace>
  <inkml:trace contextRef="#ctx0" brushRef="#br0" timeOffset="41183.57">3852 935 22015,'2'-5'0,"0"1"0,1-2 0,-1 0 0,1 2 0,0 1 0,0 0 0,1-1 0,0 0 0,-1 0 0,1 0 0,0 1 0,1 1 0,-1-1 0,1 0 0,-1 0 0,1 1 0,5-3 0,-4 3 0,0 1 0,0-1 0,0 1 0,0 0 0,1 1 0,-1-1 0,0 1 0,0 1 0,0-1 0,1 1 0,-1 0 0,0 0 0,0 1 0,11 4 0,308 133 0,-312-132 2,-1 0-1,0 2 1,0 0-1,-1 0 1,0 1-1,-1 0 1,0 0 0,-1 1-1,0 0 1,-1-1-1,0 3 1,-1-1-1,10 24 1,-15-29 9,0-2 1,0 1 0,-1 1 0,0-2 0,0 1-1,-1 0 1,0 0 0,0 1 0,0-3 0,-1 3-1,0 0 1,-3 6 0,1-5 15,0 0 1,-1 2-1,0-3 1,-1 0-1,0 2 1,0-2-1,-11 12 0,-2-4 18,0 4-1,-1-5 1,-1 1 0,0-2-1,-32 16 1,32-16 24,0-4 0,-1 1 1,1-2-1,-39 13 0,53-20-56,-1 1 0,1-1 0,-1 0 0,0 0 0,1-1 0,-1 0 0,0 0 0,1-1 0,-1 0 0,0 0 0,1 0 0,-1-1 0,1 1 0,0-2 0,0 0-1,-1 1 1,2-1 0,-1 0 0,0 0 0,-7-6 0,12 8-13,0 1 0,0-1 0,1 1 0,-1-1 0,0 1 0,1-1 0,-1 0 0,0 1 0,1 0 0,-1-1 0,1 1 0,-1-1 0,1 0 0,0 0 0,-1 1 0,1-1 0,0 0 0,-1 0 0,1 0 0,0 0 0,0 1 0,0 0 0,0 0 0,0-1 0,0 0 0,0 0 0,0-1 0,1 1 0,-1 0 0,1 0 0,0 0 0,0 0 0,0 1 0,0-1 0,0 0 0,0 1 0,0-2 0,0 1 0,0 0 0,0 1 0,0-2 0,0 2 0,3-2 0,4 0 0,1 0 0,0 0 0,-1 1 0,12-1 0,2 1 0,0 1 0,1 1 0,-1 0 0,0 2 0,0 0 0,33 13 0,-39-11 0,0-1 0,-1 2 0,0 1 0,0-1 0,-1 2 0,0 2 0,0-1 0,-1-1 0,17 18 0,-26-22 0,-1-1 0,1 4 0,-1-4 0,0 2 0,0 1 0,-1-1 0,1-1 0,-1 3 0,-1-2 0,1 1 0,-1-1 0,0-2 0,0 6 0,-1-4 0,0 1 0,0-1 0,0 1 0,-2 5 0,1-2 0,0-2 0,-1-1 0,0 1 0,-1 0 0,1-1 0,-1 1 0,-1 0 0,1-2 0,-1 2 0,-1-1 0,1-1 0,-1 2 0,0-3 0,-7 8 0,-4-2 6,1 0 0,-1 0 0,-1-3 0,0 1 1,0 0-1,0-3 0,-35 11 0,-136 17-156,165-30 38,11-3-783,10 0 313,0 0-1,0 0 1,0 1-1,0-1 1,0 0-1,0 1 1,1-1-1,-1 1 1,-2 0-1</inkml:trace>
  <inkml:trace contextRef="#ctx0" brushRef="#br0" timeOffset="41934.42">5236 1282 22015,'-22'8'0,"22"-8"0,0 0 0,0 0 0,0 0 0,0 0 0,0 0 0,0 0 0,-1 1 0,1-1 0,0 0 0,0 0 0,0 0 0,0 0 0,0 0 0,-1 0 0,1 0 0,0 0 0,0 0 0,0 0 0,0 0 0,0 0 0,0 0 0,-1 0 0,1 0 0,0-1 0,0 1 0,0 0 0,0 0 0,0 0 0,0 0 0,-1 0 0,1 0 0,0 0 0,0 0 0,0 0 0,0 0 0,0-1 0,0 1 0,0 0 0,0 0 0,0 0 0,0 0 0,-1 0 0,1 0 0,0 0 0,0-1 0,0 1 0,0 0 0,0 0 0,0 0 0,10-15 0,-8 13 0,0-2 0,0-2 0,0 2 0,0-1 0,-1-1 0,1 0 0,-2 0 0,1 1 0,-1-2 0,1 2 0,-2 0 0,1-1 0,-1 1 0,0-2 0,-3-7 0,-1-3 0,-1-1 0,-1 1 0,-12-21 0,18 35 0,-1 0 0,1 1 0,-1-2 0,0 2 0,0 0 0,0 0 0,0-1 0,-1 1 0,1 0 0,-1 1 0,0-1 0,1 0 0,-1-1 0,0 1 0,-5 0 0,2 1 0,1-1 0,0 1 0,-1 0 0,1 1 0,-1-1 0,1 1 0,-1 0 0,1 1 0,-7 0 0,-3 2 1,0 0-1,0 0 0,1 3 1,-1-1-1,1 0 0,1 2 1,-1-1-1,1 1 1,0 1-1,1 1 0,0-1 1,1 1-1,0 1 0,-12 12 1,6-3-5,0 2 1,1-1 0,1 1-1,1-1 1,1 5 0,2-3-1,-11 27 1,9-10-12,3-2 0,1 2-1,2 1 1,2-2 0,2 2 0,3 65-1,2-93 16,-1 1-1,2 0 0,-1-2 1,2 1-1,0-1 0,1 2 1,11 18-1,-14-26 2,1 0 0,0-1 0,0 0 1,0 0-1,0-1 0,1 1 0,0 0 0,0-2 0,0 2 1,0-1-1,1 1 0,-1-1 0,1 0 0,0 0 0,0-3 1,0 2-1,0-1 0,0 1 0,0-1 0,1 0 0,-1 0 0,7 0 1,-4-2 11,1 1 0,0 0 0,-1-1 1,1-1-1,-1 0 0,0 1 0,1-1 1,-1 0-1,0-1 0,-1-1 0,1-1 1,-1 0-1,1 2 0,-1-2 0,-1 1 1,1-1-1,6-7 0,6-8 18,0 1 0,-2-2 0,28-42 0,-15 14-33,-2-1 0,-3-1-1,24-71 1,29-165 118,-74 266-31,0-1 1,-1-38-1,-2 60-85,-1 0 1,0 0-1,0-2 1,0 2-1,-1 0 1,1-1-1,0 1 1,0 0-1,0-1 1,0 1-1,0 0 1,0-1-1,0 1 1,0 0-1,-1-1 1,1 1-1,0 0 1,0 0-1,0 0 1,-1 0-1,1 0 0,0 0 1,-1-1-1,1 1 1,0 0-1,0 0 1,-1 0-1,1-1 1,0 1-1,-1 0 1,1 0-1,0 0 1,-1 0-1,1 0 1,-16 2-77,-15 13-228,22-10 50,0 1-1,1-1 1,0 2 0,0 1-1,0-1 1,1 0-1,-10 14 1,-1 6-1924,-18 39 0,35-64 2106,-47 84-10232</inkml:trace>
  <inkml:trace contextRef="#ctx0" brushRef="#br0" timeOffset="42548.27">5657 937 21887,'9'82'0,"15"102"0,-15-130 10,40 189 130,-32-167-65,34 115 106,-49-180-166,10 18 183,-11-29-193,-1 1 0,0-1 0,0 0 0,1 0 0,-1 0 0,1 1 0,-1-1 0,0 1 0,1-1 0,-1 0 0,1 1 0,-1-1 0,0 0 0,1 0 0,-1 1 0,1-1 0,-1 0 0,1 0 0,-1 0 0,1 2-1,0-2 1,0 0-1,0-2-1,0 2 0,-1 0 0,1 0 1,0-1-1,0 1 0,-1-1 0,1 1 0,0 0 1,-1-1-1,1 0 0,-1 1 0,1 0 1,0 0-1,-1-1 0,1 1 0,-1-1 0,1 0 1,7-12 39,-1 1 1,-1-1-1,0 1 1,-1-1 0,0 0-1,3-16 1,-1 5 13,4-14 16,7-23 116,1 0 0,54-103 0,-41 108-167,3 0-1,82-99 0,11-8-3936,-103 126 1302,20-24-8714</inkml:trace>
  <inkml:trace contextRef="#ctx0" brushRef="#br0" timeOffset="44079.37">2837 209 19711,'-17'8'0,"1"2"0,0 1 0,0-3 0,-14 19 0,-53 51 0,58-55 0,9-7 0,1 0 0,1-2 0,1 5 0,-17 27 0,25-36 0,0 0 0,0 1 0,2 0 0,-1 0 0,2 0 0,-1 0 0,2 0 0,-1 1 0,2-1 0,0 16 0,5 17-20,21 84 0,26 46-57,-26-91 45,73 213-162,-73-231-104,3-1 0,58 93 0,-49-101-651,58 62 0,76 65-2443,7 4-5056</inkml:trace>
  <inkml:trace contextRef="#ctx0" brushRef="#br0" timeOffset="44785.36">6530 192 18687,'12'31'0,"1"1"0,2 0 0,25 40 0,86 124 0,-103-153 0,-2-1 0,28 86 0,-29-58 46,-4 1 0,-3 2 0,-4-1 0,-1 132 0,-10-159-17,-3 2 0,-1 0 0,-3-3 0,-2 4 0,-3-4 0,-1 0 0,-3 0 0,-38 69 0,4-29-114,-3-1-1,-72 82 1,114-150-207,-1-2 1,0 2-1,-18 9 0,26-19-114,-1 0 0,0 0 0,-1-1 0,1-2 0,-1 2 0,0 0 0,0-2 0,0 1 1,-18 2-1,-16 0-8810</inkml:trace>
  <inkml:trace contextRef="#ctx0" brushRef="#br0" timeOffset="45430.35">6977 109 19327,'34'-6'0,"0"-3"0,59-20 0,6-3 0,-73 24 0,-5 2 0,1 2 0,0-3 0,25 1 0,-40 5 0,-1 1 0,1-1 0,0 2 0,-1-1 0,1 1 0,-1 0 0,1 0 0,-1 0 0,1 1 0,-1 0 0,0 1 0,0 0 0,0-2 0,0 3 0,6 3 0,-5-2 0,0 0 0,-1 2 0,0-2 0,0 1 0,0 2 0,-1-2 0,0-1 0,-1 3 0,1-1 0,-2 1 0,1 0 0,-1-2 0,0 2 0,-1 0 0,0-1 0,0 3 0,-1-1 0,1 10 0,-2 5 0,-2 0 0,0 0 0,-2 1 0,0-2 0,-10 25 0,-3 4 0,-49 99 0,-42 42 1,29-57 20,63-107 36,-2 3 123,0 0 0,-14 44 0,32-75-167,0 0 0,-1 0 0,1-1 1,0 2-1,0-1 0,0 0 0,0 0 0,0 0 0,0 0 0,0 0 1,0 0-1,0 0 0,1-1 0,-1 1 0,0-1 0,1 1 0,-1 0 0,1 0 1,-1 1-1,1-1 0,-1 0 0,1-1 0,0 1 0,-1 0 0,1-1 1,0 1-1,0-1 0,0 1 0,-1 0 0,1-1 0,0 1 0,0-1 0,0 1 1,0-1-1,2 1 0,3 1 20,1 0 0,-1-2 0,3 2 0,8-1 0,-16-1-31,52 3 67,0-2 0,-1-2 1,99-15-1,152-48-3333,-218 44-8831</inkml:trace>
  <inkml:trace contextRef="#ctx0" brushRef="#br0" timeOffset="47013.57">1890 2849 19327,'12'-6'-76,"-9"4"28,1-1 0,0 1 0,0 1-1,-1 0 1,1 0 0,1-2 0,-1 2-1,0 0 1,0 0 0,0 0 0,1 0 0,-1 1-1,0 0 1,1 0 0,-1 0 0,5 1-1,0 1-32,0-1-1,1 1 1,-1-2-1,0 2 1,1-4-1,14 0 1,61-12-180,-35 4 90,-23 5 121,68-11-203,181-10 1,-122 29 135,231 31-1,-160 12 118,-145-27 0,82 10 0,348 19 128,-421-45 270,123-9 0,-37-3 321,-48 6 113,223-33 0,-126-16-55,-94 18-530,183-31 286,-200 29-256,-11 3-148,182-25 272,8-1-290,-225 40-23,-16 6 39,97-19-1,-116 30-119,62 3-1,-13 1 109,116-2-94,46 0 107,-205-3-154,1-1 0,40-8 0,-72 9-2,-3 3-190,0-1 0,0 0 1,0-1-1,0 0 0,0 1 0,5-3 1,2-6-3465</inkml:trace>
  <inkml:trace contextRef="#ctx0" brushRef="#br0" timeOffset="49382.53">3244 4012 19199,'4'-5'87,"-4"4"-46,0 0-1,1 0 1,-1 0 0,1 1 0,0-1-1,-1-1 1,1 0 0,0 1 0,-1 0 0,1 0-1,0 0 1,0 1 0,0-1 0,0 0-1,0 1 1,0-1 0,0 1 0,0-1-1,1 0 1,-1 1 0,0-1 0,2 0-1,15-17 238,-3 4-169,23-26 1,-24 23-38,22-19-1,189-131 390,-22 18-175,-160 114-235,-21 15 31,1 0 1,49-30 0,-70 49-73,-1-1 0,1 2 0,0-1 0,0 0 0,0 1-1,0-1 1,0 0 0,0 1 0,0-1 0,1 1 0,-1-1 0,0 1 0,0 0 0,0 0 0,0 0 0,1 0 0,2 1 0,-4 0-5,0-1 1,0 1-1,0 0 1,0 0-1,1 0 0,-1-1 1,-1 0-1,1 1 1,0 0-1,0 1 0,0 0 1,0-1-1,-1 0 1,1 0-1,-1-1 0,1 1 1,-1 0-1,1 0 1,-1 0-1,1 1 0,-1-1 1,0 0-1,0 1 1,0-1-1,0-1 0,0 2 1,0-1-1,0 0 1,-1 3-1,-4 45 52,-2 0 0,-21 71 0,10-53 31,-17 58 37,23-83-97,3 1 0,1-1 0,-1 45 0,-8 49 9,5-72-118,-20 124-862,33-170-88,-1-17 958,0-1 0,0 0 0,0 0 1,0 0-1,0 0 0,0 0 0,0 0 0,0 1 1,0-1-1,0 0 0,1 0 0,-1 0 1,0 1-1,0-1 0,0 0 0,0 0 1,1 0-1,-1 0 0,0 1 0,0-1 1,0 0-1,1 0 0,-1 0 0,0 0 1,0 0-1,1 0 0,-1 0 0,0 1 1,0-1-1,1 0 0,-1 0 0,0 0 1,0 0-1,1 0 0,-1 0 0,0 0 1,0 0-1,1 0 0,-1-1 0,0 1 1,0 0-1,1 0 0,-1 0 0,0 0 1,0 0-1,0 0 0,1 0 0,-1-1 1,0 1-1,0 0 0,0 0 0,1 0 0,-1 0 1,0-1-1,0 1 0,0 0 0,0 0 1,0 0-1,1-1 0</inkml:trace>
  <inkml:trace contextRef="#ctx0" brushRef="#br0" timeOffset="49709.87">4488 4369 19967,'0'0'0,"-37"-3"0,52 3 0,-4 3 0,5 1 0,-8 1 0,-3-3 0</inkml:trace>
  <inkml:trace contextRef="#ctx0" brushRef="#br0" timeOffset="50596.36">5195 3363 22143,'-44'35'0,"43"-34"-2,0-1 0,0 1 0,0 0 0,1-1-1,-1 1 1,0 1 0,0-2 0,0 1 0,0-1 0,-1 0-1,1 0 1,0 0 0,0 0 0,0 0 0,0 1-1,0-1 1,0 0 0,0 0 0,0 0 0,-1-1 0,1 1-1,0 0 1,0 0 0,0 0 0,0 0 0,0 0 0,0-1-1,0 1 1,0-2 0,0 2 0,-2-2 0,2 1-4,0 0 0,0 1 0,0 0 0,-1 0 0,1 0 0,0 0 0,-1-1 0,1 1 0,0 0 0,-1-2 0,1 2 0,0 0 0,-1 0 0,1 0 1,0 0-1,-3 0 0,-4 3-84,-1-1 1,1 3-1,-1-3 1,1 1-1,1 2 1,-1-1-1,1 2 1,-1-3-1,1 3 1,1-1 0,-11 12-1,5-5-66,1 2-1,0 0 1,1 0-1,-14 25 1,20-31 139,0 3 1,1-2-1,0-1 0,0 2 1,1-2-1,1 3 1,0-1-1,0-3 1,1 3-1,0 1 1,1-3-1,0 1 0,0 1 1,1-1-1,1 0 1,0 1-1,0-2 1,9 19-1,-4-14 0,-1-3 0,2 2 1,0 0-1,0 0 0,2-2 0,-1 0 0,1 0 0,1 0 1,0-3-1,0 3 0,1-3 0,17 10 0,22 7 17,-1 3 0,-2 1 0,90 70 0,-136-96 0,-1 0 0,0-1 0,1 0 0,-1 1 0,0 1 0,0-2 0,-1 2 0,1 0 0,0-1 0,-1 0 0,0 2 0,1-1 0,-1 0 0,1 3 0,-2-3 0,-1 0 0,1 0 0,0 0 0,-1 0 0,0 1 0,0-1 0,0-1 0,0 1 0,0 0 0,-1 0 0,-3 8 0,-7 8 124,-1 3 0,-2-1 0,0 0-1,-31 30 1,41-46-87,-1-1-1,1-1 1,0 0-1,-1 0 1,0 0-1,0 0 1,0 0 0,0 0-1,-1-1 1,1 0-1,-1-1 1,1 1-1,-1-1 1,0 0 0,1-1-1,-1 1 1,0-1-1,0-1 1,1 1-1,-1-1 1,0 0 0,1-1-1,-1 1 1,1-1-1,0 0 1,-1-1-1,1 0 1,0 0 0,0 0-1,1 0 1,-1 0-1,1 0 1,0-1-1,-9-9 1,5 5-23,1-4 0,0 4 0,0-1 0,1-3 0,1 1 0,0 1 0,1-2 1,0 1-1,1-2 0,0 3 0,1 0 0,0-4 0,1 3 0,0-2 0,2 2 0,-1-2 0,3-18 0,0 9-9,2 1 0,0-2 0,2 3 0,1-2 0,0 2 1,2-1-1,0 1 0,25-37 0,52-53 99,8-12 51,-83 106-138,-1-2 1,-1 2-1,-1-2 0,-1 1 0,9-33 0,-15 47-43,0 2-69,-1-1 0,1 1 1,-1-1-1,1 0 0,-1 0 1,0 0-1,1 0 0,-1 1 1,0-1-1,-1 0 0,1 0 1,0 0-1,0 1 0,-1 0 1,1 0-1,-1-1 0,1-1 1,-1 2-1,-1-3 0,1 4-14,1 0 0,-1 0 0,1 0-1,-1 0 1,0 0 0,1 0 0,-1 0 0,1 0-1,-1 0 1,1 0 0,-1 0 0,1 0-1,-1 0 1,1 0 0,-1 0 0,1 0-1,-1 1 1,1-1 0,-1 0 0,1 0 0,-1 1-1,1-1 1,-1 0 0,1 0 0,-1 0-1,1 0 1,0 1 0,-1-1 0,1 1 0,0-1-1,-1 1 1,1 0 0</inkml:trace>
  <inkml:trace contextRef="#ctx0" brushRef="#br0" timeOffset="51405.94">5933 3473 20607,'-91'1'128,"90"-1"-121,0 0-1,0 0 1,0 0-1,0 0 0,0 0 1,0 0-1,0-1 0,-1 1 1,1 0-1,0-1 1,1 1-1,-1 0 0,0-1 1,0 0-1,-1 0 1,1 1 0,1-1 1,0 1 0,0-1 0,-1 1 0,1 0 0,0 0 0,0 0-1,0-1 1,0 1 0,0-1 0,-1 1 0,1-1 0,0 1 0,0 0-1,0-1 1,0 1 0,0-1 0,0 1 0,1-1 0,-1 1 0,0-1-1,0 1 1,0-1 0,2-1 76,-1 0-1,1 0 0,0-2 1,-1 4-1,1-3 1,5-5-1,-51-1 194,34 8-299,-1 1 0,1-1-1,0 1 1,-1 1-1,1-1 1,0 1 0,0 1-1,0 0 1,-14 4-1,19-4 9,0 1 0,0-1-1,1 1 1,-1-3-1,1 4 1,-1-2 0,1 1-1,0 0 1,0 0-1,1 0 1,-1 1 0,1 0-1,-1-1 1,1 2-1,1 0 1,-1-2 0,0 1-1,1 0 1,-3 9-1,3-8-20,0 4 0,1-2 0,0-1 0,0 1-1,1 0 1,0 0 0,0 1 0,0-1 0,1-1 0,1 0-1,2 14 1,0-10-3,0-2-1,0-1 0,1 2 1,0 1-1,1-3 1,0 1-1,11 11 0,5 2-19,2-3-1,0 3 1,1-4-1,43 23 0,-53-30 59,-1-2 0,0 1 0,-1 1 0,0 0 0,0 1 0,-1 1 0,17 20 0,-26-26 0,1-1 0,-2 0 0,1 0 0,0 1 0,-1 0 0,0 0 0,0-1 0,-1 1 0,1 0 0,-1 0 0,-1 0 0,1 0 0,-1 0 0,0 0 0,-1 0 0,1 1 0,-1-2 0,-1 2 0,1-1 0,-1-2 0,0 3 0,-1-2 0,-3 8 0,-2 2 0,-1 0 0,-19 24 0,23-34 0,-1 1 0,1 0 0,-1 0 0,-1-1 0,1-1 0,-1-1 0,0 2 0,-12 6 0,11-9 6,-4 5-9,0-3 0,0 1 0,0-2-1,-17 5 1,26-7 9,-1-1-1,1 0 0,-1 0 1,1 0-1,-1 0 0,1 0 0,0 0 1,-1 0-1,1-1 0,-1 0 1,1 0-1,0 0 0,0 1 1,0-3-1,-1 2 0,1-1 1,0 1-1,1 0 0,-1-2 0,0 1 1,-3-2-1,1-2-1,0 2 1,1-3-1,0 3 1,0-2-1,0 3 0,1-4 1,-1 1-1,2-1 0,-1 1 1,1 1-1,0-2 1,0 1-1,-1-10 0,2 5 7,1 1-1,1 2 0,-1-4 1,2 2-1,0 1 1,0 0-1,0-2 0,5-8 1,6-9 13,2-1 1,1 3-1,1 0 1,35-42-1,-4 12-24,-22 26 0,25-35 0,-39 48-12,25-43-187,-33 54 141,-1-1 0,0 0-1,0-2 1,-1 2 0,0 0 0,0-12 0,-2 10-1323</inkml:trace>
  <inkml:trace contextRef="#ctx0" brushRef="#br0" timeOffset="52196.89">6504 3349 22143,'-75'10'0,"71"-10"0,5-1 0,12-3 0,3 3 0,-15 1 0,-1 0 0,0 0 0,1 0 0,-1 1 0,0-1 0,1 0 0,-1 0 0,0 0 0,0 0 0,1 1 0,-1-1 0,0 0 0,1 0 0,-1 0 0,0 1 0,0-1 0,1 0 0,-1 0 0,0 1 0,0-1 0,0 0 0,0 1 0,1-1 0,-1 0 0,0 1 0,0-1 0,0 0 0,0 0 0,0 0 0,0 0 0,0 1 0,0-1 0,0 0 0,0 1 0,0 0 0,-8 28 0,6-22 0,0 0 0,0 0 0,-1 11 0,-2 16 0,-1 0 0,-2 1 0,-13 32 0,9-31 0,-16 79 0,26-104 2,0 10 32,-1 38 1,4-55-31,-1 4 1,1-3 0,1 1 0,-1 0 0,1 0-1,0 0 1,0-1 0,3 0 0,-3 1 0,1-1 0,5 5-1,-7-8 1,0-1-1,0 1 0,0-2 0,1 1 0,-1 1 1,1-1-1,-1-1 0,1 0 0,-1 1 0,1 0 1,-1 0-1,1-1 0,0 1 0,-1-1 0,1 0 1,0 1-1,0-1 0,-1 0 0,4 0 1,1 0 48,-1 0 1,0-1-1,0 0 1,0 0-1,7-1 1,-11 0-40,1 0 1,-1 0-1,1 1 1,-1-1 0,0 1-1,1-1 1,-1 0-1,0-1 1,0 1 0,-1 1-1,1-1 1,0 0-1,-1-1 1,1-1-1,1-1 2,15-49-5,-7 22 25,25-56-1,-30 79-31,0-1 0,1 1 0,0 0 1,0 0-1,1 1 0,0 1 0,1-3 1,0 3-1,0 1 0,11-8 0,-13 10-49,-1 1 0,1 0-1,0 0 1,-1 1 0,1 0-1,1 1 1,-1-1 0,0 0-1,10 0 1,-14 1 4,1 1 1,0 0-1,0 0 1,0 0-1,0 0 1,0 1-1,0-1 0,0 1 1,0 0-1,-1 0 1,1 0-1,0 0 0,-1 0 1,1-1-1,0 2 1,-1-1-1,0 0 1,1 1-1,-1 0 0,0 0 1,0 0-1,4 4 1,1 4-1631,0 0 0,10 22-1</inkml:trace>
  <inkml:trace contextRef="#ctx0" brushRef="#br0" timeOffset="52542.35">6591 3815 21887,'0'0'0,"13"29"0,-8-15 0,1-1 0,5 1 0,-2 2 0,12-1 0,5 2 0,2 6 0,-1 1-384,-2 2 0,0 0-1536,-5-11 128,-2-5 129,-9 0 127</inkml:trace>
  <inkml:trace contextRef="#ctx0" brushRef="#br0" timeOffset="53704.2">7149 3996 21119,'81'21'0,"-55"-14"0,1 1 0,-1-3 0,55 5 0,-61-8 0,-12-2 0,1 1 0,-1-1 0,14-2 0,-20 1 22,-15-9 84,-13-16-106,1-2 0,2 1 0,1-2 0,1-1 0,-22-43 0,39 65 24,0 1-1,1 0 0,-1 1 0,2-1 1,-1 0-1,1-1 0,1 0 1,-1 1-1,1-1 0,1 2 0,0-2 1,0 0-1,0-1 0,1 3 0,0-1 1,1 0-1,0-1 0,0 1 1,1-1-1,-1 0 0,6-5 0,-3 5 1,-1-1 0,1 2 0,1 1 0,-1 0 0,1-1-1,1 1 1,-1-1 0,1 2 0,1 0 0,-1-1 0,1 2-1,-1 0 1,2 0 0,-1 0 0,0 0 0,15-4 0,-16 4-17,1 2 0,0-1 0,0 2 0,0-1 0,0 1 0,0 0 0,0 1 1,0-1-1,1 1 0,-1 0 0,0 1 0,0-1 0,0 1 0,12 3 0,6 5 25,-1 2 0,0-2 0,26 15 0,-41-17-19,0-2 0,-1 2 0,1 0 0,-1-2-1,-1 3 1,1 1 0,-2 0 0,1-2 0,10 17-1,-15-19-12,0 1 0,-1 0 0,1-1 0,-2 0 0,1-1 0,0 1 0,-1 3 0,0-2 0,-1 0 0,0-2 0,0 3 0,0-2 0,-1 8 0,-3 3 0,0-2 0,-1 5 0,-8 13 0,-5 17 0,18-48 0,0 1 0,-1 0 0,1 0 0,0 0 0,0-1 0,0 1 0,0 0 0,0 0 0,1 0 0,-1 0 0,1-1 0,-1 1 0,1 0 0,0 0 0,0 1 0,0-3 0,0 1 0,0 1 0,0-1 0,0 1 0,0-1 0,1 1 0,-1-1 0,0 0 0,1 0 0,0 1 0,-1-2 0,1 1 0,2 2 0,7 2 0,0 0 0,1-1 0,20 8 0,-17-9 0,4 2-172,-1 1-1,1-3 1,0 1 0,0-2-1,27 2 1,-34-4 25,-1-1 1,0 1-1,1-1 1,-1-2 0,0 1-1,0-1 1,2 1-1,-2-2 1,0 0-1,14-8 1,-22 12-26,-1-1 1,0-1-1,0 1 1,0-1-1,0 0 1,0 1-1,0 0 0,0-1 1,-1 0-1,1 0 1,0 0-1,-1 0 0,0 0 1,0 0-1,1 1 1,-1-3-1,-1 3 0,1-2 1,0 1-1,-1-1 1,1 2-1,-1-6 1,5-23-10645</inkml:trace>
  <inkml:trace contextRef="#ctx0" brushRef="#br0" timeOffset="54415.23">7668 2366 17279,'5'12'0,"-3"-8"0,-1 0 0,1 0 0,-1-2 0,0 2 0,0-1 0,0 8 0,-1-11 14,0 0 0,0 0 0,0 0 0,0 0 0,0 0 0,0 1 0,0-1 0,0 0 0,0 0 0,0 1-1,-1-1 1,1 0 0,0 0 0,0 1 0,0-1 0,0 0 0,0 0 0,0 0 0,-1 1 0,1-1 0,0 0-1,0 0 1,0 0 0,-1 0 0,1 1 0,0-1 0,0 0 0,0 0 0,-1 0 0,1 0 0,0 0 0,0 0-1,-1 0 1,1 0 0,0 0 0,0 0 0,-1 0 0,1 0 0,0 0 0,0 0 0,-1 0 0,1 0 0,0 0-1,0 0 1,0 0 0,-1 0 0,1 0 0,-13-4 462,12 3-446,-5 1 124,0 0 0,1 1 0,-1-1 0,0 1 0,0 1 0,0-1 0,0 0 0,-8 3 0,13-4-136,1 0-1,0 1 0,0-1 0,-1 0 0,1 0 0,0 0 1,-1 0-1,1 1 0,0-1 0,0 0 0,-1 0 0,1 1 0,0-1 1,0 0-1,0 0 0,-1 2 0,1-2 0,0 0 0,0 1 1,0-1-1,0 0 0,0 1 0,-1-1 0,1 0 0,0 1 1,0-1-1,0 0 0,0 1 0,0-1 0,0 0 0,0 0 1,0 0-1,0 0 0,1 1 0,-1-1 0,0 0 0,0 1 0,0-1 1,0 0-1,0 0 0,0 1 0,1-1 0,-1 0 0,0 1 1,0-1-1,0 0 0,1 0 0,-1 2 0,0-2 0,0 0 1,1 0-1,-1 0 0,0 1 0,1-1 0,0 0 0,0 1 26,1 0-1,-1 0 1,1-1 0,-1 1-1,1-1 1,0 1-1,0 0 1,0 0-1,2-1 1,99 19 705,-70-11-482,45 2 0,-47-7-165,0 1 1,-1 1-1,49 15 0,-45-11-846,-7-3-3459</inkml:trace>
  <inkml:trace contextRef="#ctx0" brushRef="#br0" timeOffset="55024.47">9084 2657 21503,'2'3'128,"-1"-2"-124,1 4 56,1 0 1,0-2 0,0 1-1,6 8 1,-8-11-47,0 0-1,0 0 1,0 0 0,-1 0 0,1-1-1,0 1 1,0-1 0,1 1 0,-1-1-1,0 1 1,0-1 0,0 1 0,0-1-1,0 1 1,1-1 0,-1 0 0,0 0-1,0 0 1,1 1 0,-1-1 0,0 0-1,0-1 1,1 1 0,-1 0 0,0 0-1,0 0 1,0-1 0,1 1 0,-1-1-1,0 1 1,2-1 0,10-5 1,1 1 0,0-2 0,1 3 0,-1 1 0,1-2 0,0 3 0,0-1-1,0 2 1,26-1 0,-36 3-29,-1-1 0,1 1-1,0 0 1,0 0-1,-1 0 1,5 2-1,-5 0-44,0-2 0,0 0-1,1 1 1,-1-2 0,1 0-1,-1 1 1,8-1-1,-1-1-646,0 1 1,-1-2-1,15-4 0,-2-2-2998</inkml:trace>
  <inkml:trace contextRef="#ctx0" brushRef="#br0" timeOffset="55287.68">9051 2294 21887,'0'0'0,"36"56"0,-36-51 128,-11-16-128,7 11 128,2 0-128,7 6 128,7 3-128,10 4 128,11 7-128,11-4 128,14 2-256,6-5 0,13-7-256,-5-7 0,0-2-15231</inkml:trace>
  <inkml:trace contextRef="#ctx0" brushRef="#br0" timeOffset="-212233.01">10353 1878 21119,'20'-11'0,"-6"4"0,1-4 0,-2 2 0,0 0 0,22-24 0,-32 50 79,0-1-1,-1 23 0,-2-3-33,-1 1 0,-2-2 0,-2-1 0,-1 0 0,-2 3 0,-2-3 0,-2 0 0,-29 60 0,1-24 238,-3-1 0,-3-4-1,-80 92 1,122-154-268,1 2 1,-1-3-1,1 2 1,-1 1-1,1 1 1,1-1-1,-1-1 1,1 2-1,-3 7 1,4-11-11,1 1 0,0-1 1,0 2-1,0-1 0,0-1 1,1-1-1,-1 2 0,1 1 1,0-1-1,0-2 0,0 2 1,0 0-1,0-1 0,0 0 1,1 0-1,-1 1 0,1-2 1,0 0-1,-1 0 0,1 1 1,0 2-1,4 1 0,5 3-5,1-1 0,1 0 0,-1 1 0,1-2 0,16 4 0,15 11 0,-41-20 0,62 30 11,100 36 0,-115-51 106,0 0 0,3-6 1,78 12-1,-118-21-252,22 1-119,-8-8-3688</inkml:trace>
  <inkml:trace contextRef="#ctx0" brushRef="#br0" timeOffset="-211344.93">9965 2062 22271,'0'0'256,"0"-6"-149,1-3-73,1 2 0,-1 1 0,1-3 0,1 1 0,0 0-1,0 1 1,0 0 0,1-1 0,0 2 0,1-1 0,0-2 0,0 3 0,1 1 0,-1 0 0,2-1 0,9-9-1,1 3 3,0 1-1,2-1 1,-1 1-1,2 1 1,35-13-1,-27 11 14,39-20 0,-49 20-22,2 2 1,-1 3-1,1-3 1,38-9-1,-56 19-23,0 0-1,0 0 1,0 0 0,0-2-1,0 2 1,0 0 0,0 0 0,0 2-1,0-2 1,0 0 0,0 0-1,0 0 1,0 1 0,0 0 0,0 0-1,0-1 1,0 1 0,-1 0-1,1 0 1,0 0 0,-1 0-1,1 0 1,-1 0 0,1 1 0,-1-1-1,1 1 1,-1-1 0,0 1-1,0-1 1,0 1 0,0 0 0,0-1-1,1 6 1,2 2 30,0 2 0,-1 1 0,0 1-1,2 12 1,-2-6-30,1 4 102,-4-23-113,0 1 0,0-1 0,0 0 0,0 0 0,0 0-1,0 1 1,0-1 0,1 0 0,-1 0 0,0 0 0,0 0 0,0 1 0,0-1-1,0 0 1,0 0 0,0 0 0,0 0 0,0 1 0,1-1 0,-1 0-1,0 0 1,0 0 0,0 0 0,0 0 0,1 0 0,-1 1 0,0-1 0,0 0-1,0 0 1,0 0 0,1 0 0,-1 0 0,0 0 0,0 0 0,0 0-1,1 0 1,-1 0 0,0 0 0,0 0 0,0 0 0,1 0 0,-1 0 0,0 0-1,0 0 1,0 0 0,0 0 0,1 0 0,-1 0 0,0 0 0,0-1 0,0 1-1,1 0 1,-1 0 0,0 0 0,0 0 0,0 0 0,0 0 0,0-1-1,0 1 1,1 0 0,-1 0 0,0 0 0,0 0 0,0-1 0,0 1 0,0 0-1,6-12-3610</inkml:trace>
  <inkml:trace contextRef="#ctx0" brushRef="#br0" timeOffset="-210442.26">11554 1759 22015,'-51'19'0,"51"-18"2,-1-1-1,1 0 1,-1 0-1,1 0 1,-1 0-1,1 0 1,-1 1-1,1-1 1,-1 0-1,1 0 1,-1 0-1,1 0 1,-1 0-1,1 0 1,-1 0-1,0 0 1,1 0-1,-1 0 1,1 0-1,-1 0 1,1 0-1,-1 0 1,1 0-1,-1-1 1,1 1-1,-1 0 1,1 0-1,-1 0 1,0 0-1,5-13 98,0 2-18,-4 11-79,0 0-1,0 0 0,0-1 1,0 1-1,0 0 0,0 0 0,0-1 1,0 1-1,0 0 0,0 0 0,0 0 1,0-1-1,-1 1 0,1 0 1,0 0-1,0-1 0,0 1 0,0 0 1,0 0-1,0 0 0,0 0 0,-1-1 1,1 1-1,0 0 0,0 0 1,0 0-1,0 0 0,-1 0 0,1 0 1,0 0-1,0 0 0,0 0 0,-1 0 1,1 0-1,0 0 0,0 0 1,-1 0-1,1 0 0,0 0 0,-1 0 1,-7 0 16,0 0 1,-2 0 0,2 1 0,0 0-1,0 1 1,0 0 0,0 0-1,0 1 1,0 0 0,1-1 0,0 2-1,-9 5 1,-15 9 51,-36 27 1,20-9 99,-78 79 1,122-112-157,0 0 1,0 1-1,0-2 1,0 2-1,1-1 1,0 2-1,0 0 0,0-2 1,0 1-1,1 1 1,-1-2-1,1 1 0,0-1 1,0 7-1,1-7-2,0 0 0,1 0-1,-1-2 1,1 2 0,-1-2-1,1 1 1,0 0 0,0 0-1,0 1 1,0 0 0,1-1-1,-1-1 1,0 1 0,1 0-1,-1-1 1,1 1 0,0 0-1,0-2 1,0 2 0,0-1-1,0 0 1,0 1 0,0 0-1,0-1 1,1 0 0,-1-1-1,0 2 1,3-1 0,19 6 9,0-3-1,0 0 1,1-1 0,29 0 0,-21-1 3,12 1-7,0 1 0,0 3 1,83 21-1,-115-25-15,-1 0 0,0 3 0,-1-1 0,1 0 0,-1 1 0,0 0 0,-1 1 0,1 1 0,-1-1 0,-1 1 0,0 0 0,0 1-1,-1 1 1,0-1 0,-1 1 0,0 0 0,0 0 0,6 17 0,-6-10 2,-2-2-1,0 3 0,-1 0 1,-1-1-1,-1 1 1,0-1-1,-2 3 0,0-4 1,-1 1-1,-6 29 1,0-17 7,-1 1 1,-1-2-1,-2-1 1,-2 1-1,-22 38 1,32-61 1,1 0 0,-1 0-1,-1 0 1,1-1 0,-1 1 0,0-2 0,0 1-1,0 1 1,-1-2 0,0 1 0,1-1 0,-1 0-1,-1 1 1,1-1 0,0-2 0,-1 3 0,1-3-1,-1 1 1,-11 2 0,1-1 23,0 0 0,-26-2-1,35-1-19,1 0-1,0-1 1,-1-1-1,1 1 1,0-1-1,0 1 1,-1-1-1,0 0 0,1-1 1,-6-2-1,-8-6 42,1-3-1,-1 2 0,2-1 0,-20-20 1,32 28-44,1 0 0,-1-1 0,1-3 0,1 4 0,-1-1 0,1-1 0,0 1 0,1-2 0,-1 0 0,2 1 1,-1 0-1,1 0 0,0-1 0,1 1 0,-1-11 0,3 2-2,0 2 1,1-1-1,0 2 0,2-4 1,0 6-1,0-5 0,13-22 1,-5 15-1,0 4 1,2-2 0,0 2-1,19-20 1,34-35-424,5 4-1,123-99 1,-160 145-718,-18 18-1964</inkml:trace>
  <inkml:trace contextRef="#ctx0" brushRef="#br0" timeOffset="-207957.96">12119 2825 22271,'0'0'512</inkml:trace>
  <inkml:trace contextRef="#ctx0" brushRef="#br0" timeOffset="-207162.97">12626 2283 20607,'0'0'384,"4"-3"-256,211-221 1131,-81 76-1067,29-26 21,-124 139-196,86-74 94,-118 104-111,0-2 0,1 3 0,-1-2 0,15-3 0,-21 8 1,0 1 1,-1 0-1,1 0 0,-1-1 0,1 1 0,-1 0 0,1 0 0,0 0 0,-1-1 1,1 1-1,0 0 0,-1 0 0,1 0 0,-1 0 0,1 0 0,0 0 0,-1 0 1,1 1-1,0-1 0,-1 0 0,1 0 0,-1 0 0,1 1 0,0-1 1,-1 0-1,1 1 0,-1-1 0,1 0 0,-1 0 0,1 0 0,-1 1 0,1-1 1,-1 0-1,0 0 0,1 1 0,-1-1 0,0 1 0,1-1 0,-1 1 0,0-1 1,0 1-1,1 0 0,-1-1 0,0 1 0,0-1 0,0 1 0,0 0 0,0-1 1,0 0-1,0 2 0,0-1 0,0 3 14,0 0 0,0 1 0,-1-1 0,0 1 1,-2 6-1,-88 216 346,77-196-338,-25 54 78,-48 116 54,-36 221-49,117-397-106,-10 48 0,-42 113 0,57-183 0,-7 22 0,8-24 0,-1 0 0,1-1 0,0 1 0,0 0 0,0 0 0,0 0 0,0 0 0,0 0 0,0 0 0,1 0 0,-1 0 0,0 0 0,0-1 0,1 1 0,-1 0 0,1-1 0,-1 1 0,1 0 0,-1 0 0,1 0 0,1 2 0,-2-3-2,0 0 0,0 0 0,0 0 0,0 0 0,0 0 0,1 0 0,-1 0 0,0 0 0,0 1 0,0-1 0,0 0 0,0 0 0,1 0 0,-1 0 0,0 0 0,0 0 1,0 0-1,0 0 0,0 0 0,1 0 0,-1 0 0,0 0 0,0-1 0,0 1 0,0 0 0,0 0 0,1 0 0,-1 0 0,0 0 0,0 0 0,0 0 0,0 0 0,0 0 0,0 0 0,1-1 0,-1 1 0,0 0 0,0 0 0,0 0 0,0 0 0,0 0 0,5-11-215,2-13-411,-6 21 468,23-75-3850,-8 39-8811</inkml:trace>
  <inkml:trace contextRef="#ctx0" brushRef="#br0" timeOffset="-205960.97">13878 1676 20351,'0'0'256,"-6"5"-128,-4 8-71,0 0 0,2 1 0,-1 1 0,2-1 0,0-1 0,1 3 0,1-2-1,-5 19 1,-19 209 437,20 2-92,10-138-287,1-41 9,-10 81 0,4-124-85,2-16 13,1-2 1,1 1-1,-1 1 0,1-2 1,0 2-1,1 8 0,-1-14-40,1 0-1,0 0 0,-1 0 0,1 0 0,0 0 1,-1 0-1,1 0 0,-1 0 0,1-1 1,0 1-1,-1 0 0,1-1 0,-1 1 1,1-1-1,-1 1 0,1-1 0,-1 1 1,1-1-1,-1 1 0,0-1 0,1 1 1,-1-1-1,0 1 0,1-2 0,19-22 37,-17 20-14,114-152 119,-55 71-50,191-260-60,-182 237 74,15-19 0,-79 116-117,2 2 0,-1-1 0,1-1 0,1 2 0,0 1 0,0-1 0,22-12 0,-31 20-1,0 1-1,0-1 1,0 1-1,0-1 1,0 1-1,0 0 1,0 0-1,0 0 1,0 0-1,0 0 1,0 0-1,0 0 1,0 0-1,1 0 1,-1 0-1,0 0 1,0 0-1,0 0 1,0 0-1,0 1 1,0-1-1,0 1 1,0-1-1,1 1 1,-1-1-1,-1 1 0,1 0 0,-1-1 1,1 1-1,-1-1 0,0 1 0,1 0 0,-1-1 1,0 1-1,0-1 0,0 1 0,1-1 0,-1 1 0,0 0 1,0 0-1,0-1 0,0 1 0,0 0 0,0 0 0,-1-1 1,1 1-1,0 0 0,0 0 0,0-1 0,-1 0 1,1 1-1,0-1 0,-1 1 0,1 0 0,0-1 0,-1 1 1,1-1-1,-1 1 0,1-1 0,-1 1 0,0-1 0,0 3 1,-27 17-814,-1 2-3917</inkml:trace>
  <inkml:trace contextRef="#ctx0" brushRef="#br0" timeOffset="-204892.36">14873 1787 20991,'-7'17'32,"1"-3"0,0 1 0,-1-2 0,-1 4 0,0-6 0,-1 4 0,-15 14 0,-29 34 340,-70 108-1,88-120-324,-23 29 70,22-30-5,-39 71 0,56-85-79,-4 5 25,-22 62 0,62-141-58,36-57 0,161-333 233,-169 329-210,-15 41 41,66-95 0,-93 148-45,1 1 0,-1 0-1,1 1 1,0-2 0,0 0-1,0 3 1,9-8 0,-19 44 237,6-30-220,-1-1 1,-1 2-1,1 1 1,-1-4-1,0 2 1,-3 5 0,4-7-24,0-1 0,1 1 1,-1 0-1,1 1 1,0-2-1,-1 1 0,1-1 1,0 1-1,0-1 1,0 1-1,1 1 0,-1-1 1,0-1-1,1 1 1,-1-1-1,1 1 0,0 0 1,1 1-1,20 36 150,-17-34-111,2 9-9,0-2 0,-1 1 0,0 0 0,7 20 0,6 61 109,-5-26-114,94 439-38,-103-467 0,-9-85-170,4-9-1959,0-2-4062,0 33-4518</inkml:trace>
  <inkml:trace contextRef="#ctx0" brushRef="#br0" timeOffset="-204558.25">14528 2344 20479,'0'0'662,"6"-5"-449,6-4-106,1 0 1,0 2-1,1 0 0,18-8 1,-25 12-78,1 1 0,-1-1-1,1 1 1,0 0 0,0 1 0,0 0 0,1 0 0,-1 0 0,0 1 0,0 0 0,10 2 0,2 1-1,-1 2 0,1 0 1,-1 2-1,23 9 0,71 40-879,-109-54 765,30 16-679,-17-14-2035</inkml:trace>
  <inkml:trace contextRef="#ctx0" brushRef="#br0" timeOffset="-202912.99">9753 3255 18687,'0'0'128,"7"3"-21,77 23 49,122 25 0,-89-25-41,308 62 424,-339-76-354,-2-4 1,0-2-1,100-7 0,-72-7 199,185-37 0,-100-7-25,8-6-78,-116 46-57,139-10 0,99 17 9,-110 3-61,762-15 212,-650-6-237,21 1 346,-272 23-394,63-1 101,-33-3-91,-75 3-59,0 0 1,-1-4 0,1 2 0,54-13-1,50-17-50,-32 10 0,-86 18 0,1 1 0,-1 1 0,1 2 0,22-2 0,-41 4-17,0-2 0,0 0 0,0 0 1,0 0-1,0 0 0,0 0 0,0 0 0,1-2 0,-1 2 0,0 0 0,0 0 0,0-1 0,0 1 0,0-1 0,0 1 1,0-1-1,-1 1 0,1-2 0,0 2 0,0-1 0,0 0 0,0 0 0,-1 1 0,1-1 0,0 1 0,-1-1 0,1 0 1,0 0-1,-5-2-1893,3 2 1698,1 1 0,-1 0 0,0 0 0,1 0 0,-1-1-1,1 1 1,-1 0 0,0 0 0,-1 0 0</inkml:trace>
  <inkml:trace contextRef="#ctx0" brushRef="#br0" timeOffset="-201082.92">9763 3713 18687,'0'0'1280,"4"1"-1152,43 9 30,-2 0 0,0-3 0,1-3 0,56 1 0,88 2 278,-48-1-232,108 8 199,125 0-60,103-27 63,-229-5-219,-139 9-118,-20 1 12,87-5 51,-151 12-99,498-16 190,-439 11-203,156-11 259,-31-1-23,-155 13-209,1 3 1,84 5 0,-77-1-3,97-5 1,117-38-50,-86 7 30,-100 15 78,-58 11-49,42-6-1,191-20 95,-222 28-149,-31 4 0,0-1 0,0 1 0,20 1 0,-9 2 0,-6 1 0,-1-2 0,0 0 0,21-3 0,-18 0 64,1 1 0,-2 1 0,28 2 0,-44-1-35,0 0 0,1 0 0,-1 0 0,1 1 0,-1-1 0,0-1 0,1 1 0,-1 0 0,0 0 0,1-1 0,-1 0 0,0 0 0,6-1 0,-8 1-16,0 1 1,1-1 0,-1 1 0,0-1 0,1 1-1,-1-1 1,0 1 0,1 0 0,-1 0 0,0 0-1,1 0 1,-1 0 0,1 0 0,-1 0 0,0 0-1,1 1 1,-1-1 0,0 0 0,1 1 0,-1-1-1,0 1 1,1 0 0,-1-1 0,0 1 0,0-1-1,0 1 1,0 0 0,0 0 0,0 0 0,0-1-1,0 1 1,0 0 0,1 2 0,2-2-1147,-4-7 428,-1-4-262,1 9 871,-15-48-4598,3 19-7657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4.34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6 419 24191,'-2'-6'0,"2"5"0,-1 0 0,1-1 0,-1 1 0,1-1 0,0 1 0,-1-1 0,1 1 0,0-1 0,0 1 0,0-1 0,0 1 0,0-1 0,1-2 0,14 11 0,-4-5 0,-1-1 0,1-1 0,0 1 0,17-3 0,4 0 0,-11 3-277,0-1-1501,0 0 0,24-5 0,-39 4 1176,0 0 0,0 0-1,-1-1 1,1 0 0,0 0 0,-1 0 0,0-1 0,0 0-1,1 0 1,-1 0 0,-1-1 0,7-4 0,9-18-7615,-9 11 7794,-3 5-665</inkml:trace>
  <inkml:trace contextRef="#ctx0" brushRef="#br0" timeOffset="216.93">44 0 22271,'0'0'0,"47"57"0,-40-45 0,-7-10 256,-4-4 512,13 2-768,8 0 0,16 2 0,14 2-11263,6-13-641,10-13 11904,51-11 3328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4:54.49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20 79 16128,'0'0'2922,"-2"6"-2794,-3 11-43,1 1 0,1 0 0,0-1 0,2 1 0,0 0 0,1 19 0,15 116 541,-1-27-332,14 389 922,-14-373-1058,-5-66 58,-1 95-1,-9-147-188,0 0 0,-2 0 0,-1 0 0,-1 0 0,-1-1 0,0 0 0,-2 0 0,-12 25 0,20-48-125,0 1-1,0-1 1,0 0 0,0 1 0,1-1 0,-1 0 0,0 1 0,0-1 0,0 0 0,1 1 0,-1-1 0,0 0-1,1 0 1,-1 1 0,0-1 0,1 0 0,-1 0 0,0 1 0,1-1 0,-1 0 0,0 0 0,1 0 0,-1 0-1,1 0 1,-1 0 0,0 0 0,1 0 0,0 1-16,-1-1 0,0 0 0,1 0 1,-1 0-1,0 0 0,0 0 0,1 0 0,-1 0 0,0 0 0,1 0 0,-1 0 0,0 0 1,1 0-1,-1 0 0,0 0 0,0 0 0,1 0 0,-1 0 0,0 0 0,1-1 0,-1 1 1,3-7-2848,-5-35-8805,3-21 9132,2 9 2634</inkml:trace>
  <inkml:trace contextRef="#ctx0" brushRef="#br0" timeOffset="670.66">47 110 18175,'8'36'8,"-5"-19"104,-2-15 128,-3-7 190,-1-4-97,1-1-1,0 0 1,0 0 0,1-11 0,2 19-308,0 0 0,1 0 0,-1 0 0,1 0 0,-1 0 0,1 0 0,0 1 0,0-1 0,0 1 0,0-1 0,3-1 0,1-1 16,7-5 89,0 0 0,1 1 0,1 1 1,-1 0-1,1 1 0,0 0 0,1 1 0,-1 1 0,31-4 0,-34 6-108,1 1-1,0 0 0,0 1 1,0 1-1,0 0 0,-1 1 1,1 0-1,0 1 0,-1 0 1,0 1-1,24 10 0,-28-9-6,1 0 0,-1 0 0,-1 0 1,1 1-1,-1 0 0,0 0 0,0 1 0,0 0 0,-1 0 0,0 1 0,-1 0 0,0 0 0,0 0 0,-1 0 0,0 1 0,5 14 0,-2 2 4,0 0-1,-2 0 0,-1 0 0,-1 0 1,-1 1-1,-2 26 0,-1-38-7,0 1 0,-1 0-1,-1 0 1,0-1 0,-1 1-1,-1-1 1,0 0 0,-1-1-1,0 1 1,-1-1 0,-15 22-1,10-20 19,0 0 0,-1 0 0,0-1 0,-1 0 0,-1-2 0,0 1 0,0-2 0,-1 0 0,-1-1 0,0-1 0,0 0 0,-1-1 0,-23 7 0,32-13-8,1 0 0,-1-1 1,1 0-1,-13-1 0,20 0-170,72 21-23125</inkml:trace>
  <inkml:trace contextRef="#ctx0" brushRef="#br0" timeOffset="2117.03">762 1128 17535,'1'7'125,"-2"12"-36,1-18-48,0-1 0,0 1-1,0-1 1,-1 0 0,1 1-1,0-1 1,0 1 0,0-1 0,-1 1-1,1-1 1,0 0 0,0 1-1,-1-1 1,1 1 0,0-1 0,-1 0-1,1 1 1,-1-1 0,1 0-1,0 0 1,-1 1 0,1-1 0,-1 0-1,1 0 1,0 0 0,-1 1-1,1-1 1,-1 0 0,1 0 0,-1 0-1,1 0 1,-1 0 0,-3-9 1435,3 9-1471,1 0-1,0 0 0,0-1 1,0 1-1,0 0 0,0 0 1,0 0-1,0 0 1,0-1-1,-1 1 0,1 0 1,0 0-1,0 0 1,0 0-1,0 0 0,0 0 1,-1 0-1,1 0 1,0-1-1,0 1 0,0 0 1,-1 0-1,1 0 1,0 0-1,0 0 0,0 0 1,0 0-1,-1 0 0,1 0 1,0 0-1,0 0 1,0 0-1,-1 0 0,1 0 1,0 0-1,0 0 1,0 0-1,-1 1 0,1-1 1,0 0-1,0 0 1,0 0-1,0 0 0,0 0 1,-1 0-1,1 0 1,0 1-1,0-1 0,0 0 1,0 0-1,0 0 1,0 0-1,-1 1 0,1-1 1,0 0-1,0 0 0,0 0 1,0 0-1,0 1 1,0-1-1,0 0 0,0 0 1,0 0-1,0 1 1,0-1-1,0 0 0,0 3 24,0 0 0,0 0 0,0 0 0,1 0 0,-1 0 0,1 0 0,0-1 0,0 1 0,0 0 0,0 0 0,3 3 0,-1 1-1,5 13 35,19 26-1,-20-34-57,0-1 0,-1 1-1,0 0 1,-1 1 0,0 0 0,4 17-1,-5-3-4,-2-15-3,0-1 0,0 1 0,1 0 0,7 15 0,-10-27 2,0 0-1,0 1 1,0-1 0,0 0-1,1 1 1,-1-1 0,0 0 0,0 0-1,0 1 1,0-1 0,1 0-1,-1 0 1,0 0 0,0 1-1,1-1 1,-1 0 0,0 0-1,0 0 1,1 0 0,-1 1 0,0-1-1,1 0 1,-1 0 0,0 0-1,0 0 1,1 0 0,-1 0-1,0 0 1,1 0 0,-1 0 0,0 0-1,1 0 1,-1 0 0,0 0-1,0 0 1,1 0 0,-1 0-1,0 0 1,1 0 0,-1-1-1,0 1 1,1 0 0,13-15-17,9-23 52,74-203 73,-97 241-106,0-1 0,0 0 0,0 1 0,0-1 0,0 0 0,1 1 0,-1-1 0,0 1 0,1-1 0,-1 0 0,0 1 0,1-1 0,-1 1 0,0-1 0,1 1 0,-1-1 0,1 1 0,-1-1 0,1 1 0,-1-1 0,1 1 0,0 0 0,-1-1 0,1 1 0,-1 0 0,1 0 0,0-1 0,-1 1 0,1 0 0,0 0 0,-1 0 0,1 0 0,0 0 0,-1 0 0,1 0 0,0 0 0,-1 0 0,1 0 0,0 0 0,-1 0 0,1 1 0,0-1 0,-1 0 0,1 0 0,-1 1 0,1-1 0,0 0 0,-1 1 0,1-1 0,-1 1 0,1-1 0,0 1 0,4 4 0,0 0 0,0 0 0,-1 1 0,5 6 0,-4-5 0,17 27-34,-2 1-1,-1 1 0,25 70 0,0-2 89,-43-101-40,13 20 321,-13-23-328,-1 0 0,1 1-1,-1-1 1,1 0 0,-1 1-1,1-1 1,0 0 0,-1 1 0,1-1-1,-1 0 1,1 0 0,0 0-1,-1 0 1,1 0 0,-1 0 0,1 0-1,0 0 1,-1 0 0,1 0-1,0 0 1,-1 0 0,1 0-1,0 0 1,-1 0 0,1-1 0,-1 1-1,1 0 1,-1 0 0,1-1-1,0 1 1,-1 0 0,1-1 0,-1 1-1,0-1 1,1 1 0,0-2-1,6-5 22,-1 0 0,-1-1-1,1 1 1,-1-2 0,0 1-1,-1 0 1,0-1-1,0 0 1,4-14 0,-6 14 5,1 0 0,0 0 0,1 1 0,0-1 0,0 1 0,1 0 0,0 1 0,0-1 0,1 1 0,11-12 0,4 2 2764,1 0-4358,48-34-16724,-39 31 12935,-7 6 5350</inkml:trace>
  <inkml:trace contextRef="#ctx0" brushRef="#br0" timeOffset="2517.73">1835 1284 22015,'0'0'0,"-30"18"0,25-3 0,8 6 0,-1-7 0,4 1 0,-1-1 0,3-1-256,-3-2 128,-4-3-512,2-4 0</inkml:trace>
  <inkml:trace contextRef="#ctx0" brushRef="#br0" timeOffset="2741.83">1922 757 22271,'-1'25'0,"-5"15"0,1-29 0,-3-16 0,3 2 0</inkml:trace>
  <inkml:trace contextRef="#ctx0" brushRef="#br0" timeOffset="3255.25">2171 1274 18687,'-15'-67'534,"16"64"287,3 6-512,3 5 75,-4-3-259,-1-1-1,1 1 0,-1-1 0,0 1 1,-1 0-1,1 0 0,-1 0 0,0 0 1,0 0-1,0 5 0,-4 53 6,2-49-117,0 1 0,1 20 0,5 57 265,-1-92-124,4-8-92,7-12-22,39-72 97,-4 5-40,-36 66-1186,1 1-1,29-31 0,-36 45 280,-1-1 0,1 1 0,0 0 0,0 1 0,1 0-1,-1 0 1,1 1 0,0 0 0,17-5 0,5 2-6592,15 0 5057,-23 4 2279,7-2-894</inkml:trace>
  <inkml:trace contextRef="#ctx0" brushRef="#br0" timeOffset="3769.42">2878 554 20479,'-19'92'128,"17"-77"169,1 0 68,-6 31-297,1-15 15,-1 50 0,18 101-83,-1-47 0,-8-34 54,3 68 170,-2-152 48,1-13 107,-2-5-355,0 0 1,-1-1-1,1 0 1,-1 1-1,1-1 1,-1 0-1,0 0 1,0 0-1,2-3 1,36-68 175,-4 7-3093,-26 52-775,0-1 1,16-16-1,-2 5-3126,3-2 4735,-7 3 2059</inkml:trace>
  <inkml:trace contextRef="#ctx0" brushRef="#br0" timeOffset="4017.59">3126 1339 22655,'0'0'0,"10"38"0,-5-18 0,-2 0-128,1 2 128,4 3-512,5 3 128,4 5-2688,0-8 129,0-3-4481,18 3-640,-16-37 8064</inkml:trace>
  <inkml:trace contextRef="#ctx0" brushRef="#br0" timeOffset="4665.49">3676 421 23551,'-22'43'0,"21"-42"0,1 0 0,0-1 0,-1 1 0,1 0 0,0-1 0,-1 1 0,1-1 0,-1 1 0,1 0 0,-1-1 0,1 1 0,-1-1 0,1 1 0,-1-1 0,0 1 0,1-1 0,-1 0 0,0 1 0,1-1 0,-1 0 0,0 0 0,1 1 0,-1-1 0,-1 0 0,-8-8 0,9 8 0,1-1 0,0 1 0,0-1 0,-1 1 0,1-1 0,0 1 0,0 0 0,-1-1 0,1 1 0,0 0 0,-1-1 0,1 1 0,-1 0 0,1-1 0,0 1 0,-1 0 0,1 0 0,-1-1 0,1 1 0,-1 0 0,1 0 0,-1 0 0,1 0 0,-1-1 0,1 1 0,-1 0 0,1 0 0,-1 0 0,1 0 0,-1 0 0,1 1 0,-1-1 0,1 0 0,-1 0 0,1 0 0,0 0 0,-1 0 0,1 1 0,-1-1 0,1 0 0,-1 0 0,1 1 0,0-1 0,-1 0 0,1 1 0,-1-1 0,1 0 0,-1 1 0,-4 7-20,0-1 0,0 1 0,1 0 0,0 0 0,0 1 0,1-1 0,0 1 0,1-1 0,-3 16 0,0 11-116,0 40 0,4-56 118,-8 296-1037,9-235-1269,0 5-3801,0-1-5217,0-81 10919,1 33 850,2-20-1750</inkml:trace>
  <inkml:trace contextRef="#ctx0" brushRef="#br0" timeOffset="5196.96">3742 1194 19839,'0'0'3,"0"0"-1,0 0 1,0 0-1,0 0 1,0 0-1,0 0 1,1 0-1,-1 0 1,0 0-1,0 0 1,0 1-1,0-1 1,0 0-1,0 0 0,0 0 1,0 0-1,0 0 1,0 0-1,0 0 1,0 0-1,0 0 1,0 1-1,0-1 1,0 0-1,0 0 1,0 0-1,0 0 1,0 0-1,0 0 1,0 0-1,0 0 0,0 1 1,0-1-1,0 0 1,0 0-1,0 0 1,0 0-1,0 0 1,0 0-1,0 1 1,23-4 226,34-7 166,-41 6-394,1-2 1,-1 0-1,0-1 1,-1 0-1,1-1 1,-1-1-1,-1-1 1,0 0-1,0-1 1,-1 0-1,0-1 1,-1 0 0,14-19-1,-24 26 117,1 0 0,-1 0 0,0 0 0,0 0-1,-1 0 1,1 0 0,-1-1 0,0 1 0,-1 0 0,1-7 0,-1 3 35,0-1 1,-1 1 0,0 0-1,0 0 1,-4-9 0,5 17-138,0-1-1,0 1 1,-1 0 0,1 0 0,-1-1 0,1 1 0,-1 0 0,1 0 0,-1 0 0,0 0 0,0 0 0,1 0 0,-1 0 0,0 0-1,0 0 1,0 0 0,0 0 0,0 0 0,0 1 0,0-1 0,-1 0 0,1 1 0,0-1 0,0 1 0,0-1 0,-1 1 0,1 0-1,0-1 1,-1 1 0,1 0 0,0 0 0,0 0 0,-1 0 0,1 0 0,0 0 0,-1 1 0,1-1 0,-3 1 0,-3 2-8,-1 0 1,1 0-1,-1 1 1,1 0 0,-7 5-1,6-4 45,-12 8-57,0 0 1,1 2-1,1 0 1,0 1-1,1 1 1,1 0-1,-27 38 1,37-46-30,1 0-1,0 0 1,0 1 0,1-1 0,0 1 0,1 0-1,0 0 1,0 1 0,1-1 0,1 1 0,0-1-1,0 1 1,1-1 0,0 1 0,1-1 0,0 1-1,1-1 1,0 1 0,1-1 0,4 12 0,-5-16-21,0-1 0,1 1-1,0-1 1,0 0 0,0 0 0,0 0 0,1 0 0,0-1 0,0 1 0,0-1 0,1 0 0,-1 0 0,1-1 0,0 1 0,0-1 0,0 0 0,0-1 0,1 1 0,-1-1 0,8 2 0,-6-2-520,0-1 0,1 1 0,-1-2 0,0 1 0,1-1 1,12-1-1,-11-1-1120,0 1-1,0-1 1,0-1 0,0 0 0,13-6 0,2-4 830,29-21 0,-17 9-2848</inkml:trace>
  <inkml:trace contextRef="#ctx0" brushRef="#br0" timeOffset="5435.6">4351 1123 21887,'0'0'0,"-39"0"0,48-7-640,-1 2 0</inkml:trace>
  <inkml:trace contextRef="#ctx0" brushRef="#br0" timeOffset="5668.56">4421 205 23935,'0'0'0,"-4"30"0,0-10 0,3 2 0,-2-6 0,3-4-1408,0-2 128</inkml:trace>
  <inkml:trace contextRef="#ctx0" brushRef="#br0" timeOffset="6351.76">4750 784 19711,'-49'-21'0,"39"20"7,8 6 13,7 9 60,-4-14-59,1 8 176,1-1 0,-1 1-1,0 0 1,1 9-1,-2-9-627,-1 0 0,0 0 0,0-1 0,-1 1 0,0 0 0,-3 14-1,0-11-266,0-1 0,0 1-1,-1-1 1,0 0 0,-1 0 0,0-1-1,-1 1 1,-10 11 0,14-18 1325,-1 1 0,1 0-1,1 1 1,-1-1 0,1 0 0,-1 1 0,-2 7 0,5-10-597,-1-1 0,1 1 0,0-1 1,-1 1-1,1-1 0,0 1 0,0-1 0,0 1 0,0-1 0,0 1 0,0-1 0,1 1 0,-1-1 0,0 1 0,1-1 0,-1 1 1,1-1-1,0 1 0,-1-1 0,1 0 0,0 1 0,0-1 0,0 0 0,0 0 0,0 0 0,0 0 0,0 0 0,1 1 0,3 1-113,-1 0-1,1 0 1,0-1-1,0 0 0,0 0 1,0 0-1,0-1 0,0 0 1,6 1-1,51 2-558,-45-4 1595,31 4-1,-46-4-815,0 0-1,0 1 0,0-1 1,0 1-1,0 0 1,0-1-1,0 1 1,-1 0-1,1 0 0,0 0 1,0 0-1,-1 0 1,1 1-1,0-1 1,-1 1-1,1-1 1,-1 1-1,0-1 0,0 1 1,1 0-1,-1-1 1,0 1-1,1 2 1,-1 1 19,0 0 1,0-1 0,-1 1 0,1-1 0,-1 1-1,0 0 1,0-1 0,-1 1 0,-1 8 0,-1 3-66,-1 0 0,-1-1 1,-1 1-1,0-1 1,-1 0-1,0-1 1,-18 27-1,-34 35 226,16-28-3270,-14 16-7921,33-52 1104</inkml:trace>
  <inkml:trace contextRef="#ctx0" brushRef="#br0" timeOffset="6749.44">5323 40 22527,'-107'194'112,"78"-137"-96,13-24-81,1 1 0,3 1 0,0 0 0,-11 66 0,12-30-210,-3 107 1,21 4-706,-2-91 402,2-27 281,-4-45-913,-2 1 1,0 35 0,-12-96-14961,9 6 16170</inkml:trace>
  <inkml:trace contextRef="#ctx0" brushRef="#br0" timeOffset="6951.13">5044 739 13824,'12'48'384,"-11"-47"-269,-1 0 0,1 0 0,-1 0 0,1 0 0,-1 0 0,1 0 0,-1 0 0,1 0 0,0 0 0,-1 0 0,1 0 0,0-1 0,0 1 0,0 0 0,0-1 0,0 1 0,0 0 0,0-1 0,0 1 0,0-1 0,0 0 0,0 1 0,0-1 0,0 0 0,0 1 0,0-1 0,0 0 0,0 0 0,0 0 0,1 0 1,-1 0-1,0 0 0,0-1 0,0 1 0,0 0 0,0 0 0,0-1 0,1 0 0,0 1-52,0-1 0,0 1 1,-1 0-1,1 0 1,0 0-1,0 0 0,0 0 1,0 0-1,3 1 0,10 5 16,1-2 0,24 5 0,-16-5-3318,0-2-1,1-1 1,-1-1 0,0-1-1,27-5 1,-14 1 3239</inkml:trace>
  <inkml:trace contextRef="#ctx0" brushRef="#br0" timeOffset="7702.88">5525 987 23551,'0'9'-2,"0"14"-91,0 1 1,2 0 0,6 30 0,-7-48 73,0-1 0,1 0 0,-1 1 0,1-1 0,0 0 0,1 0 1,-1 0-1,1-1 0,0 1 0,0-1 0,0 1 0,1-1 0,0 0 0,0 0 1,0-1-1,0 1 0,0-1 0,1 0 0,-1 0 0,7 3 0,-7-5 14,-1 0 0,0-1 0,0 1 0,0-1 0,1 0 0,-1 0 0,0 0 1,0 0-1,1 0 0,-1-1 0,0 0 0,0 1 0,0-1 0,0 0 0,1-1 0,-2 1 0,1 0 0,0-1 0,0 0 0,3-2 0,8-6 47,-2 0 1,20-20-1,-28 26-43,34-40 70,-1-1 0,-3-2 1,42-74-1,-47 73-5,-15 26-64,-2-1 0,15-36 0,-19 45-15,-4 24 25,-5 28 16,-15 80-26,-2 13 0,17-113 0,0-13 0,0 1 0,1 0 0,0-1 0,1 10 0,-1-15-1,0 0 0,0 1 0,0-1-1,0 0 1,0 1 0,0-1 0,0 0-1,0 1 1,0-1 0,1 0 0,-1 1-1,0-1 1,0 0 0,0 0 0,0 1-1,0-1 1,1 0 0,-1 0 0,0 1-1,0-1 1,0 0 0,1 0 0,-1 1-1,0-1 1,1 0 0,-1 0 0,0 0-1,0 0 1,1 1 0,2-3-68,1 0 16,-1-1 0,0 1 1,-1-1-1,1 0 1,0 0-1,-1 0 0,0 0 1,1-1-1,-1 1 0,2-6 1,16-42-652,-14 34 451,5-14-56,-8 18 169,1 1 0,1 0 0,0 0 0,1 0 0,0 1-1,0 0 1,15-19 0,-20 30 143,-1-1-1,1 1 0,-1-1 0,1 0 0,-1 1 0,1-1 1,0 1-1,-1 0 0,1-1 0,0 1 0,-1-1 1,1 1-1,0 0 0,-1 0 0,1-1 0,0 1 0,-1 0 1,1 0-1,0 0 0,0 0 0,-1 0 0,1 0 0,0 0 1,0 0-1,-1 0 0,1 0 0,0 0 0,1 1 1,-1 0 8,0 0 0,1 0 0,-1 0 1,0 0-1,0 0 0,0 1 1,0-1-1,0 0 0,0 1 1,0-1-1,0 0 0,0 3 1,3 6 60,-1 0 1,0 1-1,2 10 1,-5-18-62,5 24-64,-1 0 0,-2 0-1,-1 29 1,-3-27-3394,-3-2-3388</inkml:trace>
  <inkml:trace contextRef="#ctx0" brushRef="#br0" timeOffset="8584.13">6461 887 19199,'-4'31'-119,"3"-23"33,0 1-1,-1 0 1,0-1 0,0 1 0,0-1-1,-1 0 1,0 0 0,-6 10-1,7-13 140,0-1-1,0 0 0,0 0 0,1 0 1,0 1-1,0-1 0,0 1 0,1-1 1,-1 1-1,1-1 0,0 1 0,0-1 1,1 1-1,-1-1 0,2 7 0,0-3 144,-1 1-1,-1-1 1,0 1-1,-1 10 1,0-10-129,0 0 0,1 0 1,0 0-1,0 0 0,1 0 1,0 1-1,1-2 0,0 1 1,4 13-1,4 2 272,25 44 0,-24-46-304,-5-9-35,-5-10 0,0 0 0,0-1 0,1 1 0,-1 0 0,1-1 0,-1 1 0,4 2 0,4-3 0,3-12 0,-8 3 1,0 0 0,0 0 0,-1 0 1,4-14-1,2-2-49,15-41-304,21-93 0,-37 127 305,2 0 1,1 1 0,1 0 0,1 0 0,20-30-1,-31 55 93,0 1-1,0 0 1,1 0-1,-1 0 0,1 0 1,-1 0-1,1 0 1,0 1-1,0-1 1,0 1-1,1 0 0,-1 0 1,0 0-1,1 0 1,0 1-1,-1 0 0,1-1 1,0 1-1,-1 0 1,1 1-1,0-1 1,0 1-1,0 0 0,0 0 1,0 0-1,0 0 1,-1 0-1,1 1 1,0 0-1,4 1 0,29 3 211,-33-5-211,1 1 0,0-1 1,0 1-1,0 0 1,-1 0-1,1 0 1,4 2-1,-6 0-33,-1-1 1,0 1-1,0 0 0,0 0 1,-1 0-1,1 0 1,-1 0-1,1 0 0,-1 0 1,0 0-1,0 1 1,0 3-1,1 0-2,38 151 459,-27-109-436,4 17-215,-16-82-2044,22-48-18033,-14 44 22179</inkml:trace>
  <inkml:trace contextRef="#ctx0" brushRef="#br0" timeOffset="9229.69">7553 815 24191,'-60'10'0,"59"-9"0,1-1 0,-1 0 0,1 0 0,-1 0 0,1 0 0,-1 0-1,1 0 1,-1 0 0,0 0 0,1 0 0,-1-1 0,1 1 0,-1 0 0,1 0-1,-1 0 1,1-1 0,-1 1 0,1 0 0,-1 0 0,1-1 0,-1 1 0,1 0-1,0-1 1,-1 1 0,1-1 0,0 1 0,-1-1 0,1 1 0,0-1 0,-1 1-1,1-1 1,0 0 0,1-17 2,1 1 22,-3 14-21,0-1 0,0 1 1,0-1-1,-1 1 0,1 0 1,-1-1-1,0 1 0,0 0 1,0 0-1,0 0 0,0 0 1,-1 1-1,1-1 0,-1 1 1,0-1-1,0 1 0,0 0 1,0 0-1,0 0 0,0 0 1,-1 1-1,1-1 0,0 1 1,-1 0-1,1 0 0,-1 0 1,0 1-1,1-1 0,-1 1 1,0 0-1,-4 0 0,-1 0-21,0 1-1,0 0 0,0 0 0,0 1 1,0 0-1,0 1 0,0 0 1,1 0-1,-1 1 0,1 0 1,-9 6-1,12-7-10,0 0-1,1 1 1,0-1 0,0 1-1,0 0 1,0 0 0,0 1-1,1-1 1,0 1 0,0 0-1,0 0 1,0 0 0,1 0-1,0 0 1,0 1 0,0-1 0,1 1-1,0-1 1,-1 9 0,1-7 1,1 0 1,1 0 0,-1-1-1,1 1 1,0 0 0,1-1-1,0 1 1,0-1 0,0 1-1,0-1 1,1 0 0,0 0-1,1 0 1,-1 0 0,1 0 0,0-1-1,1 0 1,-1 0 0,1 0-1,0 0 1,6 4 0,-2-3-1,0 0 0,1-1 1,-1 0-1,1 0 1,0-1-1,0 0 0,1-1 1,-1 0-1,1 0 0,-1-1 1,1-1-1,19 1 1,-4-3 27,0 0 0,0-2 1,43-10-1,-53 9 30,0-1 1,0-1-1,0 0 0,-1-1 0,0-1 1,26-18-1,49-51 222,-86 73-227,1 2 179,-8 10-59,-11 18 4,11-22-135,-133 245 269,-16 28-341,43-98-4113,94-153 1343,-2 5-2688,-8-5-5233,12-16 12669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06.3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257 259 19455,'0'0'1280,"-2"4"-1109,-2 13 61,0-1-1,1 1 1,1 0 0,-1 21-1,-2 21-24,-6 8 8,4-32 158,-3 64-1,6 15-137,-32 199 0,-39 140 127,4-52-84,66-379-262,2-16-66,2 0 0,-1 0 0,1 0 0,0 1 0,0-1 0,1 1 0,0 10 0,-3-50-4336,1-1-1,3-43 1,7-13-4280,0 25 6465,-4 33 2782,12-105 1339</inkml:trace>
  <inkml:trace contextRef="#ctx0" brushRef="#br0" timeOffset="587.29">323 137 21503,'-32'32'0,"51"-41"448,32-22 0,-42 25-436,-1 1-1,1 0 1,0 0-1,0 1 0,1 0 1,0 1-1,-1 0 1,1 0-1,0 1 0,0 1 1,0 0-1,0 0 0,1 0 1,-1 2-1,0-1 1,18 4-1,-1 2 48,0 2 1,0 0-1,-1 2 1,48 25-1,-64-29-40,0 0-1,0 0 1,0 1-1,-1 1 1,0 0-1,0 0 1,-1 1-1,0 0 1,-1 0-1,0 1 1,0 0 0,-1 0-1,0 0 1,-1 1-1,0 0 1,-1 0-1,0 0 1,0 1-1,-2 0 1,1-1 0,-1 1-1,0 20 1,-1-6 41,0-13-31,-1 1 0,0 0 0,-1-1 0,0 1 0,-6 21 0,1-15 0,0 0-1,-2-1 1,0 0-1,-1-1 0,-1 0 1,-1-1-1,-1 1 1,0-2-1,-1 0 1,-1-1-1,0 0 1,-1-1-1,0 0 0,-1-1 1,-1-1-1,0-1 1,-31 16-1,0-6-28,23-10 0,1 0 0,0 2 0,-25 17 0,39-22-13,8-6-214,0 0 0,0 0 0,0 0 0,0 0-1,0-1 1,0 1 0,-1-1 0,1 0 0,0 0-1,-1 0 1,1 0 0,-1 0 0,1 0 0,-1 0 0,-4 0-1,-44 3-20059,33 1 20287</inkml:trace>
  <inkml:trace contextRef="#ctx0" brushRef="#br0" timeOffset="1814.56">1646 362 22143,'0'0'256,"0"5"-149,3 71-94,16 84-1,-2-34-16,-3 44 4,-8 1 0,-7-1 0,-38 286 0,36-436 0,0-1 0,1 1 0,0 21 0,3-46 11,1 1 0,0 0-1,0-1 1,0 1-1,1 0 1,0 0 0,-1 0-1,1 1 1,0-1 0,4-3-1,1-2 1,5-4-11,0 1 0,1 1 0,0 0 0,1 0 0,0 2 0,28-15 0,-18 11 0,12-6 2,0 3 0,1 1 0,0 1 0,1 3 0,1 1 0,0 1 0,0 3 0,1 1 0,-1 2 0,57 3 0,-77 1 24,22-1 21,0 3 0,0 1-1,42 10 1,-25 3-23,-32-8-25,1-2 0,43 6 0,-67-12-77,0-1 0,0 0-1,0 0 1,0 0 0,0-1-1,0 1 1,0-1 0,0 0-1,0 0 1,-1-1 0,1 1-1,0-1 1,0 0 0,-1 0-1,1 0 1,-1 0 0,0 0-1,0-1 1,4-4 0,-4 4-300,0 0 1,0-1 0,-1 0-1,1 0 1,-1 1 0,0-1-1,0-1 1,-1 1 0,1 0-1,1-8 1,2-15-11313</inkml:trace>
  <inkml:trace contextRef="#ctx0" brushRef="#br0" timeOffset="2282.77">1727 473 23167,'17'39'0,"-18"-42"13,1 1 1,-1-1-1,1 1 0,0-1 0,-1 1 0,1-1 1,0 1-1,1 0 0,-1-1 0,0 1 0,1-1 1,-1 1-1,1-1 0,0 1 0,0 0 0,0 0 1,0-1-1,2-2 0,1-2 43,0 0 1,1-1 0,0 1-1,8-9 1,-6 10-42,-1 1 0,1 0 0,0 0 0,1 0 0,-1 1 0,1 0 0,0 1 0,0-1 0,0 1 0,0 1 0,0 0 0,1 0 0,13-1 0,10 1 0,0 1-1,40 4 1,-55-2-13,163 19 118,32 1-6,-174-20-147,-6 1-217,0-1 1,0-2 0,0-1 0,59-11-1,-63 0-1579,-15 6-1650,-13 7 3305</inkml:trace>
  <inkml:trace contextRef="#ctx0" brushRef="#br0" timeOffset="3368.83">3180 142 21759,'-51'25'0,"44"-23"41,6-4 66,9-8 225,6 4 16,-13 6-342,-1 0 0,1 1-1,-1-1 1,1 0-1,-1 0 1,0 0 0,1 0-1,-1 1 1,1-1-1,-1 0 1,0 1 0,1-1-1,-1 0 1,0 0-1,0 1 1,1-1 0,-1 1-1,0-1 1,0 0-1,1 1 1,-1-1 0,0 1-1,0-1 1,0 0-1,0 1 1,1-1 0,-1 1-1,0-1 1,0 1-1,0-1 1,0 0 0,0 1-1,0-1 1,-1 2-1,70 555 891,10-135-768,-39-245-128,-40-177 0,0 1 0,0-1 0,0 0 0,0 1 0,0-1 0,0 0 0,0 1 0,0-1 0,0 0 0,1 1 0,-1-1 0,0 0 0,0 1 0,0-1 0,1 0 0,-1 0 0,0 1 0,0-1 0,0 0 0,1 0 0,-1 1 0,0-1 0,1 0 0,-1 0 0,0 0 0,0 0 0,1 0 0,-1 1 0,0-1 0,1 0 0,0 0 0,7-8 0,8-22 0,-15 26 0,14-34 0,13-52 0,-3 6 0,106-274 0,-71 226 0,-60 131 0,1 0 0,-1 0 0,0 0 0,1 0 0,-1 0 0,1 0 0,-1 0 0,1 0 0,0 0 0,-1 0 0,1 0 0,0 1 0,0-1 0,-1 0 0,1 1 0,0-1 0,0 0 0,0 1 0,1-1 0,-1 1 0,0 0 0,0 0 0,-1 0 0,1 0 0,0 0 0,-1 0 0,1 0 0,0 1 0,-1-1 0,1 0 0,0 1 0,-1-1 0,1 0 0,-1 1 0,1-1 0,-1 1 0,1-1 0,-1 1 0,1-1 0,-1 1 0,1-1 0,0 2 0,4 6 0,0 0 0,-1 1 0,6 15 0,-2-6 0,8 17 20,-2 0-1,-1 0 0,11 47 1,15 115 108,-27-127-99,-6-33-5,-3-15 49,11 39 1,-14-61-71,1 0 0,-1 0 0,0 0 0,0 1 0,0-1 0,1 0 0,-1 0 0,0 0 0,0 0 0,0 0 0,1 0 0,-1 0 0,0 0 0,0 0 0,0 0 0,1 0 0,-1 0 0,0 0 0,0 0 1,0 0-1,1-1 0,-1 1 0,0 0 0,0 0 0,0 0 0,0 0 0,1 0 0,-1 0 0,0 0 0,0-1 0,0 1 0,0 0 0,1 0 0,-1 0 0,0 0 0,0-1 0,0 1 0,0 0 0,0 0 0,0 0 1,0-1-1,8-13 84,-2 0 1,1-1 0,-2 0 0,7-28-1,-8 26-35,21-79 185,-13 41-60,3 1 0,34-79 0,9 19-14,17-40 37,-65 132-192,1 0-1,19-26 1,5-9-31,-33 52-84,-1 4-21,-4 17-1472,3-12 1166,0-1 0,1 1 1,-1-1-1,1 1 0,0-1 0,0 0 0,0 1 0,1-1 0,2 5 0,1 2-1563,8 24-9778</inkml:trace>
  <inkml:trace contextRef="#ctx0" brushRef="#br0" timeOffset="4281.84">4335 10 22015,'-3'28'32,"1"-17"8,3-17 16,-1 4-17,0 0 0,0 0-1,0 1 1,1-1 0,-1 0-1,1 0 1,-1 1-1,1-1 1,0 1 0,-1-1-1,1 0 1,0 1 0,0-1-1,0 1 1,0 0-1,0-1 1,0 1 0,1 0-1,-1 0 1,0-1 0,1 1-1,-1 0 1,3-1 0,1 1 8,0-1 0,0 1 1,0 1-1,0-1 0,0 1 1,11 0-1,28 3 128,0 2 1,86 21-1,-91-18-146,12 5 29,0-3 1,0-3 0,100 3-1,-112-12-15,-25 0-13,1 1 1,-1 0-1,1 1 1,-1 1-1,0 0 1,18 4-1,-31-5-29,0 1 1,0-1-1,0 0 0,0 1 0,0-1 1,0 1-1,0-1 0,0 1 0,0-1 1,0 1-1,-1 0 0,1 0 0,0-1 0,0 1 1,-1 0-1,1 0 0,0 0 0,-1 0 1,1 0-1,-1 0 0,1 0 0,-1-1 0,0 2 1,1-1-1,-1 0 0,0 0 0,0 0 1,1 0-1,-1 0 0,0 0 0,0 0 1,0 0-1,-1 0 0,1 0 0,0 0 0,0 0 1,0 0-1,-1 0 0,1 0 0,-1 0 1,0 2-1,-3 5 13,0 0 0,0-1 0,-1 1 0,-6 7 0,4-4-8,-19 30-6,3 1 0,1 1 0,2 1 0,3 0 0,1 2 0,2 0 0,2 1 0,-6 55 0,7-7 0,4 0 0,4 1 0,11 105 0,-4-147-13,2-1 0,3 0-1,1 0 1,4-1 0,1 0-1,3-1 1,42 85 0,-53-125-6,11 17 16,-18-28 3,1 1 0,-1 0 0,1 0 0,-1 0 0,0 0 0,1 0 0,-1 0 0,0 0 0,0 0 0,1 0 0,-1 0 0,0 0 0,0 0 0,0 0 0,0 0 0,0 0 0,0 0 0,-1-1 0,1 1 0,0 0 0,0 0 0,-1 0 0,1 0 0,-1 0 0,0 1 0,-5 4 0,0-1 0,0 0 0,-1 0 0,0 0 0,0-1 0,0 0-1,-1 0 1,1-1 0,-11 3 0,-14 4 49,-33 5-1,4-2 112,16-2-5,0-2-1,-75 4 1,-92-8-819,167-6-10,6 3-708,0 0-3167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6:55:12.48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0 294 23679,'16'1'0,"0"-2"0,0 0 0,-1 0 0,1-2 0,-1 0 0,30-9 0,-24 6 0,0 0 0,33-3 0,-41 9 0,-1 0 0,0 1 0,0 0 0,1 1 0,-1 0 0,-1 1 0,1 0 0,0 1 0,16 8 0,9 6 0,50 35 0,-27-16 0,-46-29-1088,1 0 0,0-1 0,17 5 0</inkml:trace>
  <inkml:trace contextRef="#ctx0" brushRef="#br0" timeOffset="354.55">151 63 23551,'0'0'0,"34"12"0,-21-9 0,-6-1 0,-2-2 0,-5-5 0,0-3 0,0-4 0,10-7 0,5-6-128,10 14 128,10 11-1664,4 11 0,11 8 512,39 12-11903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38.52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1 176 16384,'4'-1'127,"78"-34"513,-80 35-608,-1 0-1,0 0 0,0 0 0,0 0 1,0 0-1,0 0 0,0 0 0,0 0 1,0 1-1,0-1 0,0 2 0,0-2 1,0 1-1,0-1 0,-1 1 0,1 0 0,0-1 1,0 1-1,0 0 0,-1 0 0,1 0 1,0 1-1,20 22 325,-20-23-300,19 29 781,25 48 0,5 4-58,34 46-214,109 157 257,-169-257-758,2 0 0,0 0 0,38 26 0,-34-29 21,0 3 1,47 56-1,3 14 128,122 116 1,-112-135 2,-61-56-121,-1 0 1,-2 3-1,25 29 0,-14 1-1,-2-1 0,-3 0 1,25 67-1,30 52 62,-60-132-111,2-1-1,40 42 1,18 25 56,4 7 32,20 30 11,-77-90-144,-3 0 0,-3 0 0,41 118 0,-3 62 0,-59-210 0,6 14 22,2 1 0,2-3 0,28 45 0,10 24 40,-22-36-9,36 117 0,-47-118-53,37 76 0,-40-106 0,6 30 114,21 89 0,3 9 64,-1-13 163,-40-135-312,1-4-1,1 3 1,1-2 0,16 21-1,-14-22-22,25 41-6,-28-40 0,1 0 0,1 0 0,25 27 0,13 7 0,-29-30 0,1 2 0,3-3 0,36 28 0,-37-33 0,-1 2 0,0 3 0,-1-3 0,-1 4 0,0-1 0,-2 2 0,-1-1 0,25 40 0,-36-52 0,1 1 0,1 2 0,0-3 0,0 0 0,0 1 0,1-2 0,22 15 0,-28-20 2,-1 1 1,0-1-1,0 0 0,0 1 1,0 0-1,0 1 0,-1-1 0,0 0 1,1 0-1,1 6 0,13 38 50,-16-40-46,1 1 1,1 0-1,0-1 1,0 2-1,0-4 0,1 3 1,9 11-1,-11-17-6,2 1 0,-3 1 0,4-2 0,0 2 0,-2 3 0,2-4 0,-1 0 0,-3 0 22,-1-2 170</inkml:trace>
  <inkml:trace contextRef="#ctx0" brushRef="#br0" timeOffset="1681.72">3818 4944 20223,'0'1'8,"-1"3"8,0-3 0,0 2-1,0 0 1,1-1 0,-1 1 0,1 0 0,0-2 0,0 1 0,0 1 0,0 1-1,0-2 1,0 1 0,1-2 0,-1 2 0,1-1 0,2 6 0,-2-7 36,-1 1 1,1 0-1,-1 1 1,1-1-1,-1 0 1,0 0-1,0 0 1,0-1-1,0 1 1,0 0-1,0 0 1,0-1-1,-1 0 1,1 1-1,-1 0 1,0-1-1,1 2 1,-1-2-1,0 1 1,0 0-1,0 0 1,0-1-1,0 1 1,-2 1-1,-4 4 61,-1 1 0,1-3 0,-16 11 0,2 0-85,-61 43 367,58-42-299,1-1 0,1 2 0,0-1-1,-19 25 1,-5 12 70,8-9 71,-66 62 0,-247 177 147,345-279-384,-1 0 0,0 0 0,1-2 0,-2 1 0,1-1 0,0 2 0,-13 1 0,34-24-132,29-35 0,-38 48 119,230-231-647,-205 207 595,116-128-33,-19 18 46,-75 86 52,-11 11 0,2 0 0,76-58 0,-117 98 19,1 0 0,-1 1-1,1-1 1,-1 1 0,1 0-1,0 1 1,0-1 0,-1 0-1,1 0 1,0 1 0,6-1-1,-9 1-10,1 0-1,0 0 1,-1 0-1,1 0 1,-1 0-1,1 0 1,0 0-1,-1 0 1,1 0-1,-1 1 1,1-1-1,-1 0 1,1 1-1,0-1 0,-1 0 1,1 1-1,-1-1 1,0 1-1,1-1 1,-1 0-1,1 0 1,-1 1-1,1 0 2,0 1 0,-1-1 0,1 1 0,-1 0 0,0-1 0,1 1 0,-1-1 0,0 1 0,0-2 0,0 3-1,0-1 1,-1 1 0,-2 20 161,1-13-136,1-2-1,0 4 1,1-4 0,0 2-1,0 1 1,3 8 0,3 12 29,27 160 258,-32-184-300,21 147 64,-16-136-69,0 0-1,1 1 0,1-3 1,13 20-1,-9-15 11,15 39-1,85 209-25,-76-190 0,-34-74 0,0 1 3,0 0 0,1 0 0,0-1 0,0 0 0,1 0 0,6 8 1,-9-12 81,3-1-42,-24-13 191,-10 5-234,1 0 0,-44-21 0,-15-7 0,22 16 7,-219-70 93,236 81-94,0 0 0,-1 4 1,-56 0-1,-11-2-10,61 1 63,0 3 0,1 2-1,-70 7 1,124-5-58,0-1 0,0 0 1,0 0-1,0 0 0,0 0 0,0 0 1,0 0-1,0 0 0,0 0 0,0 0 1,0 0-1,0 0 0,0 0 0,0-1 1,-1 0-1,2 1-1,0 0 0,0-1 0,0 1 0,0 0 1,0 0-1,0 0 0,0 0 0,0-2 0,0 2 0,0 0 0,0-1 0,0 1 0,1 0 1,-1-1-1,0 1 0,0 0 0,0 0 0,0-1 0,1 1 0,-1 0 0,0 0 0,0 0 1,1 0-1,-1 0 0,0 0 0,1 0 0,-1-1 0,30-17-2,-18 11-12,1 4 0,-1-2 0,1 1-1,0 2 1,0-1 0,22-3 0,-6 5-75,59 2 0,-73 1 24,-6-2-210,1 0 1,-1 1-1,0 0 1,0 1-1,1 0 1,-1 0-1,9 2 1,-17-3 92,0 0 0,0 0 0,0 1 1,0-1-1,0 0 0,0 0 1,0 0-1,-1-1 0,1 1 0,0 0 1,-1 2-1,1-2 0,-1 0 1,0 1-1,1-1 0,-1 1 0,0-1 1,0 1-1,0-1 0,0 2 1,1 6-1913,6 21-9041</inkml:trace>
  <inkml:trace contextRef="#ctx0" brushRef="#br0" timeOffset="4663.26">2332 0 18303,'0'0'768,"3"8"-640,10 21 171,-3 5 0,10 41-1,-16-56-154,1 0 0,1 0 0,1 0 0,10 19 0,-6-14 126,11 34-1,3 18 85,-13-44-211,8 40 0,23 95 33,-24-106-64,-4 2 0,11 111 0,-21-76 80,-15 158 0,2-149-81,6-66-64,-1 1 0,-3 0 0,-15 55 0,-10-4 244,-4-2 1,-65 121-1,92-201-291,-1 2 0,0-4 0,-1 2 0,0 0 0,-1 0 0,-22 14 0,14-9 0,-26 24 0,27-18 0,-17 28 0,22-32 0,-2 1 0,-23 25 0,-11 12 119,33-36-50,-22 20-1,24-28-113,-30 19 0,2-6-5326</inkml:trace>
  <inkml:trace contextRef="#ctx0" brushRef="#br0" timeOffset="6972.72">1635 723 11392,'0'0'8469,"-2"4"-8128,-25 44 441,14-27-494,1 4-1,0-4 0,2 3 0,-8 31 1,12-32-149,2-2-89,0-2 1,1 2-1,0 20 1,3 3-44,1 0 0,13 72 0,-10-97 7,-3-9 8,1 0 0,0 0 0,1-2 0,0 3 0,1-1 0,0-2 0,0 3 0,1-2 0,1 0 0,7 10 0,-4-10-22,0 1 0,1-3 0,1 3 0,-1-2 0,1 0 0,1-2 0,-1 1 0,1-2 0,20 10 0,-23-12 0,-3 0 0,-1-1 0,1 0 0,0 0 0,0-2 0,0 0 0,0 1 0,0 0 0,0-1 0,0 1 0,0-2 0,0 1 0,9-2 0,0 1 4,2-3 19,0 0 1,20-9-1,-32 11-18,0 0-1,-1 0 1,1 0-1,0-1 1,-1 0-1,0 0 1,0-1-1,0 2 1,0-1-1,0-1 1,5-7-1,12-20 21,54-80 185,-68 92-168,0 2 0,0-2 1,-2 0-1,-1 1 0,5-32 0,4-26 4,-10 60-16,-1 2 0,-1-1 0,-1-1 0,0 2 0,-3-25 0,-1-17 24,4 54-45,0 0-1,0 0 1,-1-1-1,1 0 1,-1 0-1,0 0 1,0 0 0,0 1-1,0 0 1,0-1-1,-1 1 1,1 0-1,-1-1 1,-1-2-1,0 0-8,3 5 0,0 0 0,0-1 0,0 1 0,0 0 0,0-1 0,0 1 0,0 0 0,0 0 0,0-1 0,0 1 0,-1 0 0,1 0 0,0 0 0,0 0 0,0 0 0,0-1 0,0 1 0,-2 0 0,2 0 0,0-1 0,0 1 0,0 0 0,-1 0 0,1 0 0,0-1 0,0 1 0,-1 0 0,1 0 0,0 0 0,-1 0 0,1 0 0,0 0 0,0 0 0,-1 0 0,1-1 0,0 1 0,-1 0 0,1 0 0,0 0 0,-1 0 0,1 0 0,0 0 0,0 1 0,-1-1 0,1 0 0,0 0 0,-1 0 0,1 0 0,0 0 0,0 0 0,-1 0 0,1 1 0,0-1 0,0 0 0,-1 0 0,1 0 0,0 1 0,0-1 0,-1 0 0,-10 15 0,11-14 0,-43 73 0,-1 1 0,39-65 0,-1 0 0,2 1 0,-1 0 0,2 1 0,0-1 0,0 1 0,-1 16 0,-9 36 0,-68 253 0,75-289 24,4-18-7,0 0 1,1 0-1,0-1 0,0 2 1,2 11-1,-1-7-17,1 1 0,-2-1 0,0 0 0,-1 0 0,-5 17 0,-2 12 0,9-42 0,0 1 0,0-1 0,0 0 0,1 1 0,-1 0 0,1 0 0,-1-1 0,1 0 0,0 0 0,2 6 0,-2-6 0,0 0 0,0 0 0,0 0 0,-1 0 0,1 0 0,-1 0 0,1-1 0,-1 1 0,0 0 0,0-1 0,0 1 0,0 0 0,0 4 0,0-3 0,0-2 0,0 0 0,0 0 0,0 0 0,0 0 0,0 1 0,1-1 0,-1 0 0,0 1 0,1-1 0,0 0 0,-1 0 0,1 1 0,0-1 0,-1-1 0,3 3 0,-2-3 0,0 2 0,0 1 0,0-2 0,0 1 0,0 0 0,0 0 0,-1-1 0,1 0 0,-1 1 0,1 0 0,-1 2 0,0 5 22,0-1-1,-1 1 0,-1-1 1,-2 9-1,4-16-11,-1 0 0,1-1-1,0 2 1,0-1 0,0 0 0,0 0 0,0 1 0,0 0 0,0-1-1,0-1 1,0 1 0,1 0 0,-1 0 0,1 1 0,-1-1 0,0 0-1,1 0 1,0 0 0,-1 0 0,1 0 0,1 2 0,20 12 168,-13-10-61,-9-3-109,0-1-1,0 1 1,0 0 0,0 0 0,0 0-1,0-2 1,0 2 0,-1 1-1,1-1 1,0-1 0,-1 1 0,0 0-1,1-1 1,-2 2 0,1-1-363,5-7-601,-3 1 224,1 0-1,0-1 1,-1 2 0,0-1-1,2-5 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3:52.30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1 559 15232,'0'0'128,"4"-2"0,20-6 40,-17 5-22,-1 0 0,1 0 1,0 1-1,0 0 0,0 0 0,0 1 1,0 0-1,0 0 0,0 1 0,0 0 0,0 0 1,14 3-1,-10-2-13,0 1 1,0-1 0,0-1 0,0 0-1,0 0 1,17-4 0,7 1 82,277-7 1042,-219 9-878,178 20-1,-74-2-220,-26-7 161,249 46 0,-364-45-200,-1 2-22,1-3 0,0-3 0,59 1 0,121-26 126,-101 5-107,-98 10-107,424-21 129,-395 27-139,100 18 0,46 3 0,-109-22 139,117-14 0,-189 7-104,1-2 1,36-12-1,-2 0-13,377-73 84,-418 89-106,0 2 0,0 1 0,28 3 0,16 1 0,-64-5 0,-4 1 0,0 0 0,0 0 0,0 0 0,0 0 0,0 0 0,0 0 0,0 0 0,0 0 0,0 0 0,0 0 0,0 1 0,0-1 0,0 0 0,-1 1 0,1-1 0,0 1 0,0-1 0,0 1 0,1 1 0,2 2 0,-5 0 22,1-3 42</inkml:trace>
  <inkml:trace contextRef="#ctx0" brushRef="#br0" timeOffset="1364.8">3898 235 19199,'15'8'1,"-9"-5"3,0 0-1,-1 1 1,0-1-1,0 1 0,8 8 1,-12-12 12,-1 1 0,0 0 0,0 0 0,0 0 0,0-1 0,0 1 0,0 0 0,0 0 0,0 0 0,0-1 0,0 1 0,0 0 0,0 0 0,-1 0 0,1-1 0,0 1 0,-1 0 0,1 0 0,0-1 0,-1 1 0,1 0 0,-1-1 0,1 1 0,-1 0-1,1-1 1,-1 1 0,0-1 0,0 1 0,-6 8 33,3 1-24,-1 0 0,1 1 1,1-1-1,0 1 0,1-1 0,0 1 1,0 0-1,1 0 0,0 12 0,2 19 37,8 46-1,-2-16 33,-2 284 290,-5-333-324,2 0 0,0 0-1,1 0 1,13 45 0,-16-68-60,0 0 1,0 0-1,0 0 1,0 0-1,0 0 1,0 1-1,0-1 1,0 0-1,0 0 1,0 0-1,0 0 1,0 0-1,0 0 0,0 0 1,0 1-1,0-1 1,0 0-1,0 0 1,0 0-1,0 0 1,0 0-1,0 0 1,0 0-1,0 1 1,0-1-1,0 0 1,0 0-1,0 0 1,0 0-1,0 0 1,1 0-1,-1 0 1,0 0-1,0 0 1,0 0-1,0 1 1,0-1-1,0 0 1,0 0-1,1 0 1,-1 0-1,0 0 1,0 0-1,0 0 0,0 0 1,0 0-1,0 0 1,0 0-1,1 0 1,-1 0-1,0 0 1,0 0-1,0 0 1,0 0-1,0 0 1,0 0-1,0 0 1,1-1-1,-1 1 1,0 0-1,0 0 1,0 0-1,0 0 1,0 0-1,6-12 32,3-23 10,-8 31-41,34-141-161,17-163 0,-45 239 96,-3-1 0,-3 1 0,-3-1 0,-18-110 0,11 128 64,-19-58 0,28 110 0,0-1 0,0 0 0,0 1 0,-1-1 0,1 0 0,0 0 0,0 1 0,0-1 0,-1 0 0,1 1 0,0-1 0,-1 0 0,1 1 0,-1-1 0,1 1 0,-1-1 0,1 1 0,-1-1 0,1 1 0,-1-1 0,0 1 0,1-1 0,-1 1 0,1 0 0,-1-1 0,0 1 0,1 0 0,-1-1 0,0 1 0,0 0 0,1 0 0,-1 0 0,0 0 0,0 0 0,1 0 0,-1 0 0,0 0 0,1 0 0,-1 0 0,-1 0 0,1 1 0,0 0 0,1-1 0,-1 1 0,0 0 0,0-1 0,1 1 0,-1 0 0,0 0 0,1 0 0,-1 0 0,1 0 0,-1 0 0,1 0 0,-1-1 0,1 1 0,0 0 0,-1 1 0,1-1 0,0 0 0,0 0 0,0 0 0,0 0 0,0 0 0,0 0 0,0 0 0,1 2 0,0 5 25,1 1-1,1 0 0,-1-1 0,1 1 1,1-1-1,0 0 0,0 0 0,1 0 1,-1-1-1,2 1 0,-1-1 0,1 0 1,0-1-1,1 1 0,-1-1 0,1-1 0,0 1 1,1-1-1,-1 0 0,1-1 0,12 5 1,245 101 684,-118-52-437,-133-50-244,0 0 1,0 0-1,-1 1 0,0 1 0,0 0 1,-2 1-1,12 12 0,-8-8 22,0-1 0,0 0 1,27 16-1,-21-19 1,-12-6 2,1 0 1,-1 1 0,0 0-1,10 9 1,-17-14-48,-1 1 0,1-1 1,-1 1-1,1-1 1,-1 1-1,0 0 0,0 0 1,0-1-1,0 1 0,0 0 1,0 0-1,0 0 0,-1 0 1,1 0-1,-1 0 0,1 1 1,-1-1-1,0 0 0,0 0 1,0 0-1,0 0 1,0 0-1,0 1 0,0-1 1,-1 0-1,-1 3 0,0-2-6,0 0 0,0-1 0,0 1 0,0-1 0,-1 1 0,1-1 0,-1 0 0,0 0 0,0 0 0,0-1 0,0 1 0,-4 1 0,-8 5 0,-77 57 0,27-17 0,-2-4 0,-80 40 0,35-35 112,-76 39-4277,159-72-8549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04.049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628 920 15616,'0'0'256,"-6"0"-128,-24-3 148,1 2 1,-50 5 0,68-3-192,-1 1 1,1 0-1,0 1 1,0 0-1,0 1 1,1 0-1,-1 1 1,1 0-1,0 0 1,-17 13-1,-160 147 704,164-146-713,2 1 0,-38 46 0,51-56-50,1 0 1,0 1-1,1 0 0,0 1 1,1-1-1,1 1 0,-1 0 0,2 0 1,-4 18-1,7-28-19,0 1-1,0-1 0,-1 0 1,2 0-1,-1 0 1,0 1-1,0-1 1,1 0-1,-1 0 1,1 0-1,-1 0 0,1 0 1,0 0-1,0 0 1,0 0-1,0 0 1,0 0-1,1 0 1,-1-1-1,0 1 1,1 0-1,0-1 0,-1 1 1,1-1-1,0 0 1,0 1-1,-1-1 1,4 1-1,5 3 13,1-1 0,0 0 0,0 0 0,16 2-1,-4-1-22,8 2 115,1-1 0,38 1-1,9 2 177,-75-9-259,-1 1 0,1-1 1,-1 0-1,1 0 0,0 0 0,-1 0 0,1-1 1,0 1-1,-1-1 0,1 0 0,-1 0 0,1-1 0,5-2 1,-2-1-1000,0 0 0,1-1 1,-2 0-1,9-8 1</inkml:trace>
  <inkml:trace contextRef="#ctx0" brushRef="#br0" timeOffset="701.11">998 1224 16384,'0'0'127,"-1"-5"1,-2-15-7,-16-80 564,16 88-559,0 1 0,-1 0-1,-1 0 1,0 0 0,0 0-1,-12-16 1,17 26-121,-1 0 0,0-1 0,0 1 0,0 0 0,0 0 0,0 0 0,0 0 0,0 0 0,0 0 1,-1 0-1,1 0 0,0 0 0,0 1 0,-1-1 0,1 0 0,-1 1 0,1-1 0,0 1 0,-1 0 0,1-1 0,-1 1 0,-2 0 0,0 1-6,1 0-1,-1 0 0,0 0 0,1 1 0,-1 0 0,1 0 0,-6 3 0,5-3 7,-5 4-13,0 0-1,0 1 0,1-1 0,0 1 0,0 1 0,0 0 0,1 0 0,0 0 0,1 1 1,0 0-1,-5 11 0,3-6-13,1 1 0,0 0-1,1 0 1,1 0 0,1 1 0,-5 30 0,7-33 10,2 0 0,0 0-1,0 0 1,1 0 0,1-1 0,0 1-1,1 0 1,0 0 0,6 13-1,-7-22 13,-1-1 0,1 1 0,0 0 0,0-1 0,1 0 0,-1 1 0,1-1 0,-1 0 0,1 0 0,0 0 0,0 0 0,1-1 0,3 3 0,-5-4 4,-1 0-1,0-1 0,1 1 1,-1-1-1,0 0 0,1 1 1,-1-1-1,0 0 0,1 0 1,-1 0-1,1 0 0,-1 0 1,0 0-1,1 0 0,-1 0 1,1-1-1,-1 1 0,0 0 0,1-1 1,-1 1-1,3-2 0,22-17 137,-20 14-97,3-2-5,1-1-1,-2 0 0,1 0 0,-1-1 0,0 0 1,-1-1-1,0 0 0,-1 0 0,0 0 0,9-22 0,-9 15-186,0-1-1,-2 0 0,0 0 0,-1-1 0,-1 1 0,0-23 0,-2-35-4649</inkml:trace>
  <inkml:trace contextRef="#ctx0" brushRef="#br0" timeOffset="1383.25">1483 1042 19199,'-3'0'0,"0"-1"0,0 1 0,0-1 0,0 0 0,0 0 0,0 0 0,0-1 0,-3-1 0,5 2 0,0 1 0,0-1 0,0-1 0,1 1 0,-1 0 0,0 0 0,0 0 0,1 0 0,-1 0 0,1-1 0,-1 1 0,1 0 0,0-1 0,-1 1 0,1 0 0,0-1 0,0 1 0,0 0 0,0-1 0,0-1 0,0 2 0,0-1-1,-1 1 1,1 0-1,-1-1 1,1 1-1,-1 0 1,1-1-1,-1 1 1,1 0-1,-1 0 1,0 0-1,0-1 1,0 1-1,0 0 1,0 0-1,0 0 1,0 0-1,0 1 1,0-1-1,0 0 1,-1 0-1,1 1 1,0-1-1,0 0 1,-1 1-1,1-1 1,-1 1-1,1 0 0,-2-1 1,-6-1-59,0 1 0,-1 0 1,-10 0-1,18 1 32,-8 0-10,0 1-1,0 0 1,0 0 0,0 1-1,1 1 1,-1 0 0,1 0-1,-1 0 1,1 2 0,0-1-1,1 1 1,-10 6 0,4-1-19,1 0 1,0 1-1,1 0 0,0 1 1,1 0-1,-15 22 0,22-29 56,1 1 0,0 0 0,0 0 0,1 0 0,0 0 0,0 1 0,0-1 0,1 1 0,0-1 0,0 1 0,0-1 0,1 1 0,0-1 0,0 1 0,1-1 0,0 1 0,0-1 0,1 1 0,-1-1 0,1 0 0,1 1 0,-1-1 0,1 0 0,0-1 0,1 1 0,-1 0 0,1-1 0,0 0 0,0 0 0,1 0 0,-1 0 0,1-1 0,0 0 0,1 0 0,-1 0 0,1 0 0,-1-1 0,1 0 0,0 0 0,0-1 0,1 0 0,-1 0 0,0 0 0,1-1 0,-1 0 0,1 0 0,-1 0 0,11-1 0,28-4 0,61-12 0,-87 8 102,-35 17 31,-38 30-46,-18 13-34,-92 50-1,142-88-2910</inkml:trace>
  <inkml:trace contextRef="#ctx0" brushRef="#br0" timeOffset="3480.41">1916 403 16128,'0'0'2943,"-3"4"-2836,-10 19-71,1 0-1,1 2 1,1-1-1,1 1 1,2 0-1,1 1 1,0 0 0,2 0-1,0 0 1,2 1-1,2 41 1,-1-32 38,-2 1 0,-12 58 0,10-64-62,2-3 58,1 0 0,4 52 0,-1-59-45,-1-16-17,1 0-1,0 0 1,0 0 0,0 0 0,1 0-1,-1 0 1,1-1 0,0 1 0,1-1-1,-1 1 1,1-1 0,0 0-1,0 0 1,0 0 0,0 0 0,1-1-1,0 1 1,-1-1 0,1 0 0,6 4-1,-3-3-8,0 0 0,0-1 0,0 0 0,1 0 0,-1 0 0,1-1 0,0 0 0,-1-1 0,1 0 0,0 0 0,0 0 0,10-1 0,0-2 1,0 0 0,-1 0 0,0-2 0,1 0 0,-1-1 0,-1-1 0,1 0 0,-1-1 0,0-1 0,0-1 0,-1 0 0,-1-1 0,23-19 0,60-52-1,-63 55 9,-2-1-1,36-38 1,-56 50 25,0-1-1,-1 0 1,-1 0 0,-1-2 0,15-33 0,-10 11 50,14-67-1,-23 87-68,0 0 0,-2 0-1,-1-1 1,0 1-1,-1-1 1,-2 1-1,0-1 1,-1 1 0,-1-1-1,-7-26 1,9 44-9,0 0 1,0 0-1,0 0 1,0 0-1,0 1 1,-1-1 0,1 1-1,-1-1 1,0 1-1,0-1 1,0 1-1,0 0 1,0 0-1,0 0 1,0 0 0,-1 0-1,1 1 1,-1-1-1,1 1 1,-1-1-1,0 1 1,0 0-1,-3-1 1,2 1 1,-1 1 0,0 0-1,1 0 1,-1 0 0,0 0 0,1 1-1,-1 0 1,0 0 0,1 0 0,-1 0-1,1 1 1,-1 0 0,1 0 0,-5 3-1,-3 1-13,1 0 0,0 1 0,0 0 0,1 0 0,0 2 0,0-1 0,1 1-1,0 0 1,1 1 0,0 0 0,1 1 0,-1-1 0,2 1 0,-7 14 0,1 12-49,2 1 0,1 0 0,-4 43 0,-1 5 2,-2 20 54,-2 119 0,8-71 0,-3-34 0,-34 142 0,38-225 0,0 8 0,-24 65 0,16-67-1,-26 73-3,39-100 9,0 0-1,1 1 1,0-1-1,2 0 0,0 23 1,1 40-27,0-78 2,0-1-1,0 0 0,0 1 1,-1-1-1,1 0 1,0 0-1,0 1 0,0-1 1,0 0-1,0 1 0,0-1 1,0 0-1,0 1 0,0-1 1,0 0-1,0 0 0,0 1 1,0-1-1,0 0 1,0 1-1,1-1 0,-1 0 1,0 0-1,0 1 0,0-1 1,0 0-1,1 0 0,-1 1 1,0-1-1,0 0 0,0 0 1,1 1-1,-1-1 1,0 0-1,0 0 0,1 0 1,-1 0-1,0 1 0,0-1 1,1 0-1,-1 0 0,0 0 1,1 0-1,-1 0 0,0 0 1,1 0-1,-1 0 1,0 0-1,0 0 0,1 0 1,-1 0-1,0 0 0,1 0 1,-1 0-1,0 0 0,1 0 1,-1 0-1,0-1 1,2 0-79,-1 0 0,1 0 0,-1 0 1,0 0-1,0-1 0,1 1 0,-1 0 1,0-1-1,0 1 0,1-4 0,9-29-2802,-2-5-7509</inkml:trace>
  <inkml:trace contextRef="#ctx0" brushRef="#br0" timeOffset="4213.02">1735 174 19455,'0'7'0,"-2"15"0,2-21 0,0-1 0,0 1 0,0-1 0,0 1 0,0 0 0,0-1 0,0 1 0,-1-1 0,1 1 0,0-1 0,0 1 0,-1-1 0,1 1 0,0-1 0,-1 1 0,1-1 0,0 1 0,-1-1 0,1 1 0,-1-1 0,1 1 0,-1-1 0,1 0 0,-1 1 0,0-1 0,-2 0 0,-1 1 0,1-1 0,0 1 0,-1-1 0,1 1 0,0 0 0,0 0 0,-1 1 0,1-1 0,0 1 0,0-1 0,1 1 0,-1 0 0,0 0 0,0 0 0,1 1 0,0-1 0,-1 1 0,1-1 0,0 1 0,0 0 0,0-1 0,1 1 0,-1 0 0,1 0 0,-3 7 0,-14 36 0,1 2 0,-16 84 0,-6 105 0,35-206 0,-19 155 0,3 302 0,21-434 1,4 0 0,17 90-1,-14-114-3,0 0 0,2-1-1,1 0 1,1-1 0,1 0-1,20 30 1,-21-42-199,1 0 1,0 0-1,1-2 0,1 1 0,0-2 1,25 17-1,-3-6-2505,74 37 0,-53-33-5549</inkml:trace>
  <inkml:trace contextRef="#ctx0" brushRef="#br0" timeOffset="4830.15">2718 1 17791,'2'4'107,"5"12"-56,-1 0 1,0 0-1,-2 1 0,0-1 0,2 19 1,14 50 67,8 12-20,-4 1 1,-4 2-1,-5 0 1,-4 0 0,-3 118-1,-10-122-18,-4-1 0,-4 0 0,-5 0 0,-30 107 0,-69 123 338,83-256-338,-3-2 0,-66 99 0,36-75-412,-119 129 0,179-216 100,1 0 0,0-1 0,-1 1-1,0-1 1,0 0 0,0 0-1,0 0 1,0-1 0,-1 1-1,1-1 1,-1 0 0,0 0 0,0-1-1,1 0 1,-1 1 0,0-2-1,0 1 1,-8 0 0,-29 1-9838</inkml:trace>
  <inkml:trace contextRef="#ctx0" brushRef="#br0" timeOffset="5645.64">3391 1228 18303,'0'0'384,"4"1"-256,12 1 20,0-1 0,20-1-1,-21-1-107,0 1-1,0 1 1,0 0-1,17 4 0,-14-1-737,0-1 0,-1-1 0,27 0 0,-34-2-413,40 3-9321</inkml:trace>
  <inkml:trace contextRef="#ctx0" brushRef="#br0" timeOffset="5946.09">3374 934 19967,'0'0'0,"26"8"0,-18-5 128,-3-3-128,2 0 128,3 0 0,2 0 0,7 0 0,-2 0 0,5 0-128,0 0 0,6 0-512,7 2 128,6 4-384,-12-4 0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19.10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193 210 17535,'0'0'128,"1"5"22,4 13-21,-2-11 53,-1 1 0,0 0 1,0 0-1,-1 0 1,0 0-1,0 0 1,-1 0-1,-1 9 0,-12 42 433,-38 100-1,3-9-93,-8 84-73,54-214-386,-1 1 5,1-21-161,-3-11-155,2-2-406,1 0 0,0 0 0,2 0 0,-1 0 0,1 0 0,1 0 0,4-25-1,-2 22-780,3-30-8590</inkml:trace>
  <inkml:trace contextRef="#ctx0" brushRef="#br0" timeOffset="523.41">287 32 18303,'18'0'107,"-1"-1"0,1-1-1,-1 0 1,1-1 0,-1-1-1,28-10 1,-42 13-99,-1 0-1,0 1 1,1-1-1,-1 0 1,1 1-1,0-1 1,-1 1 0,1 0-1,-1 0 1,1 0-1,-1 0 1,1 0-1,0 1 1,-1-1 0,1 1-1,-1-1 1,1 1-1,-1 0 1,3 1-1,0 2-3,0 0-1,0 0 1,-1 0-1,0 0 1,0 1-1,6 7 1,8 9 76,-6-6-51,-1 0-1,-1 1 0,0 0 1,-1 0-1,0 1 1,-2 0-1,0 1 1,-1 0-1,-1 0 1,0 0-1,-1 0 0,-1 1 1,-1-1-1,-1 27 1,-1-37 0,-2 1 1,1-1-1,-1 0 0,-1 0 1,1-1-1,-1 1 1,-5 9-1,-32 49 286,29-49-247,-12 18 177,-1 0-1,-33 34 1,45-55-164,-1-2 1,0 0 0,-1-1-1,0 0 1,-1-1 0,0 0-1,-28 12 1,14-10 100,-51 14 0,71-24-178,1 0-1,-1 0 1,0-1-1,0 0 0,0-1 1,1 0-1,-1 0 1,0-1-1,0 0 0,0 0 1,-9-4-1,14 4-85,0-1-1,0-1 0,0 1 0,0-1 0,0 1 0,1-1 1,-1 0-1,1-1 0,0 1 0,-4-6 0,-7-6-2142,-34-32-10766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25.58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727 1 20095,'6'42'0,"-6"-41"0,0-1 0,0 1 0,0 0 0,1-1-1,-1 1 1,0 0 0,0 0 0,0-1 0,0 1 0,0 0-1,-1-1 1,1 1 0,0 0 0,0-1 0,0 1-1,-1 0 1,1-1 0,0 1 0,0 0 0,-1-1-1,1 1 1,-1-1 0,1 1 0,-1 0 0,0 0 0,-13-2 9,8 0 8,-17 0 72,0 1-1,1 0 1,-1 2 0,-41 8 0,15 1 190,-53 20 0,92-27-256,1 0-1,-1 1 1,1 0-1,0 1 0,1 0 1,-1 0-1,1 1 1,0 0-1,-13 16 0,16-18-11,0 1 0,1 0-1,0 1 1,0-1 0,0 1-1,1 0 1,0 0 0,0 0-1,1 0 1,0 0 0,0 1-1,0-1 1,1 1 0,0 11-1,2-13-20,0-1 0,0 1 0,0-1 0,1 0 0,0 1 0,0-1-1,0 0 1,1 0 0,-1 0 0,1-1 0,0 1 0,1-1 0,4 6 0,8 7-92,33 27 1,-37-34 83,12 10 1,17 13-27,-3 2 0,69 79-1,-104-110 45,-1-1 0,1 1 0,-1-1 0,0 1 0,0 0 0,-1 0 0,1 0 0,-1 0 0,0 0 0,0 0 0,0 0 0,0 0 0,-1 8 0,0-6 0,-1 0 0,0-1 0,0 1 0,-1-1 0,1 0 0,-1 1 0,0-1 0,-1 0 0,1 0 0,-5 5 0,0 2 4,-36 53 103,37-58-86,0 1-1,0-1 1,-1-1 0,0 1 0,0-1 0,-8 6-1,5-8 16,0 1-1,-1-1 1,1-1-1,-1 0 1,0 0-1,1-1 1,-1-1-1,-17 1 1,-2 1 28,-274 28-1088,276-28-3029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0.2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825 14 16384,'0'0'1023,"-4"-1"-895,-4-2-54,0 1-1,-1-1 0,1 2 1,-1-1-1,1 1 0,-1 0 1,1 1-1,-1 0 0,0 1 1,1-1-1,-1 2 0,1-1 1,-1 1-1,1 0 0,-12 5 1,-194 93 475,178-80-436,1 2 1,2 1-1,-58 51 0,90-72-114,-1-1 0,0 1 0,1-1 0,-1 1 0,1 0 0,0 0 0,-1-1 0,1 1 0,0 0 0,0 0 0,0 0 0,0 0 0,0 0 0,1 1 0,-1-1 0,1 0-1,-1 0 1,1 4 0,0-4-1,1 0 0,-1 0-1,1-1 1,-1 1-1,1 0 1,0 0-1,0-1 1,0 1-1,0-1 1,0 1 0,0 0-1,0-1 1,1 0-1,-1 1 1,0-1-1,1 0 1,2 2-1,4 2-6,1 0 0,0-1 0,0 0 0,0 0 0,1-1 0,16 4-1,7 0-15,-1 1-1,0 1 1,0 2-1,52 25 0,-72-28 26,-1 0 0,0 0 0,0 1 0,-1 0 0,0 1 0,-1 0 0,0 1 0,-1 0 0,0 0 0,0 1 0,-1 0 0,6 16 0,-12-24 26,0 0-1,-1 0 1,0-1-1,0 1 0,0 0 1,0 0-1,0 0 1,-1 0-1,0 0 0,0 0 1,0-1-1,0 1 1,0 0-1,-1-1 0,0 1 1,0-1-1,0 0 1,0 1-1,0-1 0,-1 0 1,-4 4-1,-3 5 64,-2-1 0,1 0-1,-2-1 1,-12 8 0,-22 15 113,5-4-6,-1-1 0,-53 25-1,20-20 253,-119 35 0,190-67-650,1-1 0,0 1 0,-1 0 0,1-1 0,-1 0 0,1 0 0,-1-1 0,-7-1 0,9 2-224,0-1-1,-1 0 1,1 0 0,0 0 0,0-1-1,0 1 1,0-1 0,0 1 0,1-1 0,-1 0-1,-4-5 1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48.13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0 103 20937,'2095'-103'0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0.74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235 1 17535,'0'0'1920,"-1"5"-1792,-38 159 918,-12 73-428,37-168-404,-4-2-1,-28 70 0,27-96 30,-24 41 0,43-81-238,0-1-6,0 0 0,0 0 1,0 0-1,0 0 0,0 0 0,0-1 0,0 1 1,0 0-1,0 0 0,-1 0 0,1 0 0,0 0 1,0 0-1,0 0 0,0 0 0,0 0 0,0 0 1,0 0-1,0 0 0,0 0 0,0 0 0,0 0 1,0 0-1,0 0 0,0 0 0,0 0 1,0 0-1,-1 0 0,1 0 0,0 0 0,0 0 1,0 0-1,0 0 0,0 0 0,0 0 0,0 0 1,0 0-1,0 0 0,0 0 0,0 0 0,0 0 1,0 0-1,-1 0 0,1 0 0,0 0 0,0 0 1,0 0-1,0 0 0,0 0 0,0 0 0,0 0 1,0 0-1,0 0 0,0 0 0,0 0 0,0 0 1,0-6-62,2 2-81,0 0 1,1 0-1,-1 0 0,1 0 0,0 1 0,0 0 0,0-1 0,5-2 1,10-13-1047,20-26-3270</inkml:trace>
  <inkml:trace contextRef="#ctx0" brushRef="#br0" timeOffset="667.45">221 34 16000,'0'0'2175,"4"-2"-1940,14-4-90,-1 1 18,-1 0 1,24-3 0,-33 7-138,-1 0 0,1 1 0,0 0 0,0 1 0,-1-1 0,1 1 0,-1 0 0,1 1 0,12 4 0,-4 0 18,-1 0 0,1 1 0,-1 1 0,0 0 1,-1 1-1,0 0 0,0 1 0,-1 1 0,0 0 0,-1 1 0,0 0 0,-1 0 0,-1 1 0,9 14 0,-11-14 15,32 59 352,-35-65-328,-1 1 0,0 0-1,0 0 1,-1 1-1,0-1 1,-1 0-1,1 13 1,-2-16-30,-1 0 1,0 0-1,0 0 1,0 0-1,-1-1 1,0 1-1,0 0 0,0-1 1,0 1-1,-1-1 1,0 0-1,1 0 1,-2 0-1,1 0 0,0 0 1,-1-1-1,0 1 1,0-1-1,0 0 1,-6 3-1,-10 7 71,-1-1 0,-43 17 1,54-25-84,-75 29 137,41-17 127,-74 38 1,94-46-553,21-8-212,1 1 1,-1-1-1,1 1 1,0 0-1,0 0 1,-1-1-1,1 2 1,0-1-1,0 0 1,0 0-1,0 1 1,-2 1-1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5:56.990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32 698 17535,'61'-8'22,"-96"7"340,16 2-155,16-1-179,0 0 1,0 0-1,1 0 1,-1 0-1,0 1 1,0-1-1,1 1 0,-5 1 1,7-2-27,-1 1-1,0-1 1,0 1 0,1 0-1,-1 0 1,1-1-1,-1 0 1,0 1 0,1 0-1,-1-1 1,1 1 0,0 0-1,-1 0 1,1 0 0,0 0-1,-1 0 1,1-1 0,0 1-1,0 0 1,0 0 0,0 0-1,0 0 1,0 0 0,0 0-1,0-1 1,0 1-1,0 0 1,1-1 0,-1 2-1,1 3 10,1-2 0,-1 2 0,1-2 0,0 2 0,0-2 0,0 1 0,0 0 0,1-1 0,-1 1-1,1-1 1,0 1 0,1-1 0,-1 0 0,1 0 0,-1 0 0,1-1 0,0 0 0,0 1 0,0-1-1,0 0 1,1 0 0,-1-1 0,0 1 0,1-1 0,4 1 0,11 2 60,0 0 0,1-2 1,-1 0-1,31-1 0,66-6 417,171-27 0,-54 4-56,-97 17-289,106-12 77,-208 17-172,-29 4-24,0 0 1,0 2-1,0-1 0,0 0 1,0 0-1,0 1 1,0 0-1,0 0 1,0 0-1,0 1 1,10 1-1,-15-2-344,-15-3-3925</inkml:trace>
  <inkml:trace contextRef="#ctx0" brushRef="#br0" timeOffset="645.41">42 330 19583,'13'6'24,"-7"-3"26,0 0 0,0 0 0,0-1 0,11 4 1,-15-6-39,0 0 1,0 1-1,1-1 1,-1 0-1,0 0 1,0 0-1,1 0 1,-1 0-1,0-1 1,0 1-1,0-1 1,0 0-1,1 1 1,-1-1-1,0 0 1,0 0-1,0 0 1,2-2-1,33-24 250,-29 20-224,1 0 1,-1 1-1,1 0 0,1 1 0,18-10 0,-5 7 8,0 2 0,0 0-1,1 1 1,46-4 0,101 5 143,-83 4-95,40-5-72,195 3-1,-300 4 6,0 2-1,-1 0 1,35 11 0,-32-8-28,-21-7-188,0 1 0,1-1-1,-1 0 1,0 0-1,0 0 1,8 0 0,6-1-4715</inkml:trace>
  <inkml:trace contextRef="#ctx0" brushRef="#br0" timeOffset="1696.16">1322 13 19327,'0'0'0,"-1"22"0,-2-11 0,3-11 0,-1 0 0,1 0 0,0 0 0,0 1 0,0-1 0,0 0 0,0 0 0,0 0 0,-1 0 0,1 0 0,0 1 0,0-1 0,0 0 0,0 0 0,-1 0 0,1 0 0,0 0 0,0 0 0,0 0 0,0 0 0,-1 0 0,1 0 0,0 0 0,0 0 0,0 0 0,-1 0 0,1 0 0,0 0 0,0 0 0,0 0 0,0 0 0,-1 0 0,1 0 0,0 0 0,0 0 0,0 0 0,-1 0 0,1 0 0,0 0 0,0-1 0,0 1 0,-1 0 0,1 0 3,0-1 1,0 1-1,0-1 0,0 1 0,0 0 0,0-1 0,0 1 0,0-1 0,0 1 0,0 0 0,0-1 0,0 1 0,0-1 0,0 1 0,0 0 0,0-1 0,1 1 0,-1 0 0,0 0 0,0 0 0,0-1 0,1 1 0,-1 0 1,0 0-1,0-1 0,1 1 0,-1 0 0,0-1 0,1 1 0,-1 0 0,0 0 0,1 0 0,-1-1 0,1 1 0,-1 0-2,1 0 0,-1 0 1,0 0-1,1 0 0,-1 0 0,0 0 0,0 0 0,1 0 1,-1 0-1,0 0 0,1 0 0,-1 0 0,0 0 0,1 1 1,-1-1-1,0 0 0,0 0 0,1 0 0,-1 0 0,0 1 1,0-1-1,1 0 0,-1 0 0,0 1 0,0-1 0,0 0 1,1 0-1,-1 1 0,0-1 0,0 0 0,0 0 0,3 15 44,-4 18 20,0-29-63,-25 261 148,20-210-98,-4 0 0,-24 77 1,-50 105 131,51-150-163,32-85-20,-7 17 4,8-19-6,0 1 0,0-1 0,-1 1 0,1 0 0,0-1 0,0 1-1,-1-1 1,1 1 0,0-1 0,-1 1 0,1-1 0,-1 1 0,1-1 0,-1 1 0,1-1 0,-1 0 0,1 0 0,-1 0 0,1 1 0,-1-1 0,1 0 0,-1 1 0,0-1 0,1 0 0,-2 1 0,-2-8-84,1-6-11,2 2 0,-1-2 1,2 1-1,1-18 0,10-53-727,21-39-686,1-6-53,-22 57 944,25-112-172,-19 125 790,13-81 0,-29 121 211,-1 13-102,1 1 0,-1-2-1,1 2 1,0-2 0,0 2 0,0-1-1,1 0 1,0 0 0,0 1 0,5-9 0,-6 13-76,-1-1 0,1 1 0,-1 0 0,1-1 0,0 1 0,-1 0 0,1-1 0,0 1 0,-1-1 0,1 1 0,0 0 0,-1 0 0,1-1 0,0 1 0,0 0 0,-1 0 0,1 0 0,0 0 0,0 0 0,-1 0 0,1 0 0,0 0 0,0 0 0,0 0 0,-1 0 0,1 1 0,1-1 0,23 11 530,-13-6-259,4 0-93,1 0-1,0-1 0,0 0 0,24 0 0,-21-1-91,1 0 0,33 9 0,91 39 155,-117-40-209,-1 2 0,-1 1 0,26 18 0,-46-29-46,0 2-1,-1-1 1,0 2 0,0-2 0,0 2 0,-1-1 0,0 0 0,5 9 0,0 3 52,10 28 0,-15-35-42,-3-8-23,-1 1 0,1 0 0,-1 0 0,1 0 0,-1 0 0,0-1 0,0 2 0,0-1 0,-1-1-1,1 2 1,-1-1 0,1-1 0,-1 1 0,0 0 0,-1-1 0,1 1 0,0 0 0,-1-1 0,-3 5 0,-3 3 19,-1 0 0,-1 0 0,-14 12 0,8-8 12,-120 97 129,-14 13 52,135-111-208,0-1-1,-1-1 1,0 0-1,0-1 1,-2 0-1,-33 13 1,6-7-1,-79 20 0,102-31-468,-30 4 0,21-9-2697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6:02.45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291 250 20223,'2'4'128,"0"0"-98,1-1 1,-2 1-1,0-1 0,1 1 0,-1-1 0,-1 1 0,1 0 0,-1-1 0,0 2 1,0-2-1,0 2 0,0-3 0,-1 3 0,1-2 0,-1 1 0,-3 6 0,-31 76 191,6 1-1,-20 100 1,7 49-15,-19 69 57,-8-73-114,69-232-169,0 1 0,0 0-1,-1 0 1,1-1 0,0 1 0,0 1-1,0-2 1,-1 1 0,1 0 0,-1-1-1,1 1 1,0 0 0,-1-1-1,1 1 1,-1 0 0,0 0 0,1-1-1,-2 2 1,-2-15-885,4-30-962,7-18-2058,-4 35-6272</inkml:trace>
  <inkml:trace contextRef="#ctx0" brushRef="#br0" timeOffset="514.29">329 176 18687,'9'-1'3,"6"-2"21,-1 2 1,1-2-1,-1 1 1,0-2-1,18-7 1,-29 9-3,0 1-1,0 0 1,0 1 0,0-1 0,0 0 0,1 1 0,-1 0 0,0 0 0,1 0-1,-1 0 1,0 0 0,0 0 0,1 0 0,-1 1 0,0-1 0,0 1-1,0-1 1,0 1 0,0 1 0,0-1 0,0 2 0,0-2 0,4 3 0,-2 0-4,0-1 0,0 1 0,0-1 0,0 3 1,-1-2-1,0 1 0,0-1 0,0 2 1,-1-1-1,5 9 0,10 26 36,-1 2 0,11 46 1,-23-67-2,-1-1 0,0 2 0,-2-2 0,-1 1-1,-1 1 1,-4 30 0,1-41 13,0 1 0,-1-1-1,0 1 1,-1-1 0,0 1-1,-1-3 1,-1 3-1,0-2 1,0-1 0,-17 18-1,-3-1 72,-1-2-1,-43 29 0,64-47-123,-1-2 0,1 1-1,-1-1 1,-1 0 0,1 1 0,0-2 0,-1-1-1,0 2 1,0-3 0,0 2 0,0-2 0,-1 1-1,2 0 1,-1-2 0,-16 0 0,8-3-580,0 0 0,0 0 0,0-1 0,1 1 0,-1-4 0,1 2 0,-22-12 0</inkml:trace>
  <inkml:trace contextRef="#ctx0" brushRef="#br0" timeOffset="1236.99">1066 939 19711,'6'1'107,"10"2"26,0-1 1,0-1-1,31 0 0,-9-2 50,-1 2-1,1 1 0,42 9 0,-32-5-152,62 0 1,-109-6-56,71 2-1496,-24 3-3120</inkml:trace>
  <inkml:trace contextRef="#ctx0" brushRef="#br0" timeOffset="1483.76">1181 626 20095,'0'0'0,"36"26"0,-27-20 128,-1-2 128,-6-8-256,5-2 128,4-4-128,16 1 128,11-6-896,16 9 128,18 5-640,56-9-11391</inkml:trace>
  <inkml:trace contextRef="#ctx0" brushRef="#br0" timeOffset="9491.94">2519 341 17791,'0'0'640,"-10"-1"-533,-2 1-82,0-1 0,0 1 0,-1 1 0,1-1 0,0 1-1,0 1 1,0 0 0,0 0 0,0 2 0,1-1 0,-14 7 0,-18 12 35,2 0 1,0 2-1,1 1 1,1 2-1,-38 35 0,51-39-60,13-11 0,-24 25 0,34-32 0,-1 0 0,1 1 0,0-3 0,1 2 0,-1 1 0,1-1 0,0-1 0,0 2 0,1 0 0,-1 5 0,2-7 0,0 1 0,1-1 0,-1 0 0,1-1 0,0 1 0,0 0 0,0 0 0,1-1 0,0 1 0,0-1 0,3 7 0,34 39 0,-21-28 0,0 1 0,28 24 0,-32-35 0,-2 3 0,1-3 0,-2 4 0,0-1 0,-1-1 0,10 20 0,-18-28 0,5 10 0,0 0 0,7 28 0,-12-38 0,-2 1 0,1 0 0,-1-2 0,0 2 0,0-1 0,0 1 0,-1-1 0,0 0 0,0 0 0,0 2 0,-1-3 0,-4 10 0,1-5 8,-1 1 0,-1-1 0,0-1 0,0 2-1,-16 13 1,-51 35 194,21-18-67,-104 80 409,134-106-464,0 0 0,-1-2 0,0 0 0,-2-1 0,-37 11 0,42-16-234,-40 6-1,54-11-228,0 0 0,0-1 0,0 0 0,0 0 0,0-1 1,-1 1-1,1-1 0,0 0 0,-13-5 0</inkml:trace>
  <inkml:trace contextRef="#ctx0" brushRef="#br0" timeOffset="10178.27">2596 935 21631,'0'0'427</inkml:trace>
  <inkml:trace contextRef="#ctx0" brushRef="#br0" timeOffset="11543.15">3747 617 19199,'0'0'512,"-4"0"-362,-38 3-38,1 3 0,0 0 0,2 1 0,-1 4 0,0-2 0,1 5 0,-58 26 0,75-29-80,0 2 0,2 0 1,-1 1-1,2 1 0,0 1 0,1 1 1,1 1-1,1-1 0,1 1 1,-19 31-1,20-26-17,1 1 0,1 0 0,1 0 0,2 1 0,0-1 0,2 2 0,2-1 0,-5 53 0,10-60-16,1-1 0,1 1-1,1-2 1,1 2-1,0-1 1,1 0-1,2 0 1,-1 0 0,2-2-1,1 1 1,0 0-1,1-1 1,1-1-1,14 16 1,-20-25-11,0-1 0,0-1 1,0 2-1,1-2 0,0 1 0,0-1 1,0 0-1,0-1 0,0 1 0,1-1 1,-1 0-1,1-1 0,0 0 0,-1 1 0,2-1 1,-1-1-1,0 0 0,0 1 0,0-2 1,-1 1-1,1-1 0,0 0 0,0-1 1,-1 1-1,1-1 0,-1 0 0,1 0 0,7-5 1,-9 5-216,1-3 0,-2 2 0,1-2 1,0 2-1,6-10 0,11-10-1314,3 2-1317,14-11-7019</inkml:trace>
  <inkml:trace contextRef="#ctx0" brushRef="#br0" timeOffset="12240.69">4149 1139 19199,'-2'-1'1,"0"1"0,1 0-1,-1-1 1,1 1-1,-1 0 1,0-1-1,1 1 1,-1-2-1,1 1 1,0 0-1,-1 0 1,1 0 0,0 0-1,-1 0 1,1 1-1,0-2 1,0 1-1,0 1 1,0-2-1,0 1 1,1 0-1,-1 0 1,0-1 0,0 1-1,1-1 1,-1 0-1,1 1 1,0-1-1,-1 1 1,1-1-1,0 0 1,0 1-1,0 0 1,0 0 0,0 0-1,1-1 1,-1 0-1,1 0 1,0-9 61,0 2 0,-1-2 0,0 3 1,-1-2-1,0 0 0,-1 0 0,0 1 1,-1 0-1,0-1 0,0 1 0,-9-16 0,-79-103 429,89 127-489,1-1-1,-1 0 1,0 0 0,0-1-1,0 2 1,0-1 0,0 0-1,0 1 1,-1-1 0,1 1-1,0 0 1,-1 0 0,1 0-1,-1 0 1,0 1 0,1-1-1,-1 1 1,-4-2 0,2 2-5,0 0 1,1 1 0,-1-1-1,0 1 1,1 0 0,-1-1-1,1 1 1,-1 0 0,1 1-1,-6 2 1,-3 2-17,1 2 0,0-2 0,1 3-1,-2-2 1,3 1 0,-15 17 0,12-11-44,1 1 0,1 1 0,0 0 0,1 0 0,1 1 0,1 0 0,-11 36 0,12-29-17,2 0 1,0-1-1,2 2 1,1 1-1,2 35 1,0-55 77,1-1 0,0 1 1,0-1-1,1 1 0,-1 0 1,1-1-1,1 0 0,-1 0 1,1 0-1,0 0 1,0 1-1,1-3 0,4 7 1,-6-8 1,0 1 0,0-2 0,1 1 0,-1 0 0,0-1 0,1 0 0,0 0 0,-1 0 0,1 0 0,0 0 0,0 0 0,-1 0 0,1 0 0,0-1 0,0 1 1,0-1-1,0 0 0,0 0 0,0 0 0,0 0 0,0 0 0,0 0 0,0-1 0,0 0 0,0 1 0,0-1 0,-1 0 0,1-1 0,3 0 0,21-11-1,1 1-1,-3-4 0,0 1 0,-1-2 0,-1 0 0,33-32 0,-17 8 57,-1-1-1,41-60 0,-76 98-33,0-2-1,0 2 1,0-1 0,2-9 0,-5 13-23,1 1 0,-1 0 0,0 0 0,0 0 0,1-1 0,-1 0-1,0 1 1,0-1 0,0 0 0,0 1 0,0-1 0,0 0 0,0 1 0,0-1 0,0 0 0,0 1 0,0 0 0,0-1 0,0 1 0,-1-1 0,1 0 0,0 1 0,0-1 0,-1 0 0,1 1 0,0-1 0,-1 1 0,1-1 0,-1 1 0,1-1 0,-1 1-1,1 0 1,-1 0 0,1-1 0,-1 1 0,1 0 0,-1-1 0,0 1 0,1 0 0,-1 0 0,1-2 0,-1 2 0,0 0 0,1 0 0,-1 0 0,0 0 0,0 0 0,1 0 0,-1 0 0,-1 0 0,-5 2-47,1-1 1,-1 0-1,0 0 1,0 1-1,1 0 0,-1 1 1,1-1-1,0 1 1,0 0-1,0 0 1,-9 8-1,-8 5-1334,-28 28 1,43-37 570,-29 27-9641</inkml:trace>
  <inkml:trace contextRef="#ctx0" brushRef="#br0" timeOffset="12909.05">4737 890 20991,'-8'3'0,"-22"2"0,29-5 0,0 0 0,0 0 0,0 0 0,0-1 0,-1 1 0,1 0 0,0-1 0,0 1 0,0 0 0,0-1 0,0 1 0,0-1 0,0 0 0,0 1 0,0-1 0,0 0 0,1 0 0,-1 1 0,0 0 0,0-2 0,1 1 0,-1 0 0,0 0 0,0-2 0,-1 2 0,0 1 0,0-1 0,0 0 0,-1 0 0,1 0 0,0 1 0,0-1 0,-1 0 0,1 1 0,-1-1 0,1 1 0,0 0 0,-1 0 0,-4 0 0,2 0 0,-4 0-26,-1 0-1,1 0 0,0 1 0,0 0 0,0 0 1,0 1-1,0 0 0,0-1 0,0 3 0,1 0 1,-1-1-1,1 1 0,0 0 0,0 0 0,1 0 1,0 2-1,-1-1 0,2 0 0,-1 1 0,1 0 1,0 1-1,0-2 0,1 3 0,0-1 0,0-1 1,0 2-1,1-1 0,0 1 0,1 0 0,0 0 0,1 0 1,0 0-1,0 1 0,1-2 0,0 1 0,1 1 1,0-2-1,2 14 0,-2-15 6,1 0 1,0 0-1,0-1 0,1 1 0,0 0 0,0-1 1,1 0-1,0 1 0,0 0 0,5 3 1,-4-3-2,-1-3 0,1 0 0,0 1 0,0-3 1,1 3-1,-1 0 0,1-2 0,-1 0 0,1 1 0,0-2 1,0 1-1,9 2 0,-7-3-27,-5-1 43,0 1-1,0-1 1,1 1 0,-1 0-1,0 1 1,0-1-1,0 0 1,0 0 0,3 2-1,-5-2 7,1-1 1,-1 1-1,0 0 0,0 0 0,1 0 0,-1-1 0,0 0 1,0 1-1,0 0 0,0 0 0,0 0 0,0 0 1,0 0-1,0-1 0,0 0 0,-1 1 0,1-1 1,0 2-1,0-2 0,-1 1 0,1 0 0,-1 0 1,1-1-1,0 1 0,-1 0 0,1 0 0,-1-1 1,0 1-1,1-1 0,-1 0 0,0 1 0,-3 4 22,-4 5 16,0-2 0,-1 1 0,0 0-1,0 0 1,-1-1 0,0-1 0,-1 0 0,-15 8 0,-12 3-109,-56 23 110,82-37-306,2-1 1,-2 2-1,0-3 0,0 0 1,0 0-1,-19 0 0,28-2-54,-1 0-1,1 0 0,0 0 0,0-1 0,0 1 0,-1-1 0,1 0 0,0 0 0,0 0 0,-4-2 0</inkml:trace>
  <inkml:trace contextRef="#ctx0" brushRef="#br0" timeOffset="15291.39">5058 291 15360,'0'0'3711,"-2"4"-3476,-17 25 94,10-17-166,-1-1-1,3 3 1,0-3-1,0 3 1,1-3-1,1 3 1,1 0-1,-5 19 1,6 27 40,2-1-1,4-1 1,13 72 0,-12-95-168,-1 0 1,-3 55-1,-1-62 8,1-2 0,1 1-1,1-1 1,2 0 0,10 34-1,-6-33-42,-5-18 0,-1 3 0,2-2 0,-1 0 0,2-1 0,-1 2 0,2-2 0,-1 1 0,1-1 0,1 1 0,12 11 0,-1-3 0,-14-13 0,1 1 0,0 0 0,0-2 0,0 1 0,1-1 0,0 0 0,0 1 0,0-2 0,1 0 0,-1 1 0,1-1 0,12 5 0,-3-6 0,1 0 0,-1-1 0,1 0 0,26-3 0,66-10 0,-49 3 0,-35 6 0,30-10 0,-10 3 0,-40 7 0,-1 2 0,2 0 0,-2-1 0,0 0 0,1 0 0,-1 1 0,0-2 0,0 0 0,-1 1 0,1-1 0,0 0 0,-1 1 0,0-2 0,5-5 0,-2 3 0,22-19 384,-27 24-277,3-2-86,0-2-21,-4 5 0,0-1 0,0 1 0,0 0 0,0-1 0,1 1 0,-1-2 0,0 2 0,0 0 0,0 0 0,0 0 0,0-1 0,0 1 0,0 0 0,0 0 0,0 0 0,-1-1 0,1 1 0,0-1 0,0 1 0,0 0 0,0-1 0,0 1 0,-1 0 0,1-1 0,0 1 0,0 0 0,-1-1 0,1 1 0,0 0 0,0-1 0,-1 1 0,0 0 0,0-4 0,0 0 0,1-1 0,-1 1 0,1 0 0,0 0 0,0 0 0,0-1 0,1 0 0,0 3 0,0-3 0,3-7 0,2-15 0,-3-26 0,-2 30 0,5-34 0,-3 35 48,-2-1 0,0 1 1,-5-38-1,0 3 37,3 43-61,0-1 0,-1 1 0,-1 0 1,-4-15-1,4 22 24,0 0-1,0-1 1,0 1-1,-1 0 1,0 1 0,-1 0-1,0 0 1,0-2-1,-8-4 1,-66-65 229,66 64-277,11 11 0,1 1 0,-1-1 0,1 0 0,-1 1 0,1-1 0,-1 2 0,0-1 0,0 0 0,0-2 0,0 2 0,0 0 0,0 0 0,-1 1 0,1-1 0,-2 0 0,0 0 0,0 0 0,-1 0 0,1 1 0,0 0 0,0-1 0,0 1 0,0 1 0,-1-1 0,1 1 0,0-1 0,0 1 0,0 1 0,0-1 0,0-1 0,1 2 0,-1 1 0,0-1 0,0-1 0,1 0 0,0 2 0,-1-1 0,1 0 0,0 1 0,0 0 0,-3 4 0,1-3 0,1 3 0,0 0 0,0-2 0,1 1 0,-1 0 0,1 2 0,1-2 0,0 0 0,0 2 0,0-3 0,1 2 0,0 12 0,-14 175 0,0 12 0,-10 182 0,16-318-250,4 1-1,3-2 0,13 113 1,-8-169-254,0-2 1,0 2-1,1-2 1,12 23-1,-16-34 466,0 0 0,0 1 0,0-1 0,0 0-1,0 0 1,0 0 0,0 0 0,1 0 0,-1 1-1,0-1 1,0 0 0,0 0 0,0 0 0,0 0-1,0 0 1,0 0 0,1 0 0,-1 0 0,0 1-1,0-1 1,0 0 0,0 0 0,0 0-1,1 0 1,-1 0 0,0 0 0,0 0 0,0 0-1,0 0 1,1 0 0,-1 0 0,0 0 0,0 0-1,0 0 1,0 0 0,0 0 0,1 0 0,-1 0-1,0 0 1,0 0 0,0 0 0,0 0 0,1 0-1,-1-1 1,0 1 0,0 0 0,0 0 0,0 0-1,0 0 1,0 0 0,1 0 0,5-8-1880</inkml:trace>
  <inkml:trace contextRef="#ctx0" brushRef="#br0" timeOffset="16068.84">5007 0 18687,'1'3'1,"1"1"20,0 0 0,-1-1 1,1 2-1,-1-2 0,0 2 0,0 6 1,-3-10 71,1-1 1,-1 1-1,0-1 1,0 0-1,0 0 1,1 0-1,-1 0 0,0 0 1,0 0-1,-3-1 1,0 1 136,-6 5-184,0 1 0,0 0 0,1-1 0,0 2 0,-10 9 0,15-12-39,0 1 1,1 1-1,0-3 0,0 2 0,0 1 1,1-1-1,0 0 0,0 0 0,1 1 1,-1 0-1,-1 6 0,-59 294 142,50-186-149,5 2 0,12 142 0,4-181 3,20 85 0,33 79-18,-45-186 3,0-9-65,2 0 0,4-2 1,2-1-1,34 51 0,-58-100 75,44 68-268,-39-62 182,0-1-1,1 2 0,0-1 1,0-1-1,0-1 0,1 3 0,13 5 1,-18-11 9,0 0 0,0-1 1,0 0-1,0 1 0,0-1 1,0 0-1,1 0 1,-1 1-1,0-1 0,0 0 1,0 0-1,1 0 0,-1 0 1,0-1-1,0 1 0,3 0 1,33-14-2885,-33 13 2207</inkml:trace>
  <inkml:trace contextRef="#ctx0" brushRef="#br0" timeOffset="16668.64">5836 81 17919,'0'0'1920,"-1"5"-1792,-3 14-68,1 0 0,0 2 0,2-1-1,0 0 1,5 29 0,23 103 197,-1-12-83,-4 96 17,-20-182-141,-3 1 0,-11 72 0,-97 295 186,29-136-323,59-199-723,-5-3-1,-41 85 0,21-66-2154,-1-4-7765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4.741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767 64 21503,'-24'-11'0,"6"2"0,0 1 0,-1 1 0,0 0 0,0 1 0,-1 2 0,-21-4 0,15 6 54,0 0-1,-1 2 0,1 1 1,0 2-1,0 0 0,0 1 1,0 2-1,1 1 0,-34 13 1,49-15-24,-1 0 0,1 0 0,0 1 0,0 1 0,1-1 0,0 2 0,-9 8 0,16-14-22,0 0 0,0 0 0,0 0 0,0 1 0,1-1 0,-1 1 0,1-1 0,-1 1 0,1 0 0,0-1 0,0 1 0,1 0 0,-1 0 0,0 0 0,1 0 0,0-1 0,-1 1 0,1 0 0,0 0 0,1 0 0,-1 0 0,0 0 0,1 0 0,0 0 0,0-1 0,-1 1 0,2 0 0,-1 0 0,0-1 0,0 1 0,1-1 0,0 1 0,2 2 0,15 18 61,1-2 0,35 30-1,15 14 67,-50-43-132,-1 1 0,-1 0-1,-1 1 1,19 37 0,-28-45 9,-1 0 1,-1 0 0,0 0 0,-1 1-1,0 0 1,-2 0 0,0 0-1,1 31 1,-5-40 7,1-1 0,-1 0 0,-1 1 1,1-1-1,-1 0 0,-1 0 0,1 0 0,-1 0 0,0-1 0,-1 1 0,0-1 1,0 0-1,0 0 0,-1 0 0,1 0 0,-2-1 0,1 0 0,0 0 0,-1 0 1,0-1-1,-9 6 0,-3 1 14,-1-2 0,1 0 1,-2 0-1,1-2 0,-1-1 0,-25 6 1,-155 30 349,193-40-376,1 0 1,-1 0 0,1 0 0,0 0 0,0 1 0,0 0 0,0 1 0,0-1 0,1 1-1,0 0 1,-7 6 0,12-9-22,0-1 0,0 1 0,-1 0 0,1-1-1,0 1 1,0 0 0,0 0 0,0-1 0,0 1 0,0 0-1,0 0 1,0-1 0,0 1 0,0 0 0,0 0 0,1-1-1,-1 1 1,0 0 0,0 0 0,1-1 0,-1 1 0,1 0-1,-1-1 1,0 1 0,1-1 0,-1 1 0,1 0 0,-1-1-1,1 1 1,0-1 0,1 1 0,20 14-952,60 20-4027,-47-19-7189</inkml:trace>
  <inkml:trace contextRef="#ctx0" brushRef="#br0" timeOffset="456.47">1190 526 23423,'0'0'0,"-49"3"0,59 1 0,-1 0 128,3-4-128,-1 0 128,2-4-128,-7 3 0,-1-2-640,1-2 0,-1-3-256,0 0 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06.48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443 1297 19839,'-38'5'0,"37"-5"8,1 1-1,-1-1 0,1 0 0,-1 0 0,1 0 1,-1 0-1,1 0 0,0 0 0,-1 0 1,1 0-1,-1 0 0,1 0 0,-1 0 0,1 0 1,-1 0-1,1 0 0,0-1 0,-1 1 0,1 0 1,-1 0-1,1 0 0,-1-1 0,1 1 0,0 0 1,-1-1-1,1 1 0,0 0 0,-1-1 1,1 1-1,0 0 0,0-1 0,-1 1 0,1-1 1,3-13 483,-3 14-475,0-1 0,0 1 0,1-1-1,-1 1 1,0 0 0,0-1 0,0 1-1,0-1 1,1 1 0,-1-1 0,0 1-1,0-1 1,0 1 0,0-1 0,0 1-1,0-1 1,0 1 0,0-1 0,0 1-1,0 0 1,-1-1 0,1 1 0,0-1-1,0 0 1,-3 0 38,0 0 0,0 0 0,0 0 0,0 0 0,-1 1 1,1 0-1,0-1 0,0 1 0,0 0 0,0 0 0,-1 1 0,-3 0 0,-43 11 238,38-9-242,-10 4 5,1 0-1,0 2 1,1 0-1,-1 1 1,2 1-1,0 1 1,0 1-1,-25 23 1,36-28-40,1 0-1,-1 0 1,2 1-1,-1 0 1,1 1-1,0-1 1,1 1 0,1 1-1,-1-1 1,1 1-1,1-1 1,0 0-1,1 1 1,-2 17 0,1-5 11,2 0 1,1-1 0,1 1-1,1 0 1,1 0 0,6 24-1,-2-20-26,1 0 0,19 45 0,-22-62 0,0 0 0,0 0 0,1-1 0,1 0 0,-1 0 0,2 0 0,-1-2 0,1 1 0,0-1 0,9 7 0,-8-8 19,0 0-1,0-1 0,1 0 1,0 0-1,0-1 1,0 0-1,0-1 0,20 4 1,-24-6-7,1-1 0,-1 0 1,1 0-1,-1 0 0,0-1 1,1 0-1,-1 0 0,1 0 1,-1-1-1,0 0 0,0 0 1,0-1-1,0 0 0,-1 0 1,11-8-1,6-6-359,-1-2-1,-1 0 1,-1-1-1,-1-2 1,16-23-1,14-16-4287,-4 7-6159</inkml:trace>
  <inkml:trace contextRef="#ctx0" brushRef="#br0" timeOffset="586.2">1264 1500 23167,'-48'-10'0,"47"9"0,0 1 0,0-1 0,0 1 0,0-1 0,0 0 0,0 1 0,0-1 0,0 0 0,0 0 0,0 0 0,0 1 0,0-1 0,0 0 0,1 0 0,-1 0 0,0-1 0,1 1 0,-1 0 0,1 0 0,-1 0 0,1 0 0,0-1 0,-1 1 0,1-2 0,0-3 0,0 1 0,0 0 0,0-1 0,3-8 0,-2 10 0,-1 1 0,1 0 0,-1-1 0,1 1 0,-1 1 0,0-2 0,0 1 0,-2-7 0,1 7-7,0 1-1,-1-1 1,0 0-1,1 1 1,-1 0-1,0-1 1,0 1-1,0 0 0,-1 0 1,1 0-1,0 0 1,-1 0-1,1 0 1,-1 1-1,0-1 1,0 1-1,1 0 1,-1 0-1,0 0 0,0 0 1,0 0-1,0 1 1,0 0-1,0-1 1,0 1-1,0 0 1,0 0-1,-6 1 1,0 0-28,0 0 0,0 1 0,-1 0 0,1 1 0,0 0 0,1 0 0,-1 0 0,-9 7 0,10-5 16,0 0 0,0 1 0,1 0-1,0 1 1,0-2 0,1 2 0,-1 1 0,1-1 0,1 1-1,-6 10 1,4-5-29,1 1 0,1 0-1,0-1 1,0 1-1,1 0 1,-2 17 0,4-9-3,0-1 1,1 0 0,1 1-1,1 0 1,1 0-1,1-1 1,0 0 0,14 42-1,-14-56 60,0 0-1,0-1 0,1 1 0,0 0 0,0-1 0,0 0 1,1 0-1,0 0 0,0 0 0,0-1 0,1 0 0,0 0 1,0-1-1,12 8 0,-13-9-1,0-1-1,-1 0 1,1-1 0,0 1 0,0-1-1,0 0 1,0 0 0,0 0 0,1-1-1,-1 0 1,0 0 0,0 0-1,0-1 1,0 1 0,0-1 0,0 0-1,0-1 1,0 1 0,0-1-1,0 0 1,-1 0 0,8-5 0,5-5 23,0-1 0,0 0 0,-1-2 0,-1 0 0,26-30 0,8-26-1509,-10-3-3558</inkml:trace>
  <inkml:trace contextRef="#ctx0" brushRef="#br0" timeOffset="1230.43">1851 1367 23423,'-59'16'0,"41"-11"0,15-5 0,7-2 0,10-3 0,6-4 0,-19 6 0,-13 0 0,-9 1-31,1-1-122,-1 2 0,-29 0 0,49 1 133,0 0 0,1 0 1,-1 0-1,0 1 1,0-1-1,0 0 0,0 0 1,0 1-1,0-1 1,0 0-1,1 1 0,-1-1 1,0 1-1,0-1 0,0 1 1,1 0-1,-1-1 1,0 1-1,1 0 0,-1-1 1,1 1-1,-1 0 1,1 0-1,-1 0 0,1-1 1,-1 1-1,1 0 1,0 0-1,0 0 0,-1 0 1,1 0-1,0 0 0,0 0 1,0 0-1,0-1 1,0 1-1,0 0 0,0 0 1,0 0-1,0 0 1,0 0-1,1 0 0,-1 0 1,0 0-1,1 0 1,0 1-1,1 4-61,1 1 0,0-1 0,0-1 0,0 1 0,6 6 0,7 10 23,1-2 0,1 0 0,1-1 0,0-1 0,1-1 0,39 26 0,-51-39 63,0 1 24,-1 0 0,0 0-1,0 0 1,0 0 0,8 9 0,-14-12-22,0-1-1,0 1 0,0-1 0,0 0 1,0 1-1,0 0 0,-1-1 0,1 1 1,0-1-1,-1 1 0,1 0 0,-1 0 1,0-1-1,1 1 0,-1 0 0,0 0 0,0-1 1,0 1-1,-1 0 0,1 0 0,0-1 1,-1 1-1,1 0 0,-1-1 0,1 1 1,-1 0-1,0-1 0,0 1 0,1-1 1,-1 1-1,0-1 0,-3 3 0,-4 4 55,-2 0 0,1 0 0,-1-1-1,0-1 1,0 0 0,-1 0 0,-21 9 0,-7 3-14,-42 26-410,-108 41 0,183-84-13,-6 4 219</inkml:trace>
  <inkml:trace contextRef="#ctx0" brushRef="#br0" timeOffset="1901.15">2635 434 22399,'-10'22'0,"2"-15"0,-2-1 0,-16 21 0,2 3 0,-41 59 0,55-73 0,-19 32 29,2-1-1,2 3 1,2 0-1,3 2 1,2-1-1,2 3 0,3-2 1,-11 85-1,20-87 19,3 2 0,1-2 0,3 1 0,17 91 0,-17-123-37,2 1 0,0-1 0,1 0 0,0 0 0,2-2 0,1 1 0,0 0 0,1 0 0,0-2 0,2 1-1,0-2 1,1 0 0,0 0 0,31 25 0,8-5-1007,-43-30 653,-1 0-1,1 0 1,-1 1 0,0 1-1,-1-1 1,0 1 0,0 1 0,11 14-1,-6-2-2726</inkml:trace>
  <inkml:trace contextRef="#ctx0" brushRef="#br0" timeOffset="3129.19">3213 456 20223,'-11'32'0,"-1"7"0,-32 67 0,25-70 45,2 0 0,1 2 0,2 0 1,2 0-1,1 1 0,2 0 0,2 1 0,-2 45 0,7-39 20,2-1 1,9 75 0,-6-102-49,0 0-1,1 0 1,1 0-1,1-2 1,0 1-1,2 0 1,0 0-1,0-1 1,18 23-1,-25-36-13,1-1-1,0 0 0,0 0 0,0 0 0,1 0 1,-1 0-1,0 0 0,1 0 0,-1-1 1,1 1-1,0-1 0,-1 0 0,1 1 0,0-1 1,0-1-1,0 1 0,4 1 0,-3-2 6,0-1-1,0 1 0,0 0 1,0-1-1,0 0 0,0 0 1,0 0-1,-1 0 0,1-1 1,0 1-1,5-4 0,5-5 19,0 0 0,-1 0-1,0-1 1,21-24-1,69-94-25,-66 80 0,55-80 0,-75 101 0,-1-1 0,23-54 0,-24 45 22,39-113 81,-44 119-17,-1-1 1,6-54-1,-14 71-24,0 0 0,-1-1 0,-4-27 0,3 37-40,0 0 0,-1 0 0,0 0 0,0 0 0,-1 0 1,1 1-1,-1-1 0,-1 0 0,0 1 0,-7-10 0,10 14-14,-1 0 0,-1 0-1,1 0 1,0 0 0,0 0 0,-1 0-1,1 1 1,-1-1 0,1 1 0,-1 0-1,0 0 1,0 0 0,1 0 0,-1 0-1,0 0 1,-5 0 0,3 1-5,1 0-1,-1 1 1,0-1 0,1 1-1,0 0 1,-1 0 0,1 1-1,-1-1 1,-7 5 0,1 0-5,1 1 1,0 0 0,0 0 0,0 1 0,1 1 0,1-1-1,-11 13 1,0 4 1,2 3 0,0-1 0,2 2 0,0-1 0,3 2 0,0 1 0,2-2 0,-7 38 0,0 21 0,-10 154 0,11 220 192,46 2 0,-18-408-506,-8-43 14,-1 1 0,-1 0 0,2 22 0</inkml:trace>
  <inkml:trace contextRef="#ctx0" brushRef="#br0" timeOffset="3709.55">4008 0 21887,'-2'8'4,"1"-6"3,0 1 0,0 0 0,0-1 0,0 1 0,1 0-1,-1 0 1,1 0 0,0-1 0,0 1 0,0 0 0,0 0 0,0 0 0,0 0 0,1 0 0,-1-1 0,1 0 0,0 1 0,0 0 0,0-1 0,2 5 0,52 69 99,-23-25-10,-3 2 0,-2 0 0,22 62 0,-26-56 27,-2 3 0,-2-1-1,17 115 1,-29-120-98,-3 1 0,-3 1 1,-2-2-1,-2 2 0,-3-2 0,-2 1 0,-3-1 1,-2 0-1,-3-2 0,-44 103 0,3-39-403,-5-3-1,-4-3 0,-137 175 1,-29-28-1943,129-146-905,1-1-7760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13.41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93 14208,'0'0'3455,"4"-5"-3327,2-3-71,0 1 0,1-1 0,0 1 0,1 1 0,0-1 0,0 1 0,0 1 0,11-6-1,-14 9-28,6-3 55,1 1 0,22-6 0,-30 9-37,1 1 0,-1-1 0,0 1 0,0 0 0,0 0 0,0 1 0,1-1 0,-1 1 0,0 0 0,0 0 0,0 0 0,7 4 0,-2-1 4,-1 1 0,1-2-1,0 1 1,0-1 0,17 3 234,-21-3 1252,-7-3-1268,4 0-152,11 2 216,-11 4 126,-2-5-454,0-1 1,0 1-1,-1-1 1,1 1-1,0-1 1,-1 1-1,1-1 1,0 1-1,-1-1 1,1 0-1,-1 1 1,1-1-1,-1 0 1,1 1 0,-1-1-1,1 0 1,-1 1-1,1-1 1,-1 0-1,1 0 1,-1 0-1,0 0 1,1 1-1,-1-1 1,0 0-1,-18 2 108,17-1-107,-34 2-159,3 0-2563,-57 13-1,60-8-8844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23.41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0 416 22015,'7'6'9,"1"-1"-1,-1 0 1,1 0-1,0-1 1,0 0-1,0-1 1,1 0-1,11 3 0,11 1 58,33 3 0,7 1-18,35 18 22,-74-18-33,1-2 0,0-2 1,0-1-1,43 3 0,46 3-101,-77-7-21,45 1 0,-81-6-129,0 0 0,0-1 0,0 0 0,0-1 0,0 0 0,16-6 0,-21 7-68,-1-1-1,0 0 0,1 1 0,-1-1 1,0 0-1,0-1 0,0 1 1,0 0-1,0-1 0,-1 0 0,1 0 1,-1 1-1,0-1 0,0-1 0,0 1 1,0 0-1,0 0 0,2-8 1,3-14-10150</inkml:trace>
  <inkml:trace contextRef="#ctx0" brushRef="#br0" timeOffset="272.17">249 0 22783,'0'0'0,"44"5"0,-8-2 0,8-1 0,-2-2 0,3 0-512,12 0 0,10 0-640,-6-2 0,-1-1-12671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30.56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0 313 21759,'7'2'107,"32"13"-85,-26-9-5,-1-1 1,1 0 0,0-1 0,0-1-1,26 4 1,2-5-15,-1 2 0,0 2 0,0 1 0,0 3 0,-1 1 0,63 26 0,-91-32 2,0 0-1,0 1 0,-1 1 0,0-1 0,0 1 0,0 1 1,-1 0-1,0 1 0,-1-1 0,1 2 0,-2-1 1,1 1-1,8 16 0,-9-11 5,0 0 0,0 0 0,-2 0 0,0 1 0,0 0 0,-2 0 0,0 0 1,-1 0-1,0 29 0,-3-12 22,-1 0 0,-2-1 0,-2 0 0,0 0 0,-18 49 1,-72 145 130,34-88-42,-15 15 136,68-135-213,1 0-8,7-15-31,0 0 0,0 0 0,0-1-1,0 1 1,0 0 0,-1-1-1,1 1 1,-1-1 0,0 1 0,1-1-1,-1 0 1,0 0 0,0 0 0,-1 0-1,1 0 1,0 0 0,-1 0 0,-4 2-1,6-4-2,1 0 0,-1 0 0,0 0 0,1 0 0,-1 0 0,0 0-1,1 0 1,-1 0 0,1 1 0,-1-1 0,0 0 0,1 1 0,-1-1 0,1 0 0,-1 1-1,1-1 1,-1 0 0,1 1 0,-1-1 0,1 1 0,-1-1 0,1 1 0,0-1-1,-1 1 1,1-1 0,0 1 0,-1 0 0,1-1 0,0 1 0,0-1 0,-1 1 0,1 0-1,0 0 1,1 1 6,0 0 0,0 0 0,0 0-1,0 0 1,0 0 0,0-1 0,1 1-1,2 2 1,2 2 9,4 3 30,0 0 1,1-1-1,0 0 0,1-1 0,19 10 1,-17-10-26,3 2 41,1-1 0,0 0 1,0-2-1,1 0 1,0-1-1,30 4 0,35-3-1404,6-8-3854,-24-1-6131</inkml:trace>
  <inkml:trace contextRef="#ctx0" brushRef="#br0" timeOffset="861.14">1303 341 22527,'0'34'0,"0"-8"0,-4 46 0,4-71 0,0 0 0,0 0 0,0 0 0,-1 0 0,1 0 0,0 0 0,-1 0 0,1 0 0,-1 0 0,1 0 0,-1-1 0,1 1 0,-1 0 0,0 0 0,1 0 0,-2 0 0,1-1 0,1 1 0,-1-1 0,1 0 0,-1 0 0,1 0 0,-1 0 0,1 0 0,-1 1 0,1-1 0,-1 0 0,1 0 0,-1 0 0,0 0 0,1-1 0,-1 1 0,1 0 0,-1 0 0,1 0 0,-1 0 0,0-1 0,-2-1 0,-1 0 0,1 0 0,0 0 0,1 0 0,-1-1 0,-3-3 0,3 3 0,-2-1 0,-2-3 0,-1 0 0,0 1 0,-1 0 0,-16-10 0,21 15 0,0 0 0,0-1 0,0 2 0,0-1 0,1 0 0,-1 1 0,0 0 0,0-1 0,0 2 0,0-1 0,0 0 0,0 1 0,0 0 0,0 0 0,-6 2 0,-1 2-23,-1 0 0,1 1-1,0 0 1,1 0 0,-1 1-1,1 1 1,1 0 0,-1 0-1,1 1 1,1 0 0,0 1-1,0 0 1,1 0 0,0 0-1,0 1 1,2 0 0,-1 0-1,1 1 1,1 0 0,0 0-1,1 0 1,0 0 0,1 0-1,0 1 1,1-1 0,0 1-1,1-1 1,0 1 0,1-1-1,1 1 1,5 20 0,-4-24 20,0-1 0,1 0 0,1 0 0,-1 0 0,1 0 0,1-1 0,-1 0 0,9 9 0,59 49 8,-54-50-5,16 11 0,1-2 0,0-2 0,68 29 0,-54-27 0,63 40 0,-107-60 4,0 1 0,0 0 0,0 0 0,-1 1-1,0-1 1,0 1 0,0 0 0,-1 0 0,0 1-1,0 0 1,-1-1 0,1 1 0,-2 0 0,1 1-1,-1-1 1,0 0 0,0 1 0,-1-1 0,0 1 0,0-1-1,-1 1 1,0 0 0,0-1 0,-1 1 0,0 0-1,-1-1 1,-4 15 0,4-12 13,-1 0-1,0-1 1,-1 1-1,0-1 1,0 0 0,-1 0-1,0 0 1,-1 0-1,0-1 1,0 0 0,-1-1-1,0 1 1,0-1-1,-1 0 1,0-1-1,0 0 1,-12 7 0,3-4 29,-1-1 0,0-1 1,0 0-1,-1-1 0,-37 6 0,48-10-22,1-1 0,-1-1-1,1 1 1,-1-1-1,0 0 1,1-1-1,-1 0 1,0 0-1,1-1 1,0 0 0,-1 0-1,1-1 1,0 1-1,0-2 1,0 1-1,1-1 1,-1 0-1,-7-6 1,7 3-12,0 0 0,0-1 0,1 0 0,0 0-1,0 0 1,1-1 0,0 0 0,0 0 0,1 0 0,1 0 0,-1-1 0,-3-19 0,5 16 0,1 0 0,0-1 0,1 1 1,0 0-1,1-1 0,1 1 0,0 0 1,0 0-1,8-21 0,-1 5-12,2 1 0,1 1 0,0 0 0,2 1 0,2 0 0,0 1 0,1 1 0,23-25 0,231-261 256,-265 302-245,0-1-1,-1 0 0,-1 0 1,1 0-1,-1 0 0,-1-1 1,0 1-1,0-1 1,2-19-1,-4 21-224,-1 1 1,0 0-1,0-1 1,-1 1-1,0 0 1,-2-9-1,1 10-385,0 0 0,0 1 0,0 0-1,-1-1 1,1 1 0,-1 0 0,-1 0 0,-5-6-1</inkml:trace>
  <inkml:trace contextRef="#ctx0" brushRef="#br0" timeOffset="2527.75">1799 1398 22271,'0'0'0,"-3"30"0,1-17 128,-1-1-128,3-7 128,0-2-128,0-11 0,3-1-640,2-2 0,3 1-128,-2 3 0</inkml:trace>
  <inkml:trace contextRef="#ctx0" brushRef="#br0" timeOffset="3294.53">2120 1001 19967,'14'-12'49,"-1"-1"0,-1-1-1,20-27 1,-2 3 34,-19 24-9,-2 0 0,14-26 0,3-6 66,-25 44-133,102-174 498,-81 135-343,2 1 0,47-60 0,-15 23 120,-23 19-4,-39 119 78,5-50-328,0 9 19,-1 9 8,-1 1 1,-10 44-1,-73 364 242,32 4-74,32-247-210,19-166-126,3-24-459,3-16-535,11-37-1432,-4 19-468,0-3-7830</inkml:trace>
  <inkml:trace contextRef="#ctx0" brushRef="#br0" timeOffset="6259.87">3072 432 21503,'-6'24'13,"1"0"0,1 1-1,1 0 1,1-1 0,1 27-1,16 124 116,-7-107-97,12 151 97,11 101 43,-22-267-86,3 0 0,35 99 1,-45-147-61,7 18 30,-8-22-48,-1 0 1,1 0-1,-1 0 0,1 0 1,-1 0-1,1 0 1,0 0-1,-1 0 0,1-1 1,0 1-1,0 0 1,0-1-1,0 1 0,-1 0 1,1-1-1,0 1 1,2 0-1,-2-1-2,0-1 0,0 0 0,-1 1 1,1-1-1,0 1 0,0-1 0,-1 0 0,1 0 0,-1 1 0,1-1 1,0 0-1,-1 0 0,1 0 0,-1 0 0,0 1 0,1-1 0,-1 0 1,0 0-1,0 0 0,1-1 0,0-3 15,8-22 23,-1 0 0,-1 0 1,2-31-1,5-17 40,12-55-23,31-120 29,-38 183-89,60-194 0,-64 221 0,2 2 0,27-44 0,-24 46 0,-19 35-59,0-1-1,0 0 0,0 0 0,0 0 1,0 1-1,1-1 0,-1 1 0,1-1 1,-1 1-1,1 0 0,-1-1 1,1 1-1,0 0 0,-1 0 0,1 0 1,0 0-1,0 0 0,0 1 0,0-1 1,0 0-1,0 1 0,0-1 0,0 1 1,0 0-1,0 0 0,0 0 1,0 0-1,0 0 0,0 0 0,0 1 1,0-1-1,0 1 0,0-1 0,0 1 1,0 0-1,0-1 0,-1 1 1,1 0-1,0 0 0,0 1 0,-1-1 1,1 0-1,-1 0 0,3 3 0,-3-1-224,1-1-1,-1 1 0,0 0 0,0 0 1,0 0-1,0-1 0,0 1 1,-1 0-1,1 0 0,-1 0 0,0 6 1,1 0-1505</inkml:trace>
  <inkml:trace contextRef="#ctx0" brushRef="#br0" timeOffset="7269.25">3885 595 22015,'-3'33'24,"-1"1"0,-2-1 0,-1 0 0,-21 59 0,13-43 6,-35 114 130,-51 181 192,92-306-293,4-15 1,-1-2 1,0 1 0,-1-1 0,-17 33-1,24-54-60,0 0 0,0 0 0,-1 0 0,1 0 0,0 0 0,0 0 0,0 0 0,0 0 0,0 0 0,0 0 0,0 0 0,-1 0 0,1 0 0,0 0 0,0 0 0,0 0 0,0 0 0,0 0 0,0 0 0,0 0 0,0 0 0,-1 0 0,1-1 0,0 1 0,0 0 0,0 0 0,0 0 0,0 0 0,0 0 0,0 0 0,0 0 0,0 0 0,0-1 0,0 1 0,0 0 0,0 0 0,0 0 0,0 0 0,0 0 0,0 0 0,0 0 0,0-1 0,0 1 0,0 0 0,0 0 0,0 0 0,0 0 0,0 0 0,0 0 0,0 0 0,0-1 0,0 1 0,0 0 0,0 0 0,0 0 0,0 0 0,0 0 0,0 0 0,0 0 0,0 0 0,1-1 0,-1-10 0,4-10-86,1-1 0,14-33-1,6-25-187,64-480-857,-87 540 1131,2-18 0,1 0 0,3 1 0,16-53 0,-12 57 9,32-74 578,-46 116-377,-6 27 8,8 6-120,2 1-1,2-1 1,13 65-1,-2-20 4,57 357 198,-29-153-43,-41-277-217,2 0 0,-1 0 0,2 0 0,0-1 0,11 23 0,-13-13-788,-2-14-11,1-13 51,3-27-3835</inkml:trace>
  <inkml:trace contextRef="#ctx0" brushRef="#br0" timeOffset="7595.71">3725 1164 23039,'0'0'0,"41"-5"-128,-16 4 128,2-3-512,2 4 0,1 0-2176,0 5 0,3 3 1409,-8 4-1,0 1-8448</inkml:trace>
  <inkml:trace contextRef="#ctx0" brushRef="#br0" timeOffset="8324.53">4588 859 23551,'0'0'256,"-28"14"-256,14-6 0,-2-4-128,7 1 128,1 1-1280,5-1 128,6 0-384,0 3 0</inkml:trace>
  <inkml:trace contextRef="#ctx0" brushRef="#br0" timeOffset="9744.14">5617 574 22015,'-16'9'0,"0"-1"0,-1 0 0,-20 6 0,-12 0 0,1 3 0,0 2 0,1 2 0,-48 31 0,62-32 0,1 2 0,0 2 0,2 1 0,1 1 0,0 1 0,-23 32 0,43-47-6,1 0 1,0 0-1,0 1 0,2 0 0,-1 0 0,2 0 0,0 1 0,0 0 1,-4 25-1,8-29 0,0 0 0,0-1 1,1 1-1,0 0 0,0 0 1,1 0-1,1 0 0,0 0 1,0 0-1,1-1 0,0 1 1,0-1-1,1 0 0,1 0 1,6 11-1,-7-15-7,0 0 0,1 0 1,-1-1-1,1 1 0,0-1 0,1 0 0,-1 0 1,1-1-1,-1 0 0,1 0 0,0 0 0,0 0 1,1-1-1,-1 0 0,0 0 0,1-1 0,-1 0 1,8 0-1,14 1-60,0-1 1,54-6 0,-61 3 41,-9 1-54,0-1 0,0 0-1,-1 0 1,1-1 0,-1-1-1,0 0 1,0 0 0,0-1-1,0-1 1,-1 0 0,18-13-1,-26 17-273,0 0-1,0-1 1,0 1-1,0-1 0,-1 1 1,1-1-1,-1 0 1,0 1-1,1-1 0,-1 0 1,0 0-1,-1 0 0,2-5 1</inkml:trace>
  <inkml:trace contextRef="#ctx0" brushRef="#br0" timeOffset="10387.63">5900 923 20479,'-2'0'0,"1"0"0,-1 0 0,0 0 0,1 0 0,-1 0 0,0-1 0,1 1 0,-1-1 0,0 1 0,1-1 0,-1 0 0,1 1 0,-1-1 0,1 0 0,0 0 0,-1 0 0,1 0 0,0 0 0,-1 0 0,1 0 0,0-1 0,0 1 0,0 0 0,0-1 0,0 1 0,0-1 0,1 1 0,-1-1 0,0 1 0,1-1 0,-1 0 0,1 1 0,-1-4 0,0 3 0,0 0 0,0 0 1,0 0-1,-1 0 0,1 0 0,-1 0 0,0 0 0,1 0 0,-1 0 0,0 1 0,0-1 0,0 1 0,0 0 0,0-1 0,0 1 0,-1 0 0,1 0 0,0 0 0,-3 0 1,-9-3-4,1 0 0,-18-1 0,16 2-11,10 3-4,0-1 0,0 1 0,1 0 0,-1 0 0,0 1 0,0-1 0,0 1 0,0 0-1,0 1 1,1-1 0,-1 1 0,1 0 0,-1 0 0,1 0 0,0 1 0,-1-1 0,1 1 0,1 0 0,-7 6 0,4-3 5,1-1 1,0 1-1,0 0 1,1 0-1,-1 1 0,1-1 1,1 1-1,-1 0 1,1 0-1,1 0 1,-4 15-1,3-3-6,1 0-1,2 1 0,0-1 1,0 1-1,2-1 1,1 0-1,0 0 1,1 0-1,1 0 1,1-1-1,12 28 0,-16-43 29,-1-1 0,0 1-1,1 0 1,-1-1-1,1 1 1,0 0-1,0-1 1,0 0-1,0 0 1,1 1 0,-1-1-1,0-1 1,1 1-1,0 0 1,-1 0-1,1-1 1,0 0-1,0 1 1,0-1 0,0 0-1,0-1 1,0 1-1,0 0 1,0-1-1,0 0 1,0 1 0,0-1-1,0-1 1,0 1-1,0 0 1,0-1-1,0 1 1,0-1-1,0 0 1,0 0 0,0 0-1,3-2 1,2-1 23,-1 0 1,1-1-1,-1 0 0,0 0 1,0 0-1,0-1 1,-1 0-1,0 0 0,0-1 1,-1 0-1,0 0 1,6-11-1,41-96 259,-47 102-283,0-1 37,-1-1-1,0 0 1,4-25 0,-7 33-156,0 0 0,-1-1 0,0 1 0,0 0 0,0 0 0,-1-1 0,0 1 0,0 0 1,0 0-1,-1 0 0,-2-6 0,2 10-97,1 1 0,0-1 0,0 1 0,-1-1 0,1 1 0,-1-1 0,1 1 0,-1 0 0,1 0 0,-1 0 0,0 0 0,0 0 0,0 0 0,1 0 0,-1 1 0,0-1 0,0 0 0,0 1 0,-4-1 0</inkml:trace>
  <inkml:trace contextRef="#ctx0" brushRef="#br0" timeOffset="11003.19">6317 914 23295,'-5'-4'-106,"-6"-3"81,-1 0 0,1 1 1,-1 1-1,0 0 0,0 0 0,0 1 1,-1 0-1,0 1 0,-13-1 1,19 3 3,0 1 0,0-1 1,0 2-1,0-1 0,1 1 0,-1 0 1,0 0-1,0 0 0,1 1 0,-1 0 1,1 1-1,-1-1 0,1 1 1,0 1-1,0-1 0,0 1 0,1 0 1,-1 0-1,-7 9 0,10-11-10,1 1-1,0-1 1,0 1-1,0 0 1,0 0 0,0 0-1,1 0 1,0 0-1,-1 0 1,1 0-1,0 0 1,0 1-1,1-1 1,-1 0-1,1 1 1,-1-1-1,1 0 1,0 1-1,0-1 1,1 1 0,-1-1-1,1 0 1,0 1-1,0-1 1,0 0-1,0 0 1,0 1-1,1-1 1,-1 0-1,1 0 1,0-1-1,0 1 1,0 0-1,0-1 1,0 1 0,1-1-1,-1 1 1,1-1-1,4 3 1,10 2-52,-1-1 0,1-1 1,1 0-1,-1-2 0,0 1 1,1-2-1,21 0 0,-36-1 97,1-1-1,-1 1 0,1-1 1,-1 1-1,1 0 0,-1 1 1,0-1-1,0 1 0,1-1 1,-1 1-1,4 3 0,-6-4-6,0 0 0,0 0 0,0 0 0,0 0-1,0 0 1,0 0 0,-1 0 0,1 0-1,0 0 1,-1 0 0,1 1 0,-1-1 0,1 0-1,-1 0 1,1 1 0,-1-1 0,0 0 0,0 1-1,0-1 1,0 0 0,0 1 0,0-1-1,0 1 1,0-1 0,0 0 0,-1 1 0,1-1-1,0 0 1,-1 0 0,1 1 0,-1-1 0,-1 2-1,-4 7 51,0 0-1,-1-1 1,0 0 0,-1 0-1,0 0 1,-1-1-1,-16 13 1,-6-1 139,-38 21 1,41-26-1993,0 2-1,-27 21 0</inkml:trace>
  <inkml:trace contextRef="#ctx0" brushRef="#br0" timeOffset="11725.48">6777 0 22143,'-20'20'52,"9"-9"31,1-1 0,0 2 0,-13 19 0,9-10 64,-1-1-1,-1 0 1,-30 28-1,33-35-92,3-2-35,1 1 0,0 0-1,1 1 1,0-1 0,1 2-1,1-1 1,0 1 0,1 0-1,0 0 1,1 0 0,-2 15-1,-2 19 36,2 1-1,1 49 0,7 38 11,33 239 0,-22-297-60,4-1-1,3 0 1,3-1-1,3-2 1,50 98 0,-67-153 22,1 0 0,1-1 0,0-1 0,2 0 0,0-1 0,0 0 0,2 0 0,31 25 0,-42-39-188,0 1 0,0-1 0,1-1 0,-1 1-1,1 0 1,-1-1 0,1 0 0,7 1 0,-7-2-605,0 1 1,0 0-1,0 1 1,0-1-1,5 3 1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7:59.32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165 580 17791,'-4'2'-106,"-31"16"103,14-6 125,-1-1 0,-45 16-1,66-26-59,0-1 0,0 0 0,-1 1-1,1 0 1,0-1 0,0 1 0,0 0-1,0-1 1,0 1 0,0 0-1,0 0 1,-2 2 0,4 0 382,9-6-411,-3 1 60,0 1-1,0-1 0,1 1 0,-1 0 0,1 1 1,-1 0-1,0 0 0,1 1 0,11 2 0,21 0 138,1-2-57,-24 0-64,0 0 0,0-2 0,1 0 0,-1 0 0,0-2 0,0 0 1,19-6-1,-35 8-95,0 1 0,0-1 0,0 1 1,1-1-1,-1 1 0,0-1 0,1 1 0,-1 0 1,0 0-1,1 0 0,-1 0 0,0 0 1,1 0-1,-1 0 0,1 0 0,-1 0 0,2 1 1,-1-1 70,1-2-170,-1 1-128,0 1 0,0-1 1,0 1-1,0 0 0,0 0 0,0-1 1,0 1-1,0 0 0,1 1 1,-1-1-1,3 1 0,4 0-2695</inkml:trace>
  <inkml:trace contextRef="#ctx0" brushRef="#br0" timeOffset="933.98">877 139 18687,'1'18'40,"-1"-18"-39,0 0 1,0 0 0,0 0 0,0 1-1,0-1 1,0 0 0,0 0-1,0 0 1,0 0 0,0 0-1,0 0 1,0 0 0,0 0-1,0 0 1,0 0 0,0 1 0,0-1-1,0 0 1,0 0 0,0 0-1,0 0 1,0 0 0,0 0-1,0 0 1,0 0 0,0 0-1,0 0 1,1 0 0,-1 0 0,0 0-1,0 0 1,0 1 0,0-1-1,0 0 1,0 0 0,0 0-1,0 0 1,0 0 0,0 0-1,1 0 1,-1 0 0,0 0 0,0 0-1,0 0 1,0 0 0,0 0-1,0 0 1,0 0 0,0 0-1,0 0 1,0 0 0,1 0-1,-1 0 1,0-1 0,0 1 0,0 0-1,0 0 1,0 0 0,0 0-1,8-14 291,-7 12-191,-5 14 292,1 0 0,-2 0 0,-7 15 1,5-13-351,1 1 1,0-1 0,1 1 0,-4 24 0,4-11 84,-1 0 0,-15 45 0,18-65-81,1 1 0,0 0-1,0 0 1,1 0 0,0 0 0,0 0 0,1 0 0,0 0 0,3 16 0,11-44-21,-2 6-31,-11 11-1,0 0-1,1 0 0,-1 1 1,1-1-1,0 1 0,-1-1 1,1 1-1,0 0 0,0 0 1,-1-1-1,1 1 0,0 1 1,0-1-1,0 0 0,1 0 1,-1 1-1,0-1 0,0 1 1,0 0-1,0-1 0,0 1 1,1 0-1,-1 0 0,0 1 1,0-1-1,0 0 0,4 2 1,-2-1-10,0 0 0,0 0 1,0 1-1,0-1 1,0 1-1,0 0 0,-1 0 1,1 0-1,-1 1 0,1-1 1,-1 1-1,0 0 1,4 5-1,-1 0 0,-1 1-1,0-1 1,-1 1 0,1 1-1,-2-1 1,1 0 0,-1 1-1,-1 0 1,0 0 0,0 0-1,-1-1 1,0 2 0,-1-1-1,0 0 1,-2 12 0,-2 3-30,-1 0 0,-1 0 0,-1 0 0,-17 40 0,20-58 61,0 0-1,0-1 0,0 1 1,-1-1-1,0 1 1,0-2-1,-1 1 0,1 0 1,-1-1-1,-1 0 0,1 0 1,-13 6-1,4-3 22,0-1 1,0 0-1,-1-1 1,0-1-1,-18 4 1,32-9-65,1 1 1,-1-1-1,0 1 1,1-1-1,-1 0 1,0 0-1,0 0 1,1 0-1,-1 0 1,0 0-1,0 0 1,1 0-1,-1-1 1,0 1-1,1-1 1,-1 1-1,0-1 0,1 0 1,-1 0-1,1 1 1,-1-1-1,1 0 1,-1 0-1,1-1 1,0 1-1,-2-1 1,2 0-128,0-1 0,0 1 0,1 0 0,-1 0 1,1-1-1,-1 1 0,1 0 0,0-1 0,-1 1 0,1 0 0,1-1 1,-1 1-1,0 0 0,0-1 0,1 1 0,0 0 0,-1 0 1,1-1-1,1-1 0,9-25-2746,2-2-6891</inkml:trace>
  <inkml:trace contextRef="#ctx0" brushRef="#br0" timeOffset="1453.56">751 256 19839,'14'-14'19,"0"-1"0,14-18 0,-22 23-1,1 1 0,1 0 0,0 1 1,0-1-1,0 2 0,1-1 0,0 1 0,1 1 0,0-1 0,14-6 0,1 4 155,0 1 1,1 1-1,34-4 0,83-4 517,-80 9-281,-55 5-340,0 0 0,0 1 0,0 0-1,0 0 1,0 1 0,0 0 0,0 0-1,8 3 1,-14-3-125,0-1-1,0 0 1,0 0-1,0 0 1,0 0-1,0 0 1,0 0-1,0 0 1,0-1 0,0 1-1,0-1 1,-1 0-1,1 1 1,2-2-1,-2 1-390,0 0 0,0 0 1,0 0-1,0 1 0,0-1 0,0 1 0,0-1 0,0 1 0,0 0 0,0 0 0,0 0 0,0 0 0,4 0 0</inkml:trace>
  <inkml:trace contextRef="#ctx0" brushRef="#br0" timeOffset="2187.39">1558 1 17791,'0'0'1387,"5"2"-1238,6 3-102,0 0-1,1-1 1,0-1-1,-1 1 1,1-2-1,0 0 0,22 1 1,92-6 328,-102 1-226,-23 2-135,0 0-1,-1 0 0,1 0 1,0 0-1,0 0 0,0 0 0,-1 0 1,1 0-1,0 0 0,0 0 1,0 0-1,-1 1 0,1-1 0,0 0 1,-1 1-1,1-1 0,0 0 1,0 1-1,-1-1 0,1 1 0,-1-1 1,1 1-1,0-1 0,-1 1 1,1 0-1,-1-1 0,1 1 1,-1 0-1,0-1 0,1 1 0,-1 0 1,1-1-1,-1 1 0,0 0 1,0 0-1,0 0 0,1-1 0,-1 1 1,0 1-1,0 1 18,-1 0 0,1 0 1,0 0-1,-1 0 0,0-1 0,1 1 0,-1 0 0,0 0 1,-1-1-1,-1 4 0,-44 83 202,-17 29-189,29-55-44,4 1 0,2 2 0,-22 79 0,22-54 0,-20 55 0,32-101 0,-17 43-128,33-87 72,1 1-1,-1-1 0,1 0 1,-1 1-1,0-1 0,1 0 1,-1 0-1,0 0 0,0 0 1,0 0-1,0 0 0,0 0 1,-2 1-1,1-5-994,2-11 207,3-5-2078</inkml:trace>
  <inkml:trace contextRef="#ctx0" brushRef="#br0" timeOffset="2515.77">1446 570 20863,'17'-16'0,"39"-29"0,-47 40 0,0-1 0,1 1 0,-1 1 0,1-1 0,1 2 0,-1-1 0,11-1 0,67-7-1033,-57 9-1458,54-12 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8:21.773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0 1319 20479,'0'0'640,"18"-37"-6783</inkml:trace>
  <inkml:trace contextRef="#ctx0" brushRef="#br0" timeOffset="1791.75">691 426 18943,'0'0'768,"-5"-2"-640,-1 0-72,0-1 0,0 1 0,0 0 0,-1 1 0,1-1 0,-1 1-1,1 0 1,-1 1 0,0 0 0,1 0 0,-1 0 0,1 1 0,-1 0 0,1 0-1,-1 0 1,1 1 0,-1 0 0,1 1 0,0-1 0,-8 6 0,-18 6 136,28-13-166,1 0 1,0 0-1,0 0 1,0 0-1,0 1 0,0-1 1,0 1-1,0 0 1,1 0-1,-1 0 0,0 0 1,1 0-1,0 0 1,0 1-1,-1-1 0,1 1 1,1 0-1,-1 0 1,0-1-1,-1 6 0,-4 13-26,1 0 0,1 0 0,1 0 0,1 1 0,1-1 0,0 1 0,4 34 0,-1-51-20,0 0-1,1-1 0,0 1 1,0 0-1,0-1 0,0 1 1,1-1-1,-1 0 0,1 0 1,0 0-1,1 0 1,-1-1-1,1 1 0,-1-1 1,6 4-1,23 27-139,-7 8-39,-20-31 115,1 0 1,1-1-1,8 11 0,52 55-940,-57-64 925,-4-6 60,-1 0 0,1 1 0,-1-1 0,-1 1-1,1 1 1,-1-1 0,-1 1 0,1-1 0,2 11 0,-5-16 35,0 1 3,0 0 0,0 1 0,-1-1 0,1 0 0,-1 0-1,0 1 1,1-1 0,-1 0 0,-1 0 0,1 1 0,0-1 0,-1 0 0,0 0 0,0 0 0,-1 4-1,2-6 2,0 0 0,-1 1 0,1-1 0,0 0 0,0 0 0,0 0 0,1 0 0,-1 0 0,0 1 0,0-1 0,1 0 0,-1 0 0,0 0 0,1 0 0,-1 0 0,1 0 0,0 0 0,0 1 0,0-1 0,0 1 0,0-1 0,-1 0 0,1 1 0,-1-1 0,1 0 0,-1 1 0,1-1 0,-1 1 0,0-1 0,1 1 0,-1-1 0,0 4 0,-2 2 0,-1-1 0,1 1 0,-1-1 0,0 1 0,-1-1 0,-5 8 0,-10 21 0,16-28-3,0 0-1,-1 0 1,0 0-1,0 0 1,0-1-1,-1 1 1,0-1-1,-10 9 1,11-12 30,1 0 1,-1 0 0,0 0 0,-1-1-1,1 1 1,0-1 0,-1 0-1,1 0 1,-1 0 0,0-1 0,1 0-1,-1 0 1,0 0 0,-9 0-1,10-1 45,-1-1 0,1 0 0,0 0 0,0-1 0,-1 1 0,1-1 0,0 0 0,1 0 0,-1 0 0,0 0 0,0-1 0,1 1 0,0-1 0,-5-5 0,-4-4 158,1 0 1,-14-20-1,18 22-86,0-1 0,0 1 0,2-1 0,-1 0-1,-7-23 1,12 28-112,-1-1 0,1 0 0,0 0 0,0 1 1,1-1-1,0 0 0,0 0 0,1 1 0,0-1 0,0 0 0,0 0 0,4-8 0,0 0 5,1 1 0,1-1 0,0 1-1,1 0 1,0 1 0,2 0 0,-1 0 0,1 1 0,1 0-1,17-14 1,-14 11-9,-1 0 0,0 0 0,13-22 0,-17 23-4,1 0 0,1 0 0,0 1 0,1 0 0,17-14 0,-21 19 1,1 0 0,-1 0 0,-1-1 0,0-1 0,0 1 0,10-19 0,-13 19 7,1 0 0,1 0-1,0 0 1,0 1-1,1 0 1,-1 1-1,2-1 1,-1 1-1,14-9 1,-10 10 8,-7 5-15,0-1 0,-1 0 0,1 0 0,-1-1-1,6-3 1,-9 5-23,1 1 0,-1-1 0,1 1 0,-1-1 0,0 1 0,0-1 1,1 1-1,-1-1 0,0 0 0,0 1 0,1-1 0,-1 1 0,0-1 0,0 0 0,0 1 0,0-1 0,0 1 0,0-1 0,0 0 0,0 1 0,0-1 0,0 1 0,0-1 0,0 0 0,-1 1 0,1-1 0,0 1 1,0-1-1,-1 1 0,1-1 0,0 1 0,-1-1 0,1 1 0,-1-1 0,1 1 0,0-1 0,-1 1 0,1-1 0,-1 1 0,1 0 0,-1-1 0,0 1 0,-15-17-1383,6-6-3744</inkml:trace>
  <inkml:trace contextRef="#ctx0" brushRef="#br0" timeOffset="2676.66">1237 386 17151,'0'0'1024,"-4"-2"-896,-15-6 5,-23-9 247,39 16-350,0 0 0,-1 0 0,1 1 0,0-1 1,-1 1-1,1 0 0,0 0 0,0 0 0,-1 0 1,1 1-1,-6 1 0,8-2-26,-1 1 1,1 0-1,0 0 0,-1 0 0,1 0 1,0 0-1,0 0 0,0 0 0,0 0 1,0 1-1,0-1 0,0 0 0,0 1 1,0-1-1,0 0 0,1 1 0,-1-1 1,1 1-1,-1 2 0,-7 36 83,5-21-110,2-13 23,-1-1-1,2 0 0,-1 0 1,0 0-1,1 0 0,0 1 0,1-1 1,-1 0-1,1 0 0,1 5 0,-2-8 6,1 0-1,0-1 0,0 1 0,0-1 0,0 1 0,0-1 0,0 1 0,0-1 1,0 0-1,1 0 0,-1 1 0,0-1 0,1 0 0,-1 0 0,1 0 0,-1 0 0,1-1 1,-1 1-1,1 0 0,0-1 0,-1 1 0,1-1 0,0 0 0,0 1 0,-1-1 1,1 0-1,0 0 0,0 0 0,0 0 0,-1 0 0,1-1 0,2 1 0,1-1 26,-1 0 0,1 0-1,-1 0 1,0 0-1,1-1 1,-1 1-1,0-1 1,0 0-1,0 0 1,0-1-1,0 1 1,-1-1 0,1 0-1,3-3 1,1-3 167,-1-1 0,0 1 0,0-1 0,6-13 1,-12 21-159,-1 1 0,1 0 0,0 0 0,-1-1 1,1 1-1,-1 0 0,1-1 0,-1 1 0,0 0 1,0-1-1,1 1 0,-1-1 0,0 1 0,0 0 1,0-1-1,-1-2 0,1 4-44,-1-1-1,1 1 1,-1-1 0,1 1-1,-1 0 1,1-1 0,-1 1-1,1-1 1,-1 1 0,1 0-1,-1-1 1,0 1 0,1 0-1,-1 0 1,1 0 0,-1-1-1,0 1 1,1 0 0,-1 0 0,0 0-1,1 0 1,-1 0 0,0 0-1,1 0 1,-1 0 0,0 0-1,1 1 1,-1-1 0,0 0-1,1 0 1,-1 0 0,1 1-1,-1-1 1,1 0 0,-1 1-1,0 0 1,1-1-83,-1 0 1,1 0-1,-1 0 1,1 0-1,0 1 1,-1-1-1,1 0 1,0 0-1,-1 0 0,1 1 1,0-1-1,-1 0 1,1 1-1,0-1 1,0 0-1,-1 1 1,1-1-1,0 0 1,0 1-1,0-1 0,0 0 1,-1 1-1,1-1 1,0 1-1,0-1 1,0 0-1,0 1 1,0-1-1,0 1 0,0-1 1,0 0-1,0 1 1,0-1-1,0 1 1,0-1-1,0 0 1,1 1-1,-1-1 0,0 1 1,0-1-1,0 0 1,0 1-1,1-1 1,-1 1-1,2 4-2094</inkml:trace>
  <inkml:trace contextRef="#ctx0" brushRef="#br0" timeOffset="3561.88">1433 1 16639,'0'0'2966,"0"4"-2753,26 153 726,-22-136-802,13 34 1,-12-39-26,0 0 1,-1 1-1,4 32 1,-5 5 218,-9 99-1,5-128-275,1 0-1,1 1 1,6 36-1,-3-39-20,-2 1-1,0 0 0,-2-1 0,-2 27 0,-14 40-33,-3-2 0,-4 0 0,-41 99 0,34-118 0,-2-1 0,-69 106 0,90-158 36,-1-1 0,-1 0 0,-1 0-1,0-1 1,-1-1 0,-31 22 0,32-24-31,6-6-402,1 1 0,-1 0-1,2 0 1,-1 1 0,1 0-1,0 0 1,-6 10 0,11-17 225,1 1 1,0-1-1,0 1 1,-1-1-1,1 0 1,0 1-1,0-1 1,0 1-1,0-1 1,0 1-1,0-1 1,-1 1-1,1-1 1,0 1-1,1-1 1,-1 1-1,0-1 0,0 1 1,0-1-1,0 1 1,0-1-1,0 1 1,1-1-1,-1 1 1</inkml:trace>
  <inkml:trace contextRef="#ctx0" brushRef="#br0" timeOffset="4595.95">1884 1158 19327,'0'0'2560,"4"-1"-2432,20-7 43,-1 2 0,1 1-1,0 1 1,0 1 0,25 0-1,-9-2-2275,-35 3 1272,1 1 0,-1 0 1,1 0-1,0 1 0,-1 0 0,1 0 0,7 1 1</inkml:trace>
  <inkml:trace contextRef="#ctx0" brushRef="#br0" timeOffset="5039.46">2023 847 20607,'0'0'2283,"7"5"-2176,7 6-143,7 5-1695,0-1 1,45 23 0,-23-17-10152</inkml:trace>
  <inkml:trace contextRef="#ctx0" brushRef="#br0" timeOffset="72303.17">2633 1013 16767,'2'-9'11,"-1"8"-3,-1 0 1,1-1-1,-1 1 0,1-1 1,-1 0-1,0 1 1,0-1-1,0 1 0,0-1 1,0 1-1,0-1 1,0 0-1,-1-1 0,1 3-1,0-1 0,0 1 0,0 0 0,0 0 0,-1 0-1,1 0 1,0-1 0,0 1 0,0 0 0,0 0 0,-1 0-1,1 0 1,0 0 0,0 0 0,0 0 0,0 0-1,-1 0 1,1-1 0,0 1 0,0 0 0,0 0 0,-1 0-1,1 0 1,0 0 0,0 0 0,0 0 0,-1 0-1,1 0 1,0 1 0,0-1 0,0 0 0,-1 0 0,1 0-1,0 0 1,0 0 0,0 0 0,0 0 0,-1 0 0,1 0-1,0 1 1,0-1 0,-10 9 344,5-2 97,13-12 130,0-1-464,0 0 0,-1-1 0,0 0 0,-1 0-1,1-1 1,-1 0 0,-1 0 0,6-9-1,3-6 184,1 1 0,28-32 0,-21 29-49,20-32 0,-4 3 93,72-76 1,-94 110-251,-2-1 1,0 0 0,-1-1-1,16-36 1,11-19 90,-25 48-87,-10 19-23,1-1 0,0 1 0,12-15 1,-15 21-89,3-2 395,-5 13 163,-2 6-466,1 53 25,-3 0 1,-3-1-1,-16 74 0,4-52-69,4 1 0,4 0 0,2 102 0,8-173-32,0-1 0,-4 21 0,2-31 0,1 0 0,-1-1 0,0 1 0,0 0 0,0-1 0,-1 0 0,0 1 0,0-1 0,-5 7 0,-2-2 0,9-10 0,0 1 0,0 0 0,0 0 0,0-1 0,0 1 0,0 0 0,1 0 0,-1 0 0,0 0 0,1 0 0,-1 0 0,0 0 0,1 0 0,-1 0 0,1 0 0,0 0 0,-1 1 0,1-1 0,0 0 0,0 0 0,0 0 0,0 0 0,0 1 0,0 1 0,3 14-9,-2-6-14,1-1-1,1 0 1,-1 0 0,2 0-1,6 16 1,15 25-724,-24-51 477,0 0 0,1 1-1,-1-1 1,1 0 0,-1 0 0,0 0-1,1 0 1,-1 0 0,1 0-1,-1-1 1,0 1 0,1 0 0,-1-1-1,0 1 1,1-1 0,1 0-1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37.47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344 50 14080,'0'0'8191,"-2"4"-8084,-7 8-93,5-7 13,-1 1 0,1-1 0,0 1 0,1 0 0,0 0-1,0 0 1,0 0 0,-3 11 0,6-16-10,0 0-12,0 0 1,0-1-1,0 1 0,0 0 1,1 0-1,-1 0 0,0 0 1,0 0-1,1-1 0,-1 1 0,1 0 1,-1 0-1,0-1 0,1 1 1,-1 0-1,1-1 0,0 1 0,-1 0 1,1-1-1,0 1 0,-1-1 1,1 1-1,0-1 0,0 1 0,-1-1 1,1 1-1,0-1 0,1 1 1,0-1 100,-3 2 1,0 1-68,-1 0 0,0 0 0,0 0 0,0 0 0,0 0 0,0 0 0,-1-1 0,1 1 0,-1-1 0,1 1 1,-1-1-1,0 0 0,0 0 0,0 0 0,0-1 0,-4 2 0,-14 11 108,18-12-136,0 0 0,1 1 0,-1-1 0,1 1 1,0 0-1,0 0 0,0-1 0,0 2 1,1-1-1,-1 0 0,1 0 0,0 0 0,0 1 1,0-1-1,0 0 0,0 1 0,1-1 1,0 1-1,-1 5 0,-2 19 149,-10 16-54,0-36-106,6-4 0,15-4 0,9-2 0,-6 4 0,-11-1 0,1-1 0,-1 0 0,1 0 0,0 1 0,-1-1 0,1 0 0,0 0 0,-1 0 0,1 0 0,0 0 0,-1 0 0,1 0 0,0 0 0,-1 0 0,1 0 0,0 0 0,-1 0 0,1 0 0,0-1 0,0 1 0,4-2 0,-1 1 0,1 0 0,0 0 0,0 1 0,0-1 0,0 1 0,-1 0 0,1 0 0,0 1 0,0 0 0,0 0 0,-1 0 0,1 0 0,0 0 0,5 4 0,-4-2 0,0 0 0,0 0 0,0 0 0,-1 1 0,1 0 0,-1 0 0,0 0 0,-1 1 0,1 0 0,7 10 0,-9-10 0,83 115 0,-80-112 0,0 0 0,-1 0 0,1 0 0,-2 1 0,1 0 0,-1 0 0,-1 0 0,5 16 0,-7-20 0,0 1 0,0-1 0,-1 1 0,0-1 0,0 0 0,0 1 0,-1-1 0,1 1 0,-1-1 0,-1 0 0,1 1 0,-1-1 0,0 0 0,0 0 0,0 0 0,-1 0 0,-3 5 0,-32 49 0,26-38 0,-1-1 0,-1 0 0,0-1 0,-2 0 0,-27 25 0,23-28 0,0-1 0,-1-1 0,0-1 0,-1-1 0,0 0 0,-1-2 0,0-1 0,-1-1 0,-28 6 0,48-13-30,-1 0 0,0 0 0,1-1 0,-1 1 0,0-1-1,1 0 1,-1-1 0,1 1 0,-1-1 0,0 0 0,1 0 0,-1 0-1,-4-3 1,7 3-90,0 0 1,0-1-1,0 1 0,0 0 0,0-1 1,1 1-1,-1-1 0,1 0 0,-1 0 0,1 1 1,-1-1-1,1 0 0,0 0 0,0 0 1,0 0-1,0-1 0,1 1 0,-1 0 0,0 0 1,1 0-1,0-1 0,-1 1 0,1 0 0,0-1 1,0 1-1,0 0 0,1-5 0,1-2-633,0 0-1,0 1 0,1-1 0,0 0 1,7-13-1,5-9-10019</inkml:trace>
  <inkml:trace contextRef="#ctx0" brushRef="#br0" timeOffset="631.4">484 61 19711,'0'0'3200,"5"-3"-3093,9-3-61,0 0 0,0 1 1,0 0-1,0 1 0,1 1 0,0 0 1,0 1-1,0 1 0,-1 0 0,1 1 0,19 3 1,-23-2-19,-1 2 1,1 0-1,14 5 1,29 8-37,-51-15 6,1-1 0,0 1 1,-1-1-1,1 0 1,-1 0-1,1-1 0,0 1 1,-1-1-1,1 1 1,-1-1-1,1 0 1,4-3-1,-7 4-11,-1 0-1,0-1 1,1 1-1,-1 0 1,0 0-1,1-1 1,-1 1 0,0 0-1,1 0 1,-1-1-1,0 1 1,0 0-1,1-1 1,-1 1 0,0-1-1,0 1 1,0 0-1,0-1 1,1 1-1,-1-1 1,0 1 0,0 0-1,0-1 1,0 1-1,0-1 1,0 1 0,0 0-1,0-1 1,0 1-1,0-1 1,0 1-1,-1-1 1,1 1 0,0 0-1,0-1 1,0 1-1,0 0 1,-1-1-1,1 1 1,-1-1 0,1 0-54,0 1 1,0-1 0,-1 1-1,1-1 1,0 0 0,0 0-1,-1 1 1,1-1-1,0 0 1,0 1 0,0-1-1,0 0 1,0 0 0,0 1-1,0-1 1,0 0 0,1 1-1,-1-1 1,0-1 0,18-18-4585</inkml:trace>
  <inkml:trace contextRef="#ctx0" brushRef="#br0" timeOffset="1766.25">850 876 21631,'-4'-1'128,"-3"0"-92,5 0-12,-1 0 0,1 0-1,0 1 1,-1-1 0,1 1 0,0 0 0,-1 0 0,1 0-1,0 0 1,-1 0 0,1 0 0,-1 0 0,1 1-1,0 0 1,-1-1 0,1 1 0,0 0 0,0 0 0,-3 1-1,-2 4 58,0 0 21,-1 0 0,1 0 0,0 1 0,1-1 0,-1 2-1,2-1 1,-7 10 0,15-24-122,0 1 0,1 0 0,0 0-1,0 1 1,0-1 0,1 1 0,0 0-1,0 0 1,8-6 0,-7 6-686,0 1 0,1 0 0,0 0 1,0 0-1,11-3 0,12-3-12136</inkml:trace>
  <inkml:trace contextRef="#ctx0" brushRef="#br0" timeOffset="2676.74">1429 188 19455,'-13'-4'9,"-19"-10"88,31 13-62,-1 0 0,1 1 0,0-1 0,0 0 0,0 0 0,0 0 0,0 0 0,0-1 0,1 1 0,-1 0 0,0 0 0,1 0 0,-1-1 0,0 1-1,1 0 1,0-1 0,-1 1 0,1-1 0,0 1 0,-1 0 0,1-3 0,0 3-10,0 0 0,0 0 0,0 1 0,0-1 0,-1 0 0,1 0 0,0 1 1,0-1-1,-1 0 0,1 1 0,-1-1 0,1 0 0,-1 1 0,1-1 0,-1 1 0,1-1 0,-1 1 0,1-1 0,-1 1 0,1-1 0,-1 1 0,0-1 0,1 1 0,-1 0 0,0-1 1,0 1-1,1 0 0,-1 0 0,0 0 0,0-1 0,1 1 0,-1 0 0,0 0 0,0 0 0,1 0 0,-1 0 0,0 0 0,0 1 0,-1-1 0,-37 8 183,31-6-117,0 0-58,0 1 1,1-1-1,-1 2 0,1-1 0,0 1 0,0 0 0,0 0 0,0 0 0,-11 11 1,9-5-10,-1 0 0,1 1 1,1 0-1,0 0 0,-8 14 1,-2 11 36,2 0 0,-22 75 1,29-80-29,2 0 1,0 1-1,2-1 1,2 1-1,1 0 1,3 45-1,-1-72-33,1 1 0,-1-1 0,2 1 0,-1-1 0,0 0 0,1 1 0,0-1 0,0 0 0,1 0 0,-1 0 0,1 0 0,0-1 0,1 1 0,-1-1 0,6 5 0,-6-6 0,1 0 0,0 0 0,0 0 0,0-1 0,0 1 0,1-1 0,-1 0 0,0-1 0,1 1 0,0-1 0,-1 0 0,1 0 0,0 0 0,0-1 0,-1 1 0,1-1 0,8-1 0,-7 0 0,0-1 0,-1 0 0,0 0 0,1 0 0,-1 0 0,0-1 0,0 0 0,-1 0 0,1 0 0,0 0 0,5-7 0,8-7 0,17-21 0,-35 38 0,14-18 36,-1-2 0,-1 1 0,-1-2-1,-1 0 1,12-33 0,-12 27 5,-2 9 29,-2-1 0,0 0 0,-1-1 0,-1 1-1,-1-1 1,-1 1 0,-1-1 0,0 0 0,-1 0-1,-5-25 1,-25-115 293,30 159-369,0 0 1,-1 0-1,1-1 1,0 1-1,0 0 1,1 0-1,-1 0 1,0-1-1,0 1 1,1 0-1,-1 0 1,0 0-1,1-1 1,0 0-1,1-1-624,-5 11-1068,-6 13-1608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2.62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0 18047,'0'0'2198,"1"5"-1985,3 13-120,0 1 139,0 1 1,-1 0 0,1 33 0,-8 23 411,-1 54 248,2 156-337,5-119-385,-2 27 129,-7-131 0,28-85-43,-1-4-234,-2-1 0,-1 0 1,15-33-1,6-9-5,-27 52-17,1 1 0,22-24 0,11-14 0,-7-1 0,-26 35 0,2-1 0,0 2 0,1 0 0,1 1 0,34-30 0,-49 47 0,0 1 0,-1-1 0,1 1 0,0-1 0,-1 1 0,1-1 0,0 1 0,-1 0 0,1-1 0,0 1 0,0 0 0,0 0 0,-1 0 0,1 0 0,0-1 0,0 1 0,0 0 0,-1 0 0,1 0 0,0 1 0,0-1 0,0 0 0,-1 0 0,1 0 0,0 1 0,0-1 0,0 0 0,-1 1 0,2 0 0,0 0 0,-1 1 0,1-1 0,-1 1 0,1 0 0,-1 0 0,0 0 0,0 0 0,0 0 0,0 0 0,1 4 0,2 6 0,-1 0 0,4 25 0,-4 3 0,-1 1 0,-4 50 0,-15 83 0,4-67 0,8-64 0,2-28 0,1 0 0,0 1 0,2-1 0,1 24 0,-1-38 0,0-1 0,0 0 0,0 0 0,0 0 0,0 0 0,0 0 0,0 0 0,0 0 0,0 0 0,0 1 0,0-1 0,0 0 0,0 0 0,0 0 0,0 0 0,0 0 0,0 0 0,0 0 0,0 0 0,0 0 0,1 0 0,-1 0 0,0 0 0,0 1 0,0-1 0,0 0 0,0 0 0,0 0 0,0 0 0,0 0 0,0 0 0,0 0 0,1 0 0,-1 0 0,0 0 0,0 0 0,0 0 0,0 0 0,0 0 0,0 0 0,0 0 0,0 0 0,1 0 0,-1 0 0,0 0 0,0 0 0,0 0 0,0 0 0,0 0 0,0 0 0,0-1 0,0 1 0,0 0 0,0 0 0,1 0 0,-1 0 0,0 0 0,7-8 0,8-13 0,-14 20 0,74-132 71,-17 28 8,57-94 134,-75 134-132,3 1-1,98-110 1,-78 99-24,-35 39-40,-1-1 1,-2-1 0,-2-1 0,-1-1-1,22-59 1,-42 96-18,-1 4 0,-1 12 0,-4 20 0,-4-3-913,-1-1 1,-1 0-1,-17 34 0,4-9-2134,-19 48-9326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09:54.046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1 191 20223,'0'0'1024,"6"0"-917,161-2 239,128 1 375,414 6 153,-273-28-649,193-6 190,-533 28-323,72-1 182,189-27 0,457-67 516,-776 91-738,29-3 66,-62 8-113,-1 0 0,0 0 0,0 1 0,0-1 0,1 1 0,-1 0 0,0 0-1,0 0 1,0 0 0,0 1 0,0 0 0,4 2 0,-8-4-15,0 0 1,1 0-1,-1 1 0,0-1 0,0 0 0,0 0 1,1 0-1,-1 0 0,0 0 0,0 0 0,0 1 0,0-1 1,1 0-1,-1 0 0,0 0 0,0 1 0,0-1 1,0 0-1,0 0 0,1 0 0,-1 1 0,0-1 0,0 0 1,0 0-1,0 0 0,0 1 0,0-1 0,0 0 1,0 0-1,0 1 0,0-1 0,0 0 0,0 0 1,0 1-1,0-1 0,-9 4-815,-12-4-834,-12-3-1584,-17-1-9876</inkml:trace>
  <inkml:trace contextRef="#ctx0" brushRef="#br0" timeOffset="850.05">367 574 21503,'29'-5'22,"4"-3"99,0 1 0,1 3 0,0 0-1,0 2 1,37 3 0,230 9 269,-2-25-41,-112 5-64,278-23 292,286-7 403,-45 63-212,-572-12-647,33 1 14,-63-11-2,142 9 268,-186-7-186,-46-3-89,-14 0-153,0 0 0,0 0 1,0 0-1,0 0 0,0 0 0,0 0 1,1 0-1,-1 0 0,0 0 0,0 0 1,0 0-1,0 0 0,0 0 0,0 0 1,0 0-1,1 0 0,-1 0 0,0 0 1,0 0-1,0 1 0,0-1 0,0 0 0,0 0 1,0 0-1,0 0 0,0 0 0,0 0 1,0 0-1,0 1 0,0-1 0,1 0 1,-1 0-1,0 0 0,0 0 0,0 0 1,0 0-1,0 1 0,0-1 0,0 0 1,0 0-1,0 0 0,0 0 0,-1 0 1,1 0-1,0 0 0,0 1 0,0-1 1,0 0-1,0 0 0,0 0 0,0 0 1,0 0-1,0 0 0,0 0 0,0 0 1,0 1-1,-1-1 0,1 0 0,0 0 1,0 0-1,0 0 0,-6 8-1267,5-8 1111,-10 13-3529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0:14.2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985 88 2048,'39'33'-128,"-39"-33"125,0 0 0,0 0 0,0 0 0,0 0 0,0 0-1,0 0 1,0 0 0,0 0 0,0 0 0,0 0 0,0 0 0,0 0 0,0 0 0,0 0 0,0 0 0,1 0 0,-1 0-1,0 0 1,0 0 0,0 0 0,0 0 0,0 0 0,0-1 0,0 1 0,0 0 0,0 0 0,0 0 0,0 0 0,0 0 0,0 0-1,0 0 1,0 0 0,0 0 0,0 0 0,0 0 0,0 0 0,0 0 0,0 0 0,0 0 0,0 0 0,1 0 0,-1 0-1,0 0 1,0 0 0,0 0 0,0 0 0,0 0 0,0 0 0,0 0 0,0 1 0,0-1 0,0 0 0,0 0 0,0 0-1,0 0 1,-3-7-56,-7-12 14,1 9 724,0 1 0,0 1 0,-1-1 0,-1 1 0,-19-13 0,0-8 11801,1 82-11044,20-37-1215,0 1-1,0-2 0,2 3 1,-6 20-1,-5 53 348,11-49-252,-3 0-1,-25 70 1,15-57-179,3 1-1,3 0 1,-9 86-1,0-3-127,13-71 117,-2 113 0,4-22-16,5-30-110,3-25 0,-46 275 22,31-170 80,12-126-98,5 74-4,2-45 0,-5 3 0,7 179 0,-4-264 16,-2 1 0,0 0 0,-3 0 0,-1 0 0,-1 0 0,-1-1 0,-16 44 0,19-66-16,0 2 0,1-3 0,0 4 0,1-2 0,0 0 0,1 3 0,0-4 0,0 0 0,1 3 0,1-3 0,3 16 0,9 38 0,-3 2 0,3 73 0,-9-46 0,0 41 0,-2-80 0,10 59 0,-6-59 0,1 57 0,-17 98 0,8-167 0,2-3 0,7 52 0,-3-45 0,-1 62 0,-9-63 0,-1 3 0,-20 61 0,13-56 0,-8 66 0,7 93-12,7-77 259,-3-55-221,0 16-31,0 95 5,10-177 0,-1-1 0,-1 3 0,0-4 0,-1 2 0,0-1 0,-1 0 0,0 0 0,-10 19 0,12-28 1,-4 9 65,0-1 0,-6 16 0,10-23-50,1 1-1,0-1 0,0 1 1,1-2-1,-1 3 1,1-1-1,0 0 1,0-2-1,0 2 0,1 0 1,1 7-1,15 41-15,-17-52-1,0 1-1,0 0 0,1-1 0,-1 0 0,0 1 1,1 0-1,-1 0 0,0-1 0,1 1 1,-1 0-1,1-1 0,-1 1 0,1-1 1,-1 2-1,1-2 0,0 1 0,-1-1 1,1 1-1,0-1 0,-1 1 0,1-1 1,0 0-1,-1 1 0,2-1 0,26 5-129,1 1-78</inkml:trace>
  <inkml:trace contextRef="#ctx0" brushRef="#br0" timeOffset="1759.49">0 5286 19839,'10'31'189,"22"79"753,-29-101-900,1 0-1,0 1 1,2 0 0,-2-2-1,2 0 1,0 1 0,7 8-1,20 33 287,-2 22 47,-20-47-178,24 45-1,33 24-6,-44-65-118,-3 1 0,18 33 0,-35-57-56,-1 1 1,1-1 0,0 1 0,0 0-1,0-2 1,1 2 0,0-1 0,1-1-1,-1-1 1,2 0 0,-1 1 0,1 1 0,7 3-1,-14-9-15,0 0-1,1 0 1,-1 0-1,0 0 1,0 0-1,0 0 1,1 0-1,-1 0 0,0 1 1,0-1-1,0 0 1,1 0-1,-1 0 1,0 0-1,0 0 1,0 0-1,0 0 1,1 0-1,-1 0 1,0-1-1,0 1 0,0 0 1,1 0-1,-1 0 1,0 0-1,0 0 1,0 0-1,0 0 1,1 0-1,-1 0 1,0-1-1,0 1 1,0 0-1,0 0 0,0 0 1,1 0-1,-1 0 1,0-1-1,0 1 1,0 0-1,0 0 1,0-1-1,2-12 44,-4-11 20,2 24-64,-6-38-12,3 27-32,1 0-1,1-2 1,0 0-1,1-16 1,2-18-260,-2 1-1,-2 0 1,-10-57 0,-43-138-143,47 210 436,-1 2 0,-21-44 0,24 61 23,0 2 0,-1 0 0,-1 0-1,0-2 1,0 2 0,-1 2 0,0-2-1,-1 2 1,-13-12 0,29 25 14,0-2 1,0-2-1,0 2 0,0-1 0,0 0 1,0 0-1,13 1 0,55 4 400,-55-5-379,83 3 388,161-13 0,-246 7-431,54 3 103,-70-2-106,-1 0-1,0 0 1,0 0-1,1 0 1,-1 0 0,0 0-1,0 1 1,0-1-1,1 0 1,-1 0-1,0 0 1,0 0 0,1 0-1,-1 0 1,0 0-1,0 1 1,0-1 0,1 0-1,-1 0 1,0 0-1,0 0 1,0 1 0,0-1-1,0 0 1,1 0-1,-1 0 1,0 1 0,0-1-1,0 0 1,0 0-1,0 1 1,0-1-1,0 0 1,0 0 0,0 2-1,-2 8 6,-8 14-12,-3-4 6,-24 26 0,22-30 0,-1 4 0,-11 20 0,-66 140 0,-53 90 0,129-244 0,-6 10 0,-41 49 0,60-84 0,4-7 0,4-5 0,12-20 3,35-76-27,41-132-83,-68 178 125,-6 17 19,-2 1 0,16-71-1,-33 109-36,-2 7 0,-10 16 0,-12 27 0,9-5 31,12-29-15,-1 1 0,0 0 1,-1-2-1,0 1 0,-9 13 0,15-24-16,0 0 0,0 0 0,0 0 0,0 0 0,0 0 0,0-1 0,0 1 0,0 0 0,0 0 0,0 0 0,0 0 0,0-1 0,0 1 0,0 0 0,0 0 0,0 0 0,-2 0 0,2 0 0,0 0 0,0-1 0,0 1 0,0 0 0,0 0 0,0 0 0,0 0 0,-1 0 0,1 0 0,0 0 0,0 0 0,0 0 0,0-1 0,0 1 0,-1 0 0,1 0 0,0 0 0,0 0 0,0 0 0,0 0 0,0 0 0,-1 0 0,1 0 0,0 0 0,0 0 0,0 0 0,0 0 0,-1 0 0,1 0 0,0 0 0,0 1 0,0-1 0,0 0 0,0 0 0,-1 0 0,1 0 0,0 0 0,0 0 0,0 0 0,0 0 0,0 0 0,0 1 0,0-1 0,-1 0 0,1 0 0,0 0 0,0 0 0,0-10 0,2-7 0,1-2 0,-2 0 0,1-1 0,-2 1 0,-4-24 0,4 42 4,0 1-1,0-1 1,0 0-1,0 1 1,0-1-1,0 1 1,0-1-1,-1 0 1,1 1-1,0-1 1,0 1-1,-1-1 1,1 1 0,0-1-1,-1 1 1,1-1-1,-1 1 1,0-2-1,-7 5 160,-11 22 222,11-15-274,-5 8-46,-19 32 1,21-31 28,-25 31 1,22-35-33,11-12-49,0-1 1,0 0-1,0 1 0,1 1 0,-1-1 1,1 1-1,0-2 0,0 1 0,0 0 1,0 1-1,1-1 0,-2 5 0,3-8-11,0 0 0,1 0 0,-1 0 0,0 0 0,0 0 0,1 0-1,-1 0 1,0 0 0,0 0 0,0 0 0,1 0 0,-1 0 0,0 0 0,0 0-1,1 0 1,-1 0 0,0 0 0,0 0 0,0 0 0,1-1 0,-1 1 0,0 0 0,0 0-1,0 0 1,0 0 0,1-2 0,-1 2 0,0 0 0,0 0 0,0 0 0,0-1-1,0 1 1,0 0 0,1 0 0,-1 0 0,0-1 0,0 1 0,0 0 0,0-1 0,8-7-56,14-25 1363,1 2-3331,12-11-9792,49-50 0,-61 69 11814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33.97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3 534 22271,'0'0'128,"4"1"0,10 3-24,0-1 0,0 0-1,0-1 1,25 0-1,65-5 275,-23 0-228,-59 3-166,14 1 54,0-3 1,43-6-1,-69 7-264,0-1 0,-1-1 0,1 1 0,-1-2 1,1 1-1,-1-1 0,0-1 0,-1 0 0,1 0 0,-1 0 0,0-1 0,13-13 0,-1-3-3059</inkml:trace>
  <inkml:trace contextRef="#ctx0" brushRef="#br0" timeOffset="265.5">1 157 24191,'0'0'0,"30"37"0,1-16 0,14 0 0,15-5 0,12-6 0,11-12 0,9-11-1024,10-35 128,8-27 0,101-49-14207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23.4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388 0 17023,'0'0'256,"-3"4"-106,-5 7 6,1 0 1,1 0-1,0 1 1,0 0-1,1 0 0,1 0 1,0 0-1,-3 20 1,-18 148 1635,-7 38-523,2-25-640,-30 289 374,56-459-960,0-1-1,-1 1 1,-2-1 0,0 0-1,-1-1 1,-1 1 0,-1-2-1,-1 1 1,-27 36 0,-30 28 191,68-85-234,0 0 0,0 0 0,0 1 0,0-1 0,0 0 0,0 0 0,0 1 0,0-1 0,-1 0 0,1 0 0,0 0 0,0 1 0,0-1 0,0 0 0,-1 0 1,1 0-1,0 1 0,0-1 0,0 0 0,-1 0 0,1 0 0,0 0 0,0 0 0,-1 0 0,1 0 0,0 0 0,0 0 0,-1 1 0,1-1 0,0 0 0,0 0 0,-1 0 0,1 0 0,0-1 0,0 1 0,-1 0 0,1 0 0,0 0 0,0 0 0,-1 0 0,1 0 0,0 0 0,0 0 0,0 0 0,-1-1 0,1 1 0,0 0 0,0 0 0,0 0 0,-1 0 0,1-1 0,0 1 0,0 0 0,0 0 0,0 0 0,0-1 0,-1 1 0,1 0 0,0 0 0,0-1 0,0 1 0,0 0 0,-2-20-267,1 18 171,2-28-900,0 1 1,2 0 0,7-31-1,0-2-2553,-2 4-7373</inkml:trace>
  <inkml:trace contextRef="#ctx0" brushRef="#br0" timeOffset="546.07">142 89 19967,'-2'90'0,"8"-105"19,-3 5 8,0 0 1,1 0-1,8-16 0,-7 21 25,0 0 0,0 0 0,0 0 0,1 1 0,0-1 0,0 2 0,0-1 0,0 0 0,1 1 0,-1 1 0,1-1 0,0 1 0,0 0 0,0 0 0,0 1 0,0 0 0,0 0 0,0 1 0,9 0 0,6 1 26,0 0 0,0 2 0,0 1 0,41 12 0,-11 3 85,-1 2 1,78 43-1,-87-38-70,-1 1-1,70 61 1,-100-79-43,-1 1 1,0 0-1,-1 1 1,0 0-1,14 22 1,-21-29-30,1 1 0,-1-1 0,0 0 0,0 1 0,-1-1 0,0 1 1,1 0-1,-1-1 0,-1 1 0,1 0 0,-1 0 0,0 0 0,0-1 0,0 1 1,-1 0-1,1 0 0,-1-1 0,0 1 0,-1 0 0,-3 8 0,-4 2 7,0-1-1,-1 0 1,0-1-1,-1 0 1,-1-1-1,0 0 1,0 0-1,-1-2 1,-24 16-1,-11 4 81,-81 36 0,66-36-174,-86 38 247,127-60-396,0 0 0,0-2 0,-1-1 0,-43 5 0,65-10 113,0 0-1,0 1 1,0-1-1,0 0 1,0 0-1,0 0 1,0-1-1,0 1 1,0 0 0,0 0-1,0 0 1,0-1-1,1 1 1,-1-1-1,0 1 1,-1-1-1,1 0 62,1 1 0,0 0 0,0-1 0,0 1 0,-1 0 0,1-1 1,0 1-1,0-1 0,0 1 0,0-1 0,0 1 0,0 0 0,0-1 0,0 1 0,0-1 0,0 1 0,0-1 0,0 1 0,0 0 0,0-1 0,0 1 0,1-1 0,-1 1 0,0 0 0,0-1 0,4-5-393,-1 1 1,1 0-1,0 0 1,5-6-1,1 0-1353,10-14-8901</inkml:trace>
  <inkml:trace contextRef="#ctx0" brushRef="#br0" timeOffset="1449.32">964 1071 20735,'0'0'128,"0"5"0,-25 98 573,14-66-475,-10 68-1,19-67-122,5 68-1,0-6 56,-4-89-146,-1-1 0,0 0 1,0 1-1,-1-1 0,0 0 0,-1 0 0,0-1 0,-1 1 1,0-1-1,0 0 0,-11 13 0,7-8-9,1 4-306,8-16 205,-1 0-1,0 0 1,1 0-1,-1 0 1,0 0-1,0 0 1,-1-1-1,1 1 1,0 0-1,-3 2 1,3-3-434,1-1 494,0 0 0,0 0 1,0 0-1,-1 0 0,1 0 0,0 0 0,0 0 0,0 0 0,0 0 0,0 0 0,0 0 0,0 0 0,-1 0 0,1 0 0,0 0 0,0 0 0,0 0 0,0-1 0,0 1 0,0 0 0,-1-1-569,0-8-362,2-11-64,-1 20 1024,14-73-4001,-5 36-4822</inkml:trace>
  <inkml:trace contextRef="#ctx0" brushRef="#br0" timeOffset="2162.95">903 1095 16639,'-2'46'0,"0"-45"0,-1-7 0,-3-9 0,6 7 63,0 1 0,0-1 0,1 0 0,0 1 0,0-1-1,0 1 1,1 0 0,1-1 0,2-6 0,7-29 332,-11 41-327,-1-1 0,1 0 0,0 1 1,0-1-1,0 1 0,0-1 0,0 1 0,1-1 0,-1 1 0,1 0 0,0 0 0,-1 0 0,1 0 0,0 0 0,0 0 0,0 0 0,1 0 0,-1 1 0,0-1 0,1 1 0,-1 0 0,0 0 0,1 0 0,0 0 0,-1 0 0,1 0 0,0 1 0,-1-1 0,1 1 0,4 0 0,9-1 33,-1 2-1,1 0 1,0 0 0,20 6-1,-1-1 211,-24-4-238,1 0 0,0 1-1,-1 0 1,0 1 0,0 0-1,0 1 1,0 1 0,19 12 0,-24-14-21,0 0-1,-1 0 1,0 1 0,0 0 0,0 0 0,0 0 0,-1 0-1,0 1 1,0 0 0,0 0 0,-1 0 0,0 0 0,0 1-1,0-1 1,-1 1 0,3 12 0,-5-13-4,0 0-1,0 1 1,0-1-1,-1 0 1,0 0-1,0 1 1,-1-1-1,-3 10 1,-23 45 292,21-49-297,0-1 1,-1 0-1,0 0 0,0-1 1,-1 0-1,-14 11 0,-66 46 166,50-41-198,-56 24-1,94-49-10,1-1-1,-1 0 1,0 0-1,0 1 0,1-1 1,-1 1-1,0-1 1,1 0-1,-1 1 0,0-1 1,1 1-1,-1 0 1,1-1-1,-1 1 0,1-1 1,-1 1-1,1 0 1,-1-1-1,0 3 0,2-3-1,-1 0-1,0 1 1,0-1-1,0 1 0,1-1 1,-1 0-1,0 1 1,1-1-1,-1 0 0,0 1 1,1-1-1,-1 0 1,0 1-1,1-1 0,-1 0 1,1 0-1,-1 0 1,1 1-1,-1-1 0,0 0 1,1 0-1,-1 0 1,1 0-1,0 0 0,37 5-144,-34-5 137,216 22-235,-155-14 212,32 10-39,-16-1 16,-80-17 56,0 0 0,0 0 0,0 0 0,0 0 0,0 0 0,0 0 0,0 0 0,0 0 0,0 1 0,0-1 0,0 1 0,-1-1 0,1 0 0,0 1 0,0-1 0,0 1 0,0 0 0,-1-1 0,1 1 0,0 0 0,-1-1 0,1 1 0,0 0 0,0 1 0,-2-2 0,1 1 0,-1 0 0,0 0 0,0 0 0,1 0 0,-1-1 0,0 1 0,0 0 0,0-1 0,0 1 0,1-1 0,-1 1 0,0-1 0,0 1 0,0-1 0,0 0 0,0 1 0,0-1 0,-1 0 0,1 0 0,0 0 0,0 0 0,0 0 0,-1 0 0,-51 9 23,1 2 0,1 2-1,-88 35 1,111-36-16,0 1 1,1 2-1,0 1 0,2 1 1,0 1-1,0 1 0,-41 43 1,53-48-33,6-7-185,-1 1 0,2 0 0,-1 1 1,1-1-1,0 1 0,-8 18 0,14-26 104,-1 0 1,1 0-1,-1 0 0,1 0 0,0 0 0,-1 0 0,1 0 1,0 0-1,0 0 0,0 0 0,0 0 0,0 0 0,0 0 1,0 0-1,0 0 0,1 0 0,-1 0 0,0 0 0,1 0 0,0 1 1,-1-1 39,1-1 0,-1 1-1,1 0 1,0-1 0,0 0 0,-1 1 0,1-1 0,0 1 0,0-1 0,-1 0 0,1 1 0,0-1 0,0 0 0,0 0 0,-1 0 0,1 0 0,0 0 0,0 0 0,1 0-1,2 0-394,1-1 1,-1 1-1,1-1 0,-1 0 0,1-1 0,-1 1 0,7-4 0,17-11-9011</inkml:trace>
  <inkml:trace contextRef="#ctx0" brushRef="#br0" timeOffset="2776.77">1750 881 22271,'-25'34'0,"21"-6"363,-5-6-250,2 1 0,1 0 0,1 1 0,1-1 0,-1 34 0,6 120 349,-1-171-450,9 426 265,-10-370-1898</inkml:trace>
  <inkml:trace contextRef="#ctx0" brushRef="#br0" timeOffset="3102.16">2062 1444 22143,'0'0'0,"0"31"0,3-3 0,0 5 0,-1-5 0,1-6 0,-2-5 0,-1-1-128,0-4 128,0-4-1408,11-6 0,3-7 0,4-17 1</inkml:trace>
  <inkml:trace contextRef="#ctx0" brushRef="#br0" timeOffset="3311.29">2112 859 22783,'3'29'0,"2"18"0,-2-36 0,-2-23-640,-1 4 0,0-1-1792,13-2 128,7 1 1281,13-10-9473</inkml:trace>
  <inkml:trace contextRef="#ctx0" brushRef="#br0" timeOffset="3927.91">2347 1398 23551,'0'155'-277,"-11"-63"21,12-87 124,1-5 87,2-5 9,0-8-10,0 0 0,3-21 1,-4 20 5,0 0 0,8-23 1,0 13 9,1 0 0,1 1 0,2 0 0,25-32 0,-35 50 30,0-1 0,0 1 0,0 0 0,1 0 0,0 0 0,0 1 0,0 0 0,0 0 0,1 0 0,0 1 0,-1 0 0,1 0 0,9-2 0,-11 5 0,-1-1 0,0 0 0,0 1 0,1 0 0,-1 0 0,0 0 0,0 1 0,1 0 0,-1-1 0,0 1 0,0 1 0,0-1 0,0 1 0,0-1 0,0 1 0,-1 0 0,1 0 0,0 1 0,-1-1 0,0 1 0,1 0 0,-1 0 0,0 0 0,3 4 0,5 9 6,1 0-1,-2 1 1,0 1-1,-1-1 1,-1 1-1,9 31 1,-4-1 92,12 71 0,-24-109-91,0 0 0,0 0-1,-1 0 1,-1 15 0,1-21-44,-1 1 1,0-1-1,0 1 0,0-1 1,-1 1-1,0-1 1,0 0-1,0 0 0,0 0 1,0 0-1,-6 7 1,8-11 4,-1 0-1,1 1 1,0-1 0,0 0 0,0 0 0,-1 1 0,1-1 0,0 0 0,0 1-1,-1-1 1,1 0 0,0 0 0,-1 0 0,1 1 0,0-1 0,0 0 0,-1 0-1,1 0 1,-1 0 0,1 0 0,0 0 0,-1 0 0,1 0 0,0 1 0,-1-1 0,1 0-1,0 0 1,-1-1 0,1 1 0,0 0 0,-1 0 0,1 0 0,0 0 0,-1 0-1,1 0 1,-1-1 0,-6-13-806,2-24-221,5 37 1009,-3-48-2958,1-1-7829</inkml:trace>
  <inkml:trace contextRef="#ctx0" brushRef="#br0" timeOffset="4714.63">3034 1553 21887,'-12'-9'27,"9"7"-13,1 1-1,-1-1 0,1 0 0,-1 0 0,1 0 0,-1 0 1,1 0-1,0-1 0,0 1 0,0 0 0,0-1 0,1 0 1,-1 1-1,1-1 0,0 0 0,-1 0 0,1 0 0,-1-6 1,2 5 1,0 0 1,-1 1 0,0-1-1,1 0 1,-1 0 0,0 1-1,-1-1 1,1 0-1,-1 1 1,0-1 0,1 1-1,-2 0 1,1-1 0,-3-2-1,4 6-15,0-1 0,0 1 0,0 0 0,0 0 0,0-1 0,0 1 0,0 0 0,0 0 0,0 0 0,0 0 0,0 0 0,0 1 0,0-1 0,0 0 0,1 0 0,-1 1 0,0-1 0,0 0 0,0 1 0,0-1 0,0 1 0,0-1 0,0 1 0,0 0 0,-22 17 0,18-13 0,1 1 0,-1 0 0,2 0 0,-1 0 0,0 0 0,1 0 0,0 1 0,1-1 0,-1 1 0,1 0 0,1 0 0,-1 0 0,1 0 0,0 0 0,1 0 0,0 0 0,0 0 0,0 0 0,1 0 0,0 0 0,0 0 0,1 0 0,0 0 0,4 9 0,-5-14 2,-1 0-1,1-1 0,0 1 0,0 0 0,0-1 1,0 1-1,0-1 0,0 0 0,1 1 1,-1-1-1,0 0 0,1 0 0,-1 1 1,1-1-1,-1 0 0,1-1 0,0 1 0,-1 0 1,1 0-1,0-1 0,2 1 0,-1 0 8,0-1-1,0 0 1,0 0-1,-1-1 1,1 1-1,0-1 1,0 1-1,0-1 1,0 0-1,0 0 1,-1 0-1,4-2 1,5-4 36,1 0 0,-1-1 0,-1 0 0,17-16 0,-10 6-21,-1 0 1,-1-1-1,-1-1 0,22-39 1,35-93 112,-44 90-119,42-109 20,-59 141-21,-2 0 0,-1 0 1,5-61-1,-10 61 26,1 7 42,-2 0 0,-3-38 1,-2 54-52,-1 14 1,-3 16 2,-2 46-37,3 1 0,3 123 0,4-74 22,-2-26-22,-5 1 0,-3-1 0,-27 107 0,36-197-813,3-10 250,4-14-2883,1-10-9161</inkml:trace>
  <inkml:trace contextRef="#ctx0" brushRef="#br0" timeOffset="5809.99">3700 657 22271,'-12'34'44,"-5"24"190,10 22-165,3 0 0,8 104 0,-1-80-42,1 15-60,0 170-318,-4-282 192,-1 7-494,1 1 1,3 16-1,-2-26-278,0 0 1,0 0-1,0-1 0,1 1 1,4 8-1</inkml:trace>
  <inkml:trace contextRef="#ctx0" brushRef="#br0" timeOffset="6411.12">3836 1622 20095,'27'-6'6,"-1"-1"-1,1-1 0,-1-1 1,-1-1-1,0-2 0,47-29 1,-56 31-1,-1-2 1,-1 0 0,0 0 0,0-2 0,-1 1-1,-1-2 1,0 0 0,-1 0 0,0-1-1,-2 0 1,9-19 0,-15 28 13,1-1 1,-1 1-1,0-1 0,-1 0 1,0 0-1,0 0 0,-1 0 0,0 0 1,0 0-1,-1 0 0,0-1 1,-1 1-1,0 0 0,0 0 1,0 0-1,-1 0 0,0 0 0,-1 0 1,0 1-1,-4-9 0,5 13-3,0 0-1,0 0 1,-1 0-1,1 1 1,-1-1-1,0 0 1,0 1-1,0 0 1,0 0-1,0 0 1,-1 0-1,1 0 1,0 0-1,-1 1 1,-6-2-1,-7-2 19,0 2-1,-19-3 1,33 5-20,-6 0-3,1 1 0,-1-1-1,1 1 1,-1 1 0,1-1 0,-1 1-1,1 1 1,0 0 0,0 0 0,-1 0 0,1 1-1,-15 8 1,14-5-9,0 0 1,0 1-1,0 0 0,1 0 0,0 1 0,0 0 1,1 0-1,0 1 0,-6 9 0,2 1-3,0 1 0,2 0-1,0 0 1,1 1 0,1 0 0,1 1-1,1-1 1,1 1 0,-1 31-1,3-24 2,2 32 0,1-52 0,0 1 0,0-1 0,1 0 0,1 0 0,-1-1 0,1 1 0,7 14 0,-3-10 0,1 0 0,0-1 0,1 1 0,0-2 0,1 1 0,12 11 0,-17-19 0,0 0 0,1 0 0,-1 0 0,1-1 0,0 1 0,0-1 0,0-1 0,0 1 0,0-1 0,1 0 0,-1-1 0,1 1 0,-1-1 0,1-1 0,0 1 0,8-1 0,-5-1-33,1-1 0,-1 0-1,1 0 1,-1-1 0,0 0-1,0-1 1,0 0 0,-1-1-1,1 0 1,-1 0 0,0-1-1,-1 0 1,1-1 0,12-12-1,3-8-1257,0 0 0,37-60 0,-58 83 1099,22-33-11114</inkml:trace>
  <inkml:trace contextRef="#ctx0" brushRef="#br0" timeOffset="6673.08">4464 1378 22911,'0'0'0,"12"33"0,-7-16 0,3-1-128,-4-4 128,1 1-640,-2-4 0,0-1-1408,7-8 128,2-5 129,1-14 127</inkml:trace>
  <inkml:trace contextRef="#ctx0" brushRef="#br0" timeOffset="6862.55">4636 677 18303,'3'-25'0,"3"-17"128,-3 11 0,0 4 128,-6 7 128,0 4 0,-1 7 0,-4 6 0,1 21 0,-4 12-256,2 3 0,0 1-512,6 2 128,7-4-768,-1-6 128</inkml:trace>
  <inkml:trace contextRef="#ctx0" brushRef="#br0" timeOffset="7394.25">5138 1176 19967,'-2'0'0,"0"-1"0,-1 1 0,1 0 0,-1 0 0,1 0 0,-1 0 0,1 0 0,-1 1 0,1-1 0,-1 1 0,1-1 0,0 1 0,-4 2 0,1 0 0,1-1 0,0 2 0,0-1 0,1 0 0,-7 8 0,-4 4 29,0 0-1,-2 0 1,1-2-1,-2 0 1,0 0-1,-1-2 1,0 0-1,-21 9 0,38-20-28,0 0 0,1 0 0,-1 0 0,1 1 0,-1-1 0,1 0 0,-1 0 0,1 1 0,0-1 0,-1 0 0,1 0 0,-1 1 0,1-1 0,-1 1 0,1-1 0,0 0 0,-1 1 0,1-1 0,0 1 0,0-1 0,-1 1 0,1-1 0,0 1 0,0-1 0,0 1 0,-1-1 0,1 1 0,0-1 0,0 1 0,0-1 0,0 1 0,0 0 0,0-1 0,0 1 0,0-1 0,1 2 0,0 0 0,0 0 0,0-1 0,0 1 0,0 0 0,1 0 0,-1 0 0,1-1 0,-1 1 0,4 2 0,6 4 0,0 0 0,14 7 0,-2-3 7,-8-4-9,0 0 0,-1 0 0,0 2 0,22 18 0,-33-25 8,1 1 1,-1-1 0,0 1 0,-1 0 0,1 0 0,-1 0 0,1 0 0,-1 0 0,0 0 0,-1 1 0,1-1 0,-1 1 0,0 0 0,0-1 0,0 1 0,-1 0 0,0-1 0,1 1 0,-2 0 0,1-1 0,-2 10 0,-2-3 52,0-1 0,-1 1 0,0-1 0,-1 1 0,0-1 0,0-1 0,-1 1 1,-16 15-1,9-8 49,1 0-60,-42 45 558,49-56-738,1-1 0,-2 0 0,1 0 0,0 0 0,-1-1 0,0 0 0,0-1 0,-9 4 0,3-6-1183</inkml:trace>
  <inkml:trace contextRef="#ctx0" brushRef="#br0" timeOffset="7754.87">5597 414 22399,'-24'22'3,"15"-14"18,0-1 0,0 0-1,-1 0 1,-13 7 0,21-12-7,0-1 0,0 1 0,0 0 0,1 0-1,-1-1 1,1 1 0,-1 0 0,1 1 0,0-1 0,0 0 0,0 0 0,0 0 0,0 1-1,0 2 1,-12 45 56,9-29-49,-21 78 12,-32 141 94,45-174-90,-7 114 0,28 255-37,-9-427-325,1 0 0,1-1-1,-1 1 1,1 0 0,5 13-1,-7-20 271,1 0 0,-1 0-1,1 0 1,-1 0 0,1 0-1,-1-1 1,1 1 0,0 0-1,-1 0 1,1 0 0,0 0-1,0-1 1,0 1 0,-1 0-1,1-1 1,0 1 0,0-1-1,0 1 1,0-1 0,0 1-1,0-1 1,0 0 0,0 1-1,1-1 1,-1 0 0,0 0-1,0 0 1,0 0 0,0 0-1,0 0 1,0 0 0,0 0-1,0 0 1,0 0 0,0-1-1,1 1 1,-1 0 0,0-1-1,0 1 1,0-1 0,-1 1-1,1-1 1,0 0 0,0 1-1,0-1 1,0 0 0,1-1-1,13-13-3122</inkml:trace>
  <inkml:trace contextRef="#ctx0" brushRef="#br0" timeOffset="7942.92">5436 1167 19839,'0'0'0,"22"37"0,-5-12 0,3 3 0,-2-6 0,2-1-512,0-6 0,-1-7-512,22 14-11519</inkml:trace>
  <inkml:trace contextRef="#ctx0" brushRef="#br0" timeOffset="8504.23">5888 1137 21759,'-4'25'0,"1"0"0,1 0 0,1 0 0,4 36 0,-1-24 0,-4 41 0,1-54 0,1 1 0,1 0 0,2-1 0,0 1 0,1-1 0,2 0 0,9 27 0,-15-51 0,0 1 1,0 0-1,0-1 0,0 1 0,0-1 0,1 1 0,-1 0 0,0-1 0,1 1 0,-1-1 1,0 1-1,1-1 0,-1 1 0,1-1 0,-1 1 0,0-1 0,1 1 0,-1-1 0,1 0 0,-1 1 1,1-1-1,0 0 0,0 1 0,-1-1 0,1 0 0,0 0 0,-1-1 0,1 1 1,-1 0-1,1 0 0,-1-1 0,1 1 0,-1 0 0,1 0 0,-1-1 0,1 1 1,-1 0-1,1-1 0,-1 1 0,0-1 0,1 1 0,-1-1 0,0 1 1,1-1-1,15-31-24,-16 31 21,72-147-198,-10 22 61,81-174-138,-138 291 278,0 0 0,0 1 0,1 0 0,9-10 0,-14 16 0,1 0 0,-1 1 0,1-1 0,0 1 0,-1-1 0,1 1 0,0 0 0,0 0 0,0-1 0,0 1 0,0 1 0,0-1 0,0 0 0,0 0 0,0 1 0,0-1 0,0 1 0,1 0 0,-1 0 0,0 0 0,0 0 0,1 0 0,-1 0 0,0 0 0,3 1 0,-4 0 2,0 0 0,0-1-1,1 1 1,-1 0 0,0 0 0,0 0-1,0 0 1,0 0 0,0 0-1,0 0 1,-1 0 0,1 0-1,0 0 1,0 0 0,-1 1 0,1-1-1,-1 0 1,1 1 0,-1-1-1,1 0 1,-1 1 0,0-1-1,0 0 1,0 1 0,0-1 0,0 2-1,-5 42 82,3-33-62,-99 576 597,100-575-684,1 0-526</inkml:trace>
  <inkml:trace contextRef="#ctx0" brushRef="#br0" timeOffset="9121.13">6594 1167 22143,'1'7'107,"1"5"-79,0-1 1,1 0-1,0 0 1,1 0-1,6 13 1,-8-17 1,1 0 1,-1 0-1,-1 0 0,1 0 1,-1 0-1,0 1 1,-1-1-1,0 9 1,3 21 57,0 6-88,-3-43 0,0 1 0,1 0 0,-1-1 0,1 1 0,-1 0 0,1-1 0,-1 1 0,1-1 0,-1 1 0,1-1 0,0 1 0,-1-1 0,1 0 0,0 1 0,-1-1 0,1 0 0,0 1 0,-1-1 0,1 0 0,0 0 0,0 0 0,-1 1 0,1-1 0,0 0 0,0 0 0,-1 0 0,2-1 0,-1 2 0,1-1 0,-1 0 0,0 0 0,0 0 0,0 0 0,1 0 0,-1-1 0,0 1 0,0 0 0,0 0 0,1-1 0,-1 1 0,0-1 0,0 1 0,0-1 0,0 1 0,0-1 0,2-1 0,0-5-21,0 0-1,0 1 0,-1-1 0,0-1 1,3-13-1,5-17-104,28-63-311,70-129 0,-104 223 433,0 0 1,0 1 0,0-1-1,1 1 1,0 0 0,1 0-1,10-9 1,-14 13 3,0 1 0,0-1 1,1 1-1,-1 0 0,1 0 0,-1 0 0,1 0 1,-1 0-1,1 0 0,0 0 0,-1 1 0,1 0 1,0-1-1,0 1 0,-1 0 0,1 0 0,0 1 1,0-1-1,-1 0 0,1 1 0,0 0 0,-1-1 1,1 1-1,-1 0 0,1 1 0,2 0 0,2 3 0,1 0 0,-1 1 0,-1 0 0,1 0 0,-1 0 0,0 1 0,0 0 0,-1 0 0,0 0 0,0 1 0,-1 0 0,6 13 0,2 11 0,17 63 0,-28-90 0,22 84-138,11 104-1,-33-181-106,-1-10 130,0 0 0,0 0 1,0 0-1,0 0 0,1 1 1,-1-1-1,1 0 0,-1 0 1,1-1-1,0 1 0,2 4 1,-3-6 90,0 0 0,0 0 1,0 0-1,0 0 0,0 0 0,0 0 1,0 1-1,0-1 0,0 0 0,0 0 1,0 0-1,0 0 0,1 0 0,-1 0 1,0 0-1,0 0 0,0 0 0,0 0 1,0 0-1,0 0 0,0 0 0,0 1 1,1-1-1,-1 0 0,0 0 1,0 0-1,0 0 0,0 0 0,0 0 1,0 0-1,1 0 0,-1 0 0,0 0 1,0-1-1,0 1 0,0 0 0,0 0 1,0 0-1,0 0 0,1 0 0,-1 0 1,0 0-1,0 0 0,0 0 0,0 0 1,0 0-1,0 0 0,0 0 0,0-1 1,0 1-1,0 0 0,0 0 1,1 0-1,-1 0 0,0 0 0,0 0 1,0 0-1,0 0 0,0-1 0,0 1 1,0 0-1,0 0 0,0 0 0,0 0 1,0 0-1,0 0 0,0-1 0,1-8-2756</inkml:trace>
  <inkml:trace contextRef="#ctx0" brushRef="#br0" timeOffset="9842.64">7795 931 22399,'-50'31'22,"50"-31"-21,-1 0 0,1 1 0,-1-1 0,1 0 0,0 1 1,-1-1-1,1 0 0,-1 1 0,1-1 0,-1 0 0,1 0 1,-1 0-1,1 0 0,-1 1 0,0-1 0,1 0 0,-1 0 1,1 0-1,-1 0 0,1 0 0,-1 0 0,1 0 0,-1-1 0,1 1 1,-1 0-1,1 0 0,-1 0 0,1 0 0,-1-1 0,1 1 1,-1 0-1,1 0 0,-1-1 0,1 1 0,-1 0 0,1-1 1,0 1-1,-1-1 0,1 1 0,0-1 0,-1 1 0,1 0 1,0-1-1,0 1 0,-1-1 0,1 1 0,0-1 0,0 1 0,-1-2 1,2-28 41,0 22-38,-1 7-5,-1 0 0,1 0 0,-1 0 0,1 0 0,-1 0 0,1 0 0,-1 0 0,1 0 0,-1 0 0,0 0 0,1 0 0,-1 0 0,0 1 0,0-1 0,0 0 0,0 1 0,0-1 0,0 1 0,0-1 0,0 1 0,-2-1 0,-26-10 0,22 9 0,-7-3 3,7 1 5,0 1 0,-1 1 0,1-1 0,-1 1 0,0 1 0,1-1 0,-1 1 0,0 1 0,0-1 0,0 1 0,0 1 0,-7 1 0,4 1 5,1 0 0,0 1 0,0 1 0,1 0-1,-1 0 1,1 1 0,0 0 0,1 0 0,-1 1 0,1 0 0,-7 9 0,12-12-9,-1-1 1,1 2 0,0-1 0,0 0-1,1 1 1,-1-1 0,1 1-1,0 0 1,0-1 0,1 1 0,-1 0-1,1 0 1,0 0 0,1 0-1,-1 1 1,1-1 0,0 0 0,0 0-1,1 0 1,-1 0 0,1 0-1,0 0 1,1 0 0,-1 0 0,3 6-1,5 5-17,-1 0 1,2-1-1,0-1 0,1 0 0,0 0 1,1-1-1,0-1 0,1 0 0,21 15 0,-29-24 13,0 1 0,1-1 0,-1-1 0,1 1 0,-1-1 0,1 0 0,0 0 0,0-1 0,0 1 0,0-1 0,0-1 0,12 1 0,-14-1 0,0-1 0,0 0 0,0 1 0,0-1 0,0-1 0,0 1 0,0-1 0,0 1 0,-1-1 0,1 0 0,-1 0 0,1-1 0,-1 1 0,0-1 0,0 1 0,0-1 0,0 0 0,0-1 0,4-5 0,7-10 123,-9 13-30,-9 13-31,-42 74 151,9-22-1,-52 116 0,64-118 30,-4-1 1,-60 91 0,81-138-255,1 0 0,-1-1 0,0 0 0,-1 0 0,1-1 0,-18 11 1,19-14-544,0 0 0,0-1 0,-1 1 0,1-2 0,-1 1 0,-9 1 0,-4-5-3605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1:47.2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861 212 18175,'0'0'662,"-4"-5"-406,-14-17 337,-19-34 0,-13-17 397,47 69-902,0 1 1,0 0 0,-1 0-1,1 0 1,-1 0 0,0 0-1,0 1 1,0 0 0,0 0 0,0 0-1,-1 0 1,1 1 0,-7-2-1,-4 0-20,-1 0 0,-25 0 0,21 2 1,9 1-38,0 1-1,1 0 1,-1 0-1,1 1 1,0 0-1,-1 1 1,1 0-1,-15 7 1,-5 4 34,-40 26 1,28-14 47,2 2 1,-70 64 0,97-78-87,0 1 0,1 1 0,1 0 0,0 0 0,1 1 0,1 1 0,1-1 1,-10 32-1,0 11 64,-14 84 1,-6 128-23,34-217-57,2 1 1,12 106-1,9-52-12,-16-98 0,1-1 0,0 1 0,0-1 0,1 0 0,0 0 0,1-1 0,8 12 0,-12-20 0,0-1 0,0 1 0,0 0 0,1-1 0,-1 1 0,0-1 0,1 0 0,-1 0 0,1 0 0,-1 0 0,1 0 0,2 0 0,36 6 0,-31-6 0,-3 0 0,0 0 0,0-1 0,0 0 0,0-1 0,0 1 0,0-1 0,0-1 0,8-1 0,3-4 0,29-14 0,-27 12 0,6-3 12,0-2 0,-1 0-1,0-2 1,-2 0-1,0-2 1,0-1 0,-2 0-1,-1-2 1,0 0 0,16-24-1,45-83-16,-68 104 12,-1-1-1,0-1 1,10-37 0,-10 15 74,-1-1 0,-3 0 1,3-59-1,-10 71-32,-1 1 0,-2-1 0,-2 1-1,-1 0 1,-10-38 0,7 45-31,-30-103 199,27 110-432,11 22 130,0 0 0,-1-1 0,1 1 0,0 0 0,0 0 0,-1-1 0,1 1 0,0 0 0,0 0 0,-1 0 1,1-1-1,0 1 0,-1 0 0,1 0 0,0 0 0,-1 0 0,1 0 0,0 0 0,-1 0 0,1-1 0,0 1 0,-1 0 0,1 0 0,0 0 0,-1 0 0,1 0 0,0 1 0,-1-1 0,1 0 0,0 0 1,-1 0-1,1 0 0,0 0 0,-1 0 0,1 0 0,0 1 0,0-1 0,-1 0 0,1 0 0,0 1 0,-1-1 0,1 0 0,0 0 0,0 1 0,0-1 0,-1 0 0,1 0 0,0 1 0,0-1 1,0 0-1,0 1 0,0-1 0,-1 0 0,1 1 0,0-1 0,0 0 0,0 1 0,0-1 0,0 1 0</inkml:trace>
  <inkml:trace contextRef="#ctx0" brushRef="#br0" timeOffset="1072.51">520 656 19455,'37'0'0,"-37"-2"39,-8 5 50,3 3-13,-1-1 0,1 1 0,0 0-1,1 0 1,-1 1 0,1 0 0,1-1-1,-1 1 1,1 1 0,0-1-1,1 0 1,0 1 0,0-1 0,0 1-1,1-1 1,0 1 0,1 0 0,0 0-1,1 13 1,-1-19-47,1 0 0,0 1 0,0-1 0,0 0 0,0-1 0,0 1 0,0 0 0,0 0 0,0 0 0,1-1 0,-1 1 0,1 0 0,-1-1 0,1 0 1,0 1-1,-1-1 0,4 2 0,39 16 319,-13-6-174,-4 3-32,0 1-1,-1 1 1,30 27-1,64 72 63,-13-12 178,-78-80-284,-1 0 47,-1 0 1,41 51-1,-22-20 44,-33-41-146,0 0 0,0 1 0,-2 0 0,0 1 0,-1 0 0,11 25 0,-19-32 21,0-1-679,-2-9 581,0 0-1,0 0 0,0 0 1,1 0-1,-1 0 1,0 0-1,0 0 0,0 0 1,0 0-1,1 0 0,-1 0 1,0 0-1,0 0 1,0 0-1,0 0 0,1 0 1,-1 0-1,0 0 0,0 0 1,0 0-1,0-1 1,1 1-1,-1 0 0,0 0 1,0 0-1,0 0 0,0 0 1,0 0-1,0 0 1,1-1-1,-1 1 0,0 0 1,0 0-1,0 0 0,0 0 1,0 0-1,0-1 0,0 1 1,0 0-1,0 0 1,0-1-1,2-1-179,-1-1-1,1 0 1,-1 0-1,0 0 1,0 0 0,0 0-1,-1 0 1,1 0-1,-1 0 1,1 0-1,-1 0 1,0 0 0,-1-5-1,1 3-730,0-32-11662</inkml:trace>
  <inkml:trace contextRef="#ctx0" brushRef="#br0" timeOffset="2470.55">1708 1 20991,'-15'7'-64,"12"-5"58,0 0 1,0-1 0,0 1-1,-1-1 1,1 0 0,0 0 0,0 0-1,-1 0 1,1-1 0,-1 1 0,-3-1-1,7 0 8,0 0 0,0 0 0,-1 0 0,1 0 0,0 0 0,-1 0 0,1 1 0,0-1 0,-1 0 0,1 0 0,0 0 0,0 0 0,-1 1 0,1-1 0,0 0 0,0 0 0,-1 0 0,1 1 0,0-1 0,0 0 0,0 0 0,0 1 0,-1-1 0,1 0 0,0 1 0,0-1 0,0 0 0,0 0 0,0 1 0,0 0 0,-1 15 143,8 21 145,-6-34-275,10 38 166,6 36 150,-12-58-216,0 0 0,1-1 0,18 36 0,0 2 44,81 266 160,-88-254-198,-3 1 0,9 128 1,-18-149-41,-3-34-37,-1 1-1,0-1 0,-1 1 0,0-1 1,-4 21-1,4-34-37,0 1 1,0-1-1,-1 1 1,1-1-1,0 1 1,1-1-1,-1 1 1,0-1-1,0 0 1,1 1-1,-1-1 1,1 1-1,-1-1 1,2 3-1,-1-2 0,0 0 0,0 0 0,-1 0 0,1 0-1,-1 0 1,1 1 0,-1-1 0,1 4-1,-1-2-5,0-1 0,1 1 0,0 0 0,0 0 0,0-1 0,0 1 0,1 0 0,-1-1 0,1 0 0,0 1 0,0-1 0,0 0 0,0 0 0,1 0 0,-1 0 0,1 0 0,0-1 0,6 5 0,-5-5 11,0-1-1,0 0 0,0-1 0,0 1 1,0-1-1,1 0 0,-1 1 1,0-2-1,8 0 0,7 0 37,21 1 57,158-7 176,-173 4-280,0 1 0,0 2 0,0 1 0,0 0 0,0 2 0,24 6 0,-12-8-2601,-18-1-580,9 0-9106</inkml:trace>
  <inkml:trace contextRef="#ctx0" brushRef="#br0" timeOffset="3320.03">1733 26 18047,'0'0'512,"5"0"-384,41 6 502,68 16-1,-86-16-439,0-1-1,1-2 1,-1-1 0,44-2-1,-34-1 233,67 8 0,-26 8-49,-44-7-113,0-2-1,63 2 1,-89-8-250,-5 0 8,1-1-1,-1 1 1,0 0-1,0 1 1,0-1-1,1 1 1,-1-1 0,0 1-1,0 1 1,0-1-1,0 0 1,0 1-1,4 3 1,-8-5-15,1 0 0,-1 0 0,0 0 0,1 0 0,-1 1 0,1-1 0,-1 0 0,0 0 0,1 0 1,-1 0-1,1 0 0,-1 0 0,1 0 0,-1 0 0,0 0 0,1 0 0,-1 0 0,1-1 0,-1 1 0,0 0 0,1 0 0,-1 0 0,0 0 0,1-1 0,-1 1 1,0 0-1,1 0 0,-1-1 0,0 1 0,1 0 0,-1 0 0,1-1 0,12-15-431,-1 3-1229,-7 12 1136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05.23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0 287 12928,'0'0'2304,"4"0"-2048,5 0-99,21 0 293,-28 0-404,-1 0 0,0 0 0,1 1 0,-1-1-1,1 0 1,-1 0 0,0 1 0,1-1 0,-1 1 0,0-1-1,0 1 1,1 0 0,-1 0 0,0-1 0,0 1-1,2 2 1,-3-1 6,-1 0 1,1 0-1,0 0 0,-1 0 0,1 0 0,-1 0 1,0 0-1,0 0 0,0 0 0,0 0 1,0 0-1,0-1 0,0 1 0,-1 0 0,1-1 1,-3 3-1,-6 12 233,7-9-203,2 0 0,-1 0 0,1 1-1,0-1 1,0 0 0,1 1 0,0-1-1,1 10 1,12 65 256,-6-43-153,23 97 243,-17-81-237,9 69 1,-15-43-85,-3-25 14,2 1-1,15 57 1,-18-97-84,-2-14-21,-1-1 1,0 1-1,1 0 0,0-1 1,-1 1-1,1 0 0,0-1 1,1 1-1,-1-1 1,0 0-1,1 1 0,-1-1 1,1 0-1,0 0 0,3 4 1,-5-6-11,0 0 1,1 0 0,-1 1 0,0-1 0,1 0-1,-1 0 1,0 0 0,1 1 0,-1-1 0,1 0-1,-1 0 1,1 0 0,-1 0 0,0 0 0,1 0-1,-1 0 1,1 0 0,-1 0 0,1 0 0,-1 0-1,0 0 1,1 0 0,-1 0 0,1 0 0,-1-1-1,1 1 1,-1 0 0,0 0 0,1 0 0,-1-1-1,0 1 1,1-1 0,10-15 141,0-24-16,-10 36-124,9-41 173,21-57 0,-18 62-150,-2 0 0,8-57 0,-13 61 5,1 0-1,2 1 1,19-50-1,-18 63-4,62-160 343,-60 149-240,1 0-1,2 1 0,29-47 1,-20 46-1,-22 31-126,-1 0-1,1 0 1,-1 0 0,1 1 0,0-1-1,-1 1 1,1-1 0,0 1 0,0 0 0,0-1-1,0 1 1,0 0 0,1 0 0,2 0-1,-3 1-152,0 1-1,1-1 0,-1 1 1,0 0-1,0 0 0,0 0 1,0 0-1,0 0 0,0 1 1,0-1-1,2 3 0,19 18-5132</inkml:trace>
  <inkml:trace contextRef="#ctx0" brushRef="#br0" timeOffset="1353.47">952 276 17791,'0'0'128,"-1"-5"64,0-4 368,-1 0 0,0 1 0,-7-18 0,9 26-546,0 0-1,-1 0 1,1 0-1,0 0 1,0-1-1,0 1 1,0 0-1,0 0 0,-1 0 1,1 0-1,0 0 1,0-1-1,0 1 1,-1 0-1,1 0 1,0 0-1,0 0 0,0 0 1,-1 0-1,1 0 1,0 0-1,0 0 1,-1 0-1,1 0 1,0 0-1,0 0 0,0 0 1,-1 0-1,1 0 1,0 0-1,0 0 1,0 0-1,-1 0 1,1 1-1,0-1 0,0 0 1,0 0-1,-1 0 1,1 0-1,0 0 1,0 1-1,0-1 1,0 0-1,0 0 0,-1 0 1,1 0-1,0 1 1,0-1-1,0 0 1,0 0-1,0 0 1,0 1-1,0-1 1,0 0-1,0 0 0,0 0 1,0 1-1,0-1 1,0 0-1,0 1 1,-6 13 171,5-14-145,-10 32 242,2 2 0,0-1 1,-6 66-1,3 106-163,8-90 41,-22 124 71,23-220-228,-1 29-3,2 65 0,3-71 0,-1-39 15,0-1 0,0 1-1,0-1 1,0 1 0,-1-1-1,1 1 1,-1-1 0,1 1-1,-1-1 1,0 1 0,0-1-1,0 0 1,0 1 0,0-1-1,-4 4 1,5-39 134,5 1-167,2 0-1,1 0 0,13-34 1,-8 25-190,11-53 0,6-119-580,-1 4 274,-18 154 370,-1 1 107,-2 1 0,2-64-1,-10 113 75,0-1-1,-1 1 1,1 0 0,-1 0-1,0 0 1,1-1-1,-2 1 1,1 0-1,0 0 1,-1 0 0,0 1-1,0-1 1,-3-5-1,4 9-21,1 0 0,0 0 0,0 0-1,0 0 1,0 0 0,0 0 0,0 0-1,0 0 1,0 0 0,0 0 0,0 0 0,0 0-1,0 0 1,0 0 0,-1 0 0,1 0-1,0 0 1,0 0 0,0 0 0,0 0-1,0 0 1,0 0 0,0 0 0,0 0 0,0 0-1,-1 0 1,1 0 0,0 0 0,0 0-1,0 0 1,0 0 0,0 0 0,0 0-1,0 0 1,0 0 0,0 0 0,0 0-1,0 0 1,-1 0 0,1 0 0,0 0 0,0 0-1,0 0 1,0 0 0,0 1 0,0-1-1,0 0 1,0 0 0,0 0 0,0 0-1,0 0 1,0 0 0,0 0 0,0 0 0,0 0-1,0 0 1,0 1 0,0-1 0,0 0-1,0 0 1,0 0 0,0 0 0,0 0-1,0 0 1,0 0 0,0 0 0,0 0-1,0 0 1,0 1 0,-1 13 306,1-9-309,0-1 1,1 1-1,-1 0 1,1 0-1,2 5 1,2 0 29,0 0 1,12 16 0,5 8 42,13 37-72,33 98 0,-11-23-18,7-3 93,33 79 80,-92-209-134,-1 0-1,-1 1 1,0-1-1,-1 1 1,0 0-1,-1 26 1,-1-39-34,0 1 0,0-1 0,0 0 0,0 0 0,1 0 0,-1 0 0,0 1 0,1-1 0,-1 0 0,1 0 0,-1 0 0,1 0 0,-1 0 0,1 0 0,-1 0 0,1 0 0,0 0 0,0 0 0,0-1 0,-1 1 0,1 0 0,0 0 0,0-1 0,0 1 0,0 0 0,0-1 0,0 1 0,1-1 0,-1 0 0,0 1 0,2-1 0,-2 0-171,7-7-2858,-5 4 2623,0-1 1,0 0-1,0-1 1,3-7-1,4-7-2579</inkml:trace>
  <inkml:trace contextRef="#ctx0" brushRef="#br0" timeOffset="1854.28">922 806 19327,'0'0'1430,"5"-2"-1217,35-17 135,0 2 1,53-15-1,-83 30-306,-1 0-1,0 1 0,0 0 1,1 0-1,-1 1 0,1 0 1,16 3-1,3 2 92,31 11 1,-56-15-328,1 1 0,-1 0 0,0 0 0,-1 0 1,1 1-1,0-1 0,-1 1 0,1 0 0,-1 0 0,0 0 1,0 1-1,0-1 0,-1 1 0,4 4 0,8 11-2424,9 8-8709</inkml:trace>
  <inkml:trace contextRef="#ctx0" brushRef="#br0" timeOffset="2545.5">1657 201 21119,'-5'43'198,"3"0"1,1 0-1,2 0 0,3 0 0,1-1 0,15 63 0,64 273 79,-66-263-277,-15-91 0,-3-23 0,7 31-98,-7-30 90,0-1-1,0 1 1,1-1 0,-1 1-1,1-1 1,-1 0 0,1 1 0,0-1-1,0 0 1,0 1 0,-1-1-1,1 0 1,0 0 0,0 0-1,1 0 1,-1 0 0,0 0 0,2 1-1,-3-2-3,1 0-1,-1 0 0,1 0 1,-1 0-1,1 0 0,-1-1 0,0 1 1,1 0-1,-1 0 0,1-1 1,-1 1-1,1 0 0,-1 0 1,0-1-1,1 1 0,-1 0 0,0-1 1,1 1-1,-1-1 0,0 1 1,1-1-1,-1 1 0,0 0 1,0-1-1,0 1 0,1-1 0,-1 1 1,0-1-1,0 1 0,0-1 1,0 1-1,0-1 0,0 1 1,0-2-1,3-24-445,-2 21 315,34-270-9009,-29 217 1046</inkml:trace>
  <inkml:trace contextRef="#ctx0" brushRef="#br0" timeOffset="3869.33">1686 317 14720,'11'27'26,"-9"-17"20,-2-10-45,0 0 1,0 0-1,0 0 1,0 0-1,0 0 1,0 0-1,0-1 1,0 1-1,0 0 1,0 0 0,0 0-1,0 0 1,0 0-1,0 0 1,0 0-1,0 0 1,0 0-1,-1 0 1,1 0-1,0 0 1,0 0 0,0 0-1,0 0 1,0 0-1,0 0 1,0 0-1,0 0 1,0 0-1,0 0 1,0 0-1,0 0 1,0 0 0,0 0-1,0 0 1,-1 0-1,1 0 1,0 0-1,0 0 1,0 0-1,0 0 1,0 0 0,0 0-1,0 0 1,0 0-1,0 0 1,0 0-1,0 0 1,0 0-1,0 0 1,-87-119 2686,86 119-2652,1-1-1,0 1 1,-1 0 0,1-1 0,0 1-1,0 0 1,-1-1 0,1 1 0,0 0-1,0-1 1,-1 1 0,1-1 0,0 1 0,0 0-1,0-1 1,0 1 0,0-1 0,-1 1-1,1-1 1,0 1 0,0-1 0,0 1-1,0 0 1,0-1 0,1 1 0,-1-1-1,0 1 1,0-1 0,0 1 0,0-1-1,0 1 1,1 0 0,-1-1 0,0 1 0,0-1-1,1 1 1,-1 0 0,0-1 0,0 1-1,1 0 1,-1-1 0,1 1 0,20-9 1279,-12 6-1267,0-1 30,0 1 0,0 0 1,0 0-1,0 1 0,1 0 0,-1 1 1,0 0-1,1 0 0,-1 1 0,1 0 0,-1 1 1,1 0-1,-1 0 0,15 5 0,128 46 464,-128-42-475,-2 1-1,0 1 1,0 1-1,26 21 1,-44-31-59,-1 0-1,0 0 1,0 0-1,-1 1 1,1-1 0,-1 1-1,1-1 1,-1 1-1,0 0 1,-1 0 0,1 0-1,-1 0 1,1 0-1,-1 1 1,-1-1 0,1 0-1,0 7 1,-1 5 25,0 0 1,-2 0 0,-4 22 0,4-22-29,0-8 11,1-1-1,-1 1 0,-1-1 1,1 0-1,-1 1 0,-1-1 1,-4 7-1,6-10-5,0-1 1,-1 0-1,1 1 0,-1-1 1,0 0-1,0-1 0,0 1 0,0 0 1,0-1-1,0 0 0,-1 1 1,0-1-1,1-1 0,-8 4 1,7-5-3,0 1 0,-1-1 0,1 0 0,0-1 0,0 1 0,0 0 0,-1-1 0,1 0 0,-6-2 0,-22-3 18,31 6-26,0 1 0,1-1 0,-1 0 0,0 1 0,0-1 0,1 1 0,-1-1 0,0 1 0,1-1 0,-1 1 0,1 0 0,-1-1 0,1 1 0,-1 0 0,1 0 0,-1-1 0,1 1 0,-1 0 0,1 0 0,0-1 0,-1 2 0,1-1 0,-2 1 0,0 0 0,0 0 0,0-1 0,0 1 0,-1 0 0,1-1 0,0 0 0,-1 1 0,1-1 0,-1 0 0,0 0 0,1-1 0,-1 1 0,0 0 0,0-1 0,1 0 0,-1 1 0,0-1 0,-4-1 0,2 1 0,1 0 0,-1 1 0,0 0 0,1-1 0,-8 4 0,-27 0-256,44 5 256,-5-9 0,0 1 0,1 0 0,-1-1 0,0 1 0,1 0 0,-1-1 0,0 1 0,1-1 0,-1 1 0,1-1 0,-1 1 0,1-1 0,-1 1 0,1-1 0,-1 1 0,1-1 0,0 0 0,-1 1 0,1-1 0,0 0 0,-1 0 0,1 1 0,0-1 0,-1 0 0,1 0 0,0 0 0,-1 0 0,1 0 0,0 0 0,5 2 8,-1-1 0,-1 1 0,1 1 0,0-1 0,0 0 0,-1 1 0,0 0 0,1 0 0,-1 1 0,0-1 0,-1 1 0,6 6-1,14 12 18,46 32 38,29 28 138,-87-71-184,0 0 0,-1 1 1,-1 0-1,0 0 0,-1 1 0,10 20 0,8 19 52,11 24 140,15 36 25,-52-110-230,1 0 0,0-1-1,-1 1 1,1-1 0,0 1-1,0-1 1,1 1 0,-1-1-1,0 1 1,0-1-1,1 0 1,-1 0 0,0 0-1,1 0 1,-1 0 0,1 0-1,0 0 1,-1 0 0,1-1-1,0 1 1,-1-1 0,1 1-1,0-1 1,-1 1 0,1-1-1,0 0 1,0 0 0,0 0-1,-1 0 1,1 0 0,0-1-1,0 1 1,0 0 0,1-1-1,-1-1-411,0 1-1,0 0 1,0-1-1,0 1 1,0-1-1,0 0 1,0 1-1,-1-1 1,1 0-1,-1 0 1,3-4-1</inkml:trace>
  <inkml:trace contextRef="#ctx0" brushRef="#br0" timeOffset="5513.77">2147 1 20351,'0'0'128,"5"3"0,9 3-42,-1 0-1,1-1 0,1 0 1,-1-1-1,29 4 0,29 1 157,-46-4-147,0-2-1,1-1 0,32-1 0,155-11 546,-209 10-599,-1 1 0,1 0 0,-1 0 0,1 0 0,-1 0 0,7 4 0,-9-5-29,-1 0-4,-1 0 0,1 0 1,-1 0-1,1 1 1,-1-1-1,0 0 1,1 0-1,-1 0 0,1 0 1,-1 1-1,0-1 1,1 0-1,-1 0 1,1 0-1,-1 1 0,0-1 1,1 0-1,-1 1 1,0-1-1,0 0 1,1 1-1,-1-1 1,0 1-1,0-1 0,1 0 1,-1 1-1,0-1 1,0 1-1,0-1 1,0 1-1,-12 9 221,12-8-229,0-1 0,0 0 0,0 0 0,1 1 0,-1-1 0,0 0 0,1 0 0,-1 0 0,1 1-1,0-1 1,-1 0 0,1 0 0,0 0 0,-1 0 0,1 0 0,0 0 0,1 1 0,2 4 23,-3-2-9,0 1 0,-1-1 1,0 1-1,0-1 1,0 0-1,0 1 0,-1-1 1,1 0-1,-3 7 1,-1 11 54,3-14-63,-4 41 130,2 82-1,20 363-113,-16-471-6,1 28 29,12 59 0,-8-67 119,-2 1-1,-1 56 1,1-82-141,-4-17-23,1 0 0,-1 1 0,1-1 0,-1 0 0,1 0 0,-1 1-1,0-1 1,0 0 0,0 1 0,0-1 0,0 1 0,0-1 0,0 0 0,0 1 0,0-1 0,-1 0 0,1 1-1,-1-1 1,0 2 0,-2 4 0,0 0 0,0 1 0,1-1 0,-1 1 0,2 0 0,-1 0 0,1 0 0,0 0 0,1 0 0,0 0 0,0 0 0,1-1 0,0 1 0,4 15 0,-4-5 0,-2-16 0,1 0 0,0 0 0,0-1 0,0 1 0,0 0 0,1 0 0,-1 0 0,1-1 0,-1 1 0,1 0 0,0 2 0,0-2 0,0-1 0,-1 1 0,1-1 0,0 0 0,0 1 0,0-1 0,0 0 0,0 0 0,0 0 0,0 1 0,0-1 0,0 0 0,0 0 0,2 0 0,1 1 0,-2-1 0,-6 0 0,-1 1 0,2-1 0,3-1 0,0 0 0,0 1 0,0-1 0,0 0 0,0 0 0,0 0 0,0 0 0,0 1 0,-1-1 0,1 0 0,0 0 0,0 0 0,0 0 0,0 0 0,0 1 0,0-1 0,0 0 0,-1 0 0,1 0 0,0 0 0,0 0 0,0 0 0,0 0 0,0 1 0,-1-1 0,1 0 0,0 0 0,0 0 0,0 0 0,0 0 0,-1 0 0,1 0 0,0 0 0,0 0 0,0 0 0,-1 0 0,1 0 0,0 0 0,0 0 0,0 0 0,0 0 0,-1 0 0,1 0 0,0 0 0,0 0 0,0-1 0,0 1 0,-1 0 0,1 0 0,0 0 0,0 0 0,0 0 0,0 0 0,0 0 0,0-1 0,-1 1 0,1 0 0,0 0 0,-11-5 0,-19 22 22,-78-9 84,45-5-141,0 4-1,-77 17 1,115-18-15,12-3-631,0 0-1,1 1 1,0 0 0,-17 9 0,16-7-2562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20.00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21 296 20479,'0'0'-362,"8"0"191,59 1 332,97-2 446,-135-1-528,0 2 1,1 0-1,-1 2 0,0 1 0,0 2 0,47 12 1,-67-14-40,-8-3-33,1 0 0,-1 0 0,0 1 0,1-1 0,-1 1 0,0-1 0,1 1 0,-1-1-1,0 1 1,0 0 0,1 0 0,-1-1 0,0 1 0,0 0 0,0 0 0,0 0 0,0 0 0,0 1 0,-1-1 0,1 0 0,0 0 0,0 0 0,-1 1 0,1-1 0,-1 0-1,1 1 1,-1 1 0,1 1-113,19-14-1964,-7 0-873</inkml:trace>
  <inkml:trace contextRef="#ctx0" brushRef="#br0" timeOffset="515.29">1 65 17023,'0'0'-128,"3"-4"22,4-6 113,-1 2 82,-1-1 0,1 0 0,6-14-1,-12 23-74,0-1-1,0 1 1,0 0-1,1 0 1,-1 0-1,0 0 1,0 0-1,0 0 1,0 0-1,0 0 1,1 0-1,-1 0 1,0 0-1,0 0 1,0 0-1,0 0 1,1 0-1,-1 0 1,0 0-1,0 0 1,0 0-1,0 0 1,1 0-1,-1 0 1,0 0-1,0 0 1,0 0-1,0 0 1,1 0-1,-1 0 1,0 0-1,0 1 1,0-1-1,0 0 1,0 0-1,0 0 1,0 0-1,1 0 0,-1 0 1,0 1-1,0-1 1,0 0-1,0 0 1,0 0-1,0 0 1,0 0-1,0 1 1,0-1-1,0 0 1,0 0-1,0 0 1,0 1-1,5 8 275,-3-4-178,1 0 0,-1 0 0,1 0-1,0 0 1,0 0 0,1 0 0,-1-1 0,1 0-1,0 1 1,0-2 0,1 1 0,-1 0 0,1-1-1,8 5 1,6 2 266,1 0-1,33 9 0,-25-9-161,-16-7-136,0 0-1,0-1 1,1 0 0,-1-1 0,0-1 0,1 0-1,-1-1 1,1 0 0,-1-1 0,14-3 0,40-3 4,-11 2-641,-27 1-2466,20-5-9582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35.76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930 926 21759,'0'0'384,"-7"0"-256,-83-1 226,-152 4 594,226-1-894,0 0 0,0 2 0,1 0 0,-1 0 0,1 2 0,0 0 0,0 0 0,1 2 0,0 0 0,-21 14 0,11-3-2,0 1-1,1 2 1,1 0 0,-27 36 0,44-51-42,0 1 0,0-1 0,1 1 0,0 0-1,1 0 1,-1 0 0,2 0 0,-1 1 0,1-1 0,0 0 0,1 1 0,0 0 0,0-1 0,1 1-1,0 0 1,1 0 0,0-1 0,0 1 0,1 0 0,0-1 0,1 1 0,0-2 0,0 1 0,0 0 0,1 0-1,0 0 1,10 12 0,4 2-10,1-2 0,1-1 0,1 0 0,1-1 0,0-1 0,1 0 0,1-2 0,1-2 0,0 0 0,33 12 0,-17-11 14,-22-8 5,-1 0 0,1 1 1,-2 0-1,1 2 1,-1 0-1,22 15 1,-37-21-3,1 0 0,0 0 0,-1 1 0,1-1 0,-1 0 0,0 1 0,0 0 0,0 0 0,-1-1 0,1 1 0,-1 0 0,0 0 0,0 0 0,0 0 0,-1 1 0,1-1 0,-1 0 0,0 0 0,0 0 0,-1 0 0,1 0 0,-1 0 0,0 1 0,-3 5 0,0 3 13,0-1 1,-2 1 0,0-1 0,0 0-1,-1 0 1,-12 14 0,-29 31 114,-2-3 0,-2-1 0,-3-4 0,-82 58 0,110-87-188,-2-2 1,0-1-1,-1-1 0,-1-1 1,0-2-1,-1-3 0,0 1 1,-1-2-1,-34 4 0,57-13-962,8-5 1,12-11-1985,-4 8 670</inkml:trace>
  <inkml:trace contextRef="#ctx0" brushRef="#br0" timeOffset="466.33">1625 1544 25087,'-28'3'0,"-15"1"0,46 7 0,21 2 0,-4 17 0,5 10 0,-9-9 0,-7 0 0,-4-1 0,-6-2-128,-3-7 0,1-6-1536,10-5 0,2-7 384,3-8 128</inkml:trace>
  <inkml:trace contextRef="#ctx0" brushRef="#br0" timeOffset="1349.84">3004 1358 22399,'-37'14'22,"36"-14"-18,0 1-1,1-1 1,-1 0 0,0 0 0,0 0 0,0 0 0,1 0 0,-1 0 0,0 0 0,0 0 0,0 0-1,1 0 1,-1 0 0,0 0 0,0-1 0,1 1 0,-1 0 0,0 0 0,0-1 0,1 1 0,-1-1 0,0 1-1,1-1 1,-1 0 0,-10-16 37,10 15-31,1 0 0,-1 0 0,0 0-1,0 0 1,0 0 0,0 1 0,-1-1-1,1 0 1,0 1 0,-1-1 0,-2 0 0,-5-3 21,-2 0 1,1 1 0,0 0 0,-1 0 0,0 1 0,-18-2-1,5 1 23,-1 2 0,-26 1 0,29 3-7,0 1 0,0 1-1,0 1 1,1 0 0,0 2 0,0 1 0,0-1 0,1 3 0,-36 22 0,54-31-46,0 0 0,0 1 1,0-1-1,0 0 0,1 1 0,-1 0 1,0-1-1,1 1 0,-1 0 1,1 0-1,-1 0 0,1 0 0,0 0 1,0 0-1,0 0 0,-1 4 0,1-4 0,1 0-1,0 0 0,0 0 1,0 0-1,0 0 0,1 0 1,-1 0-1,0 0 0,1 0 1,-1-1-1,1 1 0,0 0 1,0 0-1,0-1 0,2 4 1,2 1-2,0 0 0,0 0 1,1 0-1,0 0 1,1-1-1,-1 0 0,1 0 1,7 3-1,103 49 1,-10-5 0,-90-43 0,-1 2 0,0-1 0,-1 2 0,15 13 0,-25-20 13,-1-1 0,0 1 0,0 0-1,0 0 1,-1 1 0,1-1 0,-1 1 0,-1 0-1,1-1 1,-1 1 0,0 1 0,0-1 0,-1 0-1,0 0 1,0-1 0,0 2 0,-1-1 0,0 1-1,0-1 1,-1 0 0,0 1 0,0-1 0,0 0-1,-1 0 1,0 0 0,0 0 0,0 0 0,-1 0-1,-4 8 1,-14 13 94,-1 1 0,-1-1-1,-1-2 1,-2-1 0,-53 40-1,53-45-33,0-2 1,-1-1-1,-1-1 0,-1-1 0,0-2 0,-61 18 0,86-28-173,0-1-1,0-1 1,-1 1-1,1 0 1,0-1 0,0 0-1,-1 0 1,1-1-1,0 1 1,-1-1-1,-6-2 1,9 2-87,0 0 0,0 0 0,1 0 0,-1 0 0,0 0 0,1 0 0,-1-1 0,1 1 0,0-1 0,-1 1-1,1-1 1,0 1 0,0-1 0,0 0 0,0 0 0,0 1 0,1-1 0,-1 0 0,0 0 0,1 0 0,-1 0 0,1 0 0,0 0 0,0 0 0,0 0 0,0 0 0,0-2 0</inkml:trace>
  <inkml:trace contextRef="#ctx0" brushRef="#br0" timeOffset="1711.4">3464 1749 24191,'-12'17'25,"1"2"0,0-1 0,2 2 0,0 0 0,-11 34 0,12-30 56,3-13-75,1 1 0,1 0 1,-3 17-1,5-24 16,-2 24-283,3-29 241,0 1 0,0-1 0,0 0 0,0 1 0,0-1 0,1 0 0,-1 1 0,0-1 0,0 0 1,0 1-1,0-1 0,0 0 0,0 1 0,1-1 0,-1 0 0,0 1 0,0-1 0,1 0 0,-1 1 1,0-1-1,0 0 0,1 0 0,-1 1 0,0-1 0,1 0 0,-1 0 0,0 0 0,1 0 1,-1 1-1,0-1 0,1 0 0,-1 0 0,0 0 0,1 0 0,-1 0 0,0 0 0,1 0 0,-1 0 1,1 0-1,-1 0 0,0 0 0,1 0 0,-1 0 0,0 0 0,1 0 0,-1-1 0,0 1 0,1 0 1,-1 0-1,0 0 0,1 0 0,-1-1 0,0 1 0,1 0 0,-1 0 0,0-1 0,0 1 0,1 0 1,-1 0-1,0-1 0,0 1 0,1-1 0,3-3-261,0 0 0,0-1 0,-1 0 0,1 1 0,-1-1 0,0 0 0,0-1 0,-1 1 0,1-1 0,1-6 0,3-5-489,17-46-2366,17-67 0,-19 47-5333</inkml:trace>
  <inkml:trace contextRef="#ctx0" brushRef="#br0" timeOffset="1914.21">3602 1005 16128,'-2'-35'614,"0"-1"1,7-53 0,-1-6 1892,-6 80-1627,-4 21-135,-6 27-36,10-27-781,-4 11-36,1-1 0,1 2 1,-2 22-1,1 29-3941,3-13-8324</inkml:trace>
  <inkml:trace contextRef="#ctx0" brushRef="#br0" timeOffset="2486.17">3889 1584 24063,'8'29'0,"-2"-1"0,0 0 0,-2 2 0,-1-1 0,-2 0 0,0 0 0,-5 40 0,3-61 0,4-7 0,2-6 0,-4 4 0,6-9 0,-1-1 0,10-20 0,8-16 0,22-42 0,-37 68 0,2-1 0,0 1 0,1 0 0,21-25 0,38-30 0,-63 69 0,-1 0 0,2 1 0,-1 0 0,1 1 0,0 0 0,0 0 0,18-7 0,-23 11 0,0 0 0,-1 1 0,1-1 0,0 1 0,-1 0 0,1 0 0,0 1 0,-1-1 0,1 1 0,-1 0 0,1-1 0,0 2 0,-1-1 0,0 0 0,1 1 0,-1-1 0,0 1 0,0 0 0,0 0 0,0 1 0,0-1 0,0 0 0,-1 1 0,1 0 0,4 4 0,3 7 0,1 1 0,-2 1 0,15 29 0,-8-10-49,-2 2 0,-1 0 0,-2 0 0,-1 2 0,-2-2 0,-2 2 0,-1 1 0,-3-2 0,-4 76 0,1-104-961,-1-10 363,-4-15-811,3 4-483,-10-21-10688</inkml:trace>
  <inkml:trace contextRef="#ctx0" brushRef="#br0" timeOffset="3153.87">5494 454 21759,'-25'32'0,"23"-30"21,1-1-1,-1 0 0,1 1 0,-1-1 1,0 0-1,0 0 0,0 0 1,1 0-1,-1 0 0,0-1 0,0 1 1,-3 0-1,-16 7 207,-12 12-115,0 1 1,1 2-1,2 0 1,0 3-1,1 1 0,2 1 1,1 0-1,1 2 0,-30 49 1,25-29 41,4 0 0,1 3 0,3-1 0,2 2 0,-24 103 0,28-83-23,3-1 1,3 1 0,4 2-1,3-2 1,11 126-1,0-138-94,1-2-1,4-1 1,2 1 0,3-2-1,2 0 1,40 79-1,-45-113-30,0 0 1,2-1-1,0-1 0,1-1 0,2 0 0,32 27 0,4-5-273,84 52 1,-129-88-167,-1-1 1,1 0-1,1 0 1,-1-2-1,16 6 1,-22-9 157,-1 0-1,0-1 1,0 1-1,1-1 1,-1 1-1,0-2 1,0 1-1,1 0 1,-1-1-1,0 0 1,0 1-1,0-2 0,1 1 1,-1 0-1,0-1 1,-1 0-1,1 0 1,6-4-1</inkml:trace>
  <inkml:trace contextRef="#ctx0" brushRef="#br0" timeOffset="4084.71">6109 675 18175,'-1'3'-1,"-1"0"-1,1 0 1,-1 0-1,0 0 0,0-1 1,0 0-1,-3 3 0,5-5 3,0 1 0,-1-1 0,1 0 0,0 0 0,-1 1 0,1-1 0,0 0-1,-1 0 1,1 0 0,-1 0 0,1 0 0,0 1 0,-1-1 0,1 0 0,-1 0 0,1 0-1,-1 0 1,1 0 0,0 0 0,-1 0 0,1 0 0,-1 0 0,1-1 0,-1 1-1,0-1 10,0 1-1,0-1 1,0 0-1,1 0 0,-1 1 1,0-1-1,1 0 0,-1 0 1,0 0-1,1 0 0,-1 1 1,1-1-1,-1 0 0,1-2 1,-5-12 168,5 13-85,0 1 0,0 0-1,-1-1 1,1 1 0,0-1-1,-1 1 1,1 0-1,-1 0 1,0-1 0,1 1-1,-1 0 1,-1-1 0,1 1-57,0 1 0,0 0 0,1 0 0,-1-1 0,0 1 0,0 0 0,0 0 0,0 0 0,0 0 0,0 0 0,0 0 0,0 0 0,1 0 0,-1 1 0,0-1-1,0 0 1,0 1 0,0-1 0,0 0 0,1 1 0,-1-1 0,0 1 0,0-1 0,-1 2 0,-8 5 81,0 0 0,0 1 0,1 1 0,-1-2-1,2 2 1,0 1 0,0 0 0,0 0 0,1 0 0,1 1-1,-6 13 1,-2 5 39,1 2 1,2 1-1,-7 32 0,1 11 64,3 1 1,-5 104-1,18-139-169,1-1 1,2 0-1,2 1 0,13 59 0,-14-90-51,0-1 0,0 1 0,1 0 0,1 0 0,0-1 0,0 1 0,1-1 0,0-1 0,0 1 0,1-1 0,13 12 0,-15-16 0,-1 0 0,1 0 0,0-1 0,0 1 0,1-1 0,-1-1 0,1 1 0,-1-1 0,1 0 0,0 0 0,0 0 0,0-1 0,0 0 0,0 0 0,0-1 0,0 1 0,0-1 0,0-1 0,0 1 0,0-1 0,10-3 0,-1 0 0,-1-2 0,0 0 0,0-1 0,-1 0 0,0 0 0,0-1 0,-1-1 0,0-1 0,-1 0 0,0 0 0,17-21 0,4-10 0,-2-3 0,26-48 0,-21 32 0,-2 5 15,-2-2 0,-3-1-1,21-65 1,-37 87-2,-1-1 0,-2-1 0,-2 2 0,-2-3 0,-1 1 0,-1-60 0,-4 88 29,0-1 1,-1 1 0,0 0-1,-4-15 1,5 25-40,1-1-1,0 1 1,0-1 0,-1 0-1,1 1 1,0-1 0,-1 1-1,1-1 1,0 1 0,-1 0 0,1-1-1,-1 1 1,1-1 0,-1 1-1,1 0 1,-1-1 0,1 1-1,-1 0 1,1 0 0,-1-1-1,1 1 1,-1 0 0,0 0 0,1 0-1,-1 0 1,1 0 0,-2-1-1,-20 6 48,-17 16-4,26-10-4,0 0 1,1-1 0,0 2 0,1 1 0,-18 26-1,9-7 22,-26 52 0,28-42-27,2 1 0,-21 86 0,-2 94 65,22-97-25,2 161 1,16-212-48,3 0 1,4 0 0,25 110-1,-29-171-191,-1-1 0,2 0 0,0-2 0,1 2 0,0-1 0,0 0 0,2 0 1,-1-1-1,1 0 0,18 17 0,-11-15-641,0 0 1,1-1-1,0-1 1,0-1-1,1 0 1,34 13-1,-22-11-11144</inkml:trace>
  <inkml:trace contextRef="#ctx0" brushRef="#br0" timeOffset="4713.89">6756 125 23167,'54'17'0,"-55"-17"3,1 1-1,-1-1 1,1 1-1,-1-1 1,1 1 0,0 0-1,-1-1 1,1 1-1,0-1 1,0 1-1,-1 0 1,1-1-1,0 1 1,0 0 0,0-1-1,0 1 1,0-1-1,0 1 1,0 0-1,0-1 1,0 1-1,0 1 1,2 20 88,2-12-61,1-1 0,0 0 0,0 1 0,1-1 1,0-1-1,14 15 0,6 8 15,39 62 13,-5 3 1,-3 1 0,43 107-1,-41-71 121,76 264 0,-121-336-95,-2 2 1,4 89 0,-14-105-58,-3-1 0,-2 0 0,-1-1 0,-13 52 0,1-34 48,-2-1 0,-3 0 1,-3-2-1,-56 103 0,56-123-308,-2 0-1,-1-2 0,-2-1 0,-2 0 1,-1-3-1,-2-1 0,-48 38 1,76-68-200,-16 11-642,22-13 893,-1-1 0,0 0 0,0 1 0,0-1 0,0 0 0,0 0 0,0 0 0,1 0 0,-1 0 0,0 0 0,0 0 0,0 0 0,0 0 0,0 0 0,0-1 0,1 1-1,-1 0 1,0-1 0,0 1 0,0 0 0,1-1 0,-1 1 0,0-1 0,-1 0 0</inkml:trace>
  <inkml:trace contextRef="#ctx0" brushRef="#br0" timeOffset="5262.71">7833 1649 24319,'44'6'1,"1"2"-1,-1 2 0,0 2 1,46 19-1,65 16-23,-134-41-10,1 0-530,30 3 1,-45-8-67,-1 0 0,0-1 1,0 0-1,0-1 0,1 1 1,-1-1-1,0 0 0,0-1 1,11-3-1</inkml:trace>
  <inkml:trace contextRef="#ctx0" brushRef="#br0" timeOffset="5510.81">7826 1174 24831,'0'0'0,"49"36"0,-11-17 128,10 0-128,5 1 128,4 1-128,4-1 0,0 1-512,1-6 128,3-7-640,-12-8 0,-1 0-14847</inkml:trace>
  <inkml:trace contextRef="#ctx0" brushRef="#br0" timeOffset="7165.25">8766 720 23679,'13'-8'0,"1"1"0,0 0 0,0 1 0,0 1 0,1 1 0,0 0 0,0 0 0,0 1 0,1 1 0,-1 1 0,29 0 0,-4 4 0,-1 1 0,1 2 0,54 15 0,-67-14 0,-1 2 0,0 1 0,0 1 0,31 18 0,-46-22 0,1 0 0,-1 1 0,-1 0 0,1 0 0,-1 1 0,-1 0 0,1 1 0,-2 1 0,0-1 0,0 1 0,7 13 0,-11-14 0,0 0 0,-1 1 0,0 0 0,-1 0 0,0 0 0,0 0 0,-1 1 0,-1-1 0,0 0 0,0 1 0,-1-2 0,-1 1 0,0 0 0,-5 17 0,-4 5 0,-1-1 0,-1 0 0,-25 41 0,1-12 0,-85 105 0,60-87 0,-28 38 0,-111 154 0,195-262 5,0 1-1,1-1 1,1 0 0,-1 1-1,2 0 1,-1 0-1,1 1 1,1-1-1,0 1 1,1 0 0,-1 0-1,2-1 1,0 12-1,1-14 0,0 1 0,1-1 0,0 1-1,0-1 1,1 0 0,0 0 0,0 0-1,1 0 1,0-1 0,0 1 0,1-2-1,0 1 1,0 0 0,1-1 0,-1 1 0,10 7-1,0-2-25,1-1 0,0-1 0,0 0 1,1-1-1,1 0 0,-1-3 0,1 1 0,33 8 0,-26-10-91,1-1 0,0-1 0,0-1 0,0-1 1,50-5-1,-63 2-735,1-1 1,-1 0 0,1-1 0,-1 0 0,0-1-1,17-10 1,30-10-10395</inkml:trace>
  <inkml:trace contextRef="#ctx0" brushRef="#br0" timeOffset="7929.02">10094 713 23423,'-8'4'0,"1"0"0,0 0 0,0 0 0,-1-1 0,1 0 0,-1 0 0,0-1 0,0 0 0,0 0 0,-9 0 0,1-1-17,0 1 0,1 1 0,-1 1 0,1 0-1,0 1 1,0 0 0,1 1 0,-25 14 0,13-5-41,1 2 1,0 1 0,-33 32-1,48-42 20,2 0 1,0 1-1,0 1 0,0 0 0,1 0 0,1 1 0,0-1 1,0 1-1,1 1 0,1-1 0,0 0 0,-4 19 0,7-23 26,0 1-1,0-1 1,1 1-1,0-1 1,0 0-1,1 1 1,0-1-1,1 0 1,-1-1-1,1 2 0,1-1 1,-1 0-1,1-1 1,0 1-1,1 0 1,0-1-1,0 0 1,0 0-1,1 0 0,-1 0 1,12 9-1,-1-3 13,1-1 0,0 0 0,1-1 0,0 0 0,0-2 0,1 0 0,0-1 0,22 6 0,158 28 0,-165-35 0,4 0 0,1-1 0,-1 2 0,59 20 0,-92-26 7,0 1 1,1 0-1,-1 0 0,0 0 0,0 0 0,0 1 0,-1-1 0,1 1 0,-1 0 0,1 0 1,-1 0-1,0 1 0,0-1 0,0 1 0,-1 0 0,1 0 0,-1-1 0,0 1 0,0 0 1,0 0-1,-1 0 0,1 1 0,-1-1 0,0 1 0,0-1 0,-1 1 0,0-1 0,1 1 1,-1-1-1,-1 1 0,1 0 0,-2 6 0,-1 4 12,-1 0-1,-1-2 1,0 1 0,-1 0-1,-10 18 1,-46 62 95,47-73-84,-7 8 29,-1 0 0,-2-1 1,0-2-1,-2-1 0,-1-1 1,-1 0-1,-1-3 0,-36 20 0,62-39-46,-1 1 0,1-1-1,-1 0 1,1 0 0,-1-1-1,0 1 1,0-1-1,0 0 1,0 0 0,0-1-1,0 0 1,0 1 0,0-2-1,0 1 1,0 0 0,0-1-1,1 0 1,-1 0 0,0-1-1,0 1 1,0-1 0,1 0-1,-1 0 1,1-1 0,-5-3-1,3 2-2,0 0 0,1-1 1,-1 0-1,1-1 0,0 1 0,0-1 0,1 0 0,0-1 0,0 1 0,0-1 0,1 0 1,0 1-1,0-1 0,1-1 0,-3-12 0,2 1 9,1-1-1,1 0 1,1 0-1,1 0 1,1 1-1,0 0 1,2-1 0,0 0-1,11-28 1,8-12 49,51-91 0,-34 75-6,182-414-39,-177 384-25,-34 83 152,6-18-1054,-7 9-2523</inkml:trace>
  <inkml:trace contextRef="#ctx0" brushRef="#br0" timeOffset="8325.34">10463 2049 25343,'0'0'0</inkml:trace>
  <inkml:trace contextRef="#ctx0" brushRef="#br0" timeOffset="9032.17">10690 1259 23551,'5'-7'107,"50"-81"-60,-33 50 58,36-48-1,188-250 278,-117 154-231,-117 166-151,2 0 0,18-16 0,-16 16 0,-15 16 0,-1-1 0,1 0 0,-1 0 0,1 1 0,0-1 0,-1 0 0,1 1 0,0-1 0,0 1 0,0-1 0,-1 1 0,1-1 0,0 1 0,0-1 0,0 1 0,0 0 0,0 0 0,0-1 0,1 1 0,-1 1 0,0-1 0,0 1 0,-1 0 0,1 0 0,-1-1 0,1 1 0,-1 0 0,1 0 0,-1 0 0,1 0 0,-1 0 0,0-1 0,1 1 0,-1 0 0,0 0 0,0 0 0,1 0 0,-1 0 0,0 2 0,1 10 0,0 0 0,-1-1 0,0 1 0,-1 0 0,-3 16 0,-17 65 0,7-39 0,-60 444 86,34-185-44,31-257-44,-39 227-422,43-318-3754,5 19 1849,-3-19-9681</inkml:trace>
  <inkml:trace contextRef="#ctx0" brushRef="#br0" timeOffset="9739.54">11623 565 24831,'8'49'-35,"3"0"0,24 72 0,10 37 12,-29-55 27,4 156-1,-18-204 12,4 77 73,14 173 336,-15-285-313,-4-20-108,-1 0-1,0 0 0,0 1 1,0-1-1,1 0 0,-1 0 1,0 0-1,0 0 0,0 0 0,1 0 1,-1 0-1,0 0 0,0 0 1,0 0-1,1 0 0,-1 0 1,0 0-1,0 0 0,0 0 0,1 0 1,-1 0-1,0-1 0,0 1 1,0 0-1,1 0 0,-1 0 1,0 0-1,0 0 0,0 0 1,0 0-1,0-1 0,1 1 0,-1 0 1,0 0-1,0 0 0,0 0 1,0-1-1,0 1 0,0 0 1,0 0-1,0 0 0,1-1 0,-1 1 1,0 0-1,14-39 124,13-56-79,49-151 55,91-251-102,-97 330 43,-10 26 21,-53 120-53,18-45 78,2 1-1,54-92 1,-76 151-121,-3 10-80,-4 9-448,-23 70-5200,9-25-7359</inkml:trace>
  <inkml:trace contextRef="#ctx0" brushRef="#br0" timeOffset="10978.12">12549 373 23551,'-6'21'13,"0"0"-1,-1-1 0,-1 1 1,-14 24-1,-5 15 33,-9 32 147,-40 155 0,21-1-9,-48 181 61,50-220-10,107-420-2154,-26 120 990,37-118-380,52-218 744,-7 17 706,-107 405-111,28-79 376,-27 77-290,1 1 0,0-1-1,0 1 1,0 0 0,1 0-1,13-12 1,-18 19-102,-1 1-1,1-1 1,-1 1 0,1-1 0,-1 1-1,1-1 1,-1 1 0,1-1-1,-1 1 1,1 0 0,0-1-1,-1 1 1,1 0 0,0-1-1,-1 1 1,1 0 0,0 0 0,-1 0-1,1 0 1,0-1 0,0 1-1,-1 0 1,1 0 0,0 1-1,-1-1 1,1 0 0,0 0 0,-1 0-1,1 0 1,0 0 0,-1 1-1,1-1 1,0 0 0,-1 1-1,1-1 1,-1 0 0,1 1 0,0-1-1,-1 1 1,1-1 0,-1 1-1,1-1 1,-1 1 0,0-1-1,1 1 1,-1 0 0,0-1 0,1 1-1,-1 1 1,3 2 55,-1 0 1,-1 1-1,1 0 1,-1 0-1,1 8 0,9 94 429,-3 110 0,-1 9-104,54 675 268,-59-750-438,-3-96-190,3-39-33,-24-82-1621,1-9-3840,7 14-6400</inkml:trace>
  <inkml:trace contextRef="#ctx0" brushRef="#br0" timeOffset="11253.68">12182 1108 23551,'0'0'128,"19"27"0,0-18 128,3 0-128,3-1 0,4 0-128,4 0 128,2 1-128,4-1 0,3 0-256,-1-3 128,-2-1-1792,2-1 0,-4-6 896,40 3-12159</inkml:trace>
  <inkml:trace contextRef="#ctx0" brushRef="#br0" timeOffset="11742.76">13128 1160 26495,'0'0'0</inkml:trace>
  <inkml:trace contextRef="#ctx0" brushRef="#br0" timeOffset="12643.79">13990 713 22271,'-8'2'0,"0"1"0,1 0 0,-1 0 0,0 1 0,1-1 0,-1 2 0,-7 5 0,-44 40 0,19-15 0,12-13 3,3-2-13,0 1 0,-30 33-1,50-48-13,0 0 1,-1 1-1,2 0 0,-1 0 1,1 0-1,0 0 0,1 1 0,0 0 1,0-2-1,0 2 0,1 0 0,1 1 1,-1-1-1,0 12 0,2-17 6,1 0 0,-1 0 0,1 1 0,-1-1 0,1 0 0,0 0 0,0 0 0,1 0 0,-1 0 0,0 0 0,1-1 0,0 1 0,0 0 0,0-1-1,0 1 1,0-2 0,4 5 0,4 2-49,0 0 0,1-1-1,13 7 1,-16-10 43,15 8 18,0-2 0,1 0 1,44 10-1,-36-12 7,40 18-1,-70-25 16,0 0 0,0 0 0,1 0 0,-1 0 0,0 0-1,0 1 1,-1-1 0,1 0 0,0 1 0,0 0 0,-1-1-1,1 1 1,-1 0 0,1 0 0,-1 0 0,0 0 0,0 0-1,0 0 1,0 1 0,0-1 0,0 0 0,0 0 0,-1 1-1,1 4 1,-1-5 20,-1 1 0,1 0 0,-1 0 0,1 0 0,-1-1 0,0 1 0,0 0 0,0-1 0,-1 1 0,1-1 0,-1 0 0,1 0 0,-1 0 0,0 0 0,0 1 0,0-1 0,0 0 0,0-1 0,0 1 0,-5 3 0,-27 13 201,0 0 0,-1-3-1,-41 14 1,10-5-138,-81 36-355,124-47-285</inkml:trace>
  <inkml:trace contextRef="#ctx0" brushRef="#br0" timeOffset="12903.67">14297 965 24191,'0'0'0,"-12"31"0,-4-5 0,-4 10 0,3-7 0,-4-1 0,7-7 0,2-5 0,-4-4 0,2-7-640,1 0 0,1-2-512,15-14 0</inkml:trace>
  <inkml:trace contextRef="#ctx0" brushRef="#br0" timeOffset="13121.48">14319 105 24831,'0'0'0</inkml:trace>
  <inkml:trace contextRef="#ctx0" brushRef="#br0" timeOffset="13722.65">14506 869 25087,'3'14'0,"-1"1"0,0-1 0,-1 0 0,-1 1 0,0 0 0,-3 19 0,2-11 0,1 29 0,4 30 0,-4-82 0,0 0 0,0 0 0,0 1 0,0-1 0,0 0 0,0 0 0,0 0 0,0 0 0,0 0 0,0 1 0,0-1 0,0 0 0,0 0 0,0 0 0,0 0 0,0 0 0,0 1 0,0-1 0,0 0 0,0 0 0,0 0 0,0 0 0,0 0 0,0 1 0,0-1 0,0 0 0,1 0 0,-1 0 0,0 0 0,0 0 0,0 0 0,0 0 0,0 0 0,0 1 0,1-1 0,-1 0 0,0 0 0,0 0 0,0 0 0,0 0 0,0 0 0,1 0 0,-1 0 0,0 0 0,0 0 0,0 0 0,1 0 0,5-8 0,10-21 0,-12 21 0,30-60-20,-14 28-7,1-1 0,2 2 0,31-39 0,-48 70 27,2 0 0,-1 1 0,1 0 0,0 0 0,1 1 0,-1 0 0,14-6 0,-19 10 0,0 0 0,0 1 0,0 0 0,0-1 0,0 1 0,1 0 0,-1 1 0,0-1 0,1 1 0,-1-1 0,0 1 0,1 0 0,-1 0 0,0 0 0,1 1 0,-1-1 0,1 1 0,-1 0 0,0 0 0,0 0 0,0 0 0,1 0 0,-1 1 0,-1 0 0,1-1 0,4 4 0,2 5 7,0-1-1,0 1 1,-1 1-1,-1 0 1,0 0-1,0 1 1,-1 0-1,5 16 1,4 10 38,11 52 1,-20-61 33,-1-1 1,-1 2 0,1 53 0,-6-65-112,0-1 0,-1 1 0,0 0 0,-2-1 0,0 1 0,-1-1 0,-10 22 1,15-37-35,-1-1 1,0 0 0,1 0 0,-1 0 0,0-1 0,1 1 0,-1 0 0,0 0 0,0 0-1,0 0 1,0-1 0,0 1 0,1 0 0,-1-1 0,-1 1 0,1-1 0,0 1 0,0-1-1,0 0 1,0 1 0,0-1 0,0 0 0,0 0 0,-1 0 0,1 0 0,0 0 0,0 0-1,0 0 1,0 0 0,0 0 0,-1 0 0,0-1 0,-5 0-1413</inkml:trace>
  <inkml:trace contextRef="#ctx0" brushRef="#br0" timeOffset="14438.55">15461 1 24831,'-12'5'6,"0"1"-1,1 0 0,0 0 1,0 1-1,0 1 0,1 0 1,0-1-1,1 2 0,0 0 1,-14 19-1,4-2 18,2 1-1,0 0 1,-13 35 0,17-33 5,3 1 1,0 0 0,2 1 0,1-1 0,2 2-1,1 0 1,1-2 0,2 2 0,4 45 0,8 27 3,37 152 1,-39-212-24,73 270 9,-70-281 9,2 1 0,1-1 0,1-2 1,2 1-1,1-1 0,2-1 0,26 28 0,1-8 186,3-2 1,110 81-1,-158-127-248,43 26 273,-43-26-300,-1-1 0,1 0-1,0 0 1,-1 0 0,1 0 0,0 0 0,0-1 0,-1 1 0,1-1-1,0 0 1,0 0 0,0 0 0,-1 0 0,1 0 0,0 0 0,4-2 0,-6 1-90,1 0 0,-1 0 0,0 0 1,1 0-1,-1 0 0,0 0 1,0 0-1,0-1 0,0 1 1,0 0-1,0-1 0,0 1 1,0-1-1,0-2 0,4-5-2287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2:55.57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104 997 17663,'0'0'1536,"-5"4"-1152,-19 17 40,9-10 78,2 0 0,0 2 0,-14 15 0,27-28-481,-1 1-1,1-1 1,-1 1-1,1-1 1,-1 1 0,1-1-1,-1 1 1,1-1-1,0 1 1,-1 0-1,1-1 1,0 1-1,0 0 1,-1-1-1,1 1 1,0 0-1,0-1 1,0 1 0,0 0-1,0-1 1,0 1-1,0 0 1,0 0-1,0-1 1,0 1-1,0 0 1,0-1-1,1 1 1,-1 1-1,2-1 34,-1-1 0,0 1 0,1 0 0,-1-1 0,0 1 0,1-1 0,-1 1 0,1-1 0,-1 1 0,3-1 0,14 5-5,17 9 97,47 13 0,-64-22-76,0-1-1,1-1 1,-1-1-1,33 0 1,-21-3 48,0 2 1,-1 1-1,1 2 1,0 1 0,-1 1-1,0 1 1,-1 2-1,31 13 1,-58-22-113,0 0 1,0 1-1,0-1 0,-1 0 1,1 1-1,0-1 1,0 0-1,0 1 1,-1-1-1,1 1 1,0-1-1,-1 1 1,1 0-1,0-1 1,-1 1-1,1 0 0,-1-1 1,1 1-1,-1 0 1,1 0-1,-1-1 1,1 1-1,-1 0 1,0 0-1,1 0 1,-1 0-1,0 0 1,0 0-1,0-1 1,0 1-1,0 0 0,0 1 1,-4 6-1552,7-14 445,18-13-3359</inkml:trace>
  <inkml:trace contextRef="#ctx0" brushRef="#br0" timeOffset="837.24">1076 548 21887,'-6'24'22,"0"-7"256,0 0 1,-11 22-1,8-22-242,2 1 1,0-1-1,-5 21 1,5 5 14,-2 47 1,-2 12-6,8-81-40,-3 8 35,2 0-1,0 58 1,4-86-41,0 0 0,0-1 0,0 1 0,0 0 0,0-1 0,0 1 0,0-1 0,0 1 0,0 0 0,1-1 0,-1 1 0,0 0 0,0-1 0,1 1 0,-1-1 0,0 1 0,1 0 0,-1-1 0,0 1 0,1-1 0,-1 1 0,1-1 0,-1 0 0,2 2 0,-2-2 0,1 0 0,0 0 0,0 0 0,-1 0 0,1-1 0,0 1 0,-1 0 0,1 0 0,0 0 0,-1-1 0,1 1 0,0 0 0,-1 0 0,1-1 0,0 1 0,-1-1 0,1 1 0,0-1 0,25-28 0,-25 28 0,10-14 0,0 2 0,1-1 0,21-17 0,-28 27 0,0 0 0,1 1 0,-1-1 0,1 1 0,0 1 0,-1-1 0,1 1 0,0 0 0,1 0 0,-1 1 0,0 0 0,0 0 0,12 0 0,-5 2 0,0 0 0,0 0-1,-1 2 1,1-1 0,-1 2-1,0 0 1,0 0 0,0 1-1,0 0 1,-1 1 0,0 1 0,0 0-1,0 0 1,-1 1 0,0 0-1,10 12 1,-12-12 1,-1 0 1,0 1-1,0-1 0,-1 1 1,-1 1-1,1-1 0,-1 1 1,-1 0-1,0 1 0,0-1 1,-1 0-1,0 1 0,-1 0 1,-1 0-1,1 0 0,-2 0 1,1 0-1,-1 0 0,-3 14 1,2-19 19,0 0 1,0 0 0,-1-1 0,0 1 0,0-1-1,0 1 1,-1-1 0,0 1 0,0-1-1,0 0 1,-7 7 0,7-9-9,0 0-1,0-1 1,-1 1 0,1-1 0,-1 1-1,1-1 1,-1 0 0,0 0 0,0-1-1,0 1 1,0-1 0,0 0 0,0 0-1,0 0 1,0-1 0,0 1 0,-6-1-1,-6 0-131,0-1 1,0 0-1,0-2 0,0 0 0,0 0 0,-30-12 0,39 12 35,-1 0 0,1-1 0,0 0 0,0-1 0,0 1 0,0-1 0,1-1 0,0 1 0,0-1 0,1 0 0,-1 0 0,1-1 0,0 0 0,1 0 0,-7-14 0,-7-25-3222,-1-1-9131</inkml:trace>
  <inkml:trace contextRef="#ctx0" brushRef="#br0" timeOffset="1219.03">1056 515 23295,'7'37'0,"-7"-33"0,49-22 0,-33 9 0,1 2 0,0 0 0,0 1 0,1 1 0,27-5 0,-10 5 0,68 0 0,34-2 45,-18-1-1626,-86 7-1282,48-10 1,-80 11 2742,29-5-10546</inkml:trace>
  <inkml:trace contextRef="#ctx0" brushRef="#br0" timeOffset="1844.72">1940 490 22911,'51'-12'-39,"-1"-1"-1,48-21 0,-28 10 31,-69 24 9,6-3 0,1 1 0,-1 0 0,1 0 0,0 1 0,0-1 0,13 1 0,-21 1 1,1 0 0,-1 0-1,0 0 1,1 0-1,-1 0 1,0 0 0,1 0-1,-1 0 1,0 1-1,1-1 1,-1 0 0,0 0-1,0 0 1,1 0-1,-1 0 1,0 0 0,1 1-1,-1-1 1,0 0 0,0 0-1,1 0 1,-1 1-1,0-1 1,0 0 0,0 0-1,1 1 1,-1-1-1,0 0 1,0 1 0,0-1-1,0 0 1,0 0-1,0 1 1,1-1 0,-1 0-1,0 1 1,0-1 0,0 0-1,0 1 1,0-1-1,0 0 1,0 1 0,0-1-1,0 0 1,-1 1-1,1-1 1,0 0 0,0 1-1,0-1 1,0 0-1,0 0 1,0 1 0,-1-1-1,1 0 1,0 0 0,0 1-1,0-1 1,-1 0-1,1 0 1,-1 1 0,-13 17 68,-15 15 16,1 2 1,1 0-1,2 2 0,-37 74 1,33-46-29,3 2 1,-29 112 0,-1 6 3,35-129-61,-47 148 0,64-186-31,1-1-1,1 1 1,0 30-1,2-27-97,-5 30 0,0-33-1742,6-35-1051,0-5 313,-1-8-8036</inkml:trace>
  <inkml:trace contextRef="#ctx0" brushRef="#br0" timeOffset="2094.42">1826 970 22527,'0'0'0,"30"14"0,-10-3 0,5-2 0,5-1 0,4-3-256,-5 6 0,-6-2-1024,2-1 0,3-3 256,24 7-11775</inkml:trace>
  <inkml:trace contextRef="#ctx0" brushRef="#br0" timeOffset="2379.46">2365 1547 23679,'0'0'0,"9"-37"-2944,-4 13 640,-1-1 1280,0 3 1</inkml:trace>
  <inkml:trace contextRef="#ctx0" brushRef="#br0" timeOffset="3194.98">2877 469 23679,'-33'39'0,"32"-38"0,1-1 0,0 1 0,-1-1 0,1 1 0,-1 0 0,1-1 0,-1 1 0,1-1 0,-1 0 0,1 1 0,-1-1 0,1 1 0,-1-1 0,1 0 0,-1 1 0,0-1 0,1 0 0,-1 0 0,0 1 0,1-1 0,-1 0 0,0 0 0,1 0 0,-1 0 0,0 0 0,1 0 0,-1 0 0,0 0 0,0 0 0,1 0 0,-1 0 0,0-1 0,1 1 0,-1 0 0,1 0 0,-1-1 0,0 1 0,1 0 0,-1-1 0,1 1 0,-1 0 0,1-1 0,-1 1 0,1-1 0,-1 1 0,1-1 0,-1-1 0,0 2 0,1-1 0,-1 1 0,1-1 0,0 1 0,-1-1 0,1 1 0,-1 0 0,1-1 0,-1 1 0,1-1 0,-1 1 0,1 0 0,-1-1 0,0 1 0,1 0 0,-1 0 0,0 0 0,1-1 0,-1 1 0,1 0 0,-1 0 0,0 0 0,1 0 0,-1 0 0,0 0 0,-1 1 0,-5 2-17,0 0 0,0 1 0,0 1-1,0-1 1,0 1 0,1 0-1,0 0 1,0 1 0,0 0 0,1 0-1,0 0 1,0 1 0,0-1 0,1 1-1,0 1 1,-5 11 0,4-5-19,0-1 0,1 1 0,0 0-1,1 0 1,1 1 0,0-1 0,0 1 0,2 20 0,2-17-6,0-1 1,1 1-1,1 0 0,1-1 1,0 0-1,2 0 1,0-1-1,0 1 1,1-1-1,1-1 1,1 0-1,0 0 1,1-1-1,1 0 1,0-1-1,1 0 0,0-1 1,25 17-1,-36-28 40,26 18-62,-1 0 1,0 2 0,35 37-1,-51-46 64,-1 0 0,0 0 0,-1 2 0,9 15 0,-16-25 0,0 0 0,0 0 0,-1 1 0,1-1 0,-1 0 0,0 1 0,-1-1 0,1 0 0,-1 1 0,0-1 0,0 1 0,0-1 0,0 1 0,-1-1 0,0 0 0,0 1 0,0-1 0,0 0 0,-4 8 0,-5 6 47,0 0-1,-1 0 0,-1-1 0,0 0 0,-19 18 1,29-33-37,0 0 0,0 0 0,-1-1 0,1 1 0,-1 0 0,1-1-1,-1 1 1,1-1 0,-1 0 0,0 0 0,0 0 0,1 0 0,-1-1 0,0 1 0,0-1 0,0 1 0,-5-1 0,3-1 0,0 0 1,0 0-1,1 0 0,-1 0 0,0-1 1,0 1-1,1-1 0,-1-1 0,1 1 0,-4-3 1,0-1 18,0 0 1,1 0 0,-1 0-1,1-1 1,1 0 0,0-1 0,0 1-1,0-1 1,1 0 0,-8-15-1,7 7-1,1-1 1,0 1-1,1-1 0,1 0 0,0 0 0,1 0 0,1 0 0,1-1 0,0 1 1,1 0-1,1 0 0,1 0 0,0 0 0,2 0 0,-1 1 0,2 0 0,0 0 0,1 0 1,1 0-1,0 1 0,17-22 0,105-144-4,-87 119-27,-36 52 3,0 0 0,0 0 0,-1-1 0,-1 0 0,0 0 0,0 0 0,-1-1 0,-1 1 0,0-1 0,2-14 0,-2-36 16,-3 56-26,-1 0 0,1 0 0,-1-1 0,0 1 0,-1 0 0,0 0 0,-4-11 0,5 15-28,0 1 0,0-1 0,0 1 0,0-1 0,0 1 0,0 0 0,-1 0 0,1 0 0,0 0 0,-1-1 0,1 2 0,0-1 0,-1 0 0,1 0 0,-1 0 0,0 1 0,1-1 0,-1 1 0,1-1 0,-1 1 0,0 0 0,1-1 0,-1 1 0,0 0 0,0 0 0,1 0 0,-3 1 0,-3 0-613,0 0 0,1 1 0,-1 0 0,1 0 0,-8 5 0,-21 8-11978</inkml:trace>
  <inkml:trace contextRef="#ctx0" brushRef="#br0" timeOffset="4113.34">3595 490 22143,'0'-5'9,"0"0"-1,0 1 0,-1-1 1,0 0-1,0 1 1,0-1-1,-1 1 0,0-1 1,1 1-1,-1 0 1,-1 0-1,1 0 0,-1 0 1,1 0-1,-1 0 0,0 0 1,-1 1-1,1 0 1,-1 0-1,1 0 0,-1 0 1,0 0-1,0 1 0,0-1 1,0 1-1,-1 0 1,-6-2-1,2 1 7,1 0 0,-1 1-1,1 0 1,-1 1 0,1-1 0,-1 2 0,0-1-1,0 1 1,0 1 0,1-1 0,-1 1 0,0 1 0,1 0-1,-1 0 1,1 1 0,0 0 0,-1 0 0,1 1-1,1 0 1,-12 7 0,13-6-21,-1 0-1,1 0 1,-1 1-1,1-1 1,1 1 0,-1 1-1,1-1 1,0 1 0,1 0-1,0 0 1,0 0-1,0 1 1,1 0 0,0-1-1,1 1 1,-1 0 0,1 0-1,1 0 1,0 1-1,0-1 1,1 12 0,0-7-29,1-1 1,1 0-1,0 0 1,0-1 0,1 1-1,1 0 1,0-1-1,7 14 1,-9-21 30,0 0 1,1-1-1,-1 1 1,0-1-1,1 0 1,0 1-1,0-1 1,0 0-1,0-1 0,1 1 1,-1 0-1,1-1 1,-1 0-1,1 0 1,0 0-1,0 0 1,0-1-1,0 0 1,0 1-1,0-2 1,1 1-1,-1 0 0,0-1 1,0 1-1,1-1 1,6-1-1,-2-1 4,0 0 0,1-1 0,-1 1 0,-1-2 0,1 1 0,0-1 0,-1-1 0,0 0 0,0 0 0,0 0 0,12-11 0,-3-1 0,1 0 0,-2-1 0,20-28 0,-23 26-58,0 0 1,-1-1-1,-2 0 0,0-1 0,-1 0 0,11-45 0,-19 64-103,0 0-1,-1 0 1,1-1-1,-1 1 1,0 0 0,0 0-1,0-1 1,-1-2-1,1 5 62,0 1-1,-1-1 0,1 1 0,0-1 0,0 1 1,0-1-1,-1 1 0,1-1 0,0 1 0,-1-1 1,1 1-1,-1-1 0,1 1 0,0-1 0,-1 1 1,1 0-1,-1-1 0,1 1 0,-1 0 0,1 0 1,-1-1-1,0 1 0,1 0 0,-1 0 0,1 0 1,-1-1-1,1 1 0,-1 0 0,0 0 0,1 0 1,-1 0-1,1 0 0,-1 0 0,1 0 0,-1 1 1,0-1-1,1 0 0,-1 0 0,1 0 0,-1 1 1,1-1-1,-1 0 0,0 1 0</inkml:trace>
  <inkml:trace contextRef="#ctx0" brushRef="#br0" timeOffset="4892.8">3753 0 21503,'-6'39'0,"-1"-26"48,7-13-44,0 1 0,0-1 0,-1 0 0,1 0 0,0 0 0,0 0 0,-1 0 0,1 0 0,0 0 0,-1 0 0,1 0 0,0 0 0,-1 0 0,1 0 0,0 0 0,0 0 0,-1 0 0,1 0 0,0 0 0,0 0 0,-1-1 0,1 1 0,0 0 0,-1 0 0,1 0 0,0 0 0,0-1 0,-2 0 12,2 0 0,-1 0 0,0 0 0,0 0 0,0 0 0,0 0 0,1-1 0,-1 1 0,0 0 0,1 0 0,-1-1 0,1 1 0,-1-2 0,1 3-9,0 0 0,0 0-1,0-1 1,1 1 0,-1 0-1,0 0 1,0 0 0,0 0-1,0 0 1,0 0 0,0 0-1,0 0 1,0 0 0,0-1-1,0 1 1,0 0 0,0 0-1,0 0 1,1 0 0,-1 0-1,0 0 1,0 0 0,0 0-1,0 0 1,0 0 0,0 0-1,0 0 1,0 0 0,1 0-1,-1 0 1,0 0 0,0 0-1,0 0 1,0 0 0,0 0-1,0 0 1,0 0 0,0 0-1,1 0 1,-1 0 0,0 0-1,0 0 1,0 0 0,0 0-1,0 0 1,0 0 0,0 0-1,0 0 1,0 0 0,1 1-1,-1-1 1,0 0 0,0 0-1,0 0 1,0 0 0,0 0-1,0 0 1,0 0 0,0 0-1,0 0 1,0 1-1,0-1 1,0 0 0,0 0-1,0 0 1,0 0 0,0 0-1,0 0 1,0 0 0,12 13 134,13 21 19,81 161 480,-84-157-539,-1 2-1,-2 1 0,-1 1 0,16 64 1,-16-32 21,16 141 1,-28-147-68,-3 0 0,-7 88 1,0-113-8,-2-1-1,-2 1 1,-2-2 0,-28 77 0,22-78-11,-2-1-1,-2-1 0,-1-1 0,-2-1 1,-1-1-1,-2-1 0,-1-2 0,-2 0 1,-61 52-1,-37 7-1140,6-5-5045,44-29-5264</inkml:trace>
  <inkml:trace contextRef="#ctx0" brushRef="#br0" timeOffset="5594.41">4663 1308 22143,'47'15'179,"1"-3"0,51 8 0,15 3-54,118 27-893,-201-47-1111,-16-3-1895</inkml:trace>
  <inkml:trace contextRef="#ctx0" brushRef="#br0" timeOffset="5825.46">4823 889 22911,'0'0'640,"22"28"-384,1-6 0,9 9 0,4 3 0,6 4-128,6-1 0,7 4-1152,-2-3 128,-3-1-256,-12-13 128,-2-3-13823</inkml:trace>
  <inkml:trace contextRef="#ctx0" brushRef="#br0" timeOffset="43192.3">6016 1140 18815,'0'0'1814,"6"5"-1601,38 23 31,67 31 0,-83-46-78,1-1 0,0-2 0,60 13 0,114 8 517,-199-31-670,0 1 1,0-1 0,0 1 0,-1 0 0,1 1-1,0-1 1,-1 1 0,1-1 0,-1 1 0,1 0-1,-1 0 1,0 1 0,0-1 0,0 1 0,0-1 0,3 4-1,-6-5-205</inkml:trace>
  <inkml:trace contextRef="#ctx0" brushRef="#br0" timeOffset="44058.6">7052 640 18687,'0'0'1174,"6"-1"-961,7 0-150,1 1 0,-1 0 0,1 1 0,-1 0-1,0 1 1,1 1 0,-1 0 0,0 1 0,0 0 0,-1 1 0,0 0 0,1 1-1,-2 1 1,1-1 0,-1 2 0,0 0 0,0 0 0,11 13 0,-3-3-10,-1 0 1,-1 1-1,20 29 1,-30-38-37,-1 0 0,-1 0 0,0 1 0,0 0 0,-1 0 0,-1 0 0,0 1 0,0-1 0,1 21 0,-3-15 22,-1 0-1,-1 0 1,-1 0 0,-1 0 0,0 0 0,-1-1 0,0 1 0,-11 22 0,-5 6 148,-42 69 1,56-104-153,-2 1 0,1-1 0,-1-1 0,0 0 0,-1 0-1,0 0 1,-1-1 0,0 0 0,0-1 0,-13 7 0,19-11-27,-1 0-1,1 0 1,-1 0-1,1 1 1,0 0-1,0 0 1,0 0-1,1 0 1,0 1 0,0 0-1,-4 7 1,6-10-7,0 0 1,0-1 0,1 1-1,-1 0 1,1 0 0,-1 0-1,1 0 1,0 0 0,0 0-1,0 0 1,0 0 0,0 0-1,0 0 1,1 0 0,-1 0-1,0 0 1,1 0 0,0 0-1,-1-1 1,1 1 0,0 0 0,0 0-1,0-1 1,0 1 0,1 0-1,-1-1 1,0 1 0,1-1-1,-1 0 1,1 1 0,-1-1-1,1 0 1,-1 0 0,4 2-1,9 5 56,1 0-1,0-2 0,1 1 0,-1-2 1,1 0-1,0-1 0,1 0 0,-1-1 0,1-1 1,22 0-1,36 4 250,-41-3-790,52 0-1,-76-4-94,-1 1-1,1-2 0,-1 1 0,0-1 1,0-1-1,0 1 0,0-2 0,0 1 1,-1-1-1,11-6 0,10-9-10534</inkml:trace>
  <inkml:trace contextRef="#ctx0" brushRef="#br0" timeOffset="44929.13">7735 696 22143,'46'-48'0,"-44"47"0,0 0 0,0-1 0,0 1 0,0 0 0,0 0 0,1 1 0,-1-1 0,0 0 0,0 1 0,1-1 0,-1 1 0,0 0 0,4-1 0,34 4 0,-11 0 0,-6-2 25,-1 1 0,0 1 0,1 1-1,31 9 1,86 37 186,-94-32-162,-38-15-13,1 0 21,1 1 0,16 9-1,-24-12-48,0 1 0,0-1 0,-1 0 0,1 1-1,0-1 1,-1 1 0,1-1 0,-1 1 0,1 0 0,-1-1-1,0 1 1,1 0 0,-1 0 0,0 0 0,-1 0 0,1 0-1,0 0 1,0 0 0,0 3 0,-1 1 7,0 0 1,0 1-1,-1-1 1,0 0-1,0 0 1,0 0 0,0 0-1,-1-1 1,0 1-1,-1 0 1,1-1-1,-1 1 1,0-1-1,0 0 1,-7 9-1,-5 3 55,0-1 1,-36 28-1,27-24-17,16-13-33,0 0-1,-1 0 1,0-1 0,0 0-1,0-1 1,-1 0 0,0 0-1,0-1 1,0-1 0,0 1 0,-1-2-1,-19 4 1,22-6 14,-9 2 117,17 0-86,8 2-38,40 13 2,59 24 70,-55-16-99,-1 2 0,-1 2 0,60 48 0,-107-75 0,0 0 0,0 1 0,-1-1 0,1 1 0,-1-1 0,1 1 0,-1 0 0,0 0 0,0 0 0,0 1 0,0-1 0,-1 0 0,3 7 0,-4-7 0,0-1 0,0 1 0,0-1 0,-1 1 0,1 0 0,0-1 0,-1 1 0,0-1 0,1 1 0,-1-1 0,0 1 0,-1-1 0,1 0 0,0 1 0,-1-1 0,1 0 0,-1 0 0,1 0 0,-1 0 0,0 0 0,-2 2 0,-17 15 9,0 0 1,-2-2-1,1 0 0,-2-2 0,0 0 0,-31 13 0,35-19-2,-1-1 0,0-1 1,0-1-1,-1 0 0,1-2 0,-1-1 0,0 0 0,-33-1 0,54-2-19,0 0 1,-1 0-1,1 0 0,0 0 0,-1 0 0,1 0 0,0 0 1,-1 0-1,1-1 0,0 1 0,0-1 0,-1 1 1,1-1-1,0 1 0,0-1 0,0 0 0,0 1 0,-1-1 1,1 0-1,0 0 0,0 0 0,1 0 0,-1 0 0,0 0 1,0 0-1,0 0 0,1 0 0,-1 0 0,0 0 0,1-1 1,-1 1-1,1 0 0,0 0 0,-1-1 0,1 1 1,0 0-1,0-1 0,0 1 0,0 0 0,0-1 0,0 1 1,0 0-1,0-1 0,0 1 0,1-2 0,1-3-74,0 1-1,0 0 1,0-1 0,0 1-1,1 0 1,0 1-1,0-1 1,0 0 0,6-6-1,21-17-3113</inkml:trace>
  <inkml:trace contextRef="#ctx0" brushRef="#br0" timeOffset="46978.51">8729 1423 22783,'0'0'0,"-3"46"0,3-26 0,3-3 0,-1-1 0,4-7 0,-4-4 128,1-2-128,-6-11 128,1-9-128,-1 2 0,3 0-896,3 0 0,2 2-384,-1 4 128</inkml:trace>
  <inkml:trace contextRef="#ctx0" brushRef="#br0" timeOffset="48072.64">9753 499 22015,'-76'58'0,"75"-57"0,-1 0 0,0 0 0,1 0 0,-1 0 0,0-1 0,0 1 0,0-1 0,0 0 0,0 1 0,0-1 0,0 0 0,0 0 0,0 0 0,1 0 0,-1 0 0,0-1 0,0 1 0,0-1 0,0 1 0,0-1 0,0 0 0,1 1 0,-1-1 0,0 0 0,1 0 0,-1 0 0,0 0 0,1-1 0,-1 1 0,-2-3 0,2 2 0,0 0 0,-1 0 0,1 0 0,-1 0 0,0 1 0,0 0 0,0-1 0,1 1 0,-6-1 0,-20 0 0,1 1 0,0 1 0,0 2 0,0 1 0,0 0 0,-39 12 0,33-6 64,-52 19 0,72-23-45,1 1-1,-1 1 0,1-1 0,0 2 1,1 0-1,-18 16 0,27-24-18,1 1 0,0 0 0,0 0 0,0 0 0,0 0 0,0 0 0,0 1 0,0-1 0,0 0 0,0 0 0,1 1 0,-1-1 0,1 0 0,-1 1 0,0-1 0,1 0 0,0 1 0,-1-1 0,1 1 0,0-1 0,0 3 0,1-2 0,0 0 0,1 1 0,-1-1 0,1-1 0,-1 1 0,1 0 0,0 0 0,0-1 0,0 1 0,0-1 0,2 2 0,2 2 0,5 2 0,0-1 0,0-1 0,0 1 0,1-2 0,0 0-1,0 0 1,0-1 0,0 0 0,19 1 0,-8-1 11,35 11 1,-25 0 52,-1 0-1,-1 2 1,0 2 0,39 29 0,-61-41-42,-2-1-12,0 0-1,0 1 1,-1 0-1,0 0 1,0 0-1,0 1 1,-1 0-1,0 0 1,0 0 0,0 0-1,-1 1 1,0 0-1,-1 0 1,0 0-1,0 1 1,-1-1 0,0 0-1,0 1 1,-1 0-1,0-1 1,-1 1-1,0 0 1,0-1-1,-1 1 1,0 0 0,0-1-1,-1 1 1,-4 10-1,2-8 16,-1-1-1,-1 0 0,0 0 0,0-1 0,-1 1 1,0-1-1,0-1 0,-1 1 0,0-2 0,-1 1 1,0-1-1,-17 11 0,8-7 25,-1-1 1,0 0 0,0-2-1,-1 0 1,0-1-1,-24 5 1,36-11-1,0 1 1,0-1 0,0 0 0,0-1-1,-1 0 1,1 0 0,-9-2 0,14 1-24,-1 0 0,1 0 0,-1 0 0,1 0 1,-1 0-1,1-1 0,0 0 0,0 1 0,-1-1 1,1-1-1,1 1 0,-1 0 0,0-1 1,1 1-1,-1-1 0,1 0 0,0 0 0,-3-4 1,1 0-25,1 1 1,0-1 0,0 0 0,1 0-1,0-1 1,0 1 0,0-1 0,1 1-1,0-1 1,1 1 0,0-1 0,0 1 0,1-1-1,-1 1 1,2-1 0,-1 1 0,1 0-1,0-1 1,0 1 0,1 0 0,6-11-1,7-9 7,0 1 0,2 1-1,1 1 1,22-24-1,-8 10-5,-30 34-3,42-49 11,56-53 0,-99 104-9,70-69 66,-62 60-62,-1 0 0,-1 0 0,0-1 0,-1 0 0,7-15 0,12-32-1461,0 1-3874,-14 30-6830</inkml:trace>
  <inkml:trace contextRef="#ctx0" brushRef="#br0" timeOffset="48961.53">10237 379 22527,'-26'8'0,"-21"4"0,45-11 0,0 0 0,0 0 0,0 0 0,0 0 0,0 0 0,1 1 0,-1-1 0,0 1 0,1-1 0,-1 1 0,1 0 0,0 0 0,-1-1 0,1 1 0,0 0 0,0 0 0,0 0 0,-1 3 0,0 1 0,-2 4 34,0 0 1,1 0-1,1 0 0,-1 0 0,2 1 0,-1 0 0,2-1 0,-1 1 0,1-1 0,2 13 1,-2 28 80,0 0 27,12 95 1,0 4-1,-16 55-14,4-198-109,1 1 0,0-1 1,0 0-1,1 0 0,0 0 1,0 1-1,6 11 1,-2-6 38,-6-12-57,0-1-1,0 1 1,0-1-1,1 1 1,-1 0-1,0-1 1,1 1 0,-1-1-1,1 1 1,-1 0-1,0-1 1,1 1-1,-1-1 1,1 1 0,-1-1-1,1 0 1,0 1-1,-1-1 1,1 0 0,-1 1-1,1-1 1,0 0-1,-1 0 1,1 1-1,0-1 1,-1 0 0,2 0-1,-1 0 2,1 0-1,-1-1 1,1 1-1,-1 0 1,0-1-1,1 1 1,-1-1-1,0 0 1,1 1-1,-1-1 1,0 0-1,2-1 1,2-3 16,1 0 0,-1-1 1,0 1-1,6-11 1,143-246 80,-27 41-49,-65 117-32,30-48 48,-74 126-49,1 1-1,1 1 0,37-35 1,-53 56-4,0-1 0,0 1 1,0 0-1,1 0 0,-1 1 1,1-1-1,8-2 0,-13 5-13,0 0-1,0 0 1,0 0 0,0 0-1,0 0 1,0 0-1,0 0 1,0 0-1,1 0 1,-1 0-1,0 0 1,0 0 0,0 1-1,0-1 1,0 0-1,0 0 1,0 0-1,0 0 1,0 0-1,0 0 1,0 0 0,0 0-1,0 1 1,0-1-1,0 0 1,0 0-1,0 0 1,1 0 0,-1 0-1,0 0 1,-1 0-1,1 0 1,0 1-1,0-1 1,0 0-1,0 0 1,0 0 0,0 0-1,0 0 1,0 0-1,0 0 1,0 1-1,0-1 1,0 0-1,0 0 1,0 0 0,0 0-1,0 0 1,0 0-1,0 0 1,-1 0-1,1 0 1,0 0 0,0 0-1,0 0 1,0 1-1,0-1 1,0 0-1,0 0 1,0 0-1,-1 0 1,1 0 0,0 0-1,0 0 1,0 0-1,-7 8-76,-2 3-142,1 0 1,0 0 0,1 1 0,0 0 0,1 0 0,-8 21 0,-3 15-3119,1-5-9996</inkml:trace>
  <inkml:trace contextRef="#ctx0" brushRef="#br0" timeOffset="50257.77">11078 294 22911,'0'0'128,"-7"5"-21,-7 8-64,-1 1-1,2 1 1,0 0 0,1 0-1,-13 22 1,-50 77 109,40-63-143,-43 83 1,-16 85 200,65-149-164,-86 230 295,102-272-263,13-28-77,0 0 0,-1 0 0,1 0 1,0 0-1,0 0 0,0 0 0,0 0 1,0 0-1,0 0 0,0 0 0,0 0 1,0 0-1,0 0 0,0 0 0,0 0 1,0 0-1,0 0 0,-1 0 0,1 0 1,0 0-1,0 0 0,0 0 0,0 0 1,0 0-1,0 0 0,0 0 0,0 0 1,0 0-1,0 0 0,0 0 0,0 0 1,0 0-1,0 0 0,0 0 0,-1 0 1,1 0-1,0 0 0,0 0 0,0 0 1,0 0-1,0 1 0,0-1 0,0 0 1,0 0-1,0 0 0,0 0 0,0 0 1,0 0-1,0 0 0,5-17 8,29-73-184,3 2 0,5 2 0,3 1 1,76-106-1,-50 101 151,5-7 26,13-39-2,-83 126 30,0 0-1,-1-1 0,-1 1 1,0-1-1,0 0 0,-1 0 1,3-18-1,-2 15 69,-3 17 82,-3 24 75,-4 30 128,3 88-1,2-28-229,1 247 209,0-282-338,-1-53 4,1-1-1,6 52 1,-3-76-824,1-9 225,1-10-601,-2-2 27,-1-1 0,-1 0 0,-3-34 0,1-7-205,2 27 1089,1 3-15,-1-1 0,-2 1 0,-7-51 0,5 66 295,-1-6 156,0 0 1,-1 1-1,-1-1 0,-10-19 0,16 38-122,-1 0 0,0 0 0,1 0 0,-1-1 0,0 1 0,0 0 0,0 0 0,0 0 0,0 0 0,0 0 0,0 1 0,0-1-1,-1 0 1,1 0 0,0 1 0,0-1 0,-1 1 0,1-1 0,0 1 0,-1 0 0,1-1 0,-2 1 0,-1 0 80,1 0 1,-1 0 0,0 0-1,1 1 1,-1 0 0,1-1 0,-1 1-1,-5 3 1,1 0 102,0-1 1,0 2-1,1-1 0,0 1 0,-1 0 1,-10 12-1,-1 2 188,8-9-199,1 1-1,1 0 1,-12 17 0,21-28-213,0 1 0,-1-1 0,1 1 0,0-1 0,0 0 1,-1 1-1,1-1 0,0 1 0,0-1 0,0 1 0,0-1 1,0 1-1,0-1 0,0 1 0,0-1 0,0 1 0,0-1 1,0 1-1,0-1 0,0 1 0,0-1 0,1 1 0,-1-1 1,0 1-1,0-1 0,0 0 0,1 1 0,-1-1 0,1 1 1,15 8 240,22-3-18,108 10-832,-143-16 345,1 0 1,-1 0-1,0 0 1,0 0-1,0 0 1,0-1-1,0 1 1,0-1-1,0 0 1,0 0-1,0 0 1,0 0-1,0-1 1,0 1-1,-1-1 1,1 0-1,-1 1 1,5-5-1</inkml:trace>
  <inkml:trace contextRef="#ctx0" brushRef="#br0" timeOffset="50724.1">11394 455 22271,'0'0'256,"-1"9"-149,-15 117 162,-40 377 251,54-484-520,0-3 0,1 1 0,1-1 0,2 20 0,-2-36-12,0 0 0,0 0 0,0 0 0,0 0 0,0 1 0,0-1 0,0 0 0,0 0 0,0 0 0,0 0 0,0 1 0,0-1 0,0 0 0,0 0 0,0 0 0,0 0 0,0 1 0,0-1 0,0 0 0,0 0 0,0 0 0,0 0 0,1 0 0,-1 1 0,0-1 0,0 0 0,0 0 0,0 0 0,0 0 0,0 0 0,1 0 0,-1 0 0,0 0-1,0 0 1,0 1 0,0-1 0,0 0 0,1 0 0,-1 0 0,0 0 0,0 0 0,0 0 0,0 0 0,1 0 0,-1 0 0,0 0 0,0 0 0,0 0 0,0 0 0,1 0 0,-1 0 0,0 0 0,0-1 0,9-9-811,5-16-606,22-60-3861,-16 41-4822</inkml:trace>
  <inkml:trace contextRef="#ctx0" brushRef="#br0" timeOffset="51239.43">11577 499 16639,'0'0'150,"-1"-6"127,0 2-275,-14-58 1646,13 56-1431,0 0 0,0 0 0,0 1-1,-1-1 1,0 1 0,0-1 0,0 1 0,-1 0 0,-4-5 0,3 7-117,-1 1 0,1-1 0,0 1 0,-1 1 0,1-1 0,-1 1 0,0 0 0,0 0 0,1 0 0,-7 1 0,-8-2 208,20 2-302,0 0 0,0 0 0,-1 0 0,1 0 1,0 0-1,0 0 0,0 0 0,0 0 0,0 0 0,0 0 1,0 0-1,-1 0 0,1 0 0,0 0 0,0 0 0,0 0 1,0 0-1,0 0 0,0 0 0,0 0 0,-1 0 1,1 0-1,0-1 0,0 1 0,0 0 0,0 0 0,0 0 1,0 0-1,0 0 0,0 0 0,0 0 0,0 0 1,0 0-1,-1 0 0,1-1 0,0 1 0,0 0 0,0 0 1,0 0-1,0 0 0,0 0 0,0 0 0,0 0 0,0-1 1,0 1-1,0 0 0,0 0 0,0 0 0,0 0 1,0 0-1,0 0 0,0 0 0,0-1 0,0 1 0,0 0 1,1 0-1,-1 0 0,0 0 0,0 0 0,0 0 0,0 0 1,0-1-1,7-2 95,-1 3-35,0 0-1,0 0 0,-1 1 1,1 0-1,0 0 1,0 0-1,-1 1 0,1 0 1,0 0-1,-1 0 0,0 1 1,6 3-1,7 6 59,-1 0-1,17 16 1,-2-1-43,-21-18-50,-1 0 0,-1 0 0,1 1 0,-2 0 0,1 1 0,-2 0 0,1 0 0,-2 1 1,1 0-1,-1 0 0,7 24 0,-10-27-9,0 0 0,-1 1 0,-1 0 0,1-1 0,-2 1-1,1 0 1,-1 0 0,-1-1 0,0 1 0,0 0 0,-1-1 0,0 1 0,0-1 0,-1 1 0,-1-1 0,1 0 0,-6 9 0,1-5 55,0 0 1,-1-1 0,0 0 0,-14 15 0,18-23-45,0 0 0,0 0 0,0 0 0,0 0 0,0-1 1,-1 0-1,0 0 0,1 0 0,-1-1 0,0 0 0,0 0 1,-1 0-1,-7 0 0,0 0 22,-1-1-1,1 0 1,-1-1 0,-16-3 0,26 3-191,0-1 1,0 0 0,1-1-1,-1 1 1,1-1 0,-1 0-1,1 0 1,0 0 0,0 0-1,0-1 1,0 0 0,0 0 0,0 0-1,1 0 1,0-1 0,-5-5-1,4 3-383,-2-2-115</inkml:trace>
  <inkml:trace contextRef="#ctx0" brushRef="#br0" timeOffset="52159.59">11527 900 20351,'0'0'2198,"-4"2"-1985,-1 1-170,0 1-1,0-1 1,1 1 0,-1 0-1,1 0 1,0 1 0,0 0-1,0-1 1,1 1 0,0 0-1,0 1 1,0-1 0,1 0-1,-1 1 1,1 0 0,1-1-1,-1 1 1,1 0 0,0 0-1,0 0 1,0 0 0,1 0-1,0 0 1,1 0 0,-1 0-1,3 9 1,0 4 46,1 0-1,1-1 1,1 0 0,1 0-1,0 0 1,15 23 0,-15-28-89,0-2-1,1 1 1,1-1 0,0 0 0,0-1-1,1 0 1,0-1 0,1 0 0,18 12 0,-26-19-130,0-1 1,0 1 0,0-1 0,0 1-1,0-1 1,0 0 0,0 0-1,0-1 1,0 1 0,0-1 0,1 1-1,-1-1 1,6-1 0,18-2-3160,16-4-9745</inkml:trace>
  <inkml:trace contextRef="#ctx0" brushRef="#br0" timeOffset="54604.38">5809 2054 19583,'0'0'1558,"8"1"-1345,13 4-106,0 1-1,-1 1 1,1 1 0,29 16-1,-24-10-39,1-1 0,1 0 0,1-2 0,-1-2 0,1 0 0,32 4 1,186 17 416,-212-27-435,298 10 244,-23-1 75,-33-10-33,0-21-33,-31 1-149,720-27 359,-637 8-322,-72 4-39,-226 31-139,101-10 110,140-29 0,-111 11 27,164-10 1,-185 19-13,-101 13-86,0 2 0,1 1 0,62 2 0,-96 3-49,61 5 47,1-3 0,121-12 0,-182 9-25,0 0-1,0 1 1,0 0-1,0 0 1,0 0-1,0 1 0,0 0 1,0 0-1,12 4 1,-14-3-22,1-2 1,-1 1-1,1-1 1,-1 0-1,1 0 1,-1 0-1,0-1 1,9-1-1,25-2-3,-25 5 39,-1-1-1,1 0 0,16-2 1,10 4 69,-36-1-94,0 0 0,0-1 0,0 1 0,0-1 0,-1 0 0,1 0 0,0 0 0,0 0 0,0-1 0,0 0 0,0 0 0,-1 0 0,1 0 0,0 0 0,-1-1 0,1 1 0,3-3 0,-6 3-12,1 0 1,-1 0-1,1 0 0,-1 0 1,1 0-1,-1 1 0,1-1 1,-1 0-1,1 1 1,0-1-1,0 1 0,-1 0 1,1 0-1,0-1 0,-1 1 1,1 0-1,2 1 1,28 9-10,-27-8 48,-1-1 0,1 1 0,0 0 1,0-1-1,0 0 0,9 1 1,12-5 70,-23 2-112,1 0 1,0 1 0,0-1-1,0 1 1,0 0 0,-1 0-1,1 0 1,0 1 0,0-1-1,0 1 1,0 0 0,4 1-1,-6-1 1,0 0 0,-1-1 0,1 1 0,0-1 0,0 0 0,0 0 0,0 1 0,0-1 0,0 0 0,0-1 0,0 1 0,-1 0 0,1 0 0,0-1 0,0 1 0,0-1 0,0 0 0,2-1 0,17-3 0,3 1 84,-22 3-71,1 0 0,0 0 0,-1 1 0,1-1 0,0 1 0,-1 0 0,1 0 0,0 0 0,0 0 0,-1 0 1,1 1-1,0-1 0,-1 1 0,1-1 0,-1 1 0,1 0 0,-1 0 0,1 0 0,-1 1 0,1-1 0,-1 1 0,3 2 0,1-3 46,-9-8 31,8 6 124,3-1-143,-3 1-17,-3 8-30,-2-7-24,0 0 0,0 0 0,0 0 0,0 0 0,0 0 0,0 0 0,0 0 0,0 0 0,0 0 0,0 0 0,0 0 0,0 0 0,1 0 0,-1 0 0,0 0 0,0 0 0,0 0 0,0 0 0,0 0 0,0 0 0,0 0 0,0 0 0,0 0 0,0 0 0,0 0 0,0 0 0,0 0 0,0 0 0,0 0 0,0 0 0,0 0 0,0 0 0,1 0 0,-1 1 0,0-1 0,0 0 0,0 0 0,0 0 0,0 0 0,0 0 0,0 0 0,0 0 0,0 0 0,0 0 0,0 0 0,0 0 0,0 0 0,0 0 0,0 0 0,0 0 0,0 1 0,0-1 0,0 0 0,0 0 0,0 0 0,0 0 0,0 0 0,0 0 0,1 0 0,-6-2 0,2 0 192,11 0 0,-6 3-181,4 0 59,-6-1-69,0 0 0,0 1 0,0-1 0,1 0 0,-1 0 0,0 0 0,0 0 0,0 0-1,0 1 1,0-1 0,0 0 0,0 0 0,0 0 0,0 0 0,0 0 0,0 1 0,0-1 0,0 0 0,0 0 0,0 0 0,0 0-1,-1 0 1,1 1 0,0-1 0,0 0 0,0 0 0,0 0 0,0 0 0,0 0 0,0 0 0,0 0 0,0 1 0,-1-1-1,1 0 1,0 0 0,0 0 0,0 0 0,0 0 0,0 0 0,0 0 0,-1 0 0,1 0 0,0 0 0,0 0 0,0 0 0,0 0-1,0 0 1,-1 0 0,1 0 0,0 0 0,-4 0-1,7-2 0,0 2 0,-6 4 0,6-6 0,5-2 0,-7 0 0,-3 5 0,2-1 0,0 1 0,0-1 0,0 0 0,0 0 0,-1 0 0,1 0 0,0 0 0,0 0 0,0 1 0,0-1 0,0 0 0,0 0 0,0 0 0,0 0 0,0 0 0,0 1 0,0-1 0,0 0 0,0 0 0,0 0 0,0 0 0,0 1 0,0-1 0,0 0 0,0 0 0,0 0 0,0 0 0,0 0 0,0 1 0,0-1 0,0 0 0,0 0 0,1 0 0,-1 0 0,0 0 0,0 0 0,0 1 0,0-1 0,0 0 0,0 0 0,0 0 0,1 0 0,-1 0 0,0 0 0,0 0 0,0 0 0,0 0 0,0 0 0,1 0 0,-1 0 0,0 0 0,0 0 0,0 0 0,0 0 0,0 0 0,1 0 0,-1 0 0,0 0 0,0 0 0,4-2 0,-2-4-191,0 0 0,0 0 0,0 0 0,-1 0 0,0 0 0,0 0 0,-1-7 0,3-13-862,9-63-4110,-8 42-9236</inkml:trace>
  <inkml:trace contextRef="#ctx0" brushRef="#br0" timeOffset="56300.66">5927 2548 20479,'0'0'2432,"5"0"-2325,134 13 192,-33-4-114,71 2 248,87-26-37,-50 0-173,223 0 76,-186 19-86,-20 0-42,79 10 137,13 0-19,-266-16-249,26-1 132,95 7 0,230 16-23,-124-42-56,4-1 177,-66 7-157,-90 2-77,-29 15-9,-76 1-7,1-2 0,0-1 0,30-4 0,49-13 32,-37 8-4,103-29 1,-121 26 39,1 2 0,104-8 0,-6 2 53,-102 13-40,-38 4-74,1-1 0,-1 0 0,0 0-1,18-6 1,-19 4-24,100-28 263,-97 29-228,0 0-1,1 1 1,-1 0 0,1 1 0,-1 1 0,21 3-1,51 5 188,-42-5-215,-37-4 0,1 0 0,0 0 0,0 0 0,-1-1 0,1 0 0,-1 0 0,1 0 0,-1-1 0,7-3 0,7-3-2092,31-20 0,-46 25 1218,54-31-15199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02.90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5586 27 19071,'-20'-15'8,"20"15"-7,1 0-1,-1 0 0,0 0 1,0 0-1,0 0 0,0 0 1,0 0-1,0 0 1,0 0-1,0 0 0,0 0 1,0 0-1,1 0 0,-1 0 1,0 0-1,0 0 0,0 0 1,0 0-1,0 0 0,0 0 1,0 0-1,0 0 0,0 0 1,1 0-1,-1 0 0,0 0 1,0 0-1,0 0 0,0 0 1,0 0-1,0 0 0,0 0 1,0 0-1,0-1 0,0 1 1,0 0-1,0 0 0,0 0 1,0 0-1,0 0 1,0 0-1,0 0 0,0 0 1,0 0-1,0 0 0,0-1 1,1 1-1,-2 0 0,1 0 1,0 0-1,0 0 0,0 0 1,0 0-1,0 0 0,0 0 1,0 0-1,0-1 0,0 1 1,0 0-1,0 0 0,0 0 1,0 0-1,0 0 0,0 0 1,0 0-1,0 0 0,0 0 1,0 0-1,-1 0 0,15 3 96,-4-5 334,-16-2 384,-2-1-522,7 5-285,1 0 1,0 0-1,-1 0 0,1 0 0,-1 0 0,1 0 0,0 0 0,-1 0 0,1 0 0,0 0 0,-1 0 0,1 0 0,-1 0 0,1 1 1,0-1-1,-1 0 0,1 0 0,0 0 0,-1 0 0,1 1 0,0-1 0,0 0 0,-1 0 0,1 1 0,0-1 0,-1 0 1,1 1-1,0-1 0,0 0 0,0 1 0,0-1 0,-1 0 0,1 1 0,0-1 0,0 0 0,0 1 0,0-1 0,0 1 0,0-1 1,0 0-1,0 1 0,0-1 0,0 0 0,0 1 0,0-1 0,0 1 0,-1 22 66,10 6 95,-7-26-143,0 1-1,-1-1 1,1 1 0,-1 0 0,0 0-1,1 6 1,-2 29 39,0-3 1,-7 39-1,-1 22 20,-30 352 231,-34-8 32,19-214-241,7-35-84,4 30 112,-32 147 94,55-304-189,11-44-9,2 2 0,-8 44-1,-11 81-29,15-102 0,2 1 0,-4 80 0,12-122 0,5 143-38,-3-124 24,1-2 1,1 2-1,2-2 0,9 27 1,-12-39-179,1 4-602</inkml:trace>
  <inkml:trace contextRef="#ctx0" brushRef="#br0" timeOffset="2916.52">1 1337 18943,'36'1'0,"-36"-1"0,0 0 0,1 1 0,-1-1 0,0 0 0,0 0 0,1 0 0,-1 0 0,0 0 0,0 0 0,1 0 0,-1 0 0,0 1 0,0-1 0,1 0 0,-1 0 0,0 0 0,0 0 0,1 1 0,-1-1 0,0 0 0,0 0 0,0 1 0,0-1 0,0 0 0,1 0 0,-1 1 0,0-1 0,0 0 0,0 0 0,0 1 0,0-1 0,0 0 0,0 1 0,0-1 0,0 0 0,0 0 0,0 1 0,0-1 0,0 0 0,0 1 0,0-1 0,0 0 0,0 0 0,0 1 0,0-1 0,-1 0 0,-7 16 0,5-10 0,1-1 0,0-1 0,1 0 0,-1-1 0,1 0 0,0 1 0,0 0 0,0 7 0,1-10 0,0 0 0,1 2 0,-1-2 0,0 0 0,1 0 0,-1 0 0,1 0 0,-1 0 0,1-1 0,-1 1 0,1 0 0,0 1 0,0-1 0,0 0 0,-1 0 0,1 0 0,0 0 0,0 0 0,0 0 0,0-1 0,1 1 0,-1 0 0,0-1 0,0 1 0,0-1 0,0 1 0,2 0 0,82 37 529,23 8 329,-25-16-581,157 31 1,-111-51-98,-57-6-104,55 0 35,58 7-9,-73 4-91,143 3-1,-173-19-11,125 4 130,450 0 511,-512-20-515,-9 1-122,-83 13 6,414-44 110,-287 20-76,4 10 0,227 5-1,-198 16-4,163 8 52,178 85 45,-493-83-120,131 16 71,-88-13-66,-56-9-20,0-4 0,58 1 0,-62-6 0,111 2 0,-40 13 43,154 5 149,18-34-4,-91 2-77,-88 7-38,417 3 238,-390 20-256,70 1-4,-93-17-51,231 7 0,-292-5 0,0-3 0,94-12 0,-104 6 0,24-5 0,70-4 0,418 18 0,-383 7 0,249 18 0,-242-7 28,236 19 72,-279-45-100,-4 1 0,-64 6 0,0-4 0,132-19 0,-142 14 0,0 3 0,57 2 0,20 1 0,-14-13 0,29 0 0,-75 9 0,-41 2 0,1 1 0,38 3 0,15 1 0,-58-3 0,43 5 0,-31 0 0,2-2 0,-1-1 0,0-3 0,47-7 0,-69 8 0,1 1 0,-1 0 0,0 2 0,32 6 0,-26-4 0,-3-2 0,39 2 0,-58-5 0,13 0 12,-1 0 0,1 1 0,-1 1 0,1 0 0,-1 1-1,0 0 1,0 1 0,23 9 0,5 7 51,-28-12-20,2 1-1,-1-2 1,0 1 0,1-2 0,0-1 0,0 0-1,29 2 1,-18-8 77,43-6 0,-52 5-104,-16 3-17,-1-1 2,-1 1 0,0 0 0,0 0 0,1-1 0,-1 1 0,0 0 0,1 0 0,-1 0 0,0 1 0,1-1 0,-1 0 0,0 0 0,1 1 0,-1-1 0,0 1 0,0-1 0,1 1 0,-1-1 0,0 1 0,0 0 0,0 0 0,2 1 0,-2-2 84,16 1-60,-17-1-26,1 0 0,-1 0 0,1 0-1,-1 0 1,1 1 0,-1-1 0,1 0 0,0 0 0,-1 0 0,1 0-1,-1 0 1,1 0 0,-1-1 0,1 1 0,-1 0 0,1 0 0,-1 0-1,1 0 1,-1-1 0,1 1 0,0-1 0,-1 1-106</inkml:trace>
  <inkml:trace contextRef="#ctx0" brushRef="#br0" timeOffset="4512.69">13028 1584 19455,'0'0'128,"-1"3"0,0 2-112,-48 192 485,40-153-332,3 0 0,-3 75 0,8 3 215,3-153-384,8-38 0,0 2 0,-5 5 0,24-301 0,-29 349 0,4-29 0,-4 43 0,0 0 0,0 0 0,0 0 0,0 0 0,0 0 0,1 0 0,-1 0 0,0 0 0,0 0 0,0 0 0,0 0 0,0 0 0,1 0 0,-1 0 0,0 0 0,0 0 0,0 0 0,0 0 0,1 0 0,-1 0 0,0 0 0,0 0 0,0 0 0,0 0 0,0 0 0,0 0 0,1 0 0,-1 0 0,0 0 0,0 2 0,0-2 0,0 0 0,0 0 0,0 0 0,0 0 0,1 0 0,-1 0 0,0 1 0,0-1 0,0 0 0,0 0 0,0 0 0,0 0 0,0 0 0,0 1 0,0-1 0,0 0 0,0 0 0,0 0 0,0 0 0,0 1 0,7 10 0,-7-10 0,8 14 8,-3-6 17,0 1 0,0-1 0,1 1-1,1 0 1,0-2 0,0 2 0,0-1 0,1-1 0,17 11-1,115 64 232,-99-66-108,-30-13-105,0 2 0,17 7 1,0 7 59,-9-10-10,0 4 1,30 25 0,-33-28-4,-14-10-88,0 0 1,0 0-1,-1 0 0,1 0 0,0 0 0,-1 2 0,1-2 0,-1 0 0,2 3 0,-2-3 2,-1 0-1,0-1 0,0 1 0,0 0 0,0 0 0,0-1 1,0 1-1,0 0 0,0 0 0,0-1 0,0 1 1,-1 0-1,1 0 0,0-1 0,0 1 0,-1 0 0,1-1 1,0 1-1,-1 0 0,1-1 0,-1 1 0,1-1 0,-1 2 1,1-1-1,-1-1 0,1 1 0,-1-1 0,0 0 0,1 0 1,-1 0-1,-1 1 0,-18 15 54,-1-2 0,-30 16 1,-4 1 26,-401 294-194,423-301-143,-11 5-1202,26-19-1122,-30 21-9774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12.28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1370 14592,'0'0'3839,"1"-5"-3732,3-24 0,2 0-1,11-35 0,-13 53-74,0 0 0,1 0 1,0 0-1,0 1 0,1 0 0,0 0 0,1 1 0,0 0 0,11-11 0,13-5 25,-20 15-39,0 1 1,0 0-1,-1-2 1,18-21-1,-14 13 30,1 0 0,2 1 0,-1 1 0,2 1 0,0 0 0,37-23 0,43-38 235,-76 56-183,0-1-1,32-43 1,-41 48-43,1 2 1,16-16 0,-17 18-11,0 0 1,-1 0-1,19-27 0,-21 23-30,0 2 0,1-2-1,1 3 1,1-1-1,0 2 1,1-1 0,0 2-1,21-14 1,42-39 93,-63 52-81,0 0 0,0 2 0,1-1 0,1 2 0,0-1-1,0 2 1,25-10 0,24-2-7,-29 10-22,-1-1 0,40-20-1,-29 6 16,-25 14 4,1 0 0,0 1 0,0 2 0,1 0-1,46-11 1,-44 15-19,0-2-1,33-14 1,-38 13 6,0 1-1,0 1 1,42-6 0,-1 4 58,-34 4-22,-1 1 1,0 1 0,50 4-1,127 20-42,-192-20 0,-1 1 0,0 1 0,20 9 0,-7-3 0,-19-9 0,18 9 0,40 10 0,-35-12 32,0 1 0,48 24 0,-16-6 0,-23-9-32,64 40 0,-56-32 0,10 8 0,99 55 0,52 7 107,-192-90-82,0 1 0,0 1 1,-1 0-1,0 2 0,-1-1 0,0 0 0,0 1 1,-1 1-1,0 0 0,13 20 0,42 67-25,-49-76 0,0 0 0,2 0 0,0-2 0,24 19 0,-15-14 0,32 41 0,-51-56 2,14 16 23,-2 1 0,-2 1 1,0 0-1,14 32 0,-26-47 2,1-1 0,0 0 0,2 0 0,0-1 0,0 0 0,17 16 0,16 20 40,-13-6-67,-19-27 0,-1 0 0,20 21 0,-14-20 3,9 7 18,-1 1 0,-1 2-1,-1 1 1,-1 1 0,20 35 0,-27-38-21,2-2 0,28 34 0,-7-9 0,-14-19 53,40 37-1,-36-39 13,28 37 0,-15-10-44,-4-4-21,53 57 0,-64-82 0,-1 1 0,-1 3 0,27 41 0,-31-38 0,1-3 0,1 0 0,2-2 0,1 0 0,1 0 0,51 40 0,-71-63 0,89 68 64,145 82 0,-184-119-64,-34-21 0,1-1 0,1-1 0,0-1 0,25 9 0,41 5 29,109 38 70,-91-11-99,-86-38 0,2-2 0,0 0 0,0-1 0,0-2 0,1 0 0,27 4 0,-17-7 32,61 1 0,-83-6-25,0-1-1,0 0 0,0 0 1,0-1-1,0 0 1,0-1-1,-1-1 0,0 1 1,14-8-1,58-46 160,-28 18-76,74-54-26,-111 78-51,-1 0 0,0-1 0,-1-1-1,25-37 1,-12 10 19,1 0 0,3 2 0,59-61 0,-29 44-32,-3-4 0,65-87 0,-89 104 0,-18 26 0,-1-2 0,-1 1 0,18-38 0,54-164 178,10-22 28,-86 222-206,1 1 0,1 1 0,23-31 0,-35 51-49,-1 1-1,0-1 1,1 0-1,-1 1 0,0-1 1,1 1-1,-1-1 1,1 0-1,-1 1 1,1-1-1,-1 1 1,1 0-1,-1-1 1,1 1-1,0-1 0,-1 1 1,1 0-1,0-1 1,-1 1-1,1 0 1,0 0-1,-1-1 1,2 1-1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23.43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78 87 14080,'0'34'-150,"-1"-30"65,-6 0 58,2 2 33,-7 27 356,2 0 1,0 1 0,3 1-1,1-1 1,-3 53 0,10-77-60,3-9 115,-4-2-388,1 0 0,-1 1 0,1-1 1,-1 0-1,0 0 0,1 0 0,-1 0 0,0 0 0,1 1 0,-1-1 0,0 0 0,0 0 1,0 0-1,0-2 0,2-38 200,2-1 1,1 1-1,2 1 0,25-79 1,-21 76-119,6-17-118,-31 95 32,2 0 0,1 1-1,2 1 1,-7 55-1,12-56 24,-12 104 393,15-128-392,0 5 34,1-16-72,0-1 1,0 0-1,0 1 1,0-1-1,0 0 1,0 1-1,0-1 1,0 0-1,-1 1 1,1-1-1,0 0 1,0 1-1,0-1 1,-1 0-1,1 1 1,0-1-1,0 0 1,-1 0-1,1 1 1,0-1-1,0 0 1,-1 0-1,1 0 1,0 1-1,-1-1 0,1 0 1,0 0-1,-1 0 1,1 0-1,0 0 1,-1 0-1,-4 3 111,4-3-30,2-8-53,18-45-40,3-136 0,0 4 0,-19 176 0,-3 22 0,-2 26 0,-3 9 47,3 50 0,1-21-13,-1-5 25,-11 142 288,11-201-290,2-12-45,-1 1 1,1 0-1,-1 0 0,1 0 1,0 0-1,0 0 1,0 0-1,0 0 1,0 0-1,1-1 1,-1 1-1,0 0 0,1 0 1,-1 0-1,2 2 1,1 10 56,-4-24-32,16-333 91,-14 292-128,1 68-37,3 30-54,-11 66-437,-3 157-2016,9-212-186,0-3-7339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30.29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9271 1661 13696,'0'0'1664,"-4"2"-1536,-6 5 45,1-1 0,0 1 1,0 1-1,0 0 0,1 0 0,0 0 1,-10 15-1,-27 38 723,21-30-652,18-24-177,0 1 0,0 0 0,-8 15 0,8-11-46,0 3 30,-1 0 1,-1-1-1,0-1 0,-19 23 0,15-23-41,5-4 10,-1 0 0,0-1-1,-1 1 1,0-2 0,-10 7-1,10-7-19,1 0 0,-1 0 0,1 1 0,-13 16 0,12-14 0,-1 1 0,-13 12 0,-64 39 0,61-46 0,2 1 0,0 1 0,1 2 0,-25 27 0,27-25 0,0 0 0,-1 0 0,-43 29 0,35-28 0,-53 53 0,14-11 0,44-44 0,0 0 0,-2-2 0,0-1 0,-1-1 0,-46 19 0,-40 16 0,77-31 134,-20 9 138,13-12-152,-17 10 96,-2-4 0,-100 24 0,110-39-112,36-7-100,0 1 0,0 0 0,1 1 0,-1 1 0,-25 11 0,28-8 64,-8 4 7,0 0 1,-1-2 0,-1-1-1,0-1 1,0-1-1,-38 7 1,40-11 18,0 2 0,-38 13 0,38-11-46,-1 0 0,-32 6 1,-85 10 358,38-5 444,73-14-757,-2 0 0,1-2 0,0-1 0,-53-5 0,51 0-66,12 2 29,0-1 0,1 0 0,0-1 0,-1-1 0,1-1-1,-26-12 1,27 10-57,1 0 0,-1 2 0,-1 0 0,-21-3 0,-18-6 0,49 12 49,0-1 0,0-1 0,0 1 0,-15-13-1,-14-7 114,20 16-59,14 7-60,-1-1 0,1 0 0,-1-1-1,1 1 1,0-1 0,0 1 0,0-2 0,0 1 0,1-1 0,-1 1 0,-3-5 0,-2-3-43,-1 0 0,0 1 0,-1 1 0,-16-13 0,-18-16 0,-13-18 0,-98-100 0,145 143 0,1-1 0,-13-23 0,16 24 0,-1 1 0,0 0 0,-1 0 0,-13-14 0,-12-5-81,18 17-5,0 0 0,1-1 0,0-1 0,-17-25-1,-1-8 23,17 28 0,2-2 0,-19-35 0,12 2 82,-9-18-111,26 67 83,-1-1-1,1 1 0,-1 0 1,0 0-1,-1 0 1,-11-11-1,-11-6-10,2-2-1,1 0 1,1-1 0,-27-43-1,40 56 21,-1 0 0,0 0-1,-23-18 1,23 21 5,0 0 1,1 0-1,1-2 1,-1 1-1,-13-24 1,-15-25 8,27 42-20,0 1 0,1-1 0,1 0 0,-10-27 0,-10-37 7,18 52 0,0-1 0,3 0 0,-10-49 0,19 70 0,-2 0 0,1 0 0,-2 0 0,1 1 0,-1-1 0,-1 1 0,0 0 0,-8-14 0,-5-2 0,-40-41 0,38 45 0,-35-48 0,45 58-25,-1 0 0,0 1 0,-1 0 0,0 0 0,-20-15 0,14 13-17,1 0-1,-16-20 1,9 10 63,0-1 1,-2 2-1,0 1 0,-1 2 1,-1 0-1,-31-14 0,50 26-12,-1 1 0,1 0-1,0-1 1,1 0 0,0 0-1,0-1 1,-6-9 0,6 9-4,0 0 0,0 0 1,0 0-1,-1 1 0,-1 0 1,-15-12-1,-50-17-3,-1 3 0,-83-25 0,-1 1 13,142 49-15,0-1 0,1 0 0,0-2 0,-16-14 0,16 13 0,0 0 0,-1 1 0,-23-11 0,-50-15-53,-183-53 0,179 70 46,-1 3-1,-123-7 1,152 22 57,9 0 117,-80-11 0,-52-10 198,157 20-111,-23-3-230,-58-3-27,-25 7 27,-188 7 102,126-4 307,100-3-1194,-1 5-3669,74-3-314,-19 3-9839,40 0 14583</inkml:trace>
  <inkml:trace contextRef="#ctx0" brushRef="#br0" timeOffset="1398.23">4093 1356 16256,'0'0'2709,"-5"-1"-2453,-20-3 195,-29-5 220,-93-5-1,133 14-652,-56 0 485,-88 11 0,-31 0 68,123-10-502,-91 2-13,-142 9 136,240-6-163,1 2-1,0 3 1,-62 21-1,-90 21 67,102-28-62,4 8-33,67-21 0,0-1 0,-47 8 0,-162 2 154,58-6-52,-51-10-100,3 0-25,-550 104-852,706-91-1445,40-6-5757,-42 19 0,24-6 4600,-21 12 5717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0.7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47 197 11648,'0'0'6911,"-2"4"-6804,-6 29 12,2 1 0,2-1 1,-1 66-1,1-5-63,-13 95 478,17-177-483,0 1 0,0-1 0,2 0 1,-1-1-1,2 1 0,-1-1 0,2 2 0,-1-2 1,10 19-1,-7-12-4,1 1 0,-2-1-1,-2 0 1,1 2 0,0 35 0,-8 99 184,1-91-97,-15 137 94,9-157-44,6-30-75,0 1-1,1 0 1,-1 18 0,9-94 888,-2 38-962,0-36 0,-9-129 26,1-51-16,2 22-45,0 107 0,15-162 0,-2 99 0,2 24 0,-27 319 6,8-117-20,-1 101 1,12-39-34,8 117-13,-3-119 60,16 223 0,-25-1 0,-3-273 0,1-27 0,0 0 0,-13 62 0,13-94 15,1 0-19,0 0 1,-1 0 0,1 0 0,-1 0-1,0 0 1,0 0 0,0 0 0,0 0-1,0-1 1,-1 3 0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6:48.20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101 27 12544,'0'0'2560,"-2"5"-2326,-6 34 8,1 0-1,2 1 1,1 0-1,1 46 1,-6 73 342,-2-42-159,-10 64 195,9-99-298,-2 97 0,13-169-304,-2 91 344,2-99-361,8 11 20,2-44 107,1-4-16,-3-2 0,5-41 0,-1 0 21,7-34-31,-4-1 1,-5-1-1,-5 0 1,-18-223-1,6 276 47,8 61-149,0 0 0,0 0 0,0-1 0,1 1 0,-1 0 0,0 0 0,0-2 0,0 2 0,0 0 0,0 0 0,0-1 0,0 1 0,0 0 0,0 0 0,0-1 0,-1 1 0,1 0 0,0 0 0,0 0 0,0-1 0,0 1 0,0 0 0,0 0 0,0 0 0,-1-1 0,1 1 0,0 0 0,0 0 0,0 0 0,0-1 0,-1 1 0,1 0 0,0 0 0,0 0 0,0 0 0,-1 0 0,1 0 0,0-1 0,-1 1 0,1 0 0,0 0 0,-1 0 0,1 0 0,0 0 0,0 0 0,-1 0 0,1 0 0,0 0 0,-1 0 0,1 0 0,0 0 0,-1 0 0,1 0 0,0 0 0,-1 0 0,1 0 0,0 0 0,-1 0 0,1 0 0,0 1 0,0-1 0,-1 0 0,1 0 0,0 0 0,-1 1 0,1-1 0,0 0 0,0 0 0,0 0 0,-1 1 0,1-1 0,0 0 0,0 1 0,0-1 0,0 0 0,-1 0 0,1 1 0,0-1 0,0 0 0,0 1 0,0-1 0,0 2 0,-3 12 0,1 67 0,12 131 0,0-4 0,-11-50-2,1 108 154,-2-170-26,-15 115 0,17-209-122,-1 16 35,2 1 0,-1-1 0,2 0 0,0 1 0,6 18 0,-6-25-39,-2-3 0,0-20 0,6-43-277,-3 0-1,-4-93 1,0-22-683,9 61-4074,-5 79-4523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15.32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4995 1 17535,'-26'15'22,"23"-11"116,11-5-6,10-3 216,-17 4-301,-1-1 0,1 1 0,0 0 0,0-1 0,-1 1 0,1 0 0,0 0 0,0-1 0,-1 1 0,1 0 0,0 0 0,0 0 0,-1 0 0,1 0 0,0 0 0,0 0 0,0 0 0,1 1 0,-2 0-27,0 0 0,1-1 1,-1 1-1,1 0 1,-1 0-1,0 0 0,0 0 1,1 0-1,-1-1 1,0 1-1,0 0 0,0 0 1,0 0-1,0 0 1,0 0-1,0 0 1,-1 0-1,1 1 0,-6 129 497,1-8-287,0 102 42,18 4 96,-7-150-240,15 173 197,5 94 148,-22-235-286,-12 120 1,-4-107-45,-7 156 226,23-164-257,0-46-21,-3 0 0,-10 81-1,9-124-351,0-27 190,0 1 0,0-1 0,0 1-1,0-1 1,0 1 0,0-1 0,0 0 0,0 1 0,0-1 0,0 0-1,1 1 1,-1-1 0,0 1 0,0-1 0,0 0 0,1 1 0,-1-1-1,0 0 1,0 1 0,1-1 0,-1 0 0,0 0 0,1 1 0,-1-1 0,0 0-1,1 0 1,-1 0 0,0 1 0,1-1 0,-1 0 0,1 0 0,-1 0-1,0 0 1,1 0 0,-1 0 0,1 0 0,-1 0 0,0 0 0,1 0-1,-1 0 1,1 0 0,-1 0 0,0 0 0,1 0 0,-1 0 0,1 0-1,-1 0 1,0-1 0,1 1 0,-1 0 0,0 0 0,1 0 0,-1-1-1,0 1 1,1 0 0,-1-1 0,0 1 0,1-1 0</inkml:trace>
  <inkml:trace contextRef="#ctx0" brushRef="#br0" timeOffset="2216.69">0 977 17663,'57'6'79,"-19"-3"-8,116 26 803,48 1-340,-98-19-52,70 5 145,19-3-244,115 6 258,-6 18-148,-99-8-218,334 44 109,292 28 149,115-27-29,-406-30-261,-91-20 77,-1-35-107,-391 6-213,54-3 0,154-32 0,37-25 0,51-12 0,-250 54 64,108-9 0,-144 27-21,0 2 0,123 11-1,9 22-42,-108-14 0,49-1 0,41 10 0,392 74 0,-526-92 0,276 57 0,-175-17 44,-26-8 19,-27-16-54,2-3 0,160 11 0,194-30-15,2-44 6,-274 24 0,34-18 0,19-1 0,134 24 0,-202 10 0,146 16 309,-188-4-234,-23-6-75,103-13 0,-41 2 0,-114 2 154,-39 5-116,1 0-1,0 1 0,-1 0 1,1 0-1,0 1 1,0 0-1,-1 0 0,10 2 1,14 5 410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20.655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72 90 16511,'14'-28'171,"-9"18"106,0 0 1,-1 0-1,4-11 0,-8 20-257,0 1 0,0 0-1,0 0 1,0-1 0,0 1-1,0 0 1,1 0-1,-1-1 1,0 1 0,0 0-1,0-1 1,0 1 0,0 0-1,0-1 1,0 1-1,0 0 1,0 0 0,0-1-1,0 1 1,-1 0 0,1-1-1,0 1 1,0 0-1,0 0 1,0-1 0,0 1-1,0 0 1,-1 0 0,1-1-1,0 1 1,0 0-1,0 0 1,-1 0 0,1-1-1,0 1 1,0 0-1,-1 0 1,1 0 0,0 0-1,-1-1 1,-13 5 403,-13 15 13,25-15-409,0 1-1,1-1 1,-1 1-1,1 0 0,0 0 1,0 0-1,0-1 1,1 1-1,0 0 0,0 0 1,0 0-1,2 9 1,-1 5 13,5 100 114,0 11 55,-1 115 196,-5-249-405,-3-66 0,2 58 0,-1 1 0,0 0 0,-1 0 0,0 0 0,0 1 0,-7-14 0,2 9 0,0 0 0,1-1 0,1 0 0,-5-21 0,10 30 0,-1 0 0,1 0 0,1 0 0,0 0 0,0 0 0,0 1 0,1-1 0,0 0 0,0 0 0,0 0 0,1 0 0,0 0 0,5-8 0,-1 2 0,52-125 0,-57 137 1,0-1 1,-1 1-1,1 0 0,0-1 0,0 1 0,0 0 0,0 0 0,0 0 0,0 0 0,1 0 0,-1 0 0,0 0 1,1 0-1,-1 0 0,0 0 0,1 1 0,-1-1 0,1 1 0,-1-1 0,1 1 0,-1-1 0,1 1 0,-1 0 1,1 0-1,0 0 0,-1 0 0,1 0 0,-1 0 0,1 0 0,2 1 0,6 1 16,1 0-1,0 0 0,12 6 1,-18-7-10,78 25 140,-20-8 60,-1 3 0,115 57 0,-175-77-186,0 0-1,1 1 1,-1-1-1,0 1 1,0-1 0,0 1-1,0 0 1,0 0-1,0 0 1,0 0 0,-1 0-1,1 0 1,-1 1-1,0-1 1,1 0 0,0 4-1,-2-4 1,0 0 0,1 0 0,-1 0 0,0 0 0,-1 0 0,1 1 0,0-1 0,-1 0 0,1 0-1,-1 0 1,1 0 0,-1 0 0,0 0 0,0 0 0,0 0 0,0 0 0,0-1 0,0 1 0,-1 0 0,1 0 0,-2 1 0,-10 11 24,-1 0 0,0-1 1,0-1-1,-1 0 0,-1-1 1,0-1-1,-21 11 0,-89 38 231,58-29-222,-95 59 0,156-86-266,5-5-100,7-8-1566,-2 6 376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38.677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124 91 10368,'0'0'-128,"-26"-8"-3144,17 4 3824,-1 1 1,1 0 0,-1 0 0,1 1-1,-1 1 1,-16-1 0,12 6 2269,24-7 1332,9 6-3664,34-1 161,-35-1-546,-1 0 0,1-1 1,0 0-1,0-2 0,-1 0 0,22-6 0,-36 7-91,-1 0 1,1-1-1,-1 1 0,1 0 0,-1-1 0,1-1 1,-1 2-1,0-2 0,0 1 0,0 1 1,-1-1-1,1 0 0,0 0 0,-1-1 0,1 0 1,-1 0-1,0 1 0,0-1 0,0 0 1,1-3-1,-2 5 5,1 1-1,-1-1 1,1 1 0,-1-2 0,1 2 0,-1-1 0,1 1 0,-1 0-1,1-1 1,0 1 0,-1 0 0,1-1 0,-1 1 0,1 0 0,0 0 0,-1-1-1,1 1 1,0 0 0,0 0 0,-1 0 0,1 0 0,0 0 0,-1 0-1,1 0 1,0 0 0,-1 0 0,2 1 0,18-4 306,-18 2-315,-1 0 0,1 1 0,-1-1 0,1 1 1,-1 0-1,1-1 0,0 1 0,-1 0 0,1 0 0,-1 0 0,1 0 0,3 1 0,3-1 8,-7 1-18,-2 1 0,0 1 0,0-1 0,0 1 0,1 0 0,-1-2 0,1 2 0,-1-1 0,1 1 0,0-1 0,0 1 0,0-1 0,1 2 0,-1-2 0,0 1 0,1-2 0,0 1 0,-1 0 0,1 0 0,2 5 0,-2-6 0,0 0 0,0 1 0,0-1 0,0 0 0,0 0 0,1 0 0,-1 0 0,1 0 0,-1 0 0,1 0 0,-1 0 0,1 0 0,-1-1 0,1 1 0,0 0 0,0-1 0,-1 0 0,1 1 0,0-1 0,2 0 0,43 0 0,-30 0 0,38 2 0,-28 0 0,31-4 0,-19 2 0,0 0 0,45 9 0,40 0 0,-105-10 0,-1 2 0,0 0 0,1 1 0,-1 1 0,0 1 0,24 6 0,7 8 0,1-2 0,1-1 0,1-5 0,71 9 0,-112-18 0,-1 0 0,0 0 0,0 1 0,0 0 0,0 1 0,-1 0 0,1 1 0,-1 0 0,0 1 0,0 0 0,14 10 0,-8-4 0,0-3 0,19 9 0,-23-13 0,0 1 0,0 1 0,0 0 0,-1 1 0,0 1 0,11 8 0,-4 5 0,-15-16 0,0-2 0,1 0 0,-1 1 0,1-1 0,-1-1 0,1 0 0,0 1 0,0 0 0,0-1 0,1 0 0,-1 0 0,1 0 0,-1 0 0,7 1 0,34 10 0,-43-12 0,1 0 0,0 0 0,0-1 0,0 1 0,-1 1 0,1-1 0,0 0 0,-1 0 0,1 1 0,-1 0 0,3 2 0,-2-2 0,0 0 0,0 0 0,0 0 0,0 0 0,0-1 0,0 0 0,0 0 0,5 4 0,6-1 0,-8-2 0,1 0 0,-1-1 0,0 1 0,0 0 0,0 1 0,0 1 0,0-1 0,-1-1 0,1 1 0,5 7 0,-6-6 0,-1-1 0,1 1 0,0-1 0,0-2 0,7 5 0,-8-5 0,1 2 0,-1-1 0,1 1 0,-1-1 0,0 1 0,0-1 0,0 1 0,4 5 0,1 10 0,-8-16 0,1 0 0,-1 0 0,1-1 0,-1 0 0,1 1 0,0-1 0,0 1 0,0-1 0,0 1 0,0-1 0,0 1 0,1 0 0,0 0 0,23 24 0,-22-22 0,0 0 0,-1 0 0,1 1 0,-1-4 0,0 4 0,0-1 0,0 1 0,0 0 0,0 6 0,-1-7 0,0 1 0,0-2 0,0 1 0,0 0 0,1-1 0,-1 1 0,1-1 0,0 1 0,0-1 0,0 0 0,0 0 0,1 0 0,-1 0 0,1 0 0,4 2 0,1-1 0,-6-3 0,1 0 0,-1 0 0,1 0 0,-1 0 0,0 1 0,1-1 0,-1 2 0,0-2 0,0 1 0,0 0 0,0-1 0,0 1 0,1 3 0,-3-5 0,0 1 0,0-1 0,0 0 0,0 0 0,-1 0 0,1 1 0,0-1 0,0 1 0,-1-1 0,1 0 0,0 1 0,-1-1 0,1 0 0,0 1 0,-1-1 0,1 0 0,-1 0 0,1 1 0,0-1 0,-1 0 0,1 0 0,-1 0 0,1 0 0,-1 2 0,1-2 0,-1 0 0,1 0 0,-1 0 0,1 0 0,0 0 0,-1 0 0,1 0 0,0 0 0,0 0 0,-1 0 0,1 0 0,0 0 0,0 0 0,-1 0 0,1 0 0,0 0 0,0 0 0,-1 0 0,1 0 0,0 1 0,0-1 0,0 0 0,-1 0 0,1 0 0,0 0 0,0 0 0,0 1 0,0-1 0,-1 0 0,1 0 0,0 0 0,0 1 0,0-1 0,0 0 0,0 0 0,0 1 0,0-1 0,0 0 0,-1 0 0,1 0 0,0 1 0,0-1 0,0 1 0,2 1 0,0 0 0,0 1 0,1-1 0,-1 0 0,0 0 0,1 1 0,-1-1 0,1-2 0,-1 2 0,1-1 0,5 2 0,-3-1 0,-1 0 0,0 1 0,0-2 0,0 3 0,6 4 0,-9-7 0,1 0 0,-1 0 0,1 1 0,-1-1 0,0 1 0,0 0 0,1-1 0,-1 2 0,0-1 0,-1 0 0,1 0 0,0 0 0,-1 0 0,1 0 0,-1 0 0,1 0 0,-1-1 0,0 2 0,0-1 0,0 0 0,0 0 0,0 0 0,0 0 0,-1-1 0,1 1 0,-1 0 0,1 0 0,-1 0 0,0 1 0,-1 1 0,0 3 0,0-1 0,0 2 0,1 0 0,0-2 0,1 3 0,-1-2 0,1 2 0,1-3 0,1 13 0,1-8 0,1 3 0,0 0 0,1-1 0,7 14 0,-8-16 0,0 1 0,0 0 0,-1-1 0,-1 2 0,0 0 0,0 11 0,-1-7 0,2 1 0,4 16 0,-5-28 0,0-1 0,0-1 0,1 1 0,-1 0 0,1-1 0,0 0 0,7 9 0,-6-9 0,0 1 0,-1-1 0,1 1 0,-1 2 0,5 8 0,2 8 0,-5-12 0,0 2 0,-1-2 0,-1 2 0,0-2 0,0 2 0,1 22 0,-2 4 0,2-1 0,10 44 0,-2-7 0,2 5 0,4 46 0,-16-104 0,0 1 0,2-2 0,0 0 0,2-1 0,0 2 0,2-2 0,0 0 0,1 1 0,1-4 0,0 2 0,14 19 0,30 37-4,-40-53 10,1 0 1,2-2-1,29 31 1,-17-26 14,1 0 0,1-1 1,1-4-1,51 28 0,-69-40-21,0 1 0,-1 0 0,0 1 0,18 18 0,-16-15 0,0 0 0,26 18 0,-25-21 0,25 23 0,-31-24 0,0 0 0,0-2 0,1 0 0,0 1 0,20 7 0,5 1 32,2-3 0,0-2 0,70 10 0,-54-12-34,-6-1 78,49 0 0,-44-2 25,-40-3-68,1-2 1,0 0-1,23-1 0,19-8 44,-1-2 0,-2-4 0,1 1 0,54-25-1,-74 23 1,-2 0-1,40-25 1,57-46 184,-86 53-237,-27 21-25,2 0 0,34-21 0,-13 17 23,-23 8 6,-1 1 1,19-10-1,191-125 121,-31 1-21,-183 131-128,-1 0 0,0 0 0,9-14 0,-9 11 0,0 2 0,18-19 0,2 4 0,0 1 0,2 2 0,1 1 0,40-21 0,-36 22 0,-30 17 0,0-2 0,1 2 0,-1 0 0,9-3 0,-4 3 0,-2-1 0,1 1 0,0-2 0,-1-1 0,0 1 0,0 0 0,-1-1 0,0 0 0,0-1 0,13-15 0,-20 20 0,-2 3 0,1-2 0,-1 2 0,0-1 0,1 1 0,-1-1 0,1 1 0,-1 0 0,1 0 0,-1-1 0,1 1 0,0-1 0,-1 1 0,1 0 0,-1 0 0,1-1 0,0 1 0,-1 0 0,1 0 0,0-1 0,-1 1 0,1 0 0,0 0 0,-1 0 0,1 0 0,0 0 0,0 0 0,-1 0 0,2 1 0,6-19 0,-3 6 0,23-48-5,-22 45 12,1 1 0,0-1-1,17-25 1,-19 36 43,1-4 4,-8-12-73,2 18-38,-1 0-75,1 1 1,0 0-1,-1-1 1,1 0 0,0 0-1,0 1 1,0-1-1,0 0 1,0 1-1,1-5 1,8-7-3721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7:42.42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4851 43 14208,'0'0'-128,"-3"6"234,-44 80 300,46-85-294,0 0 1,0 0 0,0 0-1,-1 0 1,1-1 0,0 1-1,-1 0 1,1 0 0,0-1-1,-1 1 1,-2 0 0,-2 2 736,8-1-469,0-1 4,-32-6 1130,21 5-1451,1-1-1,-1 1 0,0 1 0,1-1 1,-1 1-1,1 1 0,0 0 0,-17 5 0,14-3 6,0-1-1,0 0 0,0-1 0,-17 1 0,12-3 7,10 0-13,1 0-1,0 0 1,0 0-1,0 0 1,0-1-1,0 0 1,0 0 0,-7-3-1,-1 0 72,0 0 0,-22-2 1,26 5-90,0 0 1,0-1-1,0 0 1,0-1 0,0 0-1,1 0 1,-1-1 0,-11-6-1,12 3-28,-2 2 0,1-1 0,-1 1 0,1 0 0,-1 1 0,-1 0 0,1 1 0,-1 0 0,-21-3 0,-165-19 710,39 9-64,149 16-648,1 0 0,-1 1-1,1 0 1,0 0 0,0 1-1,-1 1 1,-11 4 0,-13 3 13,3 0-26,-50 22 0,52-19 0,0-2 0,-42 12 0,29-14 0,-1 3 0,-66 28 0,62-25 0,37-13 0,0 0 0,0 1 0,1 0 0,-1 1 0,-13 7 0,9 0 0,0 0 0,-11 13 0,-8 8 0,13-13 0,1 0 0,-28 43 0,9-12 0,20-30 0,0-2 0,-39 34 0,48-46 0,-1 2 0,1-1 0,0 1 0,1 0 0,0 1 0,0 0 0,1 0 0,0 0 0,1 1 0,0-1 0,-7 19 0,7-13 2,-2 0-1,0 0 0,-17 26 1,15-26-9,1-1 0,0 1 1,-10 28-1,-57 189-100,72-222 107,-1 1 0,0-1 0,0 0 0,-1 0 0,-1 0 0,0-1 0,0 0 0,-11 12 0,6-8 0,1 0 0,0 0 0,1 0 0,0 2 0,-11 24 0,-26 84 0,30-76 0,-81 203 0,91-236 0,-1 0 0,-1 0 0,0-1 0,-1 0 0,0 0 0,-1-1 0,0 0 0,-1-1 0,-1 0 0,-18 14 0,-5 1 0,2 3 0,0 0 0,-35 44 0,-9 25 0,70-90 0,0-1 0,0 1 0,-1-1 0,0 0 0,-12 7 0,9-6 0,0 0 0,-15 16 0,15-10 0,0 0 0,-14 26 0,15-23 0,-19 24 0,25-36 0,-1 1 0,1-1 0,-2-1 0,1 1 0,0-1 0,-1 0 0,0 0 0,-7 3 0,-19 6 0,-1-2 0,0-1 0,-1-2 0,0-2 0,-40 4 0,-67 0 0,50-5 0,48-2 0,0-1 0,-1-2 0,-48-8 0,38-3 0,0-2 0,1-2 0,-95-43 0,113 40 44,1-2 1,0-1-1,-54-46 0,24 17 14,36 32 6,0 2 0,-1 1 0,0 1 0,-61-18 1,50 18-2,16 5-133,-2 1 0,1 1 0,-1 2 0,0 0-1,0 2 1,-46 0 0,63 4-419,0 0 1,0 1-1,0 0 0,1 0 0,-17 8 0,18-7-1015</inkml:trace>
  <inkml:trace contextRef="#ctx0" brushRef="#br0" timeOffset="2777.2">4103 13 12544,'0'0'5013,"-1"9"-4800,-10 77 120,-16 152 401,-17 31-24,27-185-546,-37 126 89,2-11 134,15 45 275,29-180-300,6-77 10,2-18-253,18-72 67,-10 68-141,6-65 1,-17-189 232,1 260-265,-2-36 34,-23-119-1,21 160-46,3 14 0,0-1 0,0 0 0,1 0 0,1 0 0,0 0 0,0 0 0,2-19 0,1 27 0,3 1 0,-5 2 0,0-1 0,1 1 0,-1 0 0,1 0-1,-1 0 1,0 0 0,1 0 0,-1 0 0,0 0-1,1 0 1,-1 0 0,0 0 0,1 0 0,-1 0-1,1 0 1,-1 0 0,0 0 0,1 1 0,-1-1-1,0 0 1,1 0 0,-1 0 0,0 0 0,1 1-1,-1-1 1,0 0 0,0 0 0,1 1 0,-1-1-1,0 0 1,0 0 0,1 1 0,-1-1 0,0 0-1,0 1 1,0-1 0,0 0 0,0 1 0,1-1-1,-1 1 1,0-1 0,0 0 0,0 1 0,0-1-1,0 0 1,0 1 0,0-1 0,0 0 0,0 1-1,0-1 1,0 1 0,-1-1 0,1 0 0,0 1-1,0-1 1,0 0 0,0 1 0,-1-1 0,1 1-10,0 37-103,-1-2-520,2-1 0,1 1 0,11 55 0,7-14-2311,2 4-8597</inkml:trace>
  <inkml:trace contextRef="#ctx0" brushRef="#br0" timeOffset="4663.22">5681 255 15104,'0'0'4245,"2"9"-4032,3 13-64,-1 0 0,-1 0-1,-1 0 1,-1 27 0,-11 98 387,6-66-380,10 135 1,-2-155-86,2 28 5,-1-38 6,-2-1 1,-3 1-1,-9 82 0,-3-25 116,7-60-118,5-48-77,0 1 1,0-1 0,0 0 0,1 0-1,-1 0 1,0 1 0,0-1 0,0 0 0,0 0-1,0 1 1,0-1 0,0 0 0,0 0-1,0 0 1,0 1 0,-1-1 0,1 0-1,0 0 1,0 0 0,0 1 0,0-1 0,0 0-1,0 0 1,0 0 0,0 0 0,-1 1-1,1-1 1,0 0 0,0 0 0,0 0-1,0 0 1,-1 0 0,1 0 0,0 1 0,0-1-1,0 0 1,0 0 0,-1 0 0,1 0-1,0 0 1,0 0 0,0 0 0,-1 0-1,1 0 1,0 0 0,0 0 0,0 0-1,-1 0 1,1 0 0,0 0 0,0 0 0,-1 0-1,1 0 1,0 0 0,0 0 0,0 0-1,0 0 1,-1-1 0,1 1 0,0 0-1,0 0 1,-10-12 125,1-5-43,0-1 1,2-1-1,0 1 0,1-1 0,-4-21 0,-11-100 144,16 100-213,1 6 11,0 1-1,3-1 1,4-66 0,4 53-3,20-230 227,-9 30-191,1-18 6,-22 233-67,2 25 0,0 0 0,1-1 0,0-12 0,0 20 0,0 0 0,0 0 0,0-1 0,0 1 0,0 0 0,0 0 0,0-1 0,0 1 0,0 0 0,0 0 0,0-1 0,0 1 0,0 0 0,0 0 0,0-1 0,0 1 0,1 0 0,-1 0 0,0-1 0,0 1 0,0 0 0,0 0 0,0-1 0,1 1 0,-1 0 0,0 0 0,0 0 0,0 0 0,1-1 0,-1 1 0,0 0 0,0 0 0,0 0 0,1 0 0,-1 0 0,0 0 0,0 0 0,1-1 0,-1 1 0,0 0 0,0 0 0,1 0 0,-1 0 0,0 0 0,0 0 0,1 0 0,-1 0 0,0 0 0,1 1 0,-1-1 0,0 0 0,0 0 0,0 0 0,1 0 0,-1 0 0,0 0 0,1 1 0,-1-1 0,1 1 0,0-1 0,-1 1 0,1-1 0,-1 1 0,1-1 0,-1 1 0,1 0 0,-1-1 0,0 1 0,1 0 0,-1 0 0,0-1 0,1 1 0,-1 0 0,0 1 0,11 144 0,-4-68 0,-2-23 0,-1-5 0,-1 0 0,-4 50 0,-14 16 0,-1 20 0,13-83 0,-14 153 0,12-167 0,-3 0 0,-1 0 0,-16 43 0,-8 4-512,33-86 417,-2 7-230</inkml:trace>
  <inkml:trace contextRef="#ctx0" brushRef="#br0" timeOffset="6179.41">3866 188 18431,'0'0'640,"7"-7"-533,6-5-88,0 0-1,-1-2 1,-1 1 0,0-2-1,-1 1 1,0-2 0,7-16-1,-17 31-18,2-7 0,-1 7 0,-1 1 0,1 0 0,0 0 0,0-1 0,-1 1 0,1 0 0,0 0 0,0 0 0,-1 0 0,1 0 0,0 0 0,0 0 0,-1 0 0,1 0 0,0 1 0,-1-1 0,1 0 0,0 0 0,0 1 0,-1-1 0,1 0 0,0 1 0,-1-1 0,1 1 0,0 0 0,0-1 0,1 2 2,-1-1-1,1 1 1,0-1-1,0 1 1,-1 0-1,1 0 1,-1 0 0,0 0-1,0 0 1,1 0-1,-1 0 1,-1 0-1,1 0 1,0 0-1,0 0 1,0 4-1,5 43 106,-5-37-90,9 134 530,-6 0 1,-17 166-1,8-189-261,4-76 19,-11 89 0,12-136-292,0 1-1,0-1 0,0 1 1,0 0-1,0-1 0,-1 1 1,1-1-1,0 1 0,0-1 1,0 1-1,0-1 0,-1 1 0,1-1 1,0 1-1,-1-1 0,1 1 1,0-1-1,-1 1 0,1-1 1,-1 1-1,1-1 0,-1 0 1,0 1-1,-7-8 203,-5-22-64,10 18-128,1 0-1,0 0 1,0 0 0,1-1 0,0-13 0,6-61 157,-1 38-135,10-387 83,-13 424-128,-4 32 0,-24 94-54,-13 69-190,-23 294-2064,57-388 927,4 1 1,5 0 0,17 121 0,3-71-8796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15.368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844 777 18815,'0'0'256,"-6"1"-128,-78 18 418,-54 13-1,116-26-477,1 2-1,0-1 1,0 2 0,-24 15 0,24-8-13,0 0 1,-37 37-1,-7 6 141,-68 35 17,24-19-20,100-69-183,0 1-1,1 1 1,0 0 0,1 0 0,-1 0 0,-10 16 0,17-21-9,-1-1 0,1 1 0,0-1 1,-1 1-1,1-1 0,1 1 0,-1 0 0,0-1 0,1 1 0,-1 0 0,1 0 1,0 0-1,0-1 0,0 1 0,0 0 0,0 0 0,1 0 0,-1-1 1,1 1-1,0 0 0,0-1 0,0 1 0,0-1 0,0 0 0,0 1 0,1-1 1,-1 0-1,1 1 0,0-1 0,0 0 0,0 0 0,2 2 0,1 0-1,0 0 0,0-1 0,0 0 0,0 0 0,1 0 0,-1 0 0,1-1 0,0 0 0,0 0 0,0 0 0,0-1 0,0 0 0,0 0 0,0-1 0,0 1 0,1-1 0,11-2 0,6-2 0,0-1 0,0-1 0,28-11 0,-27 9 0,98-41 353,-32 11-66,-90 38-263,0-1-2,0 1 1,0 0 0,0-1-1,0 1 1,0-1-1,0 1 1,0-1 0,0 1-1,0-1 1,0 0 0,-1 0-1,1 1 1,0-1-1,0-1 1,-16-3-1280,3 1-2777</inkml:trace>
  <inkml:trace contextRef="#ctx0" brushRef="#br0" timeOffset="748.77">1157 961 21247,'0'0'128,"-4"-4"-21,-6-6-96,3 3-8,-1 0 0,-1 0 0,1 1 0,-13-8 1,17 12-5,0 0 1,1 1 0,-1-1-1,0 1 1,0 0 0,0 0-1,0 0 1,0 0 0,0 1-1,0 0 1,0 0 0,-1 0 0,1 0-1,0 1 1,0-1 0,-5 3-1,-5 2 1,0 1 0,1 1 0,0 0 0,0 0 0,0 1 0,1 1 0,1 1 0,0 0 0,0 0 0,0 1 0,2 0 0,-1 0 0,2 1 0,-1 0 0,2 1 0,-1 0 0,-7 20 0,14-30 0,0-1 0,0 1 0,1 0 0,-1-1 0,1 1 0,0 0 0,-1-1 0,1 1 0,1 0 0,-1-1 0,0 1 0,0 0 0,1-1 0,0 1 0,-1 0 0,1-1 0,0 1 0,0-1 0,1 1 0,-1-1 0,0 0 0,1 1 0,-1-1 0,1 0 0,0 0 0,0 0 0,0 0 0,0-1 0,0 1 0,0-1 0,0 0 0,1 1 0,-1-1 0,1 0 0,-1 0 0,1 0 0,3 1 0,3 1 0,1 0 0,-1-1 0,1 0 0,-1-1 0,1 0 0,-1-1 0,1 1 0,-1-2 0,15-2 0,-13 1 11,0 0 0,0-1-1,-1-1 1,0 0 0,17-8-1,-22 10-5,-1-1-1,1 0 1,-1 0 0,0-1-1,0 1 1,0-1-1,0 0 1,0 0-1,-1 0 1,0-1 0,0 1-1,0-1 1,3-7-1,2-9-9,1 2-47,-2-1-1,8-33 0,-13 47 22,-1 1-1,-1-1 0,1 0 0,-1 0 0,0 0 1,-1 0-1,1 1 0,-1-1 0,0 0 0,0 1 1,-1 0-1,0-1 0,0 1 0,-4-8 0,6 12-128,-1 0 0,1 1 0,-1-1-1,0 0 1,1 1 0,-1-1 0,1 1-1,-1-1 1,0 1 0,1-1 0,-1 1-1,0-1 1,0 1 0,1 0 0,-1-1-1,0 1 1,0 0 0,0 0 0,1 0-1,-1-1 1,0 1 0,0 0 0,0 0 0,0 0-1,0 0 1,-1 1 0</inkml:trace>
  <inkml:trace contextRef="#ctx0" brushRef="#br0" timeOffset="1410.16">1613 765 20991,'0'0'640,"-4"0"-533,-17 4-105,1 1 1,0 0-1,0 2 0,1 0 1,-1 1-1,1 1 1,1 1-1,-34 22 0,46-26-15,0 0-1,0 0 0,1 1 0,0-1 0,0 1 1,0 1-1,1-1 0,0 1 0,0-1 1,1 0-1,-4 16 0,5-19 5,1 1 1,0-1-1,1 1 1,-1 0-1,1 0 1,0 0-1,0-1 0,0 1 1,1 0-1,-1 0 1,1-1-1,0 0 0,1 1 1,-1-1-1,1 1 1,0-1-1,0 0 1,0 0-1,1 0 0,0 0 1,-1 0-1,6 5 1,0-2-25,0-1 0,1 0 1,0 0-1,0-2 1,0 1-1,1 0 0,16 5 1,29 15 15,-53-24 18,-1 0 0,1 0-1,-1 0 1,1 0 0,-1 0-1,0 0 1,1 0 0,-1 1-1,0-1 1,0 0 0,0 1-1,0-1 1,0 1 0,0-1-1,-1 1 1,1 0 0,0-1-1,-1 1 1,1 0 0,-1-1-1,0 1 1,1 0 0,-1-1-1,0 1 1,0-1 0,0 1-1,0-1 1,0 1 0,-1 0 0,1 0-1,-1-1 1,1 1 0,-2 2-1,-2 5 14,0 0 0,-1 0-1,-1-1 1,-11 16 0,4-7 22,-11 17 111,-43 46 0,53-65-149,0-1-1,-1-2 0,0 1 0,-2-1 0,-23 14 1,34-23-118,1 0 0,-1 0 0,0-1 0,1 0 0,-1 0 0,0-1 0,0 0 0,-8 1 0,10-2-188,1 0-1,-1 0 1,1-1-1,-1 1 1,1-1-1,0 0 1,-1 0-1,1 0 1,0 0-1,0 0 1,0-1-1,0 0 0,0 0 1,0 1-1,-5-6 1</inkml:trace>
  <inkml:trace contextRef="#ctx0" brushRef="#br0" timeOffset="3061.39">2198 233 20223,'1'8'24,"-2"-1"-1,1 0 0,-1 0 0,0 0 0,0 0 0,-4 9 0,3-11 19,0-1 0,0 0-1,-1 1 1,0-1-1,0 0 1,0-1 0,0 1-1,0-1 1,-1 1-1,1-1 1,-5 3 0,-74 52 427,40-29-341,0 0 0,-63 63 0,96-81-122,0 1 1,0 0-1,1 1 1,1-1-1,0 1 1,0 1-1,2-1 0,-1 1 1,2 1-1,0-2 1,-2 18-1,0 14 54,1 2-1,3 55 1,3-65-23,2 1 1,2-1-1,18 69 0,45 104-42,-31-105 10,15 58-2159,-47-150 1333,0-1 0,0 0 1,10 13-1,-5-7-1656,3 5-7016</inkml:trace>
  <inkml:trace contextRef="#ctx0" brushRef="#br0" timeOffset="3898.71">2800 363 21503,'-19'35'-5,"23"-38"10,-4 2 4,-1 2 4,1-2-7,1 0 1,0 0 0,-1 0-1,1 0 1,-1-1 0,0 1-1,1 0 1,-1 0 0,0 0-1,1 0 1,-1-1 0,0 1-1,0 0 1,0 0 0,0-2-1,2 127 42,-1 76 132,-3-152-135,-2 0 0,-13 56 0,5-56 8,-2 1 1,-3-1-1,-1-2 0,-3 1 1,-1-2-1,-3 0 0,-45 61 1,60-92-16,0-1 0,-1 0-1,-1 0 1,0-1 0,0-2 0,-1 1 0,-1-1 0,-28 17 0,39-25-37,-1-1 0,0 1 0,1-1 1,-1 0-1,0 0 0,1 0 0,-1 0 0,0-1 0,0 0 1,0 0-1,0 0 0,0 0 0,1 0 0,-1-1 0,0 1 1,0-1-1,-4-2 0,3 1-1,0-1 0,0 1 0,0-1 0,1-1 0,-1 1 0,1-1 0,-1 1 1,1-1-1,0 0 0,-5-8 0,-1-2-22,0-2 1,1 0 0,1 0-1,1-1 1,0 1-1,-5-21 1,10 27-19,0 0 0,1 0 0,0 0 0,1 0-1,0-1 1,1 1 0,0 0 0,0-1 0,1 1 0,0 0 0,1 1 0,0-1 0,1 0-1,0 1 1,1-1 0,0 1 0,0 0 0,1 0 0,0 1 0,0 1 0,1-1 0,0 0 0,0 1-1,12-9 1,-15 14 31,0-1 0,0 0 0,1 1 0,-1 0 0,1 0 0,-1 0 0,1 1 0,0 0 0,-1 0 0,1 0 0,0 0 0,0 1-1,0-1 1,7 2 0,-4 0-15,-1 0 0,1 1 0,0 0 0,-1 0 0,1 1 0,-1 0 0,0 0 0,8 6 0,6 5-33,0 1-1,-2 0 1,0 2-1,25 28 0,-23-24 64,-1 3-1,-1 0 0,24 38 1,-32-43 82,0-1 0,2-1 1,1 1-1,0-2 1,1 0-1,18 15 0,-24-22 131,-7-7-283,1 0-1,-1 0 0,0 0 0,1 0 0,-1 0 1,1 0-1,0 0 0,4 1 0,-5-2 0,-1-1 1,0 0-1,1 0 0,-1 0 0,0-1 1,1 1-1,-1 0 0,0 0 0,1-1 1,-1 1-1,0 0 0,1-1 0,-1 0 1,0 1-1,0-1 0,0 0 0,0 1 0,0-1 1,0 0-1,0 0 0,0 0 0,0 0 1,0 0-1,0 0 0,1-1 0,13-21-2985</inkml:trace>
  <inkml:trace contextRef="#ctx0" brushRef="#br0" timeOffset="4729.26">3045 63 18815,'0'0'2304,"2"5"-2069,17 50 247,28 55-1,-23-58-322,27 86-1,-33-61-44,-2 0-1,-4 1 1,3 136 0,-16-101-81,-5-2 0,-22 115 1,15-160 5,-3 0 0,-3 0 0,-3-2 0,-3 0 0,-35 65 0,43-101-441,-1-1 0,-1-1-1,-2 0 1,0-2 0,-2 0 0,-37 30-1,57-51 105,0 0-1,0-1 0,0 0 1,0 0-1,0 1 0,-1-2 1,1 1-1,-1 0 0,1-1 1,-1 0-1,0 1 0,0-1 1,1-1-1,-9 2 1,-17-1-10582</inkml:trace>
  <inkml:trace contextRef="#ctx0" brushRef="#br0" timeOffset="5539.42">3723 1073 18175,'0'0'1430,"6"0"-961,19 4-144,0-2 1,0 0-1,29-3 0,-47 1-295,0 1-1,1-1 1,-1 1-1,0 1 0,0-1 1,0 0-1,0 1 1,-1 1-1,1 0 1,10 5-1,16 7 31,71 19-1414,4-7-3393</inkml:trace>
  <inkml:trace contextRef="#ctx0" brushRef="#br0" timeOffset="5893.53">3960 622 22271,'0'0'512,"28"-4"-512,-6-4 128,8-4-128,7 3 0,5-3-896,1 1 128,-1 1-256,-1 2 128,-2 1-12927</inkml:trace>
  <inkml:trace contextRef="#ctx0" brushRef="#br0" timeOffset="7041.11">4874 827 23423,'-75'31'-1,"13"-6"-9,-106 60 0,160-80-4,-1 1-1,1 0 1,0 0-1,0 1 1,1 0 0,0 0-1,-9 12 1,14-15 14,-1 0 1,1 0-1,0 0 1,0 0-1,0 0 1,1 0-1,0 1 0,0-1 1,0 1-1,0-1 1,0 1-1,1-1 0,0 0 1,0 0-1,0 1 1,1-1-1,-1 1 0,1-1 1,2 5-1,-1-2 0,1 1 0,0-1 0,1 0 0,-1-1 0,2 1 0,-1-2 0,0 2 0,1-1 0,0-1 0,1 1 0,-1-1 0,1 0 0,0 0 0,1 0 0,-1-1 0,1 0 0,0-1 0,0 1 0,0-1 0,11 3 0,2 0 0,1-1 0,0-2 0,-1 1 0,1-2 0,0-1 0,27-1 0,-44 0-27,-1 0-1,1-1 0,0 1 1,-1-1-1,1 0 0,-1 0 1,0 0-1,1 0 0,-1-1 1,0 1-1,1 0 0,-1-1 1,0 0-1,0 0 0,-1 0 1,1-1-1,0 1 1,4-6-1,-3 1-805,1 0 0,-1-1 0,0 1-1,-1-1 1,0 0 0,4-14 0</inkml:trace>
  <inkml:trace contextRef="#ctx0" brushRef="#br0" timeOffset="7602.34">5316 970 23679,'-49'6'0,"47"-6"-12,0 0 1,0 0-1,0-1 0,0 1 0,0-1 0,0 1 1,0-1-1,0 0 0,0 1 0,0-1 0,0 0 1,0 0-1,0-1 0,1 1 0,-1 0 0,0-1 1,1 1-1,-1-1 0,1 1 0,0-1 0,-1 1 1,1-1-1,0 0 0,0 0 0,0 0 0,-1-4 1,1 4-11,0 0 1,0-1-1,-1 1 1,1 0-1,-1 0 1,1 0 0,-1 1-1,0-1 1,0 0-1,0 0 1,0 1 0,0-1-1,0 1 1,-4-3-1,3 3-192,-1 0 0,0 0 0,0 0 0,1 0 0,-1 1 0,0-1 0,0 1 0,0 0-1,0 0 1,0 0 0,0 1 0,1 0 0,-1-1 0,0 1 0,-7 3 0,5-1 14,1 0 0,-1 0 0,1 1 1,0-2-1,0 2 0,1 0 0,-1 1 0,1-1 0,-5 7 1,0 2 79,0 0 1,1 1 0,0-2-1,2 3 1,-1-1 0,2 1-1,-5 18 1,7-23 124,1 1 0,0 1 0,1-1 0,1 0 0,-1 1 0,2-1 0,0 0-1,3 19 1,-3-26 27,0-1-1,0 0 0,0 1 1,0-1-1,0 0 0,1 0 1,-1 0-1,1 0 0,0 0 1,0 0-1,0-1 0,0 1 1,0 0-1,1-2 0,-1 1 0,1 0 1,0 0-1,-1 0 0,1 0 1,0 0-1,0-1 0,0 1 1,1-1-1,-1 0 0,0 0 1,0 0-1,1 0 0,-1-1 1,0 1-1,1-1 0,-1 0 1,1 0-1,3 0 0,-1-1 39,1 0 1,-1-1-1,1 0 0,-1 0 0,1 0 0,-1-1 1,0 0-1,0 0 0,0 0 0,-1 0 1,1-1-1,-1 0 0,7-7 0,7-8-174,33-41 1,-36 40-246,-1 0-910,-1 0 1,-1 1-1,13-28 0,-9 13-7423</inkml:trace>
  <inkml:trace contextRef="#ctx0" brushRef="#br0" timeOffset="8259.07">5801 697 20607,'-7'-1'0,"1"0"-8,0 0 0,0 1 1,0 0-1,0 0 1,-1 0-1,1 1 1,0 0-1,0 0 1,0 1-1,0-1 0,1 1 1,-1 1-1,-6 2 1,-28 24-843,0 1 0,-66 67 1,101-92 838,-9 9-96,0 0 1,2 0-1,-12 17 1,20-26 98,1 0 0,0 1 1,0 0-1,0-1 0,1 1 1,0 0-1,0 0 0,1 0 1,-1 1-1,1-2 0,1 1 1,-1 0-1,1 9 0,1-6 8,0-1 0,0 1 0,1-1 0,3 11 0,-4-16 0,1 0 0,-1-1 0,0 1 0,1-1 0,-1 1 0,1-1 0,0 0 0,0 1 0,0-1 0,0 0 0,0 0 0,0 0 0,1-1 0,-1 1 0,1 0 0,3 1 0,5 2-44,-2-1 108,0 0-1,-1 0 1,1 1 0,10 8 0,-17-11-15,0-1-1,-1 0 1,1 1-1,-1-1 1,1 0-1,-1 1 1,0 0-1,0 0 1,0 0-1,0-1 1,0 1-1,0 0 1,0 0-1,-1 1 1,1-1-1,-1 0 1,1 0-1,-1 0 1,0 0-1,0 0 1,0 1-1,0-1 1,0 0-1,0 0 1,-1 3-1,-4 10 158,-1-1-1,0 0 0,0 0 1,-2 0-1,0-1 0,0 0 1,-13 14-1,16-21-163,-1 1-1,-1-1 0,1 0 1,-1 0-1,0-1 1,-1 1-1,1-2 1,-12 7-1,-10 2-48,-32 9 0,19-7-181,5 1-12,-8 3-3440</inkml:trace>
  <inkml:trace contextRef="#ctx0" brushRef="#br0" timeOffset="8957.19">6214 0 19071,'0'0'128,"-1"5"0,-1 1-52,-1 0-1,0 0 1,0 0-1,0-1 0,-1 0 1,1 0-1,-1 0 0,-1-1 1,1 1-1,-1-1 1,0 1-1,0-1 0,0-1 1,-7 5-1,-5 4 126,9-7-105,-1 0 0,1 1 1,1 1-1,-1-2 0,1 2 0,0 0 0,0 1 0,-9 15 1,-7 12-19,2 3 0,2 1 0,2-1 1,1 2-1,-13 49 0,6 22 45,-9 122 0,7 115 58,18-61 37,9-223-199,3 0 1,20 94 0,-25-157-95,0 0 1,0 1 0,1-1-1,-1 0 1,0 0-1,0 0 1,1 1-1,-1-1 1,1 0-1,-1 0 1,1 0-1,0 0 1,0 0-1,-1 0 1,1 0-1,0 0 1,0-1-1,0 1 1,0 0-1,0 0 1,0-1 0,0 1-1,0 0 1,0-1-1,0 1 1,0-1-1,1 1 1,-1-1-1,0 0 1,0 1-1,0-1 1,2 0-1,8 3-2544</inkml:trace>
  <inkml:trace contextRef="#ctx0" brushRef="#br0" timeOffset="9328.94">6297 876 22399</inkml:trace>
  <inkml:trace contextRef="#ctx0" brushRef="#br0" timeOffset="9457.11">6297 876 22399,'0'0'0,"52"-16"0,-22 10 0,-1-4 0,0 2 0,-4-1-128,-3 4 128,-2 0-768,-3-1 0,0 5-1408,4 1 1,-1 1 767,-6 2 0</inkml:trace>
  <inkml:trace contextRef="#ctx0" brushRef="#br0" timeOffset="10359.91">6845 282 21503,'2'17'42,"-1"0"0,-1 27 0,-1-27 9,1 1-1,3 22 1,5 7 22,-3 0 0,-2 2 0,-1-2 0,-3 1 0,-2 0 1,-17 86-1,3-66 5,-4-2 0,-2-1 0,-3-1 1,-3-1-1,-50 82 0,62-120-39,-2 1-1,0-2 1,-25 25 0,31-36-22,-1-1 1,0 0-1,0-2 1,-1 0-1,0 0 1,-30 13-1,43-22-24,0-1 0,-1 1 0,1-1 0,0 1 0,-1-1 0,1 0 0,0 0 0,-1 0 0,1 0 0,-1-1 0,1 1 0,0 0 0,0-1 0,-1 0 0,1 0-1,0 1 1,0-1 0,0 0 0,-1-1 0,1 1 0,1 0 0,-1-1 0,0 1 0,0-1 0,0 1 0,1-1 0,-1 0 0,1 0 0,-1 0 0,-1-2 0,-1-2-25,1 0 1,-1 0-1,1 0 1,0 0-1,1 0 1,-1-1-1,1 1 1,0-1-1,-1-9 1,3 7-32,0 1 1,1 0-1,-1 0 1,2 1-1,-1-1 0,1 0 1,0 0-1,1 1 1,0-1-1,0 0 0,0 1 1,1 0-1,0 0 1,1 0-1,0 1 0,0 0 1,0 0-1,8-7 0,-2 2-108,0 2 0,1 0 0,0 0 0,0 1 0,1 1-1,0 0 1,0 0 0,0 1 0,21-5 0,-28 9 150,0 1 0,0 0 0,0 1 0,0-1 0,0 1 0,0 1 0,0-1 0,0 1 0,0 0 0,0 0 0,0 1 0,0-1 0,-1 1 0,1 1 0,-1-1 0,1 1 0,-1 0 0,0 0 0,0 0 0,6 6 0,-3-3 48,0 1-1,-1 1 1,0 0-1,0 0 1,0 1-1,-1 0 1,-1 0-1,1 0 0,-2 1 1,7 14-1,6 23 190,-7-21 125,0 1-1,7 36 1,-17-59-326,0-1 0,0 1 0,0-1 0,0 1 0,-1-1 0,1 1 0,-2 3 0,0 4-71,2-11 45,0 0 0,0 0 0,0 1 1,0-1-1,0 0 0,0 0 1,0 1-1,0-1 0,0 0 0,-1 0 1,2 0-1,-1 1 0,0-1 0,0 0 1,0 0-1,0 1 0,0-1 0,0 0 1,0 0-1,0 0 0,0 1 0,0-1 1,0 0-1,0 0 0,1 0 0,-1 1 1,0-1-1,0 0 0,0 0 0,0 0 1,1 0-1,-1 0 0,0 1 0,0-1 1,0 0-1,1 0 0,-1 0 1,0 0-1,0 0 0,0 0 0,1 0 1,-1 0-1,0 0 0,0 0 0,0 0 1,1 0-1,-1 0 0,0 0 0,0 0 1,1 0-1,-1 0 0,0 0 0,0 0 1,0 0-1,1 0 0,-1 0 0,13-6-720,-13 6 731,4-4-601,1 1 0,-1-1 0,0 1 0,0-1 0,6-9 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8:33.212"/>
    </inkml:context>
    <inkml:brush xml:id="br0">
      <inkml:brushProperty name="width" value="0.1" units="cm"/>
      <inkml:brushProperty name="height" value="0.1" units="cm"/>
      <inkml:brushProperty name="color" value="#E71224"/>
    </inkml:brush>
  </inkml:definitions>
  <inkml:trace contextRef="#ctx0" brushRef="#br0">115 0 20479,'-3'31'-8,"2"-15"138,-1 0 0,0-1 0,-7 24 0,7-32-57,0 0 0,0 1 0,1-1 0,0 1 0,0-1 0,1 1 0,0-1 0,2 12 0,2 7 30,9 29-1,2 14 82,-7-22-119,2 0 0,2 0 1,23 54-1,73 126 164,-84-178-203,-3 0 0,-1 1-1,-3 1 1,14 72-1,-24-76 1,-1 0 0,-3 0-1,-2 0 1,-5 54-1,0-63 8,-2 0-1,-17 56 0,4-15-1,-61 185 57,28-106-48,-68 215 216,78-276-1417,5-28-3011,-1 3-7774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19:53.808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149 176 17791,'0'0'662,"1"5"-449,3 22 123,-1 0 0,-1 0 0,-2 0 0,-5 53 0,-30 113 815,-3 33-526,29-151-401,-23 94-1,16-95-137,7-22-59,-4 94-1,12-63-3897,16-126-11425,-5 13 13163</inkml:trace>
  <inkml:trace contextRef="#ctx0" brushRef="#br0" timeOffset="656.61">237 18 18431,'-3'50'150,"4"-43"-1,4-14 141,1-16 913,-5 22-1200,-1-1-1,0 1 0,0 0 0,1 0 0,-1 0 1,1 0-1,-1-1 0,1 1 0,0 0 1,-1 0-1,1 0 0,0 0 0,0 0 0,0 1 1,0-1-1,-1 0 0,1 0 0,0 0 1,0 1-1,1-1 0,-1 1 0,0-1 0,0 1 1,2-1-1,31-10 79,-30 11-90,13-4 21,0 1-1,1 1 0,0 1 1,-1 1-1,1 0 0,0 1 1,0 1-1,20 5 0,-24-4 22,-1 1-1,0 0 0,-1 1 1,1 0-1,-1 1 1,0 1-1,0 0 0,0 0 1,-1 1-1,-1 1 1,13 11-1,-9-5 3,0 0 0,-2 1-1,22 34 1,-29-39-17,1-1 0,-2 1-1,1 1 1,-2-1 0,1 1 0,-2-1-1,1 1 1,0 16 0,-1 0 72,-2 1 1,-1-1 0,-1 0-1,-10 49 1,8-63-53,0 1 1,-1-1-1,0 0 0,-1 0 1,0-1-1,-1 0 0,-1 0 0,0 0 1,-1-1-1,-18 19 0,7-11-31,-2 0 1,0-2-1,-2-1 0,0 0 0,0-2 0,-2-1 0,0-1 0,0-1 0,-1-1 0,0-2 1,-43 10-1,54-18 888,-9-3-8876,-9-36-5882</inkml:trace>
  <inkml:trace contextRef="#ctx0" brushRef="#br0" timeOffset="1558.87">1042 931 22271,'-4'7'-2,"1"0"1,-1-1-1,0 0 0,-1 0 0,-5 7 0,7-11 11,1 0-1,-1 0 1,1 0 0,-1 0 0,0 0-1,0-1 1,1 1 0,-1-1-1,-1 0 1,1 0 0,0 0 0,0 0-1,0-1 1,0 1 0,-4-1-1,1 1-41,0 0-1,0 0 0,0 0 0,0 1 0,0 0 1,1 0-1,-1 0 0,1 1 0,-1 0 0,1 0 1,0 0-1,0 0 0,0 1 0,1 0 0,-8 9 1,-3 4-468,2 0 1,0 2-1,-10 21 1,-8 10 248,26-43 236,-7 12 5,12-18 12,0-1-1,0 1 0,0-1 0,0 1 0,0 0 0,0-1 0,0 1 1,0-1-1,0 1 0,0-1 0,0 1 0,0 0 0,0-1 0,0 1 1,1-1-1,-1 1 0,0-1 0,0 1 0,1-1 0,-1 1 0,0-1 1,1 1-1,-1-1 0,1 1 0,-1-1 0,1 0 0,-1 1 1,0-1-1,1 0 0,-1 1 0,1-1 0,0 0 0,0 1 0,8 3 0,1 0 0,0-1 0,0 0 0,0 0 0,0-1 0,12 1 0,68 2 0,-68-4 0,58-3 123,-47 1 93,53 4 0,-84-3-163,-1 0 1,1 0-1,-1 0 1,1 1-1,-1-1 0,1 0 1,-1 1-1,0-1 0,1 1 1,-1-1-1,0 1 0,1 0 1,-1 0-1,0 0 1,0 0-1,0 0 0,1 0 1,-1 0-1,1 1 0,-2-1-14,1 0-1,-1 1 1,0-1 0,1 0-1,-1 0 1,0 0-1,0 1 1,0-1-1,0 0 1,0 0-1,0 0 1,0 1-1,0-1 1,0 0-1,-1 0 1,1 0-1,0 1 1,-1 0-1,-3 6 57,0 0 0,-1-1 0,0 0-1,0 0 1,-7 7 0,-9 10-50,-1-2 1,-1 0-1,-1-2 1,-1 0-1,-1-2 0,-36 20 1,12-14-4015,-1-4-4113,24-11-983,11-1 7485,1 0 1580</inkml:trace>
  <inkml:trace contextRef="#ctx0" brushRef="#br0" timeOffset="1968.94">1466 1236 18943,'-96'24'-106,"92"-23"114,-1 0 0,1 0 0,0 1 0,0 0 0,0 0 1,-5 3-1,-9 5 41,14-8-44,1-1 0,0 1 0,0 0 0,0 0-1,1 1 1,-1-1 0,0 0 0,1 1 0,0 0-1,0-1 1,-1 1 0,1 0 0,1 0 0,-1 0-1,0 1 1,1-1 0,0 0 0,0 0 0,-1 6-1,0-4 8,1 0-1,0 0 1,1 0-1,-1 0 1,1 0-1,0 0 0,0 0 1,1 0-1,-1 0 1,1 0-1,0 0 1,1 0-1,2 7 0,-1-5-11,1 1 0,0-1 0,1 0 0,0 0 0,0 0 0,0 0 0,1-1 0,-1 0 0,2 0 0,-1-1 0,1 0 0,0 0 0,0 0 0,0-1 0,0 0 0,1 0 0,0-1 0,0 0 0,0 0 0,0-1 0,10 2 0,-3-2-474,1 0-1,-1 0 0,19-1 0,-21-2-1328,0 0 0,-1-1-1,1 0 1,0-1-1,0 0 1,-1-1 0,21-9-1,14-15-941,-6-5 2745</inkml:trace>
  <inkml:trace contextRef="#ctx0" brushRef="#br0" timeOffset="2859.84">2069 487 19967,'-13'137'488,"9"-75"79,-16 78 0,-90 280 243,104-400-810,3-9 0,-1 0 0,1 1 0,-2 21 0,5-31 0,0 1 0,0-1 0,0 1 0,0-1 0,0 1 0,1-1 0,-1 1 0,1-1 0,0 1 0,-1-1 0,1 0 0,0 1 0,1-1 0,-1 0 0,0 0 0,1 0 0,-1 0 0,1 0 0,-1 0 0,1 0 0,0 0 0,4 2 0,-6-3 0,1-1 0,0 1 0,0-1 0,0 1 0,0-1 0,-1 1 0,1-1 0,0 0 0,0 1 0,0-1 0,0 0 0,0 0 0,0 0 0,0 0 0,0 0 0,0 0 0,0 0 0,0 0 0,0 0 0,0 0 0,0-1 0,0 1 0,0 0 0,0 0 0,0-1 0,0 1 0,-1-1 0,1 1 0,0-1 0,0 1 0,0-1 0,-1 0 0,1 1 0,1-2 0,1-3 0,0 1 0,0 0 0,0-1 0,0 0 0,1-5 0,0 3 0,17-38-41,-9 17 73,29-46 0,-36 67-109,0 0-1,1 0 0,0 1 0,0-1 1,0 1-1,0 1 0,1-1 1,0 1-1,1 0 0,12-7 0,-17 11 75,-1 1 0,0-1-1,0 1 1,0-1 0,1 1 0,-1-1-1,0 1 1,0 0 0,1 0-1,-1 0 1,0 1 0,0-1-1,1 0 1,-1 1 0,0-1-1,0 1 1,0 0 0,1 0 0,-1 0-1,0 0 1,0 0 0,-1 0-1,4 3 1,4 3 6,-1 1 1,0-1-1,11 17 0,-10-13-1,1 1 1,-1 0 0,0 1 0,-1 1 0,-1-1 0,0 1 0,6 19 0,20 90 46,-27-95-36,1 0 0,1-1 1,1 1-1,1-1 0,16 27 1,-25-52-6,0-1 0,0 1 0,0 0 1,0-1-1,0 1 0,0-1 0,1 1 1,-1-1-1,0 0 0,1 1 0,-1-1 1,1 0-1,0 0 0,-1 0 0,1 0 0,0 0 1,-1-1-1,1 1 0,3 0 0,-2-1-2,-1 0 0,1 0-1,-1 0 1,0-1 0,1 1 0,-1-1-1,0 0 1,1 0 0,-1 0-1,0 0 1,0 0 0,0 0 0,0-1-1,0 1 1,3-3 0,5-4 12,-1-1 0,0-1 0,0 0 1,13-18-1,2-4-3,14-17 58,-2-2 1,-1-1-1,-4-2 0,-1-1 0,-3-1 0,36-113 0,-59 156-30,-1 0 0,2-19-1,-4 29-35,-1 1 0,1-1 0,-1 0-1,0 0 1,0 0 0,0 1-1,-1-1 1,1 0 0,-1 0 0,1 1-1,-1-1 1,0 0 0,0 1 0,0-1-1,-1 1 1,1-1 0,0 1 0,-3-3-1,3 4-6,-1 1 0,1-1 0,0 0 0,-1 1 0,1-1 0,-1 1 0,0 0 0,1-1 0,-1 1 0,1 0 0,-1 0 0,0 0 0,1 0 0,-1 0 0,1 1 0,-1-1 0,1 0 0,-1 1 0,-2 0 0,-31 14 0,29-13 0,-10 6-2,1 1 1,0 1-1,1 0 0,-1 0 0,2 2 0,0 0 0,0 0 0,1 1 1,1 1-1,0-1 0,1 2 0,0 1 0,2-1 0,-1 1 0,2 0 0,0 0 1,1 0-1,0 1 0,-4 29 0,7-29-2,0 1 0,2 0 0,0 0 1,1 0-1,0-1 0,2 1 0,0 0 0,8 28 0,-6-32 1,1-1 1,0 1-1,1-1 0,0 0 0,1 0 0,1-1 0,0 1 0,1-2 0,0 1 0,0-1 1,14 10-1,-17-15-74,0-1 0,1 0 0,-1 0 0,1 0 1,0-1-1,1 0 0,-1-1 0,1 0 0,0 0 1,0 0-1,0-1 0,0 0 0,0-1 0,0 0 1,0 0-1,1-1 0,-1 0 0,0 0 0,0-1 1,1 0-1,-1 0 0,0-1 0,0 0 0,12-6 1,10-3-1688,0-3 1,31-18-1,-22 10-8582</inkml:trace>
  <inkml:trace contextRef="#ctx0" brushRef="#br0" timeOffset="3106.58">3292 1367 21503,'0'0'0,"7"38"0,-2-17 128,0 3-128,-2-7 0,-3-3 0,0-8 0,0-12-384,5-16 128,2-12-1664,3-11 128,4-13 513,2-13-1,-1 1-8960</inkml:trace>
  <inkml:trace contextRef="#ctx0" brushRef="#br0" timeOffset="3255.32">3422 342 19839,'0'0'0,"0"57"128,0-50 0,0-14 384,-7 7-384,1 18 0,-7 11-128,3-5 128,0-2-768,2-2 128,4-4-768,-9 18-11775</inkml:trace>
  <inkml:trace contextRef="#ctx0" brushRef="#br0" timeOffset="3819.51">3683 1178 21631,'-24'-42'0,"25"44"6,1 1 7,0-1 0,0 0 0,-1 1-1,1 0 1,-1-1 0,1 1-1,-1 0 1,0 0 0,0 0-1,-1 0 1,1-1 0,-1 1-1,1 0 1,-1 0 0,0 0 0,0 0-1,-1 5 1,-4 9 4,0 0-1,1 0 1,0 0-1,2 0 1,0 1 0,0-1-1,2 1 1,3 34-1,-3-51-16,0 0 0,0 0 0,0 1 0,1-1 0,-1 0-1,0 0 1,0 0 0,1 0 0,-1 0 0,0 0 0,1 0 0,-1 0-1,1 0 1,-1 0 0,1 0 0,0 0 0,0 1 0,0-2 0,-1 0 0,1 0-1,-1 0 1,1 0 0,-1 0 0,1 0 0,-1 0 0,1 0 0,-1 0 0,1 0 0,-1 0 0,1 0-1,-1 0 1,1 0 0,-1 0 0,1 0 0,-1-1 0,0 1 0,1 0 0,-1 0 0,1 0-1,-1-1 1,0 1 0,1 0 0,-1-1 0,1 1 0,4-5 5,-1 0-1,0 0 1,0 0 0,4-7-1,-8 11 0,127-196 102,-122 189-106,0-1 0,1 1 0,1 0 0,-1 1 0,1 0 0,1 0 0,12-11 0,-19 18 0,0-1 0,0 0 0,0 1 0,0 0 0,1-1 0,-1 1 0,0-1 0,0 1 0,0 0 0,1 0 0,-1 0 0,0 0 0,0 0 0,0 0 0,1 0 0,-1 0 0,0 0 0,0 0 0,0 1 0,1-1 0,-1 1 0,0-1 0,0 1 0,0-1 0,0 1 0,0-1 0,0 1 0,0 1 0,0-1 0,0 0 0,0-1 0,0 1 0,-1 0 0,1 0 0,0 0 0,0 0 0,-1 0 0,1 0 0,-1 1 0,1 1 0,4 5 0,-2 1 0,1 0 0,-1 0 0,2 11 0,5 37 37,-2-1-1,-2 1 1,-3 0 0,-3 0-1,-2-1 1,-17 101-1,18-151-33,-2 13-255,0 1-1,1-1 1,1 0 0,2 27 0,2-34-596,1-20-2464</inkml:trace>
  <inkml:trace contextRef="#ctx0" brushRef="#br0" timeOffset="4238.96">4605 412 22143,'-14'9'0,"11"-7"0,0-1 0,0 1 0,0 0 0,0 0 0,0 0 0,0 1 0,1-1 0,-1 1 0,1-1 0,-1 1 0,1 0 0,0 0 0,0 0 0,1 0 0,-1 0 0,0 0 0,1 1 0,-2 4 0,3 4 8,-1-1 0,1 0 0,1 1 1,3 14-1,-2-13 8,-1 0 1,0 0-1,-1 14 1,-30 166 133,8-64-151,-43 405-233,45-435 123,7-39-2786</inkml:trace>
  <inkml:trace contextRef="#ctx0" brushRef="#br0" timeOffset="4704.59">4617 1559 17919,'-15'11'8,"15"-11"-7,0 0 0,-1 0-1,1 0 1,0 0 0,0 1-1,0-1 1,0 0 0,0 0-1,-1 0 1,1 1 0,0-1-1,0 0 1,0 0 0,0 0-1,0 1 1,0-1 0,0 0-1,0 0 1,0 1 0,0-1-1,0 0 1,0 0 0,0 1-1,0-1 1,0 0 0,0 0-1,0 0 1,0 1 0,0-1-1,1 0 1,-1 0 0,0 1-1,0-1 1,0 0 0,0 0-1,2 1 7,0 0 0,0 0 0,1 0 0,-1-1 0,0 1 0,0-1-1,0 1 1,0-1 0,1 0 0,-1 0 0,0 0 0,0 0 0,4-1-1,0 1 26,0 0 0,-1-1 0,1 1 0,0-1 0,-1-1 0,1 1 0,-1-1 0,0 0 0,0 0 0,1-1 0,-1 1 0,-1-1 0,1 0 0,0-1 0,-1 1 0,1-1 0,-1 0 0,0 0 0,6-8 0,3-8 54,-1-1-1,-1-1 0,0 0 1,-2 0-1,-1-1 0,0 0 1,-2-1-1,5-31 0,-9 28 90,-1-1 0,0 0 0,-2 1 0,-9-53 0,9 77-165,1 1 0,-1-1-1,1 0 1,-1 1 0,0 0-1,0 0 1,0-1 0,0 1 0,-2-3-1,3 5-5,-1-1-1,1 1 1,-1-1-1,1 1 1,0 0-1,-1-1 0,1 1 1,-1 0-1,1-1 1,-1 1-1,1 0 1,-1 0-1,1 0 0,-1-1 1,0 1-1,1 0 1,-1 0-1,1 0 1,-1 0-1,1 0 1,-1 0-1,0 0 0,1 0 1,-1 0-1,0 1 1,-3 0 5,0 1 0,1 1 0,-1-1 0,1 1 0,0-1 0,0 1 0,0 0 0,0 0 0,-4 6 0,-3 5-9,0 0 0,1 0 0,0 0 0,1 1 0,-12 32 0,-18 85 0,32-104 40,1-1 0,1 1 0,0 33 0,4-46-15,1-1 0,0 0 0,0 0 0,2 0 0,0 0 0,0 0 0,2 0-1,6 16 1,-9-27-10,-1 0-1,1 0 1,0 0-1,0 0 1,0 0-1,0 0 1,1-1-1,-1 1 1,1-1-1,-1 1 1,1-1-1,0 0 0,0 0 1,0-1-1,0 1 1,4 1-1,-2-1-12,0-1 0,0 0 0,0 0 0,0-1 0,0 1 0,0-1 0,0 0 0,0-1 0,0 1-1,6-2 1,9-4-360,0 0 0,0-1 0,-1-1 0,26-15 0,-32 16-167,22-11-2717,1 0-7339</inkml:trace>
  <inkml:trace contextRef="#ctx0" brushRef="#br0" timeOffset="4935.99">5330 1430 21375,'0'0'0,"-35"14"0,35-7 0,13 4 0,-4-6 0,2 0 0,-6-2 0,-1-6-256,1 0-1280,3-15 256,1-8 256,2-13 1,-1 1-10497</inkml:trace>
  <inkml:trace contextRef="#ctx0" brushRef="#br0" timeOffset="5140.86">5422 579 21631,'0'0'0,"5"50"0,-2-17 0,0 8 0,-6-7 128,-2-1-128,0 0 0,-2-3-640,-1-2 0,3-3-512,2 3 0</inkml:trace>
  <inkml:trace contextRef="#ctx0" brushRef="#br0" timeOffset="5840.14">6050 952 22783,'-14'9'0,"9"-5"0,1-1 0,-1 0 0,1 0 0,-1-1 0,0 0 0,-10 4 0,-9-13-277,19 7 177,0 0 0,-1 1-1,1 0 1,0 0 0,0 0 0,0 1-1,0 0 1,0 0 0,0 0 0,0 1-1,1-1 1,-1 1 0,1 0 0,0 0 0,0 1-1,0-1 1,-4 5 0,2 0-81,0-1 0,1 1-1,-1 0 1,1 0 0,1 0 0,0 1 0,0 0 0,-4 16-1,7-22 148,0 1 0,1 0 0,-1 0 0,1 0 0,0-1 0,1 1 0,-1 0 0,1 0 0,-1 0 0,1-1 0,0 1 0,0 0 0,1-1 0,-1 1 0,1-1 0,3 5 0,4 7-170,1-1-1,17 19 1,-6-9 115,-13-14 180,0 1 0,-1 0-1,0 0 1,-1 0 0,7 15-1,-12-21-46,1 0-1,-1-1 0,0 1 1,0 0-1,0 0 0,-1 0 0,1 0 1,-1 0-1,0 0 0,-1 0 1,1 0-1,-1 0 0,0 0 1,0 0-1,-1 0 0,-2 6 0,3-8-7,-6 12 250,0 0 0,-14 21 0,18-32-254,0 0 1,-1 0-1,0 0 0,1 0 0,-1-1 0,0 1 0,-1-1 1,1 0-1,0 0 0,-1-1 0,-8 5 0,6-5-257,-25 9 420,32-10-300,-1-1 0,0 0 1,1 0-1,-1 1 0,0-1 1,1 0-1,-1 0 0,0 0 1,1 0-1,-1 0 0,0 0 1,1 0-1,-1 0 0,0 0 0,1-1 1,-1 1-1,0 0 0,1 0 1,-1 0-1,0-1 0,1 1 1,-1 0-1,1-1 0,-1 1 1,1-1-1,-1 1 0,1 0 1,-1-1-1,1 1 0,-1-1 1,1 0-1,-1 1 0,1-1 1,0 1-1,-1-1 0,1 0 1</inkml:trace>
  <inkml:trace contextRef="#ctx0" brushRef="#br0" timeOffset="6356.92">6602 292 22015,'-89'64'0,"80"-57"0,3-2-5,12-3 10,-6-1-4,1 0 0,-1-1 0,0 1 0,0 0 0,0-1 1,0 1-1,0 0 0,0 0 0,0-1 0,0 1 0,0 0 1,0 0-1,0-1 0,0 1 0,0 0 0,-1-1 0,1 1 0,-1 1 1,-26 73 141,-16 46-30,1 55-63,-21 189-1,37-193-42,21-156 1,4-13-54,0 1 0,0-1-1,1 0 1,-1 1 0,1-1-1,-1 1 1,1 3 0,-7-253-1661,6 243 1699,1 0-1,0 0 1,0 0 0,0 0-1,0-1 1,1 1 0,-1 0-1,1 0 1,0 0 0,0 0-1,0 0 1,0 1 0,0-1-1,1 0 1,3-5 0,-3 7 3,0-1 0,0 1 0,0 0 0,0 0 1,0 0-1,0 0 0,1 0 0,-1 0 0,0 0 0,1 1 1,-1-1-1,1 1 0,-1 0 0,0 0 0,1 0 1,-1 0-1,1 0 0,-1 0 0,1 1 0,2 0 0,13 2-196,32 12 0,-32-9-248,35 7-1,-34-11-481,0 0-1,0-2 1,-1 0-1,1-1 0,25-4 1,-13-1-7922</inkml:trace>
  <inkml:trace contextRef="#ctx0" brushRef="#br0" timeOffset="7451.76">6656 1206 19583,'-1'10'128,"-1"14"-21,1 0 0,1 0-1,2 1 1,5 30 0,-7-53-104,0-1 0,1 1 0,-1 0 0,1-1 0,0 1 0,-1-1 0,1 0 0,0 1-1,0-1 1,0 1 0,0-1 0,0 0 0,0 0 0,0 0 0,1 0 0,-1 0 0,0 0 0,1 0 0,-1 0 0,0 0 0,1 0 0,-1-1 0,1 1 0,0-1 0,-1 1 0,1-1 0,-1 0 0,1 1 0,0-1 0,-1 0 0,1 0 0,-1 0 0,1 0 0,0-1 0,-1 1 0,1 0 0,-1-1 0,3 0 0,6-1-5,0-1 0,-1-1 0,1 0 0,13-8 0,8-6 2,-1-2 0,0-1 0,-2-1 0,-1-1 0,34-37 0,75-74 0,-125 126 0,-11 8 0,0 0 0,0 0 0,0 0 0,0 0 0,0 0 0,1 0 0,-1 0 0,0 0 0,0 0 0,0 0 0,0 0 0,0 0 0,0 0 0,1 0 0,-1 0 0,0 0 0,0 0 0,0 0 0,0 0 0,0 1 0,0-1 0,0 0 0,0 0 0,0 0 0,1 0 0,-1 0 0,0 0 0,0 0 0,0 0 0,0 1 0,0-1 0,0 0 0,0 0 0,0 0 0,0 0 0,0 0 0,0 0 0,0 1 0,0-1 0,0 0 0,0 0 0,0 0 0,0 0 0,0 0 0,0 0 0,0 1 0,0-1 0,0 0 0,0 0 0,0 0 0,0 0 0,0 0 0,-1 0 0,1 0 0,0 1 0,0-1 0,0 0 0,0 0 0,0 0 0,0 0 0,0 0 0,0 0 0,-1 0 0,1 0 0,-5 16 0,2-8 0,-2 11 0,-45 177 0,48-188-1,2 1-1,-1-1 1,1 1-1,1 16 1,-1-23 6,1 1 1,-1-1-1,1 1 1,-1-1-1,1 1 1,0-1-1,0 0 0,0 1 1,0-1-1,0 0 1,0 0-1,1 1 1,-1-1-1,1 0 0,0 0 1,-1-1-1,1 1 1,0 0-1,0-1 1,4 3-1,-4-3-4,1 0 1,-1-1-1,1 0 0,-1 1 1,1-1-1,-1 0 0,1 0 1,-1 0-1,1 0 0,-1-1 1,1 1-1,-1-1 1,1 0-1,-1 1 0,0-1 1,1 0-1,-1 0 0,0-1 1,0 1-1,3-2 0,6-4 28,0-2 0,14-11-1,-22 17-14,28-27-1,49-63 0,1-2-18,-66 81 5,73-72 0,-74 74 0,1 0 0,0 2 0,0-1 0,26-10 0,-38 19 9,1 0-1,0 0 1,0 1-1,-1 0 0,1 0 1,0 0-1,0 0 0,0 1 1,0-1-1,1 1 1,-1 0-1,0 0 0,0 1 1,0-1-1,0 1 0,0 0 1,0 0-1,0 0 1,-1 0-1,1 1 0,0 0 1,0 0-1,-1 0 1,0 0-1,1 0 0,-1 1 1,4 3-1,23 22 127,-2 2 0,34 46 0,-51-65-37,-4-10 53,-6-3-127,1 0-1,-1 0 1,0 0 0,0 0 0,0 0 0,0 0-1,0 0 1,-1 0 0,2-3 0,-2 3-20,5-11 34,-2-1-1,0 0 1,0 1 0,-1-1-1,-1 0 1,0 0 0,-1-14 0,0 23-24,-1 0 1,1 0 0,-1 0-1,0 0 1,-1 0 0,1 0 0,-1 0-1,0 1 1,0-1 0,0 1-1,-1-1 1,0 1 0,0 0 0,0 0-1,0 0 1,0 0 0,-1 1-1,0-1 1,0 1 0,0 0 0,0 0-1,-8-4 1,8 5-14,0 1 0,-1 0 0,1 0 0,0 0 1,-1 1-1,1 0 0,-1-1 0,1 1 0,0 1 0,-1-1 0,1 1 0,0-1 0,-1 1 0,1 1 1,0-1-1,0 0 0,0 1 0,0 0 0,0 0 0,-5 4 0,-4 2-1,0 1-1,1 0 1,0 1 0,-17 18-1,15-12 1,1 1 0,0 0 0,1 0 0,1 1 0,1 1 0,0 0 0,2 1 0,-8 24 0,11-29 0,1 0 0,1 0 0,0 1 0,1-1 0,1 1 0,0-1 0,1 1 0,1 0 0,0-1 0,1 1 0,8 27 0,-8-36 0,0-1 0,1 0 0,0 0 0,0 0 0,0 0 0,1-1 0,0 1 0,0-1 0,0 0 0,0 0 0,9 7 0,-9-9 0,0-1 0,0 1 0,0-1 0,0 0 0,0 0 0,1 0 0,-1-1 0,1 0 0,-1 1 0,1-2 0,-1 1 0,1 0 0,-1-1 0,1 0 0,0 0 0,-1 0 0,8-2 0,8-2 7,-1-1 0,0-1 0,1 0 0,-2-2 0,30-15-1,82-61 62,-48 29-49,-68 50 12,-14 5-29,0 0 0,1 0 1,-1 0-1,0 0 0,0 1 0,0-1 0,0 0 1,1 0-1,-1 0 0,0 0 0,0 1 0,0-1 1,0 0-1,0 0 0,1 1 0,-1-1 1,0 0-1,0 0 0,0 0 0,0 1 0,0-1 1,0 0-1,0 0 0,0 1 0,0-1 0,0 0 1,0 0-1,0 1 0,0-1 0,0 0 0,0 1 1,-11 26 130,-152 228 150,-21-9-82,-14 19-280,107-135-2331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01.87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1719 23423,'5'-5'-149,"4"-4"84,0 2 0,0-1 0,1 1 0,0 1 0,0 1 0,0-1 0,1 1 0,-1 0 0,1 1 0,1 0 0,-1 1 0,0 0 0,1 1 0,0 0 0,-1 1 0,1 0 0,0 1 0,0 0 0,-1 1 0,19 4 0,124 36-2367,-143-38-470</inkml:trace>
  <inkml:trace contextRef="#ctx0" brushRef="#br0" timeOffset="262.64">55 1437 23295,'0'0'0,"49"24"0,-18-7 0,10 2 0,-2-5 0,3-1 0,-1-10 0,-2-8-640,8-10 128,6-7-896,47-15-13183</inkml:trace>
  <inkml:trace contextRef="#ctx0" brushRef="#br0" timeOffset="1614.21">1449 428 20479,'-61'19'0,"-65"12"0,106-26-64,0 0 0,1 1 0,0 0 0,0 2 0,0 1 0,1 0 0,0 0 0,1 2 0,-23 18 0,38-27 33,-1 0 0,1 1-1,-1-1 1,1 1-1,0-1 1,0 1 0,0 0-1,1 0 1,-1 0-1,1 0 1,-1 0-1,1 0 1,0 0 0,0 0-1,1 1 1,-2 3-1,2-2 2,0 1-1,0-1 1,1 1-1,0-1 1,0 1-1,0-1 1,1 1-1,-1-1 1,4 6-1,3 5-17,0-1-1,1-1 1,1 1-1,1-1 0,16 17 1,19 13 5,2 0 0,86 57 0,-44-35 22,-72-52 91,0 1 0,-1 1 0,0 0 0,-2 1 0,0 1-1,-1 1 1,0 0 0,-2 0 0,0 1 0,11 28-1,-20-36 28,0-1-1,0 0 1,-2 1-1,1 0 0,-1 0 1,-1 0-1,0 0 1,-1 1-1,-1-1 0,1-2 1,-2 2-1,0 0 1,0 0-1,-1-1 0,0 0 1,-10 17-1,3-9 23,0 0 0,-1-1 0,0 0 0,-2-1 0,0-2 0,-1 1 0,-1-1 0,-23 18 0,20-20-1,-1-1 1,0 0 0,-1-2-1,0 0 1,-35 11 0,13-9-657,-85 13 1,112-24-3516</inkml:trace>
  <inkml:trace contextRef="#ctx0" brushRef="#br0" timeOffset="2350.87">2410 334 22015,'-17'28'17,"1"-1"43,1 1 0,1-1-1,-18 56 1,19-26-66,2 0 0,-6 105 0,15 120-101,3-167 104,-7 341 3,5-429 0,0 9 0,0 0 0,10 70 0,-9-104 6,0-1-1,0 2 0,1-1 1,0 0-1,-1 1 0,1-1 1,0 0-1,0 0 0,0 0 1,0 0-1,0 0 0,1 0 1,-1 0-1,0 0 0,1-1 1,0 1-1,-1 0 0,1-1 1,0 0-1,0 1 0,0-1 1,3 2-1,-2-2 5,1 0-1,-1-1 1,0 0 0,0 1-1,0-1 1,0 0 0,0-1-1,1 1 1,-1-1 0,0 1-1,0-1 1,0 0 0,0 0-1,0 0 1,5-3 0,11-6 53,30-20 1,2-3 22,33-14-11,121-48-1,-149 75-262,14-8-1022,1 3 0,98-21 0,-147 42-1883</inkml:trace>
  <inkml:trace contextRef="#ctx0" brushRef="#br0" timeOffset="2693.88">2410 284 24319,'0'0'0,"45"25"0,-18-9 0,3 0 0,3-4 0,1-4 0,7 0 0,1-3 0,5-2 0,3-3-128,0 0 128,-1-3-384,5 1 0,8-1-1024,-8 3 128,-2 3-640,-5 2 0,1 0-9855</inkml:trace>
  <inkml:trace contextRef="#ctx0" brushRef="#br0" timeOffset="3282.86">3396 295 23295,'-1'2'0,"-4"12"0,0 0 0,0-1 0,2 1 0,-5 26 0,6 19 69,7 99 1,21 58-81,25 297 11,-50-490 0,0-9 0,-1-1 0,2 0 0,5 21 0,-7-31 0,1 1 0,1-1 0,-1 0 0,0 0 0,1 0 0,0 0 0,-1 0 0,1 0 0,0-1 0,0 1 0,1 0 0,-1-1 0,1 0 0,-1 0 0,1 0 0,0 0 0,0-1 0,0 1 0,2 1 0,-4-3 0,0 1 0,0-1 0,-1 0 0,1 0 0,0 0 0,0 0 0,0 0 0,0 0 0,0 0 0,0-1 0,-1 1 0,1 0 0,0 0 0,0-1 0,0 1 0,-1 0 0,1-1 0,0 1 0,0-1 0,-1 1 0,1-1 0,0 0 0,-1 1 0,1 0 0,0 0 0,-1-1 0,1 0 0,-1 0 0,1 1 0,-1-1 0,0 0 0,1 0 0,-1 0 0,1-1 0,12-36 0,-11 29 0,48-169 0,28-88 0,102-209 0,-119 346 0,-53 114 0,1 1 0,1 0 0,0 1 0,0 0 0,1 1 0,16-15 0,-25 25 1,1 0 0,-1 0 0,1 1 0,-1-1 0,1 0 0,0 1 0,-1 0 0,1 0 0,0-1 0,0 2 0,0-1 0,0 0 0,0 1 0,4-1 0,-6 1-9,1 0 0,-1 1 1,1-1-1,-1 1 0,0-1 0,0 1 1,1-1-1,-1 1 0,0 0 0,0-1 0,0 1 1,0 0-1,1 0 0,-1 0 0,-1 0 0,1 0 1,0 0-1,0 0 0,0 1 0,0-1 0,-1 0 1,1 0-1,-1 1 0,1-1 0,-1 0 0,1 1 1,-1-1-1,0 0 0,1 1 0,-1-1 0,0 2 1,6 46-3705,-1 80 0,-5-86-6933</inkml:trace>
  <inkml:trace contextRef="#ctx0" brushRef="#br0" timeOffset="4144.19">4516 275 22783,'-3'4'0,"-4"5"3,1 0 0,0 0-1,0 1 1,1-1 0,1 1-1,-1-1 1,-4 20 0,6-18 31,-1-1 1,0 0 0,-1 0 0,0 0-1,-10 14 1,-8 18 13,-6 26-15,4 1 1,-23 104 0,3-13 78,19-76-54,-62 187 161,81-254-219,3-12 0,2-7 0,0-9 0,2 11 0,-1-26-40,2 2 0,0-1 0,7-36 0,23-77-237,-10 52 181,33-224-137,-15 76 103,-26 143 166,-10 58 2,2 0 0,15-53 0,-13 72 89,-5 27-20,0 0-85,4 13 77,16 44 0,-13-43-27,10 44-1,151 634 699,-57-275-473,-107-405-266,0-4 13,-1 0 0,-1 0 1,-1 1-1,-1 0 0,0 0 1,-3 26-1,-1-50-180,0 0 0,0 0 1,1 0-1,-1 0 0,0 0 0,1 0 1,-1-1-1,1 1 0,0-1 0,-2-3 1,-44-126-5817,27 79-5781</inkml:trace>
  <inkml:trace contextRef="#ctx0" brushRef="#br0" timeOffset="4429.21">4145 1034 19199,'17'8'8,"-13"-5"39,1-1 0,-1 1 0,1-1 0,0-1 0,-1 1 0,1-1 0,10 2 0,-14-3-2,0-1-1,-1 1 1,1-1-1,0 0 1,0 1 0,0-1-1,-1 0 1,1 1-1,0-1 1,-1 0-1,1 0 1,-1 0-1,1 1 1,-1-1-1,1 0 1,-1 0-1,0 0 1,1 0-1,-1-1 1,1 0-4,-1 1 1,1-1-1,0 0 0,0 1 1,0-1-1,0 0 0,0 1 1,0 0-1,0-1 0,1 1 1,1-2-1,3 0 29,-1 1 0,1 1 0,0-1-1,-1 1 1,1 0 0,0 0 0,0 1 0,9 0-1,52 6 261,-43-3-243,73 12 263,-3 0-1755,-31-11-3342</inkml:trace>
  <inkml:trace contextRef="#ctx0" brushRef="#br0" timeOffset="5464.82">4795 1 22015,'0'0'384,"5"2"-277,24 12 2,2-1 0,56 13 0,-6-1-9,-6 3-7,-39-13-10,1-1 1,0-4 0,1 0 0,61 9 0,-62-18-67,-1-1 1,1-2 0,-1-2 0,0-1 0,58-16-1,-91 21-10,0-1 1,0 0-1,0 1 0,0 0 0,0 0 0,1 0 0,-1 0 0,5 1 0,-7-1-5,0 0-1,-1 0 1,1 1-1,-1-1 1,1 0-1,0 1 0,-1-1 1,1 0-1,-1 1 1,1-1-1,-1 0 1,1 1-1,-1-1 1,1 1-1,-1-1 1,0 1-1,1-1 0,-1 1 1,0 0-1,1-1 1,-1 1-1,0-1 1,0 1-1,1 0 1,-1-1-1,0 1 1,0 0-1,0-1 0,0 1 1,0 0-1,0-1 1,0 1-1,0-1 1,0 1-1,0 0 1,0-1-1,0 1 1,-1 0-1,1-1 0,0 1 1,0 0-1,-1-1 1,0 1-1,-50 115 234,36-68-162,1 0-1,3 2 1,-8 80 0,5 158 56,13-220-144,-4 588 15,5-624 0,4 158 0,-9 200 0,5-378 5,0-8 5,0 0-1,-1 0 0,1 0 0,-1 0 0,0 0 0,0-1 0,-1 6 0,1-8-2,0 0-1,1-1 0,-1 1 0,0 0 0,1 0 0,-1 0 0,0-1 0,0 1 0,0 0 0,0-1 0,0 1 0,0 0 0,0-1 0,0 1 0,0-1 0,0 0 0,0 1 0,0-1 0,0 0 0,0 0 0,0 0 0,0 0 0,0 1 0,0-1 0,0-1 0,0 1 0,0 0 0,-1 0 0,1 0 0,0-1 1,0 1-1,-1-1 0,-35-6 175,-42-3 0,9 2-74,35 3-58,-1 2 0,-64 1-1,86 3-278,0 0-1,0 1 1,0 1-1,0 0 1,0 1-1,0 0 1,1 1-1,0 1 1,0 0-1,-13 8 1,18-7-385,-1 0 1,2 1-1,-1 0 1,1 0 0,1 1-1,-1 0 1,2 0 0,-1 1-1,-4 10 1,-9 18-10543</inkml:trace>
  <inkml:trace contextRef="#ctx0" brushRef="#br0" timeOffset="6477.58">6375 1429 21887,'84'15'174,"-51"-8"6,42 3 0,-55-7-90,-1 1 0,1 0 0,-1 1 1,0 0-1,34 17 0,-36-14-45,0 0-1,1-2 1,-1 0-1,2-1 1,-1-1-1,35 3 1,-33-6-286,44-1 62,-58 0-686,-1-1-1,1 0 1,-1-1 0,0 1 0,8-4 0</inkml:trace>
  <inkml:trace contextRef="#ctx0" brushRef="#br0" timeOffset="6741.87">6395 1201 23423,'0'0'0,"30"13"0,-8-5 128,7-4-128,4 1 0,2 0 0,6-2 0,2-6-1280,3 3 128,4-2 128,-16-13 128,1-1-12799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30.6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0 858 20607,'43'-25'0,"-38"24"11,-7 3 18,-10 9 56,4-4-19,8-7-64,0 0 0,0 0 0,0 0 0,0 0 0,0 1 0,0-1 0,0 0 0,0 0 0,0 0 0,0 0 0,0 0 0,0 0 0,0 0 0,0 0 0,0 0 0,0 0 0,0 0 0,0 0 0,0 0 0,0 0 0,0 0 0,23-13 43,-1-1 1,-1-2-1,-1 0 0,23-23 1,65-80 130,-49 50-174,-20 30 90,2 2 0,76-54 0,5-3 272,52-64-102,-67 59-268,-99 91 6,0 1 0,0-1 0,1 2 0,14-10 0,-22 15 0,-1 1 0,0 0 0,1-1 0,-1 1 0,1 0 0,-1 0 0,0 0 0,1-1-1,-1 1 1,1 0 0,-1 0 0,1 0 0,-1 0 0,0 0 0,1 0 0,-1 0 0,1 0 0,-1 0 0,1 0-1,-1 0 1,1 0 0,-1 0 0,0 0 0,1 0 0,-1 0 0,1 1 0,-1-1 0,1 0 0,-1 0 0,0 0-1,1 1 1,-1-1 0,0 0 0,1 1 0,-1-1 0,0 0 0,1 1 0,-1-1 0,0 0 0,0 1-1,1-1 1,-1 1 0,0-1 0,0 0 0,0 1 0,0-1 0,1 1 0,-1-1 0,0 1 0,0-1 0,0 0-1,0 1 1,0-1 0,0 2 0,-1 29 16,0-26-5,-10 80 138,-4-1 1,-30 96 0,-68 153 41,66-195-102,-26 62 35,-57 67-159,99-206-165,23-48-446,-12 30-4298,16-29-1071</inkml:trace>
  <inkml:trace contextRef="#ctx0" brushRef="#br0" timeOffset="750.91">1607 389 22015,'0'30'0,"1"-12"0,-1 0 0,0-1 0,-2 1 0,0 0 0,-6 22 0,-11 16-3,-25 93 28,40-133 246,13-33-52,-3 7-220,0 0-1,1 1 0,0 0 1,0 0-1,1 1 0,0 0 1,1 0-1,0 1 1,0 0-1,0 0 0,1 1 1,15-7-1,-7 5-62,1 2-1,19-5 1,-32 10 60,0-1 1,0 2-1,0-1 1,0 1-1,0 0 1,0 0 0,0 0-1,0 1 1,0 0-1,0 0 1,6 3-1,5 2 4,0 1 0,-1 1 0,1 1 0,-2 0 0,1 1 0,-1 1 0,-1 0 0,16 15 0,-25-20 0,0 0 0,0 0 0,-1 1 0,0-1 0,0 1 0,0 0 0,-1 0 0,0 0 0,-1 0 0,3 11 0,-2-6 0,-2 1 0,1-1 0,-1 1 0,-1 0 0,-2 21 0,-4-2 0,0 0 0,-2-1 0,-1 0 0,-15 33 0,14-39 8,-50 109 177,53-121-166,-1 1 0,-1-2-1,0 1 1,-1-1-1,-1 0 1,1-1-1,-17 13 1,4-7-231,0 0 1,-36 18-1,48-30-147,1 0 1,-1 0-1,0-2 1,0 1-1,-1-1 1,1-1-1,-1 0 1,-19 1-1,28-3-612,0 0-1,0-1 0,0 1 0,0-1 0,0 1 0,0-1 0,0 0 0,0 0 0,1 0 0,-1-1 1,-4-2-1,4 2 366,-1-1 1,1 0 0,0 0 0,0 0 0,0 0 0,0 0 0,-2-5-1,-2-4 417,1 0 0,1 0 0,0 0 0,-4-15-1,-8-28-983</inkml:trace>
  <inkml:trace contextRef="#ctx0" brushRef="#br0" timeOffset="1064.97">1677 289 23039,'0'0'0,"39"-3"-128,-9 1 128,8-4 0,-2-6 128,0-7-128,6 0 0,7-1-256,-2 2 128,4-2-1152,-2 6 0,-2-2-8447,0 7-513,-2 3 10240,4 6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0:42.21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4052 1627 13184,'9'-1'3,"19"-5"126,-27 6-50,0 0 1,1-1-1,-1 1 0,0-1 0,0 1 0,0 0 0,0-1 0,0 0 1,0 1-1,0-1 0,0 0 0,0 1 0,0-1 0,0 0 0,0 0 1,-1 0-1,2-2 0,-12 9 2481,8-5-2506,1 1 1,-1 0 0,0 0-1,1 1 1,0-1 0,-1 0-1,1 0 1,0 1-1,0-1 1,1 1 0,-1-1-1,0 0 1,1 1-1,-1 0 1,1-1 0,0 1-1,0-1 1,0 1 0,0-1-1,1 4 1,-1 8 120,-1-3 47,0 0-1,-1 1 0,0-1 1,-1 0-1,-5 15 0,3-14-105,1 1 0,1 0 0,-3 18 0,0 28-55,2-30-34,1 0 1,2 0-1,3 47 1,4-17-597,-2 1 0,-8 113 0,2-152-1205,1 1-1,1-1 1,2 0 0,3 22-1,8 10 856,0-13-148,0-2-4266</inkml:trace>
  <inkml:trace contextRef="#ctx0" brushRef="#br0" timeOffset="381.18">3598 2224 21375,'0'0'0,"25"13"0,-4-4 0,5 1 0,9-3 128,7-2-128,0-5 0,7-5 0,12 1 0,14-1-128,0-8 128,7-2-2432,8 5 128,4 0-4991,27 10 127,15 7 7040,121 1 896</inkml:trace>
  <inkml:trace contextRef="#ctx0" brushRef="#br0" timeOffset="-5631.95">0 1752 17023,'2'0'20,"0"0"0,0-1-1,0 1 1,-1 0 0,1 1-1,0-1 1,0 0 0,-1 0-1,1 1 1,0-1 0,0 1-1,-1-1 1,1 1 0,0 0-1,-1 0 1,1 0-1,-1 0 1,1 0 0,-1 0-1,0 0 1,1 0 0,-1 1-1,0-1 1,0 0 0,0 1-1,0-1 1,0 1 0,0 0-1,0-1 1,0 1 0,-1-1-1,1 1 1,-1 0 0,1 0-1,-1-1 1,0 1-1,1 2 1,128 565 2199,-117-502-2096,3 88 0,-10-87 53,17 83-1,-8-93-64,-6-30 224,-2 2 0,-1-1 0,3 51 0,-22-736-2,11 539-304,41-1069 227,-21 1006-219,19-161 145,-25 268-134,4 1 0,38-112 0,-49 172-44,1 1 1,1 0-1,0 0 1,0 1-1,11-14 1,-13 19-6,0 0 1,1 1-1,-1-1 1,1 1-1,0 0 1,0 0 0,0 0-1,1 1 1,-1 0-1,1 0 1,9-4-1,-10 7 1,1-1 0,0 1 0,0 0 0,-1 0 0,1 1 0,0 0 0,-1 0 0,1 0 0,10 4 0,8 2 0,29 2-3,-32-6 8,0 2 0,0-1 0,0 2 0,21 9 0,-8-2 177,0-2 0,1-1 1,36 5-1,15 5 70,-19-4-202,2-3-1,116 7 1,191-14 31,-116-4-34,597-31 310,-586 13-436,-123 14 4,157 19 0,198 13 182,-189 2-86,-196-20 15,75 10 78,98 17 220,-216-34-181,138-8 0,-194 1-80,0-1 0,-1-1 0,1-1 0,18-7 0,70-33-67,-73 29 34,0 1-1,65-17 1,-51 22-26,-25 6-49,0-1-1,-1-1 1,34-13-1,98-41-92,-133 54 147,-1 0-1,0 2 0,2 0 1,31 0-1,-28 2 18,128-2 114,143-26 212,-265 29-362,0 0 0,0 2 0,0 2 0,31 5 0,-50-6 0,133 12 0,-57-7 0,-47-5 0,1-1 0,-1-2 0,1-2 0,-1-2 0,41-10 0,18-14 0,-68 18 0,53-11 0,-77 21 0,23-5 0,1 2 0,36-1 0,-43 4 32,26 1 106,-47 0-131,0 1 1,-1-1 0,1 1 0,-1 0 0,1 0 0,0 0 0,-1 0 0,0 1-1,1-1 1,4 4 0,0 2-111,-5-5 65,-1 1 0,1-1 0,0 0 1,0 0-1,-1-1 0,1 1 0,5 2 1,-8-4-35,1 0 0,-1 0 0,1 0 0,-1 0 0,0 0 0,1 0 0,-1 0 0,1 0 1,-1 0-1,1 0 0,-1 0 0,0 0 0,1 0 0,-1-1 0,1 1 0,-1 0 0,0 0 0,1 0 1,-1-1-1,1 1 0,-1 0 0,0 0 0,1-1 0,-1 1 0,1-1 0,-1 0-280,1 0-1,0-1 0,-1 1 1,1-1-1,-1 1 0,1-1 1,-1 1-1,0-1 1,1 1-1,-1-1 0,0-2 1</inkml:trace>
  <inkml:trace contextRef="#ctx0" brushRef="#br0" timeOffset="-4380.88">2961 551 19839,'5'-5'128,"0"-1"-94,0 0-1,1 1 0,0-1 0,1 2 0,-1-1 0,1 0 1,0 1-1,0 1 0,0-1 0,1 1 0,-1 0 1,13-3-1,-13 5-13,-1-1-1,1 1 1,0 1 0,0-1 0,-1 1 0,1 0-1,0 1 1,0 0 0,-1 0 0,1 0 0,0 1-1,-1 0 1,1 0 0,-1 0 0,0 1 0,10 6-1,-5-1-4,0 0-1,-1 1 0,0 1 1,-1-1-1,0 2 0,0-1 0,-1 1 1,0 0-1,-1 1 0,-1 0 1,0 0-1,0 0 0,-1 1 1,-1 0-1,4 17 0,-3-9-9,-2-1 0,0 2 0,-1-1 0,-1 0-1,-1 0 1,-1 0 0,-1 1 0,-1-1 0,-6 21 0,-24 59 221,19-65-90,13-35-145,1 0-1,-1 0 0,1 0 1,-1 0-1,1 0 0,0 0 1,-1 0-1,1 0 0,0 0 1,0 0-1,-1 0 1,1 0-1,0 0 0,0 0 1,0 0-1,0 0 0,1 0 1,-1 0-1,0 0 0,0 0 1,1 0-1,-1 0 0,1 1 1,1-1-14,0-1 0,0 1 0,0-1 0,0 0 1,1 1-1,-1-1 0,0-1 0,0 1 0,0 0 1,0 0-1,3-1 0,-2 0 38,242-28 241,-225 28-196,0 0 0,0 2 0,0 0 0,22 5 0,78 22-3041,-99-23 1374,-21-5 1597,21 6-7769,33 12 0,-27-2 6622,-7 7 1157</inkml:trace>
  <inkml:trace contextRef="#ctx0" brushRef="#br0" timeOffset="15186.47">6118 1402 18559,'14'-8'53,"-11"7"-29,0-1 1,0 1 0,0-1-1,-1 0 1,1 0 0,-1 0-1,1 0 1,-1 0-1,4-6 1,-11 6 1112,4 1-1108,0 1-1,1 0 1,-1 0 0,1 0 0,-1 0 0,0 0-1,1 0 1,-1-1 0,0 1 0,1 0-1,-1-1 1,1 1 0,-1 0 0,1-1-1,-1 1 1,1 0 0,-1-1 0,1 1-1,-1-1 1,1 1 0,-1-1 0,1 1-1,0-1 1,-1 0 0,1 0-22,0 0 1,0 0-1,0 0 0,0 0 0,1 0 0,-1 0 1,0 0-1,0 0 0,1 0 0,-1 0 1,1 0-1,-1 0 0,1 0 0,-1 0 1,1 0-1,-1 1 0,1-1 0,0 0 1,-1 0-1,1 1 0,0-1 0,0 0 1,0 1-1,-1-1 0,1 1 0,0-1 0,0 1 1,0 0-1,0-1 0,2 0 0,2 0 28,1 1 0,-1-1-1,1 1 1,9 0 0,-2 0-6,19-1 162,0 2 0,0 1 1,57 11-1,-73-10-170,-1 1 1,0 1 0,-1 0-1,1 1 1,-1 1-1,0 0 1,0 1 0,-1 0-1,0 1 1,11 11-1,-19-16-11,-1 0-1,0 0 1,0 1-1,-1-1 0,1 1 1,-1 0-1,0 0 1,-1 0-1,1 0 1,-1 1-1,0-1 1,3 10-1,-5-11 1,1 1-1,-1 1 1,0-1 0,0 0-1,0 0 1,-1 0 0,0-1-1,0 1 1,0 0 0,0 0-1,-1-1 1,0 1 0,0-1-1,0 0 1,-4 8 0,-15 15 61,0-1 1,-1-1 0,-2 0 0,-48 38-1,-12 13-45,33-23-165,-75 98 0,124-150 112,1 1-1,0-1 0,0 1 1,0 0-1,0-1 0,1 1 1,-1 0-1,0-1 0,1 1 1,-1 0-1,1 0 0,-1 0 1,1-1-1,0 1 1,0 0-1,0 0 0,0 0 1,0 0-1,0-1 0,0 1 1,1 0-1,-1 0 0,1 0 1,0 2-1,1-1 34,0 0 0,1 0 0,-1 0 0,1 0 0,-1 0 0,1 0 0,0-1 0,0 0 1,0 1-1,0-1 0,5 2 0,29 9 634,-36-13-629,0 0 0,-1 1 0,1-1 1,-1 0-1,1 0 0,-1 1 0,1-1 0,-1 0 1,1 1-1,-1-1 0,1 0 0,-1 1 1,0-1-1,1 1 0,-1-1 0,0 1 1,1-1-1,-1 1 0,0-1 0,1 1 0,-1-1 1,0 1-1,0-1 0,1 2 0,9 15 199,-5-14-210,3-1-1,-1 1 0,1-1 0,0-1 0,8 2 0,13 3 28,-22-5 3,-1 0 0,1-1 0,-1 1 1,1-1-1,-1-1 0,1 1 1,12-4-1,6 1 112,162-19 40,-46 3-130,-71 6-52,-58 9 0,0 1 0,0 1 0,0 0 0,0 1 0,0 0 0,0 1 0,22 2 0,-17 0-2240,-1-1-4479,-47 8-6081</inkml:trace>
  <inkml:trace contextRef="#ctx0" brushRef="#br0" timeOffset="16102.43">7299 1274 21631,'-38'39'0,"41"-44"0,-1 1 0,0 1 0,0-1 0,0 0 0,1 1 0,-1 0 0,1-1 0,0 1 0,0 0 0,0 1 0,1-1 0,-1 0 0,1 1 0,6-4 0,-3 4 21,-1 0 0,1-1 0,-1 0 0,8-4-1,-12 5-8,1 1 0,-1-1 0,0 1 1,1-1-1,-1 1 0,1 0 0,-1 0 0,1 0 0,0 1 0,-1-1 0,1 0 0,0 1 0,0 0 0,-1 0 0,1 0 0,0 0 0,0 0 0,-1 0 0,1 1 0,0-1 0,0 1 1,-1 0-1,1 0 0,3 2 0,0 0 14,1 0 0,-1 1 0,-1 0 0,1 0 0,0 1 0,-1-1 0,0 1 0,0 0 0,-1 1 0,1-1 0,-1 1 0,0 0 0,0 0 0,-1 0 0,0 1 0,0-1 0,-1 1 0,3 7 0,-4-6 0,1 0-1,-1 0 0,-1 1 1,1-1-1,-1 0 0,-1 0 1,0 1-1,0-1 0,0 0 1,-1 0-1,0 0 0,-1 0 1,0 0-1,-8 14 0,2-3 55,-2 0 0,0-1 0,-1 0 0,-1-2 0,-1 1 0,0-2 0,-19 17 0,2-6 9,19-14-40,-1-2 0,0 1 0,-1-1 1,0-1-1,-24 11 0,10-8-49,48-12-13,20-1-149,0 2 0,0 2 0,69 13 0,-105-15 158,1 0 0,-1 1 0,0-1 1,0 1-1,0 0 0,0 0 0,0 0 0,0 1 0,-1-1 0,1 1 1,-1 0-1,0 0 0,0 0 0,0 1 0,0-1 0,0 1 0,2 4 1,-3-3 0,0-1 1,0 1 0,-1 0-1,0 0 1,0 0 0,0 0-1,0 0 1,-1 0 0,1 0-1,-1 0 1,-1 1 0,1-1-1,-1 0 1,0 0 0,-1 5-1,-3 10 3,-1 1 0,-1-2 0,-1 1 0,0-1 0,-2 0 0,0 0 0,-1-1 0,-1-1 0,0 0 0,-2-1 0,0 0 0,-31 27 0,6-13-376,-55 33 0,75-53 171,1 0 0,-1-1-1,0-2 1,-1 0 0,-37 8-1,56-15 41,1 1 1,-1-1-1,1 0 0,-1 0 0,1 0 0,-1 0 0,1 0 0,-1 0 0,1 0 0,-1 0 0,1-1 0,-1 1 0,1 0 0,-1 0 1,1 0-1,-1 0 0,1-1 0,-1 1 0,1 0 0,-1-1 0,1 1 0,0 0 0,-2-2-330</inkml:trace>
  <inkml:trace contextRef="#ctx0" brushRef="#br0" timeOffset="16434.4">7909 2213 24575,'-37'-9'0,"-23"-7"0,55 13 0,27 6-128,-6-3 128,4 3-640,-10-10 0,-2-6-1920,-4-4 128,-2-3 1536,6-18-10751</inkml:trace>
  <inkml:trace contextRef="#ctx0" brushRef="#br0" timeOffset="17263.25">8487 1141 22143,'-72'31'22,"102"-34"172,-29 3-189,0 0 0,0-1 0,0 1 0,-1 0 0,1-1 0,0 1 0,0 0 0,0-1 0,0 1 0,-1-1 0,1 1 0,0-1 0,0 0 0,-1 1 0,2-2 0,-2 1-1,0 1-1,0-1 1,0 1-1,0-1 1,0 1 0,0-1-1,0 0 1,0 1-1,0-1 1,0 1-1,-1-1 1,1 1-1,0-1 1,0 1-1,-1-1 1,1 1-1,0-1 1,-1 1-1,1-1 1,0 1-1,-1-1 1,1 1-1,-1 0 1,1-1 0,-1 1-1,1 0 1,-1-1-1,1 1 1,-1 0-1,0-1 1,-2-1 3,-1 0 1,0 1 0,0-1 0,0 1 0,1 0 0,-1 0 0,0 0-1,-1 0 1,1 1 0,0-1 0,0 1 0,0 0 0,0 0-1,0 1 1,0-1 0,-5 2 0,0 0 6,0 0 1,0 1-1,1 0 1,-1 1-1,1 0 1,-9 4-1,5 0-14,1-1 0,0 1 0,0 1 0,1 0 0,0 1 0,0 0 0,-10 14 0,16-18 0,0 0 0,0 1 0,1-1 0,0 1 0,1 0 0,-1 0 0,1 0 0,0 0 0,1 0 0,0 0 0,0 1 0,0-1 0,1 0 0,0 1 0,2 10 0,0-5-15,0-1-1,2 0 1,-1-1-1,1 1 1,1 0-1,0-1 0,0 0 1,10 13-1,-4-8-45,0-1-1,1 0 1,1-1-1,26 21 0,-2-7-50,1-2 0,1-2 0,65 30 0,-87-46 112,-3-2 0,0 1 0,23 15 0,-33-19 0,-1 0 0,1 0 0,-1 0 0,1 1 0,-1-1 0,0 1 0,-1 0 0,1 0 0,0 0 0,-1 0 0,0 0 0,0 0 0,2 8 0,-2-3 18,0 0-1,-1 0 0,0 1 0,-1-1 1,1 1-1,-2-1 0,0 0 0,0 1 1,0-1-1,-1 0 0,0 0 0,-1 0 1,0 0-1,-1 0 0,0 0 0,-5 8 1,3-7 9,-1 1 0,-1-1 0,0 0 0,0 0 0,-1-1 0,0 0 0,0-1 1,-1 0-1,0 0 0,-1-1 0,-15 8 0,22-13-22,1 0 1,-1-1-1,0 0 0,0 0 1,0 0-1,0 0 0,0-1 1,0 1-1,0-1 0,0 0 1,0 0-1,-1-1 0,1 1 1,0-1-1,0 0 0,0 0 1,1 0-1,-1-1 0,0 1 1,0-1-1,1 0 0,-1 0 1,1 0-1,-1-1 0,1 1 1,0-1-1,0 1 0,-3-5 1,-3-3 9,0 0 0,1 0 1,0-1-1,1 0 0,0-1 1,1 0-1,-6-14 0,5 4-15,0 1 0,1-1 0,2 0 0,0 0 0,1 0 0,1-1 0,2 1 0,0-1 0,1 1 0,6-31 0,-3 27 0,2 1 0,1 0 0,1 1 0,1 0 0,1 0 0,1 1 0,1-1 0,27-36 0,-13 29 0,2 2 0,0 1 0,53-38 0,-78 63 0,31-22-384,-52 30-2986,-18 10-513</inkml:trace>
  <inkml:trace contextRef="#ctx0" brushRef="#br0" timeOffset="18264.4">8864 975 20095,'-4'29'-2,"4"-29"2,0 0 0,0 0 0,0 0 0,0 0-1,0-1 1,0 1 0,0 0 0,0 0 0,0 0 0,0 0 0,0 0 0,0 0 0,-1 0 0,1 0 0,0 0 0,0 0 0,0 0 0,0 0 0,0 0 0,0 0 0,0 0 0,0 0 0,0 0 0,0 0 0,0 0-1,-1 0 1,1 0 0,0 0 0,0 0 0,0 0 0,0 0 0,0 0 0,0 0 0,0 0 0,0 0 0,0 0 0,0 0 0,0 0 0,-1 0 0,1 0 0,0 0 0,0 0 0,0 0 0,0 0 0,0 0-1,0 0 1,0 1 0,0-1 0,0 0 0,0 0 0,0 0 0,0 0 0,0 0 0,0 0 0,-3-15 27,-2-62 954,5 76-974,0 0 0,0-1 0,0 1-1,1 0 1,-1-1 0,0 1 0,1 0 0,-1 0 0,1-1-1,0 1 1,-1 0 0,1 0 0,0 0 0,0 0 0,0 0-1,-1 0 1,1 0 0,0 0 0,1 0 0,-1 0 0,0 0-1,0 1 1,0-1 0,0 0 0,1 1 0,-1-1 0,0 1-1,0-1 1,1 1 0,-1 0 0,3-1 0,5 0 47,1 0-1,0 0 1,15 1 0,-6 0 45,-2 0-36,-1 1-1,0 0 0,1 1 0,28 8 1,66 26 30,-60-18-7,-42-15-70,0 0-1,-1 1 1,0-1-1,1 2 1,-1 0-1,-1 0 1,1 0-1,-1 1 1,0 0-1,9 10 1,-15-15-8,0 0 0,0 1 0,0-1 1,-1 1-1,1-1 0,-1 1 0,1 0 0,-1-1 1,1 1-1,-1-1 0,0 1 0,0 0 1,0-1-1,0 1 0,0 0 0,0-1 0,-1 1 1,1 0-1,0-1 0,-1 1 0,1-1 1,-1 1-1,-1 1 0,1 1 10,-1 0 1,0 0-1,-1-1 0,1 1 1,0-1-1,-1 1 1,0-1-1,-5 5 0,-15 9-18,-36 21 0,35-24 0,0 1 0,-23 20 0,38-26 0,3-6 0,2 1 0,-1 0 0,0 0 0,1 0 0,0 1 0,0 0 0,0 0 0,1 0 0,0 0 0,-4 8 0,7-12 0,0-1 1,0 1-1,-1 0 0,2 0 0,-1-1 0,0 1 0,0 0 0,0 0 1,0-1-1,0 1 0,1 0 0,-1 0 0,0-1 0,1 1 1,-1 0-1,0-1 0,1 1 0,-1 0 0,1-1 0,-1 1 0,1-1 1,-1 1-1,1-1 0,0 1 0,-1-1 0,1 1 0,-1-1 0,1 0 1,0 1-1,0-1 0,-1 0 0,1 1 0,0-1 0,0 0 0,0 0 1,32 5-22,-31-5 15,32 0-110,48-6 1,25 0-337,3 15-1334,-78-5-524,53 5-9785</inkml:trace>
  <inkml:trace contextRef="#ctx0" brushRef="#br0" timeOffset="19462.14">5646 1805 19839,'26'-4'111,"0"-1"0,0-1-1,48-19 1,-29 9-42,-5 6 963,-34 9-1935,0 1-1,0-1 1,0 1 0,10 1 0,-13-1 233,0 0 1,0 1-1,0-1 0,0 1 1,-1 0-1,1 0 1,0 0-1,0 1 1,0-1-1,-1 1 1,1-1-1,-1 1 1,1 0-1,-1 0 0,0 0 1,0 0-1,0 0 1,0 1-1,0-1 1,0 1-1,-1-1 1,1 1-1,-1 0 1,2 3-1,3 18 670</inkml:trace>
  <inkml:trace contextRef="#ctx0" brushRef="#br0" timeOffset="20364.03">5427 1130 17791,'-1'31'0,"1"-30"9,0 0 0,0-1-1,0 1 1,0-1-1,0 1 1,0 0 0,-1-1-1,1 1 1,0-1 0,0 1-1,-1 0 1,1-1-1,0 1 1,-1-1 0,1 1-1,-1-1 1,1 1-1,-1-1 1,1 0 0,-1 1-1,1-1 1,-1 0-1,1 1 1,-1-1 0,1 0-1,-1 1 1,1-1-1,-1 0 1,0 0 0,1 0-1,-1 0 1,0 1-1,1-1 1,-2 0 0,-23-5 525,13 3-324,8 2-177,0 0 0,1 1 0,-1 0 0,0 0 1,1 0-1,-1 0 0,0 0 0,1 1 0,-1 0 0,1-1 0,0 1 1,0 0-1,0 1 0,0-1 0,0 1 0,0-1 0,0 1 0,1 0 1,-1 0-1,1 0 0,-4 6 0,-1 4 90,1 0 0,0 1 0,0-1 0,-4 21 0,5-17-95,2 1 1,0 0 0,1 0 0,0 0-1,2 25 1,14 92 345,-3-51-259,-4-30-49,26 100 0,31 46-130,-50-157-25,-5-17-20,119 313-4316,-104-290 1563,38 60 1,-39-76-227,1-1 1,43 45-1,34 20 2256,52 59 2539</inkml:trace>
  <inkml:trace contextRef="#ctx0" brushRef="#br0" timeOffset="21694.56">8517 761 14336,'40'32'-256,"-39"-31"231,0 0 0,-1 0 1,1-1-1,0 1 0,0 0 1,0-1-1,0 1 0,0-1 1,0 1-1,0-1 0,0 0 1,0 1-1,0-1 0,0 0 1,0 0-1,0 1 0,1-1 1,-1 0-1,0 0 0,0 0 1,0 0-1,0-1 0,0 1 1,0 0-1,0 0 0,0-1 1,1 0-1,-1 1 7,-1-1 1,0 1 0,0-1-1,1 1 1,-1-1-1,0 1 1,0-1 0,0 0-1,0 1 1,0-1-1,0 1 1,0-1 0,0 0-1,0 1 1,0-1-1,0 1 1,0-1 0,0 1-1,-1-1 1,1 0-1,0 1 1,0-1 0,-1 1-1,1-1 1,0 1 0,-1-1-1,1 1 1,0-1-1,-1 1 1,1 0 0,-1-1-1,1 1 1,0-1-1,-1 1 1,1 0 0,-1 0-1,0-1 1,1 1-1,-1-1 1,0 1 1,-5-4 46,0 0 0,1 1 0,-1 0-1,-8-3 1,13 5 16,1 1 0,-1 0-1,1-1 1,-1 1 0,0 0 0,0 0 0,1-1-1,-1 1 1,0 0 0,1 0 0,-1 0-1,0 0 1,1 0 0,-1 0 0,0 0 0,0 0-1,1 1 1,-1-1 0,0 0 0,1 0 0,-1 0-1,0 1 1,1-1 0,-1 0 0,0 1 0,1-1-1,-1 1 1,1-1 0,-1 1 0,1-1-1,-1 1 1,1-1 0,-1 1 0,1-1 0,0 1-1,-1-1 1,1 1 0,0 0 0,-1-1 0,1 1-1,0 0 1,0-1 0,-1 1 0,1 0 0,0 0-1,0-1 1,0 1 0,0 0 0,0-1-1,0 1 1,0 0 0,1 1 0,-1 2 209,-1-4-214,1 1-1,0-1 0,0 1 1,0-1-1,0 1 1,0-1-1,-1 1 1,1-1-1,0 1 0,0-1 1,0 1-1,0-1 1,1 1-1,-1-1 1,0 1-1,0-1 1,0 1-1,0-1 0,0 1 1,1-1-1,-1 1 1,0-1-1,0 0 1,1 1-1,-1-1 1,0 1-1,1-1 0,-1 0 1,0 1-1,1-1 1,-1 0-1,1 1 1,-1-1-1,1 0 0,-1 0 1,0 0-1,2 1 385,0 6-233,-1 1 0,1-1 0,1 0 0,-1 0 0,1 0 0,6 11 0,0 1 0,28 52 576,-16-40-475,-16-24-232,-1-1-1,1 0 1,-1 1 0,4 9 0,-2 4 75,0 0-1,-1 0 1,3 35-1,-4-28-11,10 36-1,123 432 133,-86-320-388,-23-82-848,-3 0 0,13 107 0,-28-86-2177,-2 2-6997</inkml:trace>
  <inkml:trace contextRef="#ctx0" brushRef="#br0" timeOffset="23363.62">7749 1 21503,'0'0'384,"5"0"-277,158 16 416,-92-7-363,181 41 214,-26-4-151,-26-16-155,146 18 145,-258-41-151,175-7 0,-21-16-62,-203 10 20,-1-2-1,0-1 0,65-26 0,-46 16 11,51-24 153,-30 11-89,-65 31 514,-9 1-172,-8 0-200,4 17 20,18 441-359,-2-167-199,-15-263 69,10 290-1054,-1-68-2548,5 102-9476</inkml:trace>
  <inkml:trace contextRef="#ctx0" brushRef="#br0" timeOffset="24164.25">10943 2326 20607,'92'17'421,"98"4"0,-100-13 54,111 24 0,-86-7-234,97 26-204,-199-46-313,1 1 1,18 12-1,-20-12-600,0 1-1,19 6 1,-16-13-2239</inkml:trace>
  <inkml:trace contextRef="#ctx0" brushRef="#br0" timeOffset="24428.9">11216 2101 22911,'0'0'0,"55"37"0,-37-27 128,0-7 0,5 0 0,4-6 0,21 11 0,12 4-128,21 10 128,19 6-512,15 10 0,16 10-128,-23-21 0,-1 1-15359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14.35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85 147 17791,'0'0'128,"5"0"0,5-3-22,1 0 0,-1-1 0,0 0 0,13-7-1,-11 5-18,1 0-1,0 0 1,18-4-1,-23 9-87,-1-2 40,0 1 1,1 1 0,-1-1 0,1 1-1,0 1 1,-1-1 0,1 1-1,-1 1 1,1-1 0,0 1 0,-1 1-1,1-1 1,13 6 0,-10-1 23,0 0 0,-1 1 1,0 0-1,0 1 0,-1 0 0,0 1 1,0 0-1,-1 0 0,0 1 0,8 12 1,-6-7 13,-1 0 0,-1 1 1,-1-1-1,0 2 0,-1-1 1,7 30-1,-11-30-54,0-1 0,-2 0 0,1 1 0,-2-1 0,0 0 0,-1 0 0,-1 1 0,0-1 0,-1-1 0,0 1 0,-1 0 0,-1-1 0,-1 0 0,-11 18 0,-8 10 30,-1-1-1,-3-2 0,-39 41 1,-174 168 331,236-242-359,0 0 0,-1-1 0,-10 6 0,11-8-18,1 1 0,0 0 0,-11 10 0,17-14-6,0 0 1,0 1-1,0-1 1,-1 0-1,1 1 1,0-1-1,1 0 1,-1 1-1,0-1 1,0 0-1,0 1 1,0-1-1,0 0 1,0 0-1,0 1 1,0-1-1,0 0 1,1 1-1,-1-1 1,0 0-1,0 0 1,0 1-1,1-1 1,-1 0 0,0 0-1,0 1 1,1-1-1,-1 0 1,0 0-1,1 0 1,-1 1-1,0-1 1,1 0-1,-1 0 1,0 0-1,0 0 1,1 0-1,-1 0 1,0 0-1,1 0 1,-1 0-1,1 0 1,18 7 39,-17-7-41,175 39 0,-120-29 0,-1 2 0,87 31 0,-85-21-160,108 26 0,-165-47 82,1-1 0,0 1 0,0-1 0,0 0-1,0 0 1,0 1 0,0-1 0,0-1 0,0 1 0,0 0-1,0 0 1,0-1 0,0 1 0,0-1 0,0 0 0,0 0-1,0 1 1,-1-1 0,1 0 0,3-3 0,-3 2-248,0-1 1,0 0-1,0 0 1,0 1 0,0-1-1,-1 0 1,1-1-1,-1 1 1,0 0 0,0 0-1,1-6 1</inkml:trace>
  <inkml:trace contextRef="#ctx0" brushRef="#br0" timeOffset="1046.97">1369 107 21375,'-25'32'0,"25"-32"0,0 1 0,0-1 0,0 0 0,0 0 0,0 0 0,0 0 0,0 1 0,0-1 0,0 0 0,0 0 0,0 0 0,0 0 0,-1 0 0,1 0 0,0 1 0,0-1 0,0 0 0,0 0 0,0 0 0,0 0 0,-1 0 0,1 0 0,0 0 0,0 0 0,0 0 0,0 0 0,-1 1 0,1-1 0,0 0 0,0 0 0,0 0 0,0 0 0,0 0 0,-1 0 0,1 0 0,0 0 0,0 0 0,0 0 0,0-1 0,-1 1 0,1 0 0,0 0 0,0 0 0,0 0 0,0 0 0,-1 0 0,1 0 0,0 0 0,0 0 0,0 0 0,0-1 0,0 1 0,0 0 0,0 0 0,-1 0 0,1 0 0,0 0 0,0 0 0,0-1 0,0 1 0,0 0 0,0 0 0,0 0 0,0 0 0,0-1 0,-2-15 0,1 6 22,0 9-16,0 0 0,-1 0 0,1 0 0,-1 0 0,1 0 0,-1 0 0,1 0 0,-1 0 0,0 0 0,1 1 0,-1-1 0,0 1 0,1-1 1,-1 1-1,0 0 0,0-1 0,0 1 0,1 0 0,-1 0 0,0 1 0,-3-1 0,-1 1 14,-1 0 1,1 0-1,-1 0 0,-10 5 0,6-1-26,0 1 0,0 0 0,0 1 0,1 1-1,0-1 1,0 2 0,1-1 0,-13 16 0,-7 12-29,-23 39 0,38-55 32,0 0 3,1 1 0,1 1 0,-17 42 0,26-56 0,0 1 0,1 0 0,0 0 0,0 0 0,1 0 0,0 0 0,1 0 0,0 1 0,1-1 0,-1 0 0,2 0 0,-1 0 0,5 14 0,-4-18 0,0 0 0,1 0 0,-1 0 0,1 0 0,0-1 0,0 1 0,1-1 0,-1 0 0,1 0 0,0 0 0,0 0 0,0-1 0,1 1 0,8 4 0,4 0 0,0 0 0,1-1 0,19 5 0,-19-6 0,0 0 0,28 14 0,-15-3 0,-16-9 0,0 1 0,0 0 0,15 12 0,-26-17 0,1 0 0,-1 1 0,0-1 0,0 1 0,-1 0 0,1 0 0,-1 0 0,0 0 0,-1 1 0,1-1 0,-1 1 0,0-1 0,1 7 0,-1-7-3,-1-1-1,0 0 0,0 1 1,0-1-1,-1 1 0,0-1 1,0 1-1,0-1 0,0 1 1,0-1-1,-1 0 0,0 1 1,0-1-1,0 0 0,-1 1 1,1-1-1,-1 0 0,0 0 0,0 0 1,-1 0-1,1-1 0,-1 1 1,0 0-1,0-1 0,0 0 1,0 0-1,0 0 0,-5 3 1,1-1-7,-16 14-121,0-1 0,-2-1 0,-34 18 0,52-33 131,0 0 0,0 0 0,0-1 0,-1 0 0,1 0 0,0 0 0,-1-1 0,1-1 0,-10 0 0,-5-1 0,17 2 0,0 0 0,0-1 0,0 1 0,0-1 0,0-1 0,0 1 0,1-1 0,-1 1 0,1-1 0,-1-1 0,-5-3 0,7 4 0,1 0 0,-1 0 0,1 0 0,0-1 0,-1 1 0,1-1 0,1 1 0,-1-1 0,0 0 0,0 0 0,1 0 0,0 0 0,0 0 0,0 0 0,0 0 0,0-1 0,0 1 0,0-6 0,1-5 0,1-1 0,0 0 0,0 1 0,2-1 0,0 1 0,0 0 0,2 0 0,-1 0 0,13-24 0,6-5 0,45-65 0,-39 68 43,2 2-1,2 1 0,37-34 0,118-88 183,-163 138-213,-1 4 56,-18 13-43,0-1-1,0 1 0,-1-1 0,0 0 0,7-8 0,-11 13-20,-1-1 0,0 1 0,1-1 1,-1 1-1,1-1 0,-1 1 0,0-1 0,0 1 0,1-1 0,-1 0 1,0 1-1,0-1 0,0 0 0,1 1 0,-1-1 0,0 0 0,0 1 1,0-1-1,0 0 0,0 1 0,0-1 0,0 0 0,-1 1 1,1-1-1,0 0 0,0 1 0,-1-2 0,0 1-1,0 0-1,0 0 0,0 1 1,0-1-1,0 0 1,0 0-1,0 0 1,0 1-1,0-1 1,0 0-1,-1 1 1,-1-1-1,-6-2-60,1 2-1,-1-1 1,-12 0 0,-76 0-725,53 4-2146,-1 1-9124</inkml:trace>
  <inkml:trace contextRef="#ctx0" brushRef="#br0" timeOffset="1572.07">1758 1047 23295,'0'0'0,"-14"-25"0,10 26 0,1 12 0,1-5 0,-1 2-640,0-5 0,15-35-4352,-4-2 4097,0-1-10497</inkml:trace>
  <inkml:trace contextRef="#ctx0" brushRef="#br0" timeOffset="2328.03">2078 757 21503,'0'50'-21,"0"-50"19,0 0 0,0 0 1,-1 0-1,1 1 0,0-1 0,0 0 0,0 0 0,0 1 1,0-1-1,0 0 0,0 0 0,0 1 0,0-1 0,0 0 1,0 0-1,0 1 0,0-1 0,0 0 0,0 0 0,0 1 1,0-1-1,1 0 0,-1 0 0,0 0 0,0 1 0,0-1 1,0 0-1,0 0 0,1 0 0,-1 1 0,0-1 0,0 0 1,0 0-1,0 0 0,1 0 0,-1 1 0,0-1 0,0 0 1,1 0-1,-1 0 0,0 0 0,0 0 0,0 0 0,1 0 1,-1 0-1,0 0 0,0 0 0,1 0 0,-1 0 1,0 0-1,0 0 0,1 0 0,-1 0 0,0 0 0,0 0 1,1 0-1,-1 0 0,0 0 0,0 0 0,1 0 0,-1-1 1,0 1-1,9-8 10,51-77-8,110-145 0,-102 147 128,4 4 0,3 3 0,110-87 0,-146 129-13,-26 23-53,0 0 0,0 1 0,19-11 0,-32 20-61,0 1-1,1 0 1,-1 0-1,0 0 1,1-1 0,-1 1-1,0 0 1,0 0 0,1 0-1,-1 0 1,0 0 0,1 0-1,-1 0 1,0-1-1,1 1 1,-1 0 0,0 0-1,1 0 1,-1 0 0,0 0-1,1 1 1,-1-1-1,0 0 1,1 0 0,-1 0-1,0 0 1,1 0 0,-1 0-1,0 0 1,1 1-1,-1-1 1,2 11 2,-9 15-5,-46 111 258,-53 220 0,27-42-256,37-176-640,41-139 596,1 1-1,-1 0 1,1-1-1,0 1 0,-1 0 1,1-1-1,0 1 1,0 0-1,0-1 0,0 1 1,-1 0-1,1 0 0,0-1 1,0 1-1,0 0 1,1 0-1,-1-1 0,0 1 1,0 0-1,0 0 1,0-1-1,1 1 0,-1 0 1,0-1-1,1 1 1,-1 0-1,0-1 0,1 1 1,-1-1-1,1 1 1,-1 0-1,1-1 0,-1 1 1,2-1-1,-1 0-29,0 0-1,0 0 1,1 0-1,-1 0 1,0 0-1,0-1 1,0 1-1,1 0 1,-1-1-1,0 1 1,0-1 0,0 0-1,0 1 1,0-1-1,0 0 1,0 1-1,0-1 1,0 0-1,2-2 1,18-28-3019,-1-3-7659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7.3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60 198 20479,'198'-88'768,"-160"68"-562,-18 9-103,0 1 0,2 1 1,32-10-1,1 7 31,1 2-1,71-2 1,109 6 20,292 41 336,94-3-189,-301-22-196,-69 1 68,356 19 123,-454-20-238,991 43 396,-570-87-145,-285 10-213,-154 20-2122,-240 2-3350,70-1-6421</inkml:trace>
  <inkml:trace contextRef="#ctx0" brushRef="#br0" timeOffset="965.53">1 589 22271,'21'-5'0,"0"-2"0,0 0 0,-1-2 0,31-17 0,-34 18 0,46-27 16,-33 18 57,1 1 0,58-21 0,-56 28-46,1 2-1,0 1 1,1 2 0,-1 1 0,1 1-1,68 7 1,205 47 205,-237-37-224,623 113 454,-318-61-434,344 28-40,-555-86 66,0-7 0,228-26 0,-155-20 31,-104 16-64,418-74 129,-114 61 191,-396 38-313,1 2 1,0 2-1,-1 2 1,1 1-1,70 17 1,-61-7 75,-14-5-92,46 18 0,-75-24 58,1 0 1,-1-1 0,19 3 0,16 2 264,-27-4 282,-31-4-4434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6-04T07:22:25.20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0 212 18687,'0'0'896,"4"9"-768,9 29 47,-1 0 0,-2 2 0,6 47 1,9 137 392,-22-198-535,13 225 342,-10-147-260,-6 35 78,-1-58-2,1-69-127,1 0 0,0 0 0,1 0 0,0 0 0,1-1 0,0 1 0,1-1 0,0 0 0,12 21 0,-16-32-60,-1 0-1,1-1 1,0 1-1,0 0 1,0 0-1,0-1 1,0 1-1,0 0 0,0 0 1,0 0-1,0-1 1,0 1-1,0 0 1,0 0-1,1 0 1,-1-1-1,0 1 1,0 0-1,0 0 1,0 0-1,0-1 0,0 1 1,0 0-1,1 0 1,-1 0-1,0 0 1,0-1-1,0 1 1,0 0-1,0 0 1,1 0-1,-1 0 1,0 0-1,0 0 0,0 0 1,1 0-1,-1-1 1,0 1-1,0 0 1,0 0-1,1 0 1,-1 0-1,0 0 1,0 0-1,1 0 1,-1 0-1,0 0 0,0 0 1,0 0-1,1 0 1,-1 1-1,0-1 1,0 0-1,0 0 1,1 0-1,-1 0 1,0 0-1,0 0 1,0 0-1,0 1 0,1-1 1,-1 0-1,0 0 1,0 0-1,0 0 1,0 0-1,0 1 1,1-1-1,2-24 106,-2 18-73,7-30 76,2-1 0,2 1 0,20-45 0,5-15-26,31-136 132,-44 142-91,3 0-1,57-124 0,-75 195-120,133-247-12,-148 276-632,1 1 1,1-1-1,0 1 0,0 0 1,1 0-1,0 0 1,1 0-1,-1 22 0,3-4-2348,0 1-7339</inkml:trace>
  <inkml:trace contextRef="#ctx0" brushRef="#br0" timeOffset="953.68">1223 112 20607,'-4'5'0,"0"-1"0,0 0 0,-1 0 0,1 0 0,-1-1 0,0 0 0,0 0 0,0 0 0,-7 2 0,7-2 12,1-1 0,0 1-1,0 0 1,0 0-1,0 0 1,1 0 0,-1 0-1,1 1 1,0 0-1,0 0 1,0 0 0,-2 5-1,-4 8 101,-12 31-1,19-44-101,-31 82 226,-34 81 296,-138 290 215,145-315-470,66-192-277,5 15-50,2 1 0,1 1 0,23-38 0,-2 1-27,-11 21 18,103-243-117,-92 188 176,27-72 0,-48 144 0,1 0 0,1 1 0,26-36 0,-42 67 0,2-4 0,1 0 0,-1 0 0,1 1 0,0-1 0,0 1 0,1 0 0,-1 0 0,1 0 0,0 0 0,-1 0 0,6-2 0,-8 5 0,-1 0 0,1 0 0,-1 0 0,1 0 0,-1 0 0,1 0 0,-1 0 0,1 0 0,-1 0 0,1 0 0,-1 0 0,1 0 0,-1 0 0,1 0 0,-1 0 0,0 1 0,1-1 0,-1 0 0,1 0 0,-1 1 0,1-1 0,-1 0 0,0 1 0,1-1 0,-1 0 0,0 1 0,1-1 0,-1 1 0,0-1 0,1 0 0,-1 1 0,0-1 0,0 1 0,0-1 0,1 1 0,-1-1 0,0 1 0,0-1 0,0 1 0,0-1 0,0 1 0,2 25 12,-2-22-2,2 79 167,-2-16 44,18 130-1,9-64 27,9 52 18,-33-165-241,41 244 305,-27-179-175,33 90 1,-44-155-98,-5-14-29,1-1 1,0 1-1,0 0 1,0-1-1,1 1 0,0-1 1,0 0-1,0 0 1,6 6-1,-9-10-30,0-1 0,0 0 0,0 0 1,1 0-1,-1 0 0,0 1 0,0-1 0,0 0 0,1 0 1,-1 0-1,0 0 0,0 0 0,1 0 0,-1 0 0,0 0 0,0 0 1,1 0-1,-1 0 0,0 0 0,0 0 0,1 0 0,-1 0 1,0 0-1,0 0 0,1 0 0,-1 0 0,0 0 0,0 0 1,1 0-1,-1-1 0,0 1 0,0 0 0,0 0 0,1 0 1,-1 0-1,0-1 0,0 1 0,0 0 0,1 0 0,-1 0 0,0-1 1,0 1-1,0 0 0,0 0 0,0-1 0,0 1 0,0 0 1,0 0-1,1 0 0,-1-1 0,0 1 0,0 0 0,0-1 1,0 1-1,0 0 0,0 0 0,-1-1 0,4-16-1013,-2 1 1,-1-1-1,0 0 0,-1 1 0,0-1 0,-8-30 0,2 14-10696</inkml:trace>
  <inkml:trace contextRef="#ctx0" brushRef="#br0" timeOffset="1214.78">1037 772 21119,'8'5'31,"34"15"834,-41-21-737,2 0-108,-1-1 0,1 1-1,0 0 1,0 0 0,-1 0-1,1 0 1,0 1-1,0-1 1,0 1 0,0-1-1,0 1 1,4 0 0,39 5-41,-27-1-475,0 0 0,0 2 0,32 15 0,17 11-5264,-43-19-4010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workbookViewId="0">
      <selection activeCell="E9" sqref="E9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874</v>
      </c>
      <c r="E2" s="71" t="s">
        <v>875</v>
      </c>
    </row>
    <row r="4" spans="2:7" x14ac:dyDescent="0.35">
      <c r="B4" s="90" t="s">
        <v>837</v>
      </c>
      <c r="D4" s="90" t="s">
        <v>839</v>
      </c>
      <c r="F4" s="90" t="s">
        <v>840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46177</v>
      </c>
      <c r="E8" s="71" t="str">
        <f>'Gemischte Schaltungen'!C2</f>
        <v>Gemischte Schaltungen</v>
      </c>
    </row>
    <row r="9" spans="2:7" x14ac:dyDescent="0.35">
      <c r="B9" s="70">
        <v>45772</v>
      </c>
      <c r="C9" s="71" t="s">
        <v>327</v>
      </c>
      <c r="D9" s="70">
        <v>46184</v>
      </c>
      <c r="E9" s="89" t="str">
        <f>'LCR-Glieder an Wechselspannung'!$C$2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70">
        <v>46182</v>
      </c>
      <c r="C13" s="71" t="s">
        <v>959</v>
      </c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838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922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  <hyperlink ref="E9" location="'LCR-Glieder an Wechselspannung'!A1" display="'LCR-Glieder an Wechselspannung'!A1" xr:uid="{7A0713B1-85F6-472E-A3A4-EB94A4315124}"/>
    <hyperlink ref="E8" location="'Gemischte Schaltungen'!A1" display="'Gemischte Schaltungen'!A1" xr:uid="{FA29E61D-6165-44E5-BAD2-D2496F778DAB}"/>
    <hyperlink ref="C13" location="Sinus_Cosinus!G124" display="Spitzenwert / Effektivwert / Wellenlänge / Periodendauer" xr:uid="{C4E337CC-8A28-424E-9495-14F53BD4694A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1086FB-756F-401B-AA95-2CB8B57F9C7D}">
  <dimension ref="C1:AC285"/>
  <sheetViews>
    <sheetView showGridLines="0" zoomScale="40" zoomScaleNormal="40" workbookViewId="0"/>
  </sheetViews>
  <sheetFormatPr baseColWidth="10" defaultRowHeight="14.5" x14ac:dyDescent="0.35"/>
  <sheetData>
    <row r="1" spans="3:29" ht="15.5" x14ac:dyDescent="0.35">
      <c r="P1" s="120"/>
      <c r="Q1" s="147"/>
      <c r="R1" s="121"/>
      <c r="S1" s="143"/>
      <c r="U1" s="1"/>
      <c r="V1" s="37"/>
      <c r="AA1" s="55"/>
    </row>
    <row r="2" spans="3:29" ht="26" x14ac:dyDescent="0.6">
      <c r="C2" s="29" t="s">
        <v>318</v>
      </c>
      <c r="P2" s="120"/>
      <c r="Q2" s="147"/>
      <c r="R2" s="121"/>
      <c r="S2" s="143"/>
      <c r="U2" s="1"/>
      <c r="V2" s="37"/>
      <c r="AA2" s="55"/>
    </row>
    <row r="3" spans="3:29" ht="15.5" x14ac:dyDescent="0.35">
      <c r="P3" s="120"/>
      <c r="Q3" s="147"/>
      <c r="R3" s="121"/>
      <c r="S3" s="143"/>
      <c r="U3" s="1"/>
      <c r="V3" s="37"/>
      <c r="AA3" s="55"/>
    </row>
    <row r="4" spans="3:29" ht="15.5" x14ac:dyDescent="0.35">
      <c r="P4" s="120"/>
      <c r="Q4" s="147"/>
      <c r="R4" s="121"/>
      <c r="S4" s="143"/>
      <c r="U4" s="1"/>
      <c r="V4" s="37"/>
      <c r="AA4" s="55"/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ht="15.5" x14ac:dyDescent="0.35">
      <c r="G16" s="119"/>
      <c r="P16" s="120"/>
      <c r="Q16" s="147"/>
      <c r="R16" s="121"/>
      <c r="S16" s="143"/>
      <c r="U16" s="1"/>
      <c r="V16" s="37"/>
      <c r="AA16" s="55"/>
    </row>
    <row r="17" spans="16:27" ht="35.5" customHeight="1" x14ac:dyDescent="0.8">
      <c r="P17" s="120"/>
      <c r="Q17" s="147"/>
      <c r="R17" s="121"/>
      <c r="S17" s="143"/>
      <c r="U17" s="127" t="s">
        <v>385</v>
      </c>
      <c r="V17" s="198" t="s">
        <v>328</v>
      </c>
      <c r="W17" s="149" t="s">
        <v>391</v>
      </c>
      <c r="X17" s="5"/>
      <c r="AA17" s="55"/>
    </row>
    <row r="18" spans="16:27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  <c r="AA18" s="55"/>
    </row>
    <row r="19" spans="16:27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  <c r="U19" s="1"/>
      <c r="V19" s="37"/>
      <c r="AA19" s="55"/>
    </row>
    <row r="20" spans="16:27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  <c r="AA20" s="55"/>
    </row>
    <row r="21" spans="16:27" ht="35.5" customHeight="1" x14ac:dyDescent="0.8">
      <c r="P21" s="120"/>
      <c r="Q21" s="147"/>
      <c r="R21" s="121"/>
      <c r="S21" s="143"/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  <c r="AA21" s="55"/>
    </row>
    <row r="22" spans="16:27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  <c r="U22" s="1"/>
      <c r="V22" s="37"/>
      <c r="AA22" s="55"/>
    </row>
    <row r="23" spans="16:27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  <c r="AA23" s="55"/>
    </row>
    <row r="24" spans="16:27" ht="35.5" customHeight="1" x14ac:dyDescent="0.8">
      <c r="P24" s="120"/>
      <c r="Q24" s="147"/>
      <c r="R24" s="121"/>
      <c r="S24" s="143"/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  <c r="AA24" s="55"/>
    </row>
    <row r="25" spans="16:27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  <c r="U25" s="1"/>
      <c r="V25" s="37"/>
      <c r="AA25" s="55"/>
    </row>
    <row r="26" spans="16:27" ht="35.5" customHeight="1" x14ac:dyDescent="0.8">
      <c r="P26" s="120"/>
      <c r="Q26" s="147"/>
      <c r="R26" s="121"/>
      <c r="S26" s="143"/>
      <c r="U26" s="127" t="s">
        <v>388</v>
      </c>
      <c r="V26" s="198" t="s">
        <v>328</v>
      </c>
      <c r="W26" s="149" t="s">
        <v>394</v>
      </c>
      <c r="X26" s="5"/>
      <c r="AA26" s="55"/>
    </row>
    <row r="27" spans="16:27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  <c r="AA27" s="55"/>
    </row>
    <row r="28" spans="16:27" ht="35.5" customHeight="1" x14ac:dyDescent="0.35">
      <c r="P28" s="120"/>
      <c r="Q28" s="147"/>
      <c r="R28" s="121"/>
      <c r="S28" s="143"/>
      <c r="U28" s="1"/>
      <c r="V28" s="37"/>
      <c r="AA28" s="55"/>
    </row>
    <row r="29" spans="16:27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  <c r="U29" s="1"/>
      <c r="V29" s="37"/>
      <c r="AA29" s="55"/>
    </row>
    <row r="30" spans="16:27" ht="35.5" customHeight="1" x14ac:dyDescent="0.85">
      <c r="P30" s="120"/>
      <c r="Q30" s="147"/>
      <c r="R30" s="121"/>
      <c r="S30" s="143"/>
      <c r="U30" s="160" t="s">
        <v>389</v>
      </c>
      <c r="V30" s="198" t="s">
        <v>328</v>
      </c>
      <c r="W30" s="162" t="s">
        <v>395</v>
      </c>
      <c r="X30" s="193"/>
      <c r="AA30" s="55"/>
    </row>
    <row r="31" spans="16:27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  <c r="AA31" s="55"/>
    </row>
    <row r="32" spans="16:27" ht="35.5" customHeight="1" x14ac:dyDescent="0.35">
      <c r="P32" s="120"/>
      <c r="Q32" s="147"/>
      <c r="R32" s="121"/>
      <c r="S32" s="143"/>
      <c r="U32" s="1"/>
      <c r="V32" s="37"/>
      <c r="AA32" s="55"/>
    </row>
    <row r="33" spans="3:27" ht="35.5" customHeight="1" x14ac:dyDescent="0.85">
      <c r="P33" s="120"/>
      <c r="Q33" s="147"/>
      <c r="R33" s="121"/>
      <c r="S33" s="143"/>
      <c r="U33" s="160" t="s">
        <v>390</v>
      </c>
      <c r="V33" s="198" t="s">
        <v>328</v>
      </c>
      <c r="W33" s="162" t="s">
        <v>396</v>
      </c>
      <c r="X33" s="193"/>
      <c r="AA33" s="55"/>
    </row>
    <row r="34" spans="3:27" ht="35.5" customHeight="1" x14ac:dyDescent="0.85">
      <c r="P34" s="120"/>
      <c r="Q34" s="147"/>
      <c r="R34" s="121"/>
      <c r="S34" s="143"/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  <c r="AA34" s="55"/>
    </row>
    <row r="35" spans="3:27" ht="35.5" customHeight="1" x14ac:dyDescent="0.35">
      <c r="P35" s="120"/>
      <c r="Q35" s="147"/>
      <c r="R35" s="121"/>
      <c r="S35" s="143"/>
      <c r="U35" s="1"/>
      <c r="V35" s="37"/>
      <c r="AA35" s="55"/>
    </row>
    <row r="36" spans="3:27" ht="35.5" customHeight="1" x14ac:dyDescent="0.35">
      <c r="P36" s="120"/>
      <c r="Q36" s="147"/>
      <c r="R36" s="121"/>
      <c r="S36" s="143"/>
      <c r="U36" s="1"/>
      <c r="V36" s="37"/>
      <c r="AA36" s="55"/>
    </row>
    <row r="37" spans="3:27" ht="35.5" customHeight="1" x14ac:dyDescent="0.35">
      <c r="P37" s="120"/>
      <c r="Q37" s="147"/>
      <c r="R37" s="121"/>
      <c r="S37" s="143"/>
      <c r="U37" s="1"/>
      <c r="V37" s="37"/>
      <c r="AA37" s="55"/>
    </row>
    <row r="38" spans="3:27" ht="35.5" customHeight="1" x14ac:dyDescent="0.35">
      <c r="P38" s="120"/>
      <c r="Q38" s="147"/>
      <c r="R38" s="121"/>
      <c r="S38" s="143"/>
      <c r="U38" s="1"/>
      <c r="V38" s="37"/>
      <c r="AA38" s="55"/>
    </row>
    <row r="39" spans="3:27" ht="35.5" customHeight="1" x14ac:dyDescent="0.35">
      <c r="P39" s="120"/>
      <c r="Q39" s="147"/>
      <c r="R39" s="121"/>
      <c r="S39" s="143"/>
      <c r="U39" s="1"/>
      <c r="V39" s="37"/>
      <c r="AA39" s="55"/>
    </row>
    <row r="40" spans="3:27" ht="35.5" customHeight="1" x14ac:dyDescent="0.35">
      <c r="P40" s="120"/>
      <c r="Q40" s="147"/>
      <c r="R40" s="121"/>
      <c r="S40" s="143"/>
      <c r="U40" s="1"/>
      <c r="V40" s="37"/>
      <c r="AA40" s="55"/>
    </row>
    <row r="41" spans="3:27" ht="13" customHeight="1" x14ac:dyDescent="0.35">
      <c r="P41" s="120"/>
      <c r="Q41" s="147"/>
      <c r="R41" s="121"/>
      <c r="S41" s="143"/>
      <c r="U41" s="1"/>
      <c r="V41" s="37"/>
      <c r="AA41" s="55"/>
    </row>
    <row r="42" spans="3:27" ht="13" customHeight="1" x14ac:dyDescent="0.35">
      <c r="P42" s="120"/>
      <c r="Q42" s="147"/>
      <c r="R42" s="121"/>
      <c r="S42" s="143"/>
      <c r="U42" s="1"/>
      <c r="V42" s="37"/>
      <c r="AA42" s="55"/>
    </row>
    <row r="43" spans="3:27" ht="15.5" x14ac:dyDescent="0.35">
      <c r="P43" s="120"/>
      <c r="Q43" s="147"/>
      <c r="R43" s="121"/>
      <c r="S43" s="143"/>
      <c r="U43" s="1"/>
      <c r="V43" s="37"/>
      <c r="AA43" s="55"/>
    </row>
    <row r="44" spans="3:27" ht="15.5" x14ac:dyDescent="0.35">
      <c r="P44" s="120"/>
      <c r="Q44" s="147"/>
      <c r="R44" s="121"/>
      <c r="S44" s="143"/>
      <c r="U44" s="1"/>
      <c r="V44" s="37"/>
      <c r="AA44" s="55"/>
    </row>
    <row r="45" spans="3:27" ht="26" x14ac:dyDescent="0.6">
      <c r="C45" s="29" t="s">
        <v>319</v>
      </c>
      <c r="P45" s="120"/>
      <c r="Q45" s="147"/>
      <c r="R45" s="121"/>
      <c r="S45" s="143"/>
      <c r="U45" s="1"/>
      <c r="V45" s="37"/>
      <c r="AA45" s="55"/>
    </row>
    <row r="46" spans="3:27" ht="15.5" x14ac:dyDescent="0.35">
      <c r="P46" s="120"/>
      <c r="Q46" s="147"/>
      <c r="R46" s="120"/>
      <c r="S46" s="143"/>
      <c r="U46" s="1"/>
      <c r="V46" s="37"/>
      <c r="AA46" s="55"/>
    </row>
    <row r="47" spans="3:27" ht="15.5" x14ac:dyDescent="0.35">
      <c r="P47" s="120"/>
      <c r="Q47" s="147"/>
      <c r="R47" s="120"/>
      <c r="S47" s="143"/>
      <c r="U47" s="1"/>
      <c r="V47" s="37"/>
      <c r="AA47" s="55"/>
    </row>
    <row r="48" spans="3:27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  <c r="AA48" s="55"/>
    </row>
    <row r="49" spans="16:27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  <c r="AA49" s="55"/>
    </row>
    <row r="50" spans="16:27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  <c r="AA50" s="55"/>
    </row>
    <row r="51" spans="16:27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  <c r="AA51" s="55"/>
    </row>
    <row r="52" spans="16:27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  <c r="AA52" s="55"/>
    </row>
    <row r="53" spans="16:27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  <c r="AA53" s="55"/>
    </row>
    <row r="54" spans="16:27" ht="15.5" x14ac:dyDescent="0.35">
      <c r="P54" s="120"/>
      <c r="Q54" s="147"/>
      <c r="R54" s="120"/>
      <c r="S54" s="143"/>
      <c r="U54" s="1"/>
      <c r="V54" s="37"/>
      <c r="AA54" s="55"/>
    </row>
    <row r="55" spans="16:27" ht="15.5" x14ac:dyDescent="0.35">
      <c r="P55" s="120"/>
      <c r="Q55" s="147"/>
      <c r="R55" s="120"/>
      <c r="S55" s="143"/>
      <c r="U55" s="1"/>
      <c r="V55" s="37"/>
      <c r="AA55" s="55"/>
    </row>
    <row r="56" spans="16:27" ht="15.5" x14ac:dyDescent="0.35">
      <c r="P56" s="120"/>
      <c r="Q56" s="147"/>
      <c r="R56" s="121"/>
      <c r="S56" s="143"/>
      <c r="U56" s="1"/>
      <c r="V56" s="37"/>
      <c r="AA56" s="55"/>
    </row>
    <row r="57" spans="16:27" ht="15.5" x14ac:dyDescent="0.35">
      <c r="P57" s="120"/>
      <c r="Q57" s="147"/>
      <c r="R57" s="121"/>
      <c r="S57" s="143"/>
      <c r="U57" s="1"/>
      <c r="V57" s="37"/>
      <c r="AA57" s="55"/>
    </row>
    <row r="58" spans="16:27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  <c r="AA58" s="55"/>
    </row>
    <row r="59" spans="16:27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  <c r="AA59" s="55"/>
    </row>
    <row r="60" spans="16:27" ht="15.5" x14ac:dyDescent="0.35">
      <c r="P60" s="120"/>
      <c r="Q60" s="147"/>
      <c r="R60" s="121"/>
      <c r="S60" s="143"/>
      <c r="U60" s="1"/>
      <c r="V60" s="37"/>
      <c r="AA60" s="55"/>
    </row>
    <row r="61" spans="16:27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  <c r="AA61" s="55"/>
    </row>
    <row r="62" spans="16:27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  <c r="AA62" s="55"/>
    </row>
    <row r="63" spans="16:27" ht="15.5" x14ac:dyDescent="0.35">
      <c r="P63" s="120"/>
      <c r="Q63" s="147"/>
      <c r="R63" s="121"/>
      <c r="S63" s="143"/>
      <c r="U63" s="1"/>
      <c r="V63" s="37"/>
      <c r="AA63" s="55"/>
    </row>
    <row r="64" spans="16:27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  <c r="AA64" s="55"/>
    </row>
    <row r="65" spans="16:27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  <c r="AA65" s="55"/>
    </row>
    <row r="66" spans="16:27" ht="15.5" x14ac:dyDescent="0.35">
      <c r="P66" s="120"/>
      <c r="Q66" s="147"/>
      <c r="R66" s="121"/>
      <c r="S66" s="143"/>
      <c r="U66" s="1"/>
      <c r="V66" s="37"/>
      <c r="AA66" s="55"/>
    </row>
    <row r="67" spans="16:27" ht="30" x14ac:dyDescent="0.8">
      <c r="P67" s="120"/>
      <c r="Q67" s="147"/>
      <c r="R67" s="121"/>
      <c r="S67" s="143"/>
      <c r="U67" s="127" t="s">
        <v>377</v>
      </c>
      <c r="V67" s="198" t="s">
        <v>328</v>
      </c>
      <c r="W67" s="149" t="s">
        <v>384</v>
      </c>
      <c r="X67" s="5"/>
      <c r="AA67" s="55"/>
    </row>
    <row r="68" spans="16:27" ht="30" x14ac:dyDescent="0.8">
      <c r="P68" s="120"/>
      <c r="Q68" s="147"/>
      <c r="R68" s="121"/>
      <c r="S68" s="143"/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  <c r="AA68" s="55"/>
    </row>
    <row r="69" spans="16:27" ht="15.5" x14ac:dyDescent="0.35">
      <c r="P69" s="120"/>
      <c r="Q69" s="147"/>
      <c r="R69" s="121"/>
      <c r="S69" s="143"/>
      <c r="U69" s="1"/>
      <c r="V69" s="37"/>
      <c r="AA69" s="55"/>
    </row>
    <row r="70" spans="16:27" ht="16" thickBot="1" x14ac:dyDescent="0.4">
      <c r="P70" s="120"/>
      <c r="Q70" s="147"/>
      <c r="R70" s="121"/>
      <c r="S70" s="143"/>
      <c r="U70" s="1"/>
      <c r="V70" s="37"/>
      <c r="AA70" s="55"/>
    </row>
    <row r="71" spans="16:27" ht="33" thickBot="1" x14ac:dyDescent="0.9">
      <c r="P71" s="120"/>
      <c r="Q71" s="147"/>
      <c r="R71" s="121"/>
      <c r="S71" s="143"/>
      <c r="U71" s="134" t="s">
        <v>400</v>
      </c>
      <c r="V71" s="202">
        <f>IF(W59+W62=W88,1,-1)</f>
        <v>1</v>
      </c>
      <c r="AA71" s="55"/>
    </row>
    <row r="72" spans="16:27" ht="16" thickBot="1" x14ac:dyDescent="0.4">
      <c r="P72" s="120"/>
      <c r="Q72" s="147"/>
      <c r="R72" s="121"/>
      <c r="S72" s="143"/>
      <c r="U72" s="1"/>
      <c r="V72" s="37"/>
      <c r="AA72" s="55"/>
    </row>
    <row r="73" spans="16:27" ht="30.5" thickBot="1" x14ac:dyDescent="0.85">
      <c r="P73" s="120"/>
      <c r="Q73" s="147"/>
      <c r="R73" s="121"/>
      <c r="S73" s="143"/>
      <c r="U73" s="130" t="s">
        <v>401</v>
      </c>
      <c r="V73" s="203">
        <f>IF(W65+W68=W180,1,-1)</f>
        <v>1</v>
      </c>
      <c r="AA73" s="55"/>
    </row>
    <row r="74" spans="16:27" ht="15.5" x14ac:dyDescent="0.35">
      <c r="P74" s="120"/>
      <c r="Q74" s="147"/>
      <c r="R74" s="121"/>
      <c r="S74" s="143"/>
      <c r="U74" s="1"/>
      <c r="V74" s="37"/>
      <c r="AA74" s="55"/>
    </row>
    <row r="75" spans="16:27" ht="15.5" x14ac:dyDescent="0.35">
      <c r="P75" s="120"/>
      <c r="Q75" s="147"/>
      <c r="R75" s="121"/>
      <c r="S75" s="143"/>
      <c r="U75" s="1"/>
      <c r="V75" s="37"/>
      <c r="AA75" s="55"/>
    </row>
    <row r="76" spans="16:27" ht="15.5" x14ac:dyDescent="0.35">
      <c r="P76" s="120"/>
      <c r="Q76" s="147"/>
      <c r="R76" s="121"/>
      <c r="S76" s="143"/>
      <c r="U76" s="1"/>
      <c r="V76" s="37"/>
      <c r="AA76" s="55"/>
    </row>
    <row r="77" spans="16:27" ht="15.5" x14ac:dyDescent="0.35">
      <c r="P77" s="120"/>
      <c r="Q77" s="147"/>
      <c r="R77" s="121"/>
      <c r="S77" s="143"/>
      <c r="U77" s="1"/>
      <c r="V77" s="37"/>
      <c r="AA77" s="55"/>
    </row>
    <row r="78" spans="16:27" ht="15.5" x14ac:dyDescent="0.35">
      <c r="P78" s="120"/>
      <c r="Q78" s="147"/>
      <c r="R78" s="121"/>
      <c r="S78" s="143"/>
      <c r="U78" s="1"/>
      <c r="V78" s="37"/>
      <c r="AA78" s="55"/>
    </row>
    <row r="79" spans="16:27" ht="3.5" customHeight="1" x14ac:dyDescent="0.35">
      <c r="P79" s="120"/>
      <c r="Q79" s="147"/>
      <c r="R79" s="121"/>
      <c r="S79" s="143"/>
      <c r="U79" s="1"/>
      <c r="V79" s="37"/>
      <c r="AA79" s="55"/>
    </row>
    <row r="80" spans="16:27" ht="3.5" customHeight="1" x14ac:dyDescent="0.35">
      <c r="P80" s="120"/>
      <c r="Q80" s="147"/>
      <c r="R80" s="121"/>
      <c r="S80" s="143"/>
      <c r="U80" s="1"/>
      <c r="V80" s="37"/>
      <c r="AA80" s="55"/>
    </row>
    <row r="81" spans="3:27" ht="3.5" customHeight="1" x14ac:dyDescent="0.35">
      <c r="P81" s="120"/>
      <c r="Q81" s="147"/>
      <c r="R81" s="121"/>
      <c r="S81" s="143"/>
      <c r="U81" s="1"/>
      <c r="V81" s="37"/>
      <c r="AA81" s="55"/>
    </row>
    <row r="82" spans="3:27" ht="3.5" customHeight="1" x14ac:dyDescent="0.35">
      <c r="P82" s="120"/>
      <c r="Q82" s="147"/>
      <c r="R82" s="121"/>
      <c r="S82" s="143"/>
      <c r="U82" s="1"/>
      <c r="V82" s="37"/>
      <c r="AA82" s="55"/>
    </row>
    <row r="83" spans="3:27" ht="3.5" customHeight="1" x14ac:dyDescent="0.35">
      <c r="P83" s="120"/>
      <c r="Q83" s="147"/>
      <c r="R83" s="121"/>
      <c r="S83" s="143"/>
      <c r="U83" s="1"/>
      <c r="V83" s="37"/>
      <c r="AA83" s="55"/>
    </row>
    <row r="84" spans="3:27" ht="15.5" x14ac:dyDescent="0.35">
      <c r="P84" s="120"/>
      <c r="Q84" s="147"/>
      <c r="R84" s="121"/>
      <c r="S84" s="143"/>
      <c r="U84" s="1"/>
      <c r="V84" s="37"/>
      <c r="AA84" s="55"/>
    </row>
    <row r="85" spans="3:27" ht="15.5" x14ac:dyDescent="0.35">
      <c r="P85" s="120"/>
      <c r="Q85" s="147"/>
      <c r="R85" s="121"/>
      <c r="S85" s="143"/>
      <c r="U85" s="1"/>
      <c r="V85" s="37"/>
      <c r="AA85" s="55"/>
    </row>
    <row r="86" spans="3:27" ht="15.5" x14ac:dyDescent="0.35">
      <c r="P86" s="120"/>
      <c r="Q86" s="147"/>
      <c r="R86" s="121"/>
      <c r="S86" s="143"/>
      <c r="U86" s="1"/>
      <c r="V86" s="37"/>
      <c r="AA86" s="55"/>
    </row>
    <row r="87" spans="3:27" ht="15.5" x14ac:dyDescent="0.35">
      <c r="P87" s="120"/>
      <c r="Q87" s="147"/>
      <c r="R87" s="121"/>
      <c r="S87" s="143"/>
      <c r="U87" s="1"/>
      <c r="V87" s="37"/>
      <c r="AA87" s="55"/>
    </row>
    <row r="88" spans="3:27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  <c r="AA88" s="55"/>
    </row>
    <row r="89" spans="3:27" ht="15.5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  <c r="AA89" s="55"/>
    </row>
    <row r="90" spans="3:27" ht="15.5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  <c r="AA90" s="55"/>
    </row>
    <row r="91" spans="3:27" ht="15.5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  <c r="U91" s="1"/>
      <c r="V91" s="37"/>
      <c r="AA91" s="55"/>
    </row>
    <row r="92" spans="3:27" ht="15.5" x14ac:dyDescent="0.35">
      <c r="P92" s="120"/>
      <c r="Q92" s="147"/>
      <c r="R92" s="121"/>
      <c r="S92" s="143"/>
      <c r="U92" s="1"/>
      <c r="V92" s="37"/>
      <c r="AA92" s="55"/>
    </row>
    <row r="93" spans="3:27" ht="15.5" x14ac:dyDescent="0.35">
      <c r="P93" s="120"/>
      <c r="Q93" s="147"/>
      <c r="R93" s="121"/>
      <c r="S93" s="143"/>
      <c r="U93" s="1"/>
      <c r="V93" s="37"/>
      <c r="AA93" s="55"/>
    </row>
    <row r="94" spans="3:27" ht="15.5" x14ac:dyDescent="0.35">
      <c r="P94" s="120"/>
      <c r="Q94" s="147"/>
      <c r="R94" s="121"/>
      <c r="S94" s="143"/>
      <c r="U94" s="1"/>
      <c r="V94" s="37"/>
      <c r="AA94" s="55"/>
    </row>
    <row r="95" spans="3:27" ht="15.5" x14ac:dyDescent="0.35">
      <c r="P95" s="120"/>
      <c r="Q95" s="147"/>
      <c r="R95" s="121"/>
      <c r="S95" s="143"/>
      <c r="U95" s="1"/>
      <c r="V95" s="37"/>
      <c r="AA95" s="55"/>
    </row>
    <row r="96" spans="3:27" ht="15.5" x14ac:dyDescent="0.35">
      <c r="P96" s="120"/>
      <c r="Q96" s="147"/>
      <c r="R96" s="121"/>
      <c r="S96" s="143"/>
      <c r="U96" s="1"/>
      <c r="V96" s="37"/>
      <c r="AA96" s="55"/>
    </row>
    <row r="97" spans="16:27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  <c r="AA97" s="55"/>
    </row>
    <row r="98" spans="16:27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  <c r="AA98" s="55"/>
    </row>
    <row r="99" spans="16:27" ht="15.5" x14ac:dyDescent="0.35">
      <c r="P99" s="120"/>
      <c r="Q99" s="147"/>
      <c r="R99" s="121"/>
      <c r="S99" s="143"/>
      <c r="U99" s="1"/>
      <c r="V99" s="37"/>
      <c r="AA99" s="55"/>
    </row>
    <row r="100" spans="16:27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  <c r="AA100" s="55"/>
    </row>
    <row r="101" spans="16:27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  <c r="AA101" s="55"/>
    </row>
    <row r="102" spans="16:27" ht="15.5" x14ac:dyDescent="0.35">
      <c r="P102" s="120"/>
      <c r="Q102" s="147"/>
      <c r="R102" s="121"/>
      <c r="S102" s="143"/>
      <c r="U102" s="1"/>
      <c r="V102" s="37"/>
      <c r="AA102" s="55"/>
    </row>
    <row r="103" spans="16:27" ht="16" thickBot="1" x14ac:dyDescent="0.4">
      <c r="P103" s="120"/>
      <c r="Q103" s="147"/>
      <c r="R103" s="121"/>
      <c r="S103" s="143"/>
      <c r="U103" s="1"/>
      <c r="V103" s="37"/>
      <c r="AA103" s="55"/>
    </row>
    <row r="104" spans="16:27" ht="30.5" thickBot="1" x14ac:dyDescent="0.85">
      <c r="P104" s="120"/>
      <c r="Q104" s="147"/>
      <c r="R104" s="121"/>
      <c r="S104" s="143"/>
      <c r="U104" s="130" t="s">
        <v>399</v>
      </c>
      <c r="V104" s="203">
        <f>IF(W98+W101=W137,1,-1)</f>
        <v>1</v>
      </c>
      <c r="AA104" s="55"/>
    </row>
    <row r="105" spans="16:27" ht="15.5" x14ac:dyDescent="0.35">
      <c r="P105" s="120"/>
      <c r="Q105" s="147"/>
      <c r="R105" s="121"/>
      <c r="S105" s="143"/>
      <c r="U105" s="1"/>
      <c r="V105" s="37"/>
      <c r="AA105" s="55"/>
    </row>
    <row r="106" spans="16:27" ht="15.5" x14ac:dyDescent="0.35">
      <c r="P106" s="120"/>
      <c r="Q106" s="147"/>
      <c r="R106" s="121"/>
      <c r="S106" s="143"/>
      <c r="U106" s="1"/>
      <c r="V106" s="37"/>
      <c r="AA106" s="55"/>
    </row>
    <row r="107" spans="16:27" ht="15.5" x14ac:dyDescent="0.35">
      <c r="P107" s="120"/>
      <c r="Q107" s="147"/>
      <c r="R107" s="121"/>
      <c r="S107" s="143"/>
      <c r="U107" s="1"/>
      <c r="V107" s="37"/>
      <c r="AA107" s="55"/>
    </row>
    <row r="108" spans="16:27" ht="15.5" x14ac:dyDescent="0.35">
      <c r="P108" s="120"/>
      <c r="Q108" s="147"/>
      <c r="R108" s="121"/>
      <c r="S108" s="143"/>
      <c r="U108" s="1"/>
      <c r="V108" s="37"/>
      <c r="AA108" s="55"/>
    </row>
    <row r="109" spans="16:27" ht="15.5" x14ac:dyDescent="0.35">
      <c r="P109" s="120"/>
      <c r="Q109" s="147"/>
      <c r="R109" s="121"/>
      <c r="S109" s="143"/>
      <c r="U109" s="1"/>
      <c r="V109" s="37"/>
      <c r="AA109" s="55"/>
    </row>
    <row r="110" spans="16:27" ht="15.5" x14ac:dyDescent="0.35">
      <c r="P110" s="120"/>
      <c r="Q110" s="147"/>
      <c r="R110" s="121"/>
      <c r="S110" s="143"/>
      <c r="U110" s="1"/>
      <c r="V110" s="37"/>
      <c r="AA110" s="55"/>
    </row>
    <row r="111" spans="16:27" ht="15.5" x14ac:dyDescent="0.35">
      <c r="P111" s="120"/>
      <c r="Q111" s="147"/>
      <c r="R111" s="121"/>
      <c r="S111" s="143"/>
      <c r="U111" s="1"/>
      <c r="V111" s="37"/>
      <c r="AA111" s="55"/>
    </row>
    <row r="112" spans="16:27" ht="15.5" x14ac:dyDescent="0.35">
      <c r="P112" s="120"/>
      <c r="Q112" s="147"/>
      <c r="R112" s="121"/>
      <c r="S112" s="143"/>
      <c r="U112" s="1"/>
      <c r="V112" s="37"/>
      <c r="AA112" s="55"/>
    </row>
    <row r="113" spans="16:27" ht="15.5" x14ac:dyDescent="0.35">
      <c r="P113" s="120"/>
      <c r="Q113" s="147"/>
      <c r="R113" s="121"/>
      <c r="S113" s="143"/>
      <c r="U113" s="1"/>
      <c r="V113" s="37"/>
      <c r="AA113" s="55"/>
    </row>
    <row r="114" spans="16:27" ht="3.5" customHeight="1" x14ac:dyDescent="0.35">
      <c r="P114" s="120"/>
      <c r="Q114" s="147"/>
      <c r="R114" s="121"/>
      <c r="S114" s="143"/>
      <c r="U114" s="1"/>
      <c r="V114" s="37"/>
      <c r="AA114" s="55"/>
    </row>
    <row r="115" spans="16:27" ht="3.5" customHeight="1" x14ac:dyDescent="0.35">
      <c r="P115" s="120"/>
      <c r="Q115" s="147"/>
      <c r="R115" s="121"/>
      <c r="S115" s="143"/>
      <c r="U115" s="1"/>
      <c r="V115" s="37"/>
      <c r="AA115" s="55"/>
    </row>
    <row r="116" spans="16:27" ht="3.5" customHeight="1" x14ac:dyDescent="0.35">
      <c r="P116" s="120"/>
      <c r="Q116" s="147"/>
      <c r="R116" s="121"/>
      <c r="S116" s="143"/>
      <c r="U116" s="1"/>
      <c r="V116" s="37"/>
      <c r="AA116" s="55"/>
    </row>
    <row r="117" spans="16:27" ht="3.5" customHeight="1" x14ac:dyDescent="0.35">
      <c r="P117" s="120"/>
      <c r="Q117" s="147"/>
      <c r="R117" s="121"/>
      <c r="S117" s="143"/>
      <c r="U117" s="1"/>
      <c r="V117" s="37"/>
      <c r="AA117" s="55"/>
    </row>
    <row r="118" spans="16:27" ht="3.5" customHeight="1" x14ac:dyDescent="0.35">
      <c r="P118" s="120"/>
      <c r="Q118" s="147"/>
      <c r="R118" s="121"/>
      <c r="S118" s="143"/>
      <c r="U118" s="1"/>
      <c r="V118" s="37"/>
      <c r="AA118" s="55"/>
    </row>
    <row r="119" spans="16:27" ht="3.5" customHeight="1" x14ac:dyDescent="0.35">
      <c r="P119" s="120"/>
      <c r="Q119" s="147"/>
      <c r="R119" s="121"/>
      <c r="S119" s="143"/>
      <c r="U119" s="1"/>
      <c r="V119" s="37"/>
      <c r="AA119" s="55"/>
    </row>
    <row r="120" spans="16:27" ht="3.5" customHeight="1" x14ac:dyDescent="0.35">
      <c r="P120" s="120"/>
      <c r="Q120" s="147"/>
      <c r="R120" s="121"/>
      <c r="S120" s="143"/>
      <c r="U120" s="1"/>
      <c r="V120" s="37"/>
      <c r="AA120" s="55"/>
    </row>
    <row r="121" spans="16:27" ht="3.5" customHeight="1" x14ac:dyDescent="0.35">
      <c r="P121" s="120"/>
      <c r="Q121" s="147"/>
      <c r="R121" s="121"/>
      <c r="S121" s="143"/>
      <c r="U121" s="1"/>
      <c r="V121" s="37"/>
      <c r="AA121" s="55"/>
    </row>
    <row r="122" spans="16:27" ht="3.5" customHeight="1" x14ac:dyDescent="0.35">
      <c r="P122" s="120"/>
      <c r="Q122" s="147"/>
      <c r="R122" s="121"/>
      <c r="S122" s="143"/>
      <c r="U122" s="1"/>
      <c r="V122" s="37"/>
      <c r="AA122" s="55"/>
    </row>
    <row r="123" spans="16:27" ht="3.5" customHeight="1" x14ac:dyDescent="0.35">
      <c r="P123" s="120"/>
      <c r="Q123" s="147"/>
      <c r="R123" s="121"/>
      <c r="S123" s="143"/>
      <c r="U123" s="1"/>
      <c r="V123" s="37"/>
      <c r="AA123" s="55"/>
    </row>
    <row r="124" spans="16:27" ht="3.5" customHeight="1" x14ac:dyDescent="0.35">
      <c r="P124" s="120"/>
      <c r="Q124" s="147"/>
      <c r="R124" s="121"/>
      <c r="S124" s="143"/>
      <c r="U124" s="1"/>
      <c r="V124" s="37"/>
      <c r="AA124" s="55"/>
    </row>
    <row r="125" spans="16:27" ht="3.5" customHeight="1" x14ac:dyDescent="0.35">
      <c r="P125" s="120"/>
      <c r="Q125" s="147"/>
      <c r="R125" s="121"/>
      <c r="S125" s="143"/>
      <c r="U125" s="1"/>
      <c r="V125" s="37"/>
      <c r="AA125" s="55"/>
    </row>
    <row r="126" spans="16:27" ht="3.5" customHeight="1" x14ac:dyDescent="0.35">
      <c r="P126" s="120"/>
      <c r="Q126" s="147"/>
      <c r="R126" s="121"/>
      <c r="S126" s="143"/>
      <c r="U126" s="1"/>
      <c r="V126" s="37"/>
      <c r="AA126" s="55"/>
    </row>
    <row r="127" spans="16:27" ht="3.5" customHeight="1" x14ac:dyDescent="0.35">
      <c r="P127" s="120"/>
      <c r="Q127" s="147"/>
      <c r="R127" s="121"/>
      <c r="S127" s="143"/>
      <c r="U127" s="1"/>
      <c r="V127" s="37"/>
      <c r="AA127" s="55"/>
    </row>
    <row r="128" spans="16:27" ht="15.5" x14ac:dyDescent="0.35">
      <c r="P128" s="120"/>
      <c r="Q128" s="147"/>
      <c r="R128" s="121"/>
      <c r="S128" s="143"/>
      <c r="U128" s="1"/>
      <c r="V128" s="37"/>
      <c r="AA128" s="55"/>
    </row>
    <row r="129" spans="3:27" ht="15.5" x14ac:dyDescent="0.35">
      <c r="P129" s="120"/>
      <c r="Q129" s="147"/>
      <c r="R129" s="121"/>
      <c r="S129" s="143"/>
      <c r="U129" s="1"/>
      <c r="V129" s="37"/>
      <c r="AA129" s="55"/>
    </row>
    <row r="130" spans="3:27" ht="26" x14ac:dyDescent="0.6">
      <c r="C130" s="29" t="s">
        <v>323</v>
      </c>
      <c r="P130" s="120"/>
      <c r="Q130" s="147"/>
      <c r="R130" s="121"/>
      <c r="S130" s="143"/>
      <c r="U130" s="1"/>
      <c r="V130" s="37"/>
      <c r="AA130" s="55"/>
    </row>
    <row r="131" spans="3:27" ht="15.5" x14ac:dyDescent="0.35">
      <c r="P131" s="120"/>
      <c r="Q131" s="147"/>
      <c r="R131" s="121"/>
      <c r="S131" s="143"/>
      <c r="U131" s="1"/>
      <c r="V131" s="37"/>
      <c r="AA131" s="55"/>
    </row>
    <row r="132" spans="3:27" ht="15.5" x14ac:dyDescent="0.35">
      <c r="P132" s="120"/>
      <c r="Q132" s="147"/>
      <c r="R132" s="121"/>
      <c r="S132" s="143"/>
      <c r="U132" s="1"/>
      <c r="V132" s="37"/>
      <c r="AA132" s="55"/>
    </row>
    <row r="133" spans="3:27" ht="15.5" x14ac:dyDescent="0.35">
      <c r="P133" s="120"/>
      <c r="Q133" s="147"/>
      <c r="R133" s="121"/>
      <c r="S133" s="143"/>
      <c r="U133" s="1"/>
      <c r="V133" s="37"/>
      <c r="AA133" s="55"/>
    </row>
    <row r="134" spans="3:27" ht="28.5" x14ac:dyDescent="0.65">
      <c r="P134" s="120"/>
      <c r="Q134" s="147"/>
      <c r="R134" s="121"/>
      <c r="S134" s="143"/>
      <c r="T134" s="132"/>
      <c r="U134" s="1"/>
      <c r="V134" s="37"/>
      <c r="AA134" s="55"/>
    </row>
    <row r="135" spans="3:27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  <c r="AA135" s="55"/>
    </row>
    <row r="136" spans="3:27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  <c r="AA136" s="55"/>
    </row>
    <row r="137" spans="3:27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  <c r="AA137" s="55"/>
    </row>
    <row r="138" spans="3:27" ht="15.5" x14ac:dyDescent="0.35">
      <c r="P138" s="120"/>
      <c r="Q138" s="147"/>
      <c r="R138" s="121"/>
      <c r="S138" s="143"/>
      <c r="U138" s="1"/>
      <c r="V138" s="37"/>
      <c r="AA138" s="55"/>
    </row>
    <row r="139" spans="3:27" ht="15.5" x14ac:dyDescent="0.35">
      <c r="P139" s="120"/>
      <c r="Q139" s="147"/>
      <c r="R139" s="121"/>
      <c r="S139" s="143"/>
      <c r="U139" s="1"/>
      <c r="V139" s="37"/>
      <c r="AA139" s="55"/>
    </row>
    <row r="140" spans="3:27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  <c r="AA140" s="55"/>
    </row>
    <row r="141" spans="3:27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  <c r="AA141" s="55"/>
    </row>
    <row r="142" spans="3:27" ht="15.5" x14ac:dyDescent="0.35">
      <c r="P142" s="120"/>
      <c r="Q142" s="147"/>
      <c r="R142" s="121"/>
      <c r="S142" s="143"/>
      <c r="U142" s="1"/>
      <c r="V142" s="37"/>
      <c r="AA142" s="55"/>
    </row>
    <row r="143" spans="3:27" ht="32.5" x14ac:dyDescent="0.85">
      <c r="P143" s="120"/>
      <c r="Q143" s="147"/>
      <c r="R143" s="121"/>
      <c r="S143" s="143"/>
      <c r="U143" s="160" t="s">
        <v>371</v>
      </c>
      <c r="V143" s="198" t="s">
        <v>328</v>
      </c>
      <c r="W143" s="162" t="s">
        <v>366</v>
      </c>
      <c r="X143" s="193"/>
      <c r="AA143" s="55"/>
    </row>
    <row r="144" spans="3:27" ht="32.5" x14ac:dyDescent="0.85">
      <c r="P144" s="120"/>
      <c r="Q144" s="147"/>
      <c r="R144" s="121"/>
      <c r="S144" s="143"/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  <c r="AA144" s="55"/>
    </row>
    <row r="145" spans="16:27" ht="29" thickBot="1" x14ac:dyDescent="0.7">
      <c r="P145" s="120"/>
      <c r="Q145" s="147"/>
      <c r="R145" s="121"/>
      <c r="S145" s="143"/>
      <c r="U145" s="1"/>
      <c r="V145" s="37"/>
      <c r="W145" s="153"/>
      <c r="X145" s="132"/>
      <c r="AA145" s="55"/>
    </row>
    <row r="146" spans="16:27" ht="33" thickBot="1" x14ac:dyDescent="0.9">
      <c r="P146" s="120"/>
      <c r="Q146" s="147"/>
      <c r="R146" s="121"/>
      <c r="S146" s="143"/>
      <c r="U146" s="134" t="s">
        <v>372</v>
      </c>
      <c r="V146" s="202">
        <f>IF(W144+W141=W172,1,-1)</f>
        <v>1</v>
      </c>
      <c r="AA146" s="55"/>
    </row>
    <row r="147" spans="16:27" ht="15.5" x14ac:dyDescent="0.35">
      <c r="P147" s="120"/>
      <c r="Q147" s="147"/>
      <c r="R147" s="121"/>
      <c r="S147" s="143"/>
      <c r="U147" s="1"/>
      <c r="V147" s="37"/>
      <c r="AA147" s="55"/>
    </row>
    <row r="148" spans="16:27" ht="15.5" x14ac:dyDescent="0.35">
      <c r="P148" s="120"/>
      <c r="Q148" s="147"/>
      <c r="R148" s="121"/>
      <c r="S148" s="143"/>
      <c r="U148" s="1"/>
      <c r="V148" s="37"/>
      <c r="AA148" s="55"/>
    </row>
    <row r="149" spans="16:27" ht="15.5" x14ac:dyDescent="0.35">
      <c r="P149" s="120"/>
      <c r="Q149" s="147"/>
      <c r="R149" s="121"/>
      <c r="S149" s="143"/>
      <c r="U149" s="1"/>
      <c r="V149" s="37"/>
      <c r="AA149" s="55"/>
    </row>
    <row r="150" spans="16:27" ht="15.5" x14ac:dyDescent="0.35">
      <c r="P150" s="120"/>
      <c r="Q150" s="147"/>
      <c r="R150" s="121"/>
      <c r="S150" s="143"/>
      <c r="U150" s="1"/>
      <c r="V150" s="37"/>
      <c r="AA150" s="55"/>
    </row>
    <row r="151" spans="16:27" ht="15.5" x14ac:dyDescent="0.35">
      <c r="P151" s="120"/>
      <c r="Q151" s="147"/>
      <c r="R151" s="121"/>
      <c r="S151" s="143"/>
      <c r="U151" s="1"/>
      <c r="V151" s="37"/>
      <c r="AA151" s="55"/>
    </row>
    <row r="152" spans="16:27" ht="15.5" x14ac:dyDescent="0.35">
      <c r="P152" s="120"/>
      <c r="Q152" s="147"/>
      <c r="R152" s="121"/>
      <c r="S152" s="143"/>
      <c r="U152" s="1"/>
      <c r="V152" s="37"/>
      <c r="AA152" s="55"/>
    </row>
    <row r="153" spans="16:27" ht="15.5" x14ac:dyDescent="0.35">
      <c r="P153" s="120"/>
      <c r="Q153" s="147"/>
      <c r="R153" s="121"/>
      <c r="S153" s="143"/>
      <c r="U153" s="1"/>
      <c r="V153" s="37"/>
      <c r="AA153" s="55"/>
    </row>
    <row r="154" spans="16:27" ht="15.5" x14ac:dyDescent="0.35">
      <c r="P154" s="120"/>
      <c r="Q154" s="147"/>
      <c r="R154" s="121"/>
      <c r="S154" s="143"/>
      <c r="U154" s="1"/>
      <c r="V154" s="37"/>
      <c r="AA154" s="55"/>
    </row>
    <row r="155" spans="16:27" ht="5" customHeight="1" x14ac:dyDescent="0.35">
      <c r="P155" s="120"/>
      <c r="Q155" s="147"/>
      <c r="R155" s="121"/>
      <c r="S155" s="143"/>
      <c r="U155" s="1"/>
      <c r="V155" s="37"/>
      <c r="AA155" s="55"/>
    </row>
    <row r="156" spans="16:27" ht="5" customHeight="1" x14ac:dyDescent="0.35">
      <c r="P156" s="120"/>
      <c r="Q156" s="147"/>
      <c r="R156" s="121"/>
      <c r="S156" s="143"/>
      <c r="U156" s="1"/>
      <c r="V156" s="37"/>
      <c r="AA156" s="55"/>
    </row>
    <row r="157" spans="16:27" ht="5" customHeight="1" x14ac:dyDescent="0.35">
      <c r="P157" s="120"/>
      <c r="Q157" s="147"/>
      <c r="R157" s="121"/>
      <c r="S157" s="143"/>
      <c r="U157" s="1"/>
      <c r="V157" s="37"/>
      <c r="AA157" s="55"/>
    </row>
    <row r="158" spans="16:27" ht="5" customHeight="1" x14ac:dyDescent="0.35">
      <c r="P158" s="120"/>
      <c r="Q158" s="147"/>
      <c r="R158" s="121"/>
      <c r="S158" s="143"/>
      <c r="U158" s="1"/>
      <c r="V158" s="37"/>
      <c r="AA158" s="55"/>
    </row>
    <row r="159" spans="16:27" ht="5" customHeight="1" x14ac:dyDescent="0.35">
      <c r="P159" s="120"/>
      <c r="Q159" s="147"/>
      <c r="R159" s="121"/>
      <c r="S159" s="143"/>
      <c r="U159" s="1"/>
      <c r="V159" s="37"/>
      <c r="AA159" s="55"/>
    </row>
    <row r="160" spans="16:27" ht="5" customHeight="1" x14ac:dyDescent="0.35">
      <c r="P160" s="120"/>
      <c r="Q160" s="147"/>
      <c r="R160" s="121"/>
      <c r="S160" s="143"/>
      <c r="U160" s="1"/>
      <c r="V160" s="37"/>
      <c r="AA160" s="55"/>
    </row>
    <row r="161" spans="3:27" ht="5" customHeight="1" x14ac:dyDescent="0.35">
      <c r="P161" s="120"/>
      <c r="Q161" s="147"/>
      <c r="R161" s="121"/>
      <c r="S161" s="143"/>
      <c r="U161" s="1"/>
      <c r="V161" s="37"/>
      <c r="AA161" s="55"/>
    </row>
    <row r="162" spans="3:27" ht="5" customHeight="1" x14ac:dyDescent="0.35">
      <c r="P162" s="120"/>
      <c r="Q162" s="147"/>
      <c r="R162" s="121"/>
      <c r="S162" s="143"/>
      <c r="U162" s="1"/>
      <c r="V162" s="37"/>
      <c r="AA162" s="55"/>
    </row>
    <row r="163" spans="3:27" ht="5" customHeight="1" x14ac:dyDescent="0.35">
      <c r="P163" s="120"/>
      <c r="Q163" s="147"/>
      <c r="R163" s="121"/>
      <c r="S163" s="143"/>
      <c r="U163" s="1"/>
      <c r="V163" s="37"/>
      <c r="AA163" s="55"/>
    </row>
    <row r="164" spans="3:27" ht="5" customHeight="1" x14ac:dyDescent="0.35">
      <c r="P164" s="120"/>
      <c r="Q164" s="147"/>
      <c r="R164" s="121"/>
      <c r="S164" s="143"/>
      <c r="U164" s="1"/>
      <c r="V164" s="37"/>
      <c r="AA164" s="55"/>
    </row>
    <row r="165" spans="3:27" ht="5" customHeight="1" x14ac:dyDescent="0.35">
      <c r="P165" s="120"/>
      <c r="Q165" s="147"/>
      <c r="R165" s="121"/>
      <c r="S165" s="143"/>
      <c r="U165" s="1"/>
      <c r="V165" s="37"/>
      <c r="AA165" s="55"/>
    </row>
    <row r="166" spans="3:27" ht="5" customHeight="1" x14ac:dyDescent="0.35">
      <c r="P166" s="120"/>
      <c r="Q166" s="147"/>
      <c r="R166" s="121"/>
      <c r="S166" s="143"/>
      <c r="U166" s="1"/>
      <c r="V166" s="37"/>
      <c r="AA166" s="55"/>
    </row>
    <row r="167" spans="3:27" ht="5" customHeight="1" x14ac:dyDescent="0.35">
      <c r="P167" s="120"/>
      <c r="Q167" s="147"/>
      <c r="R167" s="121"/>
      <c r="S167" s="143"/>
      <c r="U167" s="1"/>
      <c r="V167" s="37"/>
      <c r="AA167" s="55"/>
    </row>
    <row r="168" spans="3:27" ht="15.5" x14ac:dyDescent="0.35">
      <c r="P168" s="120"/>
      <c r="Q168" s="147"/>
      <c r="R168" s="121"/>
      <c r="S168" s="143"/>
      <c r="U168" s="1"/>
      <c r="V168" s="37"/>
      <c r="AA168" s="55"/>
    </row>
    <row r="169" spans="3:27" ht="15.5" x14ac:dyDescent="0.35">
      <c r="P169" s="120"/>
      <c r="Q169" s="147"/>
      <c r="R169" s="121"/>
      <c r="S169" s="143"/>
      <c r="U169" s="1"/>
      <c r="V169" s="37"/>
      <c r="AA169" s="55"/>
    </row>
    <row r="170" spans="3:27" ht="26" x14ac:dyDescent="0.6">
      <c r="C170" s="29" t="s">
        <v>322</v>
      </c>
      <c r="P170" s="120"/>
      <c r="Q170" s="147"/>
      <c r="R170" s="121"/>
      <c r="S170" s="143"/>
      <c r="U170" s="1"/>
      <c r="V170" s="37"/>
      <c r="AA170" s="55"/>
    </row>
    <row r="171" spans="3:27" ht="15.5" x14ac:dyDescent="0.35">
      <c r="E171" s="168">
        <f>$W$273</f>
        <v>7.8930481283422456</v>
      </c>
      <c r="P171" s="120"/>
      <c r="Q171" s="147"/>
      <c r="R171" s="121"/>
      <c r="S171" s="143"/>
      <c r="U171" s="1"/>
      <c r="V171" s="37"/>
      <c r="AA171" s="55"/>
    </row>
    <row r="172" spans="3:27" ht="18.5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  <c r="AA172" s="55"/>
    </row>
    <row r="173" spans="3:27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  <c r="AA173" s="55"/>
    </row>
    <row r="174" spans="3:27" ht="15.5" x14ac:dyDescent="0.35">
      <c r="P174" s="120"/>
      <c r="Q174" s="147"/>
      <c r="R174" s="121"/>
      <c r="S174" s="143"/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  <c r="AA174" s="55"/>
    </row>
    <row r="175" spans="3:27" ht="15.5" x14ac:dyDescent="0.35">
      <c r="P175" s="120"/>
      <c r="Q175" s="147"/>
      <c r="R175" s="121"/>
      <c r="S175" s="143"/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  <c r="AA175" s="55"/>
    </row>
    <row r="176" spans="3:27" ht="15.5" x14ac:dyDescent="0.35">
      <c r="P176" s="120"/>
      <c r="Q176" s="147"/>
      <c r="R176" s="121"/>
      <c r="S176" s="143"/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  <c r="AA176" s="55"/>
    </row>
    <row r="177" spans="4:27" ht="15.5" x14ac:dyDescent="0.35">
      <c r="F177" s="163"/>
      <c r="P177" s="120"/>
      <c r="Q177" s="147"/>
      <c r="R177" s="121"/>
      <c r="S177" s="143"/>
      <c r="U177" s="1"/>
      <c r="V177" s="37"/>
      <c r="AA177" s="55"/>
    </row>
    <row r="178" spans="4:27" ht="15.5" x14ac:dyDescent="0.35">
      <c r="F178" s="163">
        <f>$W$226</f>
        <v>4.1069518716577544</v>
      </c>
      <c r="I178" s="163">
        <f>$W$226</f>
        <v>4.1069518716577544</v>
      </c>
      <c r="P178" s="120"/>
      <c r="Q178" s="147"/>
      <c r="R178" s="121"/>
      <c r="S178" s="143"/>
      <c r="U178" s="1"/>
      <c r="V178" s="37"/>
      <c r="AA178" s="55"/>
    </row>
    <row r="179" spans="4:27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  <c r="AA179" s="55"/>
    </row>
    <row r="180" spans="4:27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  <c r="AA180" s="55"/>
    </row>
    <row r="181" spans="4:27" ht="15.5" x14ac:dyDescent="0.35">
      <c r="P181" s="120"/>
      <c r="Q181" s="147"/>
      <c r="R181" s="121"/>
      <c r="S181" s="143"/>
      <c r="U181" s="1"/>
      <c r="V181" s="37"/>
      <c r="AA181" s="55"/>
    </row>
    <row r="182" spans="4:27" ht="30" x14ac:dyDescent="0.8">
      <c r="P182" s="120"/>
      <c r="Q182" s="147"/>
      <c r="R182" s="121"/>
      <c r="S182" s="143"/>
      <c r="U182" s="127" t="s">
        <v>363</v>
      </c>
      <c r="V182" s="198" t="s">
        <v>328</v>
      </c>
      <c r="W182" s="149" t="s">
        <v>362</v>
      </c>
      <c r="X182" s="194"/>
      <c r="AA182" s="55"/>
    </row>
    <row r="183" spans="4:27" ht="30" x14ac:dyDescent="0.8">
      <c r="P183" s="120"/>
      <c r="Q183" s="147"/>
      <c r="R183" s="121"/>
      <c r="S183" s="143"/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  <c r="AA183" s="55"/>
    </row>
    <row r="184" spans="4:27" ht="15.5" x14ac:dyDescent="0.35">
      <c r="P184" s="120"/>
      <c r="Q184" s="147"/>
      <c r="R184" s="121"/>
      <c r="S184" s="143"/>
      <c r="U184" s="1"/>
      <c r="V184" s="37"/>
      <c r="AA184" s="55"/>
    </row>
    <row r="185" spans="4:27" ht="16" thickBot="1" x14ac:dyDescent="0.4">
      <c r="P185" s="120"/>
      <c r="Q185" s="147"/>
      <c r="R185" s="121"/>
      <c r="S185" s="143"/>
      <c r="U185" s="1"/>
      <c r="V185" s="37"/>
      <c r="AA185" s="55"/>
    </row>
    <row r="186" spans="4:27" ht="30.5" thickBot="1" x14ac:dyDescent="0.85">
      <c r="P186" s="120"/>
      <c r="Q186" s="147"/>
      <c r="R186" s="121"/>
      <c r="S186" s="143"/>
      <c r="U186" s="130" t="s">
        <v>325</v>
      </c>
      <c r="V186" s="203">
        <f>IF(W180+W183=W273,1,-1)</f>
        <v>1</v>
      </c>
      <c r="W186" s="174"/>
      <c r="X186" s="190"/>
      <c r="AA186" s="55"/>
    </row>
    <row r="187" spans="4:27" ht="26" x14ac:dyDescent="0.6">
      <c r="G187" s="168">
        <f>W180</f>
        <v>6.1604278074866317</v>
      </c>
      <c r="I187" s="168">
        <f>$W$183</f>
        <v>1.7326203208556152</v>
      </c>
      <c r="P187" s="120"/>
      <c r="Q187" s="147"/>
      <c r="R187" s="121"/>
      <c r="S187" s="143"/>
      <c r="U187" s="189"/>
      <c r="V187" s="204"/>
      <c r="W187" s="190"/>
      <c r="X187" s="190"/>
      <c r="AA187" s="55"/>
    </row>
    <row r="188" spans="4:27" ht="26" x14ac:dyDescent="0.6">
      <c r="P188" s="120"/>
      <c r="Q188" s="147"/>
      <c r="R188" s="121"/>
      <c r="S188" s="143"/>
      <c r="U188" s="1"/>
      <c r="V188" s="37"/>
      <c r="W188" s="154"/>
      <c r="X188" s="128"/>
      <c r="AA188" s="55"/>
    </row>
    <row r="189" spans="4:27" ht="15.5" x14ac:dyDescent="0.35">
      <c r="P189" s="120"/>
      <c r="Q189" s="147"/>
      <c r="R189" s="121"/>
      <c r="S189" s="143"/>
      <c r="U189" s="1"/>
      <c r="V189" s="37"/>
      <c r="AA189" s="55"/>
    </row>
    <row r="190" spans="4:27" ht="15.5" x14ac:dyDescent="0.35">
      <c r="P190" s="120"/>
      <c r="Q190" s="147"/>
      <c r="R190" s="121"/>
      <c r="S190" s="143"/>
      <c r="U190" s="1"/>
      <c r="V190" s="37"/>
      <c r="AA190" s="55"/>
    </row>
    <row r="191" spans="4:27" ht="15.5" x14ac:dyDescent="0.35">
      <c r="P191" s="120"/>
      <c r="Q191" s="147"/>
      <c r="R191" s="121"/>
      <c r="S191" s="143"/>
      <c r="U191" s="1"/>
      <c r="V191" s="37"/>
      <c r="AA191" s="55"/>
    </row>
    <row r="192" spans="4:27" ht="15.5" x14ac:dyDescent="0.35">
      <c r="P192" s="120"/>
      <c r="Q192" s="147"/>
      <c r="R192" s="121"/>
      <c r="S192" s="143"/>
      <c r="U192" s="1"/>
      <c r="V192" s="37"/>
      <c r="AA192" s="55"/>
    </row>
    <row r="193" spans="16:27" ht="15.5" x14ac:dyDescent="0.35">
      <c r="P193" s="120"/>
      <c r="Q193" s="147"/>
      <c r="R193" s="121"/>
      <c r="S193" s="143"/>
      <c r="U193" s="1"/>
      <c r="V193" s="37"/>
      <c r="AA193" s="55"/>
    </row>
    <row r="194" spans="16:27" ht="8" customHeight="1" x14ac:dyDescent="0.35">
      <c r="P194" s="120"/>
      <c r="Q194" s="147"/>
      <c r="R194" s="121"/>
      <c r="S194" s="143"/>
      <c r="U194" s="1"/>
      <c r="V194" s="37"/>
      <c r="AA194" s="55"/>
    </row>
    <row r="195" spans="16:27" ht="8" customHeight="1" x14ac:dyDescent="0.35">
      <c r="P195" s="120"/>
      <c r="Q195" s="147"/>
      <c r="R195" s="121"/>
      <c r="S195" s="143"/>
      <c r="U195" s="1"/>
      <c r="V195" s="37"/>
      <c r="AA195" s="55"/>
    </row>
    <row r="196" spans="16:27" ht="8" customHeight="1" x14ac:dyDescent="0.35">
      <c r="P196" s="120"/>
      <c r="Q196" s="147"/>
      <c r="R196" s="121"/>
      <c r="S196" s="143"/>
      <c r="U196" s="1"/>
      <c r="V196" s="37"/>
      <c r="AA196" s="55"/>
    </row>
    <row r="197" spans="16:27" ht="8" customHeight="1" x14ac:dyDescent="0.35">
      <c r="P197" s="120"/>
      <c r="Q197" s="147"/>
      <c r="R197" s="121"/>
      <c r="S197" s="143"/>
      <c r="U197" s="1"/>
      <c r="V197" s="37"/>
      <c r="AA197" s="55"/>
    </row>
    <row r="198" spans="16:27" ht="8" customHeight="1" x14ac:dyDescent="0.35">
      <c r="P198" s="120"/>
      <c r="Q198" s="147"/>
      <c r="R198" s="121"/>
      <c r="S198" s="143"/>
      <c r="U198" s="1"/>
      <c r="V198" s="37"/>
      <c r="AA198" s="55"/>
    </row>
    <row r="199" spans="16:27" ht="8" customHeight="1" x14ac:dyDescent="0.35">
      <c r="P199" s="120"/>
      <c r="Q199" s="147"/>
      <c r="R199" s="121"/>
      <c r="S199" s="143"/>
      <c r="U199" s="1"/>
      <c r="V199" s="37"/>
      <c r="AA199" s="55"/>
    </row>
    <row r="200" spans="16:27" ht="8" customHeight="1" x14ac:dyDescent="0.35">
      <c r="P200" s="120"/>
      <c r="Q200" s="147"/>
      <c r="R200" s="121"/>
      <c r="S200" s="143"/>
      <c r="U200" s="1"/>
      <c r="V200" s="37"/>
      <c r="AA200" s="55"/>
    </row>
    <row r="201" spans="16:27" ht="8" customHeight="1" x14ac:dyDescent="0.35">
      <c r="P201" s="120"/>
      <c r="Q201" s="147"/>
      <c r="R201" s="121"/>
      <c r="S201" s="143"/>
      <c r="U201" s="1"/>
      <c r="V201" s="37"/>
      <c r="AA201" s="55"/>
    </row>
    <row r="202" spans="16:27" ht="8" customHeight="1" x14ac:dyDescent="0.35">
      <c r="P202" s="120"/>
      <c r="Q202" s="147"/>
      <c r="R202" s="121"/>
      <c r="S202" s="143"/>
      <c r="U202" s="1"/>
      <c r="V202" s="37"/>
      <c r="AA202" s="55"/>
    </row>
    <row r="203" spans="16:27" ht="8" customHeight="1" x14ac:dyDescent="0.35">
      <c r="P203" s="120"/>
      <c r="Q203" s="147"/>
      <c r="R203" s="121"/>
      <c r="S203" s="143"/>
      <c r="U203" s="1"/>
      <c r="V203" s="37"/>
      <c r="AA203" s="55"/>
    </row>
    <row r="204" spans="16:27" ht="8" customHeight="1" x14ac:dyDescent="0.35">
      <c r="P204" s="120"/>
      <c r="Q204" s="147"/>
      <c r="R204" s="121"/>
      <c r="S204" s="143"/>
      <c r="U204" s="1"/>
      <c r="V204" s="37"/>
      <c r="AA204" s="55"/>
    </row>
    <row r="205" spans="16:27" ht="8" customHeight="1" x14ac:dyDescent="0.35">
      <c r="P205" s="120"/>
      <c r="Q205" s="147"/>
      <c r="R205" s="121"/>
      <c r="S205" s="143"/>
      <c r="U205" s="1"/>
      <c r="V205" s="37"/>
      <c r="AA205" s="55"/>
    </row>
    <row r="206" spans="16:27" ht="8" customHeight="1" x14ac:dyDescent="0.35">
      <c r="P206" s="120"/>
      <c r="Q206" s="147"/>
      <c r="R206" s="121"/>
      <c r="S206" s="143"/>
      <c r="U206" s="1"/>
      <c r="V206" s="37"/>
      <c r="AA206" s="55"/>
    </row>
    <row r="207" spans="16:27" ht="8" customHeight="1" x14ac:dyDescent="0.35">
      <c r="P207" s="120"/>
      <c r="Q207" s="147"/>
      <c r="R207" s="121"/>
      <c r="S207" s="143"/>
      <c r="U207" s="1"/>
      <c r="V207" s="37"/>
      <c r="AA207" s="55"/>
    </row>
    <row r="208" spans="16:27" ht="15.5" x14ac:dyDescent="0.35">
      <c r="P208" s="120"/>
      <c r="Q208" s="147"/>
      <c r="R208" s="121"/>
      <c r="S208" s="143"/>
      <c r="U208" s="1"/>
      <c r="V208" s="37"/>
      <c r="AA208" s="55"/>
    </row>
    <row r="209" spans="3:27" ht="15.5" x14ac:dyDescent="0.35">
      <c r="P209" s="120"/>
      <c r="Q209" s="147"/>
      <c r="R209" s="121"/>
      <c r="S209" s="143"/>
      <c r="U209" s="1"/>
      <c r="V209" s="37"/>
      <c r="AA209" s="55"/>
    </row>
    <row r="210" spans="3:27" ht="15.5" x14ac:dyDescent="0.35">
      <c r="P210" s="120"/>
      <c r="Q210" s="147"/>
      <c r="R210" s="121"/>
      <c r="S210" s="143"/>
      <c r="U210" s="1"/>
      <c r="V210" s="37"/>
      <c r="AA210" s="55"/>
    </row>
    <row r="211" spans="3:27" ht="15.5" x14ac:dyDescent="0.35">
      <c r="P211" s="120"/>
      <c r="Q211" s="147"/>
      <c r="R211" s="121"/>
      <c r="S211" s="143"/>
      <c r="U211" s="1"/>
      <c r="V211" s="37"/>
      <c r="AA211" s="55"/>
    </row>
    <row r="212" spans="3:27" ht="15.5" x14ac:dyDescent="0.35">
      <c r="P212" s="120"/>
      <c r="Q212" s="147"/>
      <c r="R212" s="121"/>
      <c r="S212" s="143"/>
      <c r="U212" s="1"/>
      <c r="V212" s="37"/>
      <c r="AA212" s="55"/>
    </row>
    <row r="213" spans="3:27" ht="26" x14ac:dyDescent="0.6">
      <c r="C213" s="29" t="s">
        <v>321</v>
      </c>
      <c r="P213" s="120"/>
      <c r="Q213" s="147"/>
      <c r="R213" s="121"/>
      <c r="S213" s="143"/>
      <c r="U213" s="1"/>
      <c r="V213" s="37"/>
      <c r="AA213" s="55"/>
    </row>
    <row r="214" spans="3:27" ht="15.5" x14ac:dyDescent="0.35">
      <c r="P214" s="120"/>
      <c r="Q214" s="147"/>
      <c r="R214" s="121"/>
      <c r="S214" s="143"/>
      <c r="U214" s="1"/>
      <c r="V214" s="37"/>
      <c r="AA214" s="55"/>
    </row>
    <row r="215" spans="3:27" ht="15.5" x14ac:dyDescent="0.35">
      <c r="P215" s="120"/>
      <c r="Q215" s="147"/>
      <c r="R215" s="121"/>
      <c r="S215" s="143"/>
      <c r="U215" s="1"/>
      <c r="V215" s="37"/>
      <c r="AA215" s="55"/>
    </row>
    <row r="216" spans="3:27" ht="15.5" x14ac:dyDescent="0.35">
      <c r="P216" s="120"/>
      <c r="Q216" s="147"/>
      <c r="R216" s="121"/>
      <c r="S216" s="143"/>
      <c r="U216" s="1"/>
      <c r="V216" s="37"/>
      <c r="AA216" s="55"/>
    </row>
    <row r="217" spans="3:27" ht="15.5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  <c r="AA217" s="55"/>
    </row>
    <row r="218" spans="3:27" ht="15.5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  <c r="AA218" s="55"/>
    </row>
    <row r="219" spans="3:27" ht="15.5" x14ac:dyDescent="0.35">
      <c r="H219" s="168">
        <f>$W$273</f>
        <v>7.8930481283422456</v>
      </c>
      <c r="P219" s="120"/>
      <c r="Q219" s="147"/>
      <c r="R219" s="121"/>
      <c r="S219" s="143"/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  <c r="AA219" s="55"/>
    </row>
    <row r="220" spans="3:27" ht="15.5" x14ac:dyDescent="0.35">
      <c r="P220" s="120"/>
      <c r="Q220" s="147"/>
      <c r="R220" s="121"/>
      <c r="S220" s="143"/>
      <c r="U220" s="1"/>
      <c r="V220" s="37"/>
      <c r="AA220" s="55"/>
    </row>
    <row r="221" spans="3:27" ht="15.5" x14ac:dyDescent="0.35">
      <c r="D221" s="169">
        <f>$W$229</f>
        <v>7.8930481283422456</v>
      </c>
      <c r="P221" s="120"/>
      <c r="Q221" s="147"/>
      <c r="R221" s="121"/>
      <c r="S221" s="143"/>
      <c r="U221" s="1"/>
      <c r="V221" s="37"/>
      <c r="AA221" s="55"/>
    </row>
    <row r="222" spans="3:27" ht="15.5" x14ac:dyDescent="0.35">
      <c r="P222" s="120"/>
      <c r="Q222" s="147"/>
      <c r="R222" s="121"/>
      <c r="S222" s="143"/>
      <c r="U222" s="1"/>
      <c r="V222" s="37"/>
      <c r="AA222" s="55"/>
    </row>
    <row r="223" spans="3:27" ht="15.5" x14ac:dyDescent="0.35">
      <c r="P223" s="120"/>
      <c r="Q223" s="147"/>
      <c r="R223" s="121"/>
      <c r="S223" s="143"/>
      <c r="U223" s="1"/>
      <c r="V223" s="37"/>
      <c r="AA223" s="55"/>
    </row>
    <row r="224" spans="3:27" ht="15.5" x14ac:dyDescent="0.35">
      <c r="P224" s="120"/>
      <c r="Q224" s="147"/>
      <c r="R224" s="121"/>
      <c r="S224" s="143"/>
      <c r="U224" s="1"/>
      <c r="V224" s="37"/>
      <c r="AA224" s="55"/>
    </row>
    <row r="225" spans="9:27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  <c r="AA225" s="55"/>
    </row>
    <row r="226" spans="9:27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  <c r="AA226" s="55"/>
    </row>
    <row r="227" spans="9:27" ht="26" x14ac:dyDescent="0.6">
      <c r="P227" s="129"/>
      <c r="Q227" s="174"/>
      <c r="R227" s="128"/>
      <c r="S227" s="146"/>
      <c r="T227" s="128"/>
      <c r="U227" s="1"/>
      <c r="V227" s="37"/>
      <c r="AA227" s="55"/>
    </row>
    <row r="228" spans="9:27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  <c r="AA228" s="55"/>
    </row>
    <row r="229" spans="9:27" ht="30" x14ac:dyDescent="0.8">
      <c r="P229" s="120"/>
      <c r="Q229" s="147"/>
      <c r="R229" s="121"/>
      <c r="S229" s="143"/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  <c r="AA229" s="55"/>
    </row>
    <row r="230" spans="9:27" ht="26" x14ac:dyDescent="0.6">
      <c r="P230" s="120"/>
      <c r="Q230" s="147"/>
      <c r="R230" s="121"/>
      <c r="S230" s="143"/>
      <c r="U230" s="1"/>
      <c r="V230" s="37"/>
      <c r="W230" s="154"/>
      <c r="X230" s="128"/>
      <c r="AA230" s="55"/>
    </row>
    <row r="231" spans="9:27" ht="16" thickBot="1" x14ac:dyDescent="0.4">
      <c r="P231" s="120"/>
      <c r="Q231" s="147"/>
      <c r="R231" s="121"/>
      <c r="S231" s="143"/>
      <c r="U231" s="1"/>
      <c r="V231" s="37"/>
      <c r="AA231" s="55"/>
    </row>
    <row r="232" spans="9:27" ht="30.5" thickBot="1" x14ac:dyDescent="0.85">
      <c r="P232" s="120"/>
      <c r="Q232" s="147"/>
      <c r="R232" s="121"/>
      <c r="S232" s="143"/>
      <c r="U232" s="130" t="s">
        <v>369</v>
      </c>
      <c r="V232" s="203">
        <f>IF(W226+W229=W267,1,-1)</f>
        <v>1</v>
      </c>
      <c r="AA232" s="55"/>
    </row>
    <row r="233" spans="9:27" ht="15.5" x14ac:dyDescent="0.35">
      <c r="P233" s="120"/>
      <c r="Q233" s="147"/>
      <c r="R233" s="121"/>
      <c r="S233" s="143"/>
      <c r="U233" s="1"/>
      <c r="V233" s="37"/>
      <c r="AA233" s="55"/>
    </row>
    <row r="234" spans="9:27" ht="15.5" x14ac:dyDescent="0.35">
      <c r="P234" s="120"/>
      <c r="Q234" s="147"/>
      <c r="R234" s="121"/>
      <c r="S234" s="143"/>
      <c r="U234" s="1"/>
      <c r="V234" s="37"/>
      <c r="AA234" s="55"/>
    </row>
    <row r="235" spans="9:27" ht="15.5" x14ac:dyDescent="0.35">
      <c r="P235" s="120"/>
      <c r="Q235" s="147"/>
      <c r="R235" s="121"/>
      <c r="S235" s="143"/>
      <c r="U235" s="1"/>
      <c r="V235" s="37"/>
      <c r="AA235" s="55"/>
    </row>
    <row r="236" spans="9:27" ht="15.5" x14ac:dyDescent="0.35">
      <c r="P236" s="120"/>
      <c r="Q236" s="147"/>
      <c r="R236" s="121"/>
      <c r="S236" s="143"/>
      <c r="U236" s="1"/>
      <c r="V236" s="37"/>
      <c r="AA236" s="55"/>
    </row>
    <row r="237" spans="9:27" ht="15.5" x14ac:dyDescent="0.35">
      <c r="P237" s="120"/>
      <c r="Q237" s="147"/>
      <c r="R237" s="121"/>
      <c r="S237" s="143"/>
      <c r="U237" s="1"/>
      <c r="V237" s="37"/>
      <c r="AA237" s="55"/>
    </row>
    <row r="238" spans="9:27" ht="15.5" x14ac:dyDescent="0.35">
      <c r="P238" s="120"/>
      <c r="Q238" s="147"/>
      <c r="R238" s="121"/>
      <c r="S238" s="143"/>
      <c r="U238" s="1"/>
      <c r="V238" s="37"/>
      <c r="AA238" s="55"/>
    </row>
    <row r="239" spans="9:27" ht="4" customHeight="1" x14ac:dyDescent="0.35">
      <c r="P239" s="120"/>
      <c r="Q239" s="147"/>
      <c r="R239" s="121"/>
      <c r="S239" s="143"/>
      <c r="U239" s="1"/>
      <c r="V239" s="37"/>
      <c r="AA239" s="55"/>
    </row>
    <row r="240" spans="9:27" ht="4" customHeight="1" x14ac:dyDescent="0.35">
      <c r="P240" s="120"/>
      <c r="Q240" s="147"/>
      <c r="R240" s="121"/>
      <c r="S240" s="143"/>
      <c r="U240" s="1"/>
      <c r="V240" s="37"/>
      <c r="AA240" s="55"/>
    </row>
    <row r="241" spans="16:27" ht="4" customHeight="1" x14ac:dyDescent="0.35">
      <c r="P241" s="120"/>
      <c r="Q241" s="147"/>
      <c r="R241" s="121"/>
      <c r="S241" s="143"/>
      <c r="U241" s="1"/>
      <c r="V241" s="37"/>
      <c r="AA241" s="55"/>
    </row>
    <row r="242" spans="16:27" ht="4" customHeight="1" x14ac:dyDescent="0.35">
      <c r="P242" s="120"/>
      <c r="Q242" s="147"/>
      <c r="R242" s="121"/>
      <c r="S242" s="143"/>
      <c r="U242" s="1"/>
      <c r="V242" s="37"/>
      <c r="AA242" s="55"/>
    </row>
    <row r="243" spans="16:27" ht="4" customHeight="1" x14ac:dyDescent="0.35">
      <c r="P243" s="120"/>
      <c r="Q243" s="147"/>
      <c r="R243" s="121"/>
      <c r="S243" s="143"/>
      <c r="U243" s="1"/>
      <c r="V243" s="37"/>
      <c r="AA243" s="55"/>
    </row>
    <row r="244" spans="16:27" ht="4" customHeight="1" x14ac:dyDescent="0.35">
      <c r="P244" s="120"/>
      <c r="Q244" s="147"/>
      <c r="R244" s="121"/>
      <c r="S244" s="143"/>
      <c r="U244" s="1"/>
      <c r="V244" s="37"/>
      <c r="AA244" s="55"/>
    </row>
    <row r="245" spans="16:27" ht="4" customHeight="1" x14ac:dyDescent="0.35">
      <c r="P245" s="120"/>
      <c r="Q245" s="147"/>
      <c r="R245" s="121"/>
      <c r="S245" s="143"/>
      <c r="U245" s="1"/>
      <c r="V245" s="37"/>
      <c r="AA245" s="55"/>
    </row>
    <row r="246" spans="16:27" ht="4" customHeight="1" x14ac:dyDescent="0.35">
      <c r="P246" s="120"/>
      <c r="Q246" s="147"/>
      <c r="R246" s="121"/>
      <c r="S246" s="143"/>
      <c r="U246" s="1"/>
      <c r="V246" s="37"/>
      <c r="AA246" s="55"/>
    </row>
    <row r="247" spans="16:27" ht="4" customHeight="1" x14ac:dyDescent="0.35">
      <c r="P247" s="120"/>
      <c r="Q247" s="147"/>
      <c r="R247" s="121"/>
      <c r="S247" s="143"/>
      <c r="U247" s="1"/>
      <c r="V247" s="37"/>
      <c r="AA247" s="55"/>
    </row>
    <row r="248" spans="16:27" ht="4" customHeight="1" x14ac:dyDescent="0.35">
      <c r="P248" s="120"/>
      <c r="Q248" s="147"/>
      <c r="R248" s="121"/>
      <c r="S248" s="143"/>
      <c r="U248" s="1"/>
      <c r="V248" s="37"/>
      <c r="AA248" s="55"/>
    </row>
    <row r="249" spans="16:27" ht="4" customHeight="1" x14ac:dyDescent="0.35">
      <c r="P249" s="120"/>
      <c r="Q249" s="147"/>
      <c r="R249" s="121"/>
      <c r="S249" s="143"/>
      <c r="U249" s="1"/>
      <c r="V249" s="37"/>
      <c r="AA249" s="55"/>
    </row>
    <row r="250" spans="16:27" ht="4" customHeight="1" x14ac:dyDescent="0.35">
      <c r="P250" s="120"/>
      <c r="Q250" s="147"/>
      <c r="R250" s="121"/>
      <c r="S250" s="143"/>
      <c r="U250" s="1"/>
      <c r="V250" s="37"/>
      <c r="AA250" s="55"/>
    </row>
    <row r="251" spans="16:27" ht="4" customHeight="1" x14ac:dyDescent="0.35">
      <c r="P251" s="120"/>
      <c r="Q251" s="147"/>
      <c r="R251" s="121"/>
      <c r="S251" s="143"/>
      <c r="U251" s="1"/>
      <c r="V251" s="37"/>
      <c r="AA251" s="55"/>
    </row>
    <row r="252" spans="16:27" ht="4" customHeight="1" x14ac:dyDescent="0.35">
      <c r="P252" s="120"/>
      <c r="Q252" s="147"/>
      <c r="R252" s="121"/>
      <c r="S252" s="143"/>
      <c r="U252" s="1"/>
      <c r="V252" s="37"/>
      <c r="AA252" s="55"/>
    </row>
    <row r="253" spans="16:27" ht="4" customHeight="1" x14ac:dyDescent="0.35">
      <c r="P253" s="120"/>
      <c r="Q253" s="147"/>
      <c r="R253" s="121"/>
      <c r="S253" s="143"/>
      <c r="U253" s="1"/>
      <c r="V253" s="37"/>
      <c r="AA253" s="55"/>
    </row>
    <row r="254" spans="16:27" ht="4" customHeight="1" x14ac:dyDescent="0.35">
      <c r="P254" s="120"/>
      <c r="Q254" s="147"/>
      <c r="R254" s="121"/>
      <c r="S254" s="143"/>
      <c r="U254" s="1"/>
      <c r="V254" s="37"/>
      <c r="AA254" s="55"/>
    </row>
    <row r="255" spans="16:27" ht="4" customHeight="1" x14ac:dyDescent="0.35">
      <c r="P255" s="120"/>
      <c r="Q255" s="147"/>
      <c r="R255" s="121"/>
      <c r="S255" s="143"/>
      <c r="U255" s="1"/>
      <c r="V255" s="37"/>
      <c r="AA255" s="55"/>
    </row>
    <row r="256" spans="16:27" ht="15.5" x14ac:dyDescent="0.35">
      <c r="P256" s="120"/>
      <c r="Q256" s="147"/>
      <c r="R256" s="121"/>
      <c r="S256" s="143"/>
      <c r="U256" s="1"/>
      <c r="V256" s="37"/>
      <c r="AA256" s="55"/>
    </row>
    <row r="257" spans="3:27" ht="26" x14ac:dyDescent="0.6">
      <c r="C257" s="29" t="s">
        <v>320</v>
      </c>
      <c r="P257" s="120"/>
      <c r="Q257" s="147"/>
      <c r="R257" s="121"/>
      <c r="S257" s="143"/>
      <c r="U257" s="1"/>
      <c r="V257" s="37"/>
      <c r="AA257" s="55"/>
    </row>
    <row r="258" spans="3:27" ht="6.5" customHeight="1" x14ac:dyDescent="0.35">
      <c r="P258" s="120"/>
      <c r="Q258" s="147"/>
      <c r="R258" s="121"/>
      <c r="S258" s="143"/>
      <c r="U258" s="1"/>
      <c r="V258" s="37"/>
      <c r="AA258" s="55"/>
    </row>
    <row r="259" spans="3:27" ht="6.5" customHeight="1" x14ac:dyDescent="0.35">
      <c r="P259" s="120"/>
      <c r="Q259" s="147"/>
      <c r="R259" s="121"/>
      <c r="S259" s="143"/>
      <c r="U259" s="1"/>
      <c r="V259" s="37"/>
      <c r="AA259" s="55"/>
    </row>
    <row r="260" spans="3:27" ht="6.5" customHeight="1" x14ac:dyDescent="0.35">
      <c r="P260" s="120"/>
      <c r="Q260" s="147"/>
      <c r="R260" s="121"/>
      <c r="S260" s="143"/>
      <c r="U260" s="1"/>
      <c r="V260" s="37"/>
      <c r="AA260" s="55"/>
    </row>
    <row r="261" spans="3:27" ht="6.5" customHeight="1" x14ac:dyDescent="0.35">
      <c r="P261" s="120"/>
      <c r="Q261" s="147"/>
      <c r="R261" s="121"/>
      <c r="S261" s="143"/>
      <c r="U261" s="1"/>
      <c r="V261" s="37"/>
      <c r="AA261" s="55"/>
    </row>
    <row r="262" spans="3:27" ht="6.5" customHeight="1" x14ac:dyDescent="0.35">
      <c r="P262" s="120"/>
      <c r="Q262" s="147"/>
      <c r="R262" s="121"/>
      <c r="S262" s="143"/>
      <c r="U262" s="1"/>
      <c r="V262" s="37"/>
      <c r="AA262" s="55"/>
    </row>
    <row r="263" spans="3:27" ht="7" customHeight="1" x14ac:dyDescent="0.35">
      <c r="P263" s="120"/>
      <c r="Q263" s="147"/>
      <c r="R263" s="121"/>
      <c r="S263" s="143"/>
      <c r="U263" s="1"/>
      <c r="V263" s="37"/>
      <c r="AA263" s="55"/>
    </row>
    <row r="264" spans="3:27" ht="7" customHeight="1" x14ac:dyDescent="0.35">
      <c r="P264" s="120"/>
      <c r="Q264" s="147"/>
      <c r="R264" s="121"/>
      <c r="S264" s="143"/>
      <c r="U264" s="1"/>
      <c r="V264" s="37"/>
      <c r="AA264" s="55"/>
    </row>
    <row r="265" spans="3:27" ht="7" customHeight="1" x14ac:dyDescent="0.35">
      <c r="P265" s="120"/>
      <c r="Q265" s="147"/>
      <c r="R265" s="121"/>
      <c r="S265" s="143"/>
      <c r="U265" s="1"/>
      <c r="V265" s="37"/>
      <c r="AA265" s="55"/>
    </row>
    <row r="266" spans="3:27" ht="15.5" x14ac:dyDescent="0.35">
      <c r="P266" s="120"/>
      <c r="Q266" s="147"/>
      <c r="R266" s="121"/>
      <c r="S266" s="143"/>
      <c r="U266" s="1"/>
      <c r="V266" s="37"/>
      <c r="AA266" s="55"/>
    </row>
    <row r="267" spans="3:27" ht="15.5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  <c r="AA267" s="55"/>
    </row>
    <row r="268" spans="3:27" ht="15.5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  <c r="AA268" s="55"/>
    </row>
    <row r="269" spans="3:27" ht="15.5" x14ac:dyDescent="0.35">
      <c r="P269" s="120"/>
      <c r="Q269" s="147"/>
      <c r="R269" s="121"/>
      <c r="S269" s="143"/>
      <c r="U269" s="1"/>
      <c r="V269" s="37"/>
      <c r="AA269" s="55"/>
    </row>
    <row r="270" spans="3:27" ht="15.5" x14ac:dyDescent="0.35">
      <c r="P270" s="120"/>
      <c r="Q270" s="147"/>
      <c r="R270" s="121"/>
      <c r="S270" s="143"/>
      <c r="U270" s="1"/>
      <c r="V270" s="37"/>
      <c r="AA270" s="55"/>
    </row>
    <row r="271" spans="3:27" ht="15.5" x14ac:dyDescent="0.35">
      <c r="P271" s="120"/>
      <c r="Q271" s="147"/>
      <c r="R271" s="121"/>
      <c r="S271" s="143"/>
      <c r="U271" s="1"/>
      <c r="V271" s="37"/>
      <c r="AA271" s="55"/>
    </row>
    <row r="272" spans="3:27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  <c r="AA272" s="55"/>
    </row>
    <row r="273" spans="9:27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  <c r="AA273" s="55"/>
    </row>
    <row r="274" spans="9:27" ht="15.5" x14ac:dyDescent="0.35">
      <c r="P274" s="120"/>
      <c r="Q274" s="147"/>
      <c r="R274" s="121"/>
      <c r="S274" s="143"/>
      <c r="U274" s="1"/>
      <c r="V274" s="37"/>
      <c r="AA274" s="55"/>
    </row>
    <row r="275" spans="9:27" ht="15.5" x14ac:dyDescent="0.35">
      <c r="P275" s="120"/>
      <c r="Q275" s="147"/>
      <c r="R275" s="121"/>
      <c r="S275" s="143"/>
      <c r="U275" s="1"/>
      <c r="V275" s="37"/>
      <c r="AA275" s="55"/>
    </row>
    <row r="276" spans="9:27" ht="15.5" x14ac:dyDescent="0.35">
      <c r="P276" s="120"/>
      <c r="Q276" s="147"/>
      <c r="R276" s="121"/>
      <c r="S276" s="143"/>
      <c r="U276" s="1"/>
      <c r="V276" s="37"/>
      <c r="AA276" s="55"/>
    </row>
    <row r="277" spans="9:27" ht="15.5" x14ac:dyDescent="0.35">
      <c r="P277" s="120"/>
      <c r="Q277" s="147"/>
      <c r="R277" s="121"/>
      <c r="S277" s="143"/>
      <c r="U277" s="1"/>
      <c r="V277" s="37"/>
      <c r="AA277" s="55"/>
    </row>
    <row r="278" spans="9:27" ht="15.5" x14ac:dyDescent="0.35">
      <c r="P278" s="120"/>
      <c r="Q278" s="147"/>
      <c r="R278" s="121"/>
      <c r="S278" s="143"/>
      <c r="U278" s="1"/>
      <c r="V278" s="37"/>
      <c r="AA278" s="55"/>
    </row>
    <row r="279" spans="9:27" ht="15.5" x14ac:dyDescent="0.35">
      <c r="P279" s="120"/>
      <c r="Q279" s="147"/>
      <c r="R279" s="121"/>
      <c r="S279" s="143"/>
      <c r="U279" s="1"/>
      <c r="V279" s="37"/>
      <c r="AA279" s="55"/>
    </row>
    <row r="280" spans="9:27" ht="15.5" x14ac:dyDescent="0.35">
      <c r="P280" s="120"/>
      <c r="Q280" s="147"/>
      <c r="R280" s="121"/>
      <c r="S280" s="143"/>
      <c r="U280" s="1"/>
      <c r="V280" s="37"/>
      <c r="AA280" s="55"/>
    </row>
    <row r="281" spans="9:27" ht="15.5" x14ac:dyDescent="0.35">
      <c r="P281" s="120"/>
      <c r="Q281" s="147"/>
      <c r="R281" s="121"/>
      <c r="S281" s="143"/>
      <c r="U281" s="1"/>
      <c r="V281" s="37"/>
      <c r="AA281" s="55"/>
    </row>
    <row r="282" spans="9:27" ht="15.5" x14ac:dyDescent="0.35">
      <c r="P282" s="120"/>
      <c r="Q282" s="147"/>
      <c r="R282" s="121"/>
      <c r="S282" s="143"/>
      <c r="U282" s="1"/>
      <c r="V282" s="37"/>
      <c r="AA282" s="55"/>
    </row>
    <row r="283" spans="9:27" ht="15.5" x14ac:dyDescent="0.35">
      <c r="P283" s="120"/>
      <c r="Q283" s="147"/>
      <c r="R283" s="121"/>
      <c r="S283" s="143"/>
      <c r="U283" s="1"/>
      <c r="V283" s="37"/>
      <c r="AA283" s="55"/>
    </row>
    <row r="284" spans="9:27" ht="15.5" x14ac:dyDescent="0.35">
      <c r="P284" s="120"/>
      <c r="Q284" s="147"/>
      <c r="R284" s="121"/>
      <c r="S284" s="143"/>
      <c r="U284" s="1"/>
      <c r="V284" s="37"/>
      <c r="AA284" s="55"/>
    </row>
    <row r="285" spans="9:27" ht="15.5" x14ac:dyDescent="0.35">
      <c r="P285" s="120"/>
      <c r="Q285" s="147"/>
      <c r="R285" s="121"/>
      <c r="S285" s="143"/>
      <c r="U285" s="1"/>
      <c r="V285" s="37"/>
      <c r="AA285" s="55"/>
    </row>
  </sheetData>
  <pageMargins left="0.7" right="0.7" top="0.78740157499999996" bottom="0.78740157499999996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9BC1C921-8A7C-4043-8F5A-6A2CA2797CEE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4607DC92-ECD0-4971-AA83-96ACFDE9B15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A28A9E30-55EF-4D65-AEA8-ADEFA80613F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D647EB0F-1563-4863-86E6-6D27818CC4C9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51F77C4E-1D6D-4316-89A2-4DAD33F460B1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496A24DC-8642-4524-80B7-B244D049980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B2:AM42"/>
  <sheetViews>
    <sheetView showGridLines="0" topLeftCell="A6" zoomScale="130" zoomScaleNormal="130" workbookViewId="0">
      <selection activeCell="B15" sqref="B15"/>
    </sheetView>
  </sheetViews>
  <sheetFormatPr baseColWidth="10" defaultRowHeight="14.5" x14ac:dyDescent="0.35"/>
  <cols>
    <col min="3" max="3" width="13.08984375" customWidth="1"/>
    <col min="7" max="7" width="12.453125" customWidth="1"/>
    <col min="8" max="8" width="17.36328125" customWidth="1"/>
    <col min="12" max="12" width="17.90625" customWidth="1"/>
    <col min="14" max="14" width="4.08984375" customWidth="1"/>
    <col min="15" max="15" width="6.1796875" customWidth="1"/>
    <col min="18" max="18" width="20" customWidth="1"/>
  </cols>
  <sheetData>
    <row r="2" spans="3:23" ht="23.5" x14ac:dyDescent="0.55000000000000004">
      <c r="C2" s="9" t="s">
        <v>922</v>
      </c>
    </row>
    <row r="7" spans="3:23" ht="16.5" x14ac:dyDescent="0.45">
      <c r="H7" s="5" t="s">
        <v>923</v>
      </c>
      <c r="K7" s="5" t="s">
        <v>866</v>
      </c>
      <c r="L7" s="8" t="s">
        <v>927</v>
      </c>
      <c r="M7" s="4">
        <v>1</v>
      </c>
      <c r="N7" s="4" t="s">
        <v>694</v>
      </c>
      <c r="O7" s="5" t="str">
        <f>Einheitenvorsätze!$B$61</f>
        <v>Ω</v>
      </c>
      <c r="P7" s="77">
        <f>VLOOKUP(N7, CHOOSE({1,2,3,4,5}, Einheitenvorsätze!A:A, Einheitenvorsätze!B:B, Einheitenvorsätze!C:C, Einheitenvorsätze!D:D, Einheitenvorsätze!E:E), 5, FALSE)</f>
        <v>3</v>
      </c>
      <c r="Q7" s="77">
        <f>M7*VLOOKUP(N7, CHOOSE({1,2,3,4}, Einheitenvorsätze!A:A, Einheitenvorsätze!B:B, Einheitenvorsätze!C:C, Einheitenvorsätze!D:D), 3, FALSE)</f>
        <v>1000</v>
      </c>
      <c r="R7" s="8" t="s">
        <v>939</v>
      </c>
      <c r="S7" s="4">
        <v>2.4</v>
      </c>
      <c r="T7" s="4" t="s">
        <v>694</v>
      </c>
      <c r="U7" s="5" t="str">
        <f>Einheitenvorsätze!$B$61</f>
        <v>Ω</v>
      </c>
      <c r="V7" s="77">
        <f>VLOOKUP(T7, CHOOSE({1,2,3,4,5}, Einheitenvorsätze!A:A, Einheitenvorsätze!B:B, Einheitenvorsätze!C:C, Einheitenvorsätze!D:D, Einheitenvorsätze!E:E), 5, FALSE)</f>
        <v>3</v>
      </c>
      <c r="W7" s="77">
        <f>S7*VLOOKUP(T7, CHOOSE({1,2,3,4}, Einheitenvorsätze!A:A, Einheitenvorsätze!B:B, Einheitenvorsätze!C:C, Einheitenvorsätze!D:D), 3, FALSE)</f>
        <v>2400</v>
      </c>
    </row>
    <row r="8" spans="3:23" ht="16.5" x14ac:dyDescent="0.45">
      <c r="H8" s="5"/>
      <c r="K8" s="5"/>
      <c r="L8" s="8" t="s">
        <v>928</v>
      </c>
      <c r="M8" s="4">
        <v>3</v>
      </c>
      <c r="N8" s="4" t="s">
        <v>694</v>
      </c>
      <c r="O8" s="5" t="str">
        <f>Einheitenvorsätze!$B$61</f>
        <v>Ω</v>
      </c>
      <c r="P8" s="77">
        <f>VLOOKUP(N8, CHOOSE({1,2,3,4,5}, Einheitenvorsätze!A:A, Einheitenvorsätze!B:B, Einheitenvorsätze!C:C, Einheitenvorsätze!D:D, Einheitenvorsätze!E:E), 5, FALSE)</f>
        <v>3</v>
      </c>
      <c r="Q8" s="77">
        <f>M8*VLOOKUP(N8, CHOOSE({1,2,3,4}, Einheitenvorsätze!A:A, Einheitenvorsätze!B:B, Einheitenvorsätze!C:C, Einheitenvorsätze!D:D), 3, FALSE)</f>
        <v>3000</v>
      </c>
      <c r="R8" s="8" t="s">
        <v>940</v>
      </c>
      <c r="S8" s="4">
        <v>7.2</v>
      </c>
      <c r="T8" s="4" t="s">
        <v>694</v>
      </c>
      <c r="U8" s="5" t="str">
        <f>Einheitenvorsätze!$B$61</f>
        <v>Ω</v>
      </c>
      <c r="V8" s="77">
        <f>VLOOKUP(T8, CHOOSE({1,2,3,4,5}, Einheitenvorsätze!A:A, Einheitenvorsätze!B:B, Einheitenvorsätze!C:C, Einheitenvorsätze!D:D, Einheitenvorsätze!E:E), 5, FALSE)</f>
        <v>3</v>
      </c>
      <c r="W8" s="77">
        <f>S8*VLOOKUP(T8, CHOOSE({1,2,3,4}, Einheitenvorsätze!A:A, Einheitenvorsätze!B:B, Einheitenvorsätze!C:C, Einheitenvorsätze!D:D), 3, FALSE)</f>
        <v>7200</v>
      </c>
    </row>
    <row r="9" spans="3:23" ht="16.5" x14ac:dyDescent="0.45">
      <c r="H9" s="434" t="s">
        <v>924</v>
      </c>
      <c r="K9" s="5"/>
      <c r="L9" s="8" t="s">
        <v>929</v>
      </c>
      <c r="M9" s="4">
        <v>3</v>
      </c>
      <c r="N9" s="4" t="s">
        <v>694</v>
      </c>
      <c r="O9" s="5" t="str">
        <f>Einheitenvorsätze!$B$61</f>
        <v>Ω</v>
      </c>
      <c r="P9" s="77">
        <f>VLOOKUP(N9, CHOOSE({1,2,3,4,5}, Einheitenvorsätze!A:A, Einheitenvorsätze!B:B, Einheitenvorsätze!C:C, Einheitenvorsätze!D:D, Einheitenvorsätze!E:E), 5, FALSE)</f>
        <v>3</v>
      </c>
      <c r="Q9" s="77">
        <f>M9*VLOOKUP(N9, CHOOSE({1,2,3,4}, Einheitenvorsätze!A:A, Einheitenvorsätze!B:B, Einheitenvorsätze!C:C, Einheitenvorsätze!D:D), 3, FALSE)</f>
        <v>3000</v>
      </c>
    </row>
    <row r="10" spans="3:23" ht="16.5" x14ac:dyDescent="0.45">
      <c r="H10" s="434" t="s">
        <v>925</v>
      </c>
      <c r="K10" s="5"/>
      <c r="L10" s="8" t="s">
        <v>930</v>
      </c>
      <c r="M10" s="4">
        <v>12</v>
      </c>
      <c r="N10" s="4" t="s">
        <v>703</v>
      </c>
      <c r="O10" s="5" t="s">
        <v>316</v>
      </c>
      <c r="P10" s="77">
        <f>VLOOKUP(N10, CHOOSE({1,2,3,4,5}, Einheitenvorsätze!A:A, Einheitenvorsätze!B:B, Einheitenvorsätze!C:C, Einheitenvorsätze!D:D, Einheitenvorsätze!E:E), 5, FALSE)</f>
        <v>0</v>
      </c>
      <c r="Q10" s="77">
        <f>M10*VLOOKUP(N10, CHOOSE({1,2,3,4}, Einheitenvorsätze!A:A, Einheitenvorsätze!B:B, Einheitenvorsätze!C:C, Einheitenvorsätze!D:D), 3, FALSE)</f>
        <v>12</v>
      </c>
    </row>
    <row r="11" spans="3:23" ht="16.5" x14ac:dyDescent="0.45">
      <c r="H11" s="5"/>
      <c r="L11" s="8" t="s">
        <v>941</v>
      </c>
      <c r="M11" s="5"/>
      <c r="N11" s="5"/>
      <c r="O11" s="5"/>
      <c r="P11" s="5"/>
      <c r="Q11" s="77">
        <f>Q7/Q8</f>
        <v>0.33333333333333331</v>
      </c>
      <c r="R11" s="8" t="s">
        <v>942</v>
      </c>
      <c r="S11" s="5"/>
      <c r="T11" s="5"/>
      <c r="U11" s="5"/>
      <c r="V11" s="5"/>
      <c r="W11" s="77">
        <f>W7/W8</f>
        <v>0.33333333333333331</v>
      </c>
    </row>
    <row r="12" spans="3:23" ht="16.5" x14ac:dyDescent="0.45">
      <c r="H12" s="298" t="s">
        <v>926</v>
      </c>
      <c r="L12" s="8" t="s">
        <v>945</v>
      </c>
      <c r="M12" s="5"/>
      <c r="N12" s="5"/>
      <c r="O12" s="5"/>
      <c r="P12" s="5"/>
      <c r="Q12" s="77">
        <f>1-Q7/(Q7+Q8)</f>
        <v>0.75</v>
      </c>
      <c r="R12" s="8" t="s">
        <v>945</v>
      </c>
      <c r="S12" s="5"/>
      <c r="T12" s="5"/>
      <c r="U12" s="5"/>
      <c r="V12" s="5"/>
      <c r="W12" s="77">
        <f>1-W7/(W7+W8)</f>
        <v>0.75</v>
      </c>
    </row>
    <row r="13" spans="3:23" ht="16.5" x14ac:dyDescent="0.45">
      <c r="L13" s="8" t="s">
        <v>946</v>
      </c>
      <c r="M13" s="5"/>
      <c r="N13" s="5"/>
      <c r="O13" s="5"/>
      <c r="P13" s="5"/>
      <c r="Q13" s="77">
        <f>$M$10*Q12</f>
        <v>9</v>
      </c>
      <c r="R13" s="8" t="s">
        <v>946</v>
      </c>
      <c r="S13" s="5"/>
      <c r="T13" s="5"/>
      <c r="U13" s="5"/>
      <c r="V13" s="5"/>
      <c r="W13" s="77">
        <f>$M$10*W12</f>
        <v>9</v>
      </c>
    </row>
    <row r="14" spans="3:23" ht="16.5" x14ac:dyDescent="0.45">
      <c r="K14" s="8" t="s">
        <v>931</v>
      </c>
      <c r="L14" s="95" t="s">
        <v>932</v>
      </c>
      <c r="M14" s="77">
        <f>Q7 + (1/(1/Q8 + 1/Q9))</f>
        <v>2500</v>
      </c>
      <c r="N14" s="5" t="str">
        <f>Einheitenvorsätze!$B$61</f>
        <v>Ω</v>
      </c>
    </row>
    <row r="15" spans="3:23" ht="16.5" x14ac:dyDescent="0.45">
      <c r="K15" s="292" t="s">
        <v>933</v>
      </c>
      <c r="L15" s="95" t="s">
        <v>934</v>
      </c>
      <c r="M15" s="77">
        <f>Q10/M14</f>
        <v>4.7999999999999996E-3</v>
      </c>
      <c r="N15" s="5" t="s">
        <v>38</v>
      </c>
    </row>
    <row r="16" spans="3:23" ht="16.5" x14ac:dyDescent="0.45">
      <c r="K16" s="293" t="s">
        <v>935</v>
      </c>
      <c r="L16" s="95" t="s">
        <v>936</v>
      </c>
      <c r="M16" s="77">
        <f>Q7*M15</f>
        <v>4.8</v>
      </c>
      <c r="N16" s="5" t="s">
        <v>316</v>
      </c>
    </row>
    <row r="17" spans="2:39" ht="16.5" x14ac:dyDescent="0.45">
      <c r="K17" s="293" t="s">
        <v>937</v>
      </c>
      <c r="L17" s="95" t="s">
        <v>938</v>
      </c>
      <c r="M17" s="77">
        <f>Q10-M16</f>
        <v>7.2</v>
      </c>
      <c r="N17" s="5" t="s">
        <v>316</v>
      </c>
    </row>
    <row r="26" spans="2:39" x14ac:dyDescent="0.35">
      <c r="C26" s="8" t="s">
        <v>313</v>
      </c>
      <c r="D26" s="4">
        <v>1</v>
      </c>
      <c r="E26" s="4" t="s">
        <v>694</v>
      </c>
      <c r="F26" s="77">
        <f>$D$26*VLOOKUP(E26, CHOOSE({1,2,3,4}, Einheitenvorsätze!A:A, Einheitenvorsätze!B:B, Einheitenvorsätze!C:C, Einheitenvorsätze!D:D), 3, FALSE)</f>
        <v>1000</v>
      </c>
    </row>
    <row r="27" spans="2:39" ht="16.5" x14ac:dyDescent="0.45">
      <c r="B27" s="5"/>
      <c r="C27" s="8" t="s">
        <v>929</v>
      </c>
      <c r="D27" s="4">
        <v>0</v>
      </c>
      <c r="E27" s="77">
        <f>D27+$F$26</f>
        <v>1000</v>
      </c>
      <c r="F27" s="77">
        <f t="shared" ref="F27:AM27" si="0">E27+$F$26</f>
        <v>2000</v>
      </c>
      <c r="G27" s="77">
        <f t="shared" si="0"/>
        <v>3000</v>
      </c>
      <c r="H27" s="77">
        <f t="shared" si="0"/>
        <v>4000</v>
      </c>
      <c r="I27" s="77">
        <f t="shared" si="0"/>
        <v>5000</v>
      </c>
      <c r="J27" s="77">
        <f t="shared" si="0"/>
        <v>6000</v>
      </c>
      <c r="K27" s="77">
        <f t="shared" si="0"/>
        <v>7000</v>
      </c>
      <c r="L27" s="77">
        <f t="shared" si="0"/>
        <v>8000</v>
      </c>
      <c r="M27" s="77">
        <f t="shared" si="0"/>
        <v>9000</v>
      </c>
      <c r="N27" s="77">
        <f t="shared" si="0"/>
        <v>10000</v>
      </c>
      <c r="O27" s="77">
        <f t="shared" si="0"/>
        <v>11000</v>
      </c>
      <c r="P27" s="77">
        <f t="shared" si="0"/>
        <v>12000</v>
      </c>
      <c r="Q27" s="77">
        <f t="shared" si="0"/>
        <v>13000</v>
      </c>
      <c r="R27" s="77">
        <f t="shared" si="0"/>
        <v>14000</v>
      </c>
      <c r="S27" s="77">
        <f t="shared" si="0"/>
        <v>15000</v>
      </c>
      <c r="T27" s="77">
        <f t="shared" si="0"/>
        <v>16000</v>
      </c>
      <c r="U27" s="77">
        <f t="shared" si="0"/>
        <v>17000</v>
      </c>
      <c r="V27" s="77">
        <f t="shared" si="0"/>
        <v>18000</v>
      </c>
      <c r="W27" s="77">
        <f t="shared" si="0"/>
        <v>19000</v>
      </c>
      <c r="X27" s="77">
        <f t="shared" si="0"/>
        <v>20000</v>
      </c>
      <c r="Y27" s="77">
        <f t="shared" si="0"/>
        <v>21000</v>
      </c>
      <c r="Z27" s="77">
        <f t="shared" si="0"/>
        <v>22000</v>
      </c>
      <c r="AA27" s="77">
        <f t="shared" si="0"/>
        <v>23000</v>
      </c>
      <c r="AB27" s="77">
        <f t="shared" si="0"/>
        <v>24000</v>
      </c>
      <c r="AC27" s="77">
        <f t="shared" si="0"/>
        <v>25000</v>
      </c>
      <c r="AD27" s="77">
        <f t="shared" si="0"/>
        <v>26000</v>
      </c>
      <c r="AE27" s="77">
        <f t="shared" si="0"/>
        <v>27000</v>
      </c>
      <c r="AF27" s="77">
        <f t="shared" si="0"/>
        <v>28000</v>
      </c>
      <c r="AG27" s="77">
        <f t="shared" si="0"/>
        <v>29000</v>
      </c>
      <c r="AH27" s="77">
        <f t="shared" si="0"/>
        <v>30000</v>
      </c>
      <c r="AI27" s="77">
        <f t="shared" si="0"/>
        <v>31000</v>
      </c>
      <c r="AJ27" s="77">
        <f t="shared" si="0"/>
        <v>32000</v>
      </c>
      <c r="AK27" s="77">
        <f t="shared" si="0"/>
        <v>33000</v>
      </c>
      <c r="AL27" s="77">
        <f t="shared" si="0"/>
        <v>34000</v>
      </c>
      <c r="AM27" s="77">
        <f t="shared" si="0"/>
        <v>35000</v>
      </c>
    </row>
    <row r="28" spans="2:39" ht="16.5" x14ac:dyDescent="0.45">
      <c r="B28" s="8" t="s">
        <v>931</v>
      </c>
      <c r="C28" s="95" t="s">
        <v>932</v>
      </c>
      <c r="D28" s="212">
        <f>IF(D27=0,$Q$7,$Q$7 + (1/(1/$Q$8 + 1/D27)))</f>
        <v>1000</v>
      </c>
      <c r="E28" s="212">
        <f t="shared" ref="E28:H28" si="1">$Q$7 + (1/(1/$Q$8 + 1/E27))</f>
        <v>1750</v>
      </c>
      <c r="F28" s="212">
        <f t="shared" si="1"/>
        <v>2200</v>
      </c>
      <c r="G28" s="212">
        <f t="shared" si="1"/>
        <v>2500</v>
      </c>
      <c r="H28" s="212">
        <f t="shared" si="1"/>
        <v>2714.2857142857147</v>
      </c>
      <c r="I28" s="212">
        <f t="shared" ref="I28" si="2">$Q$7 + (1/(1/$Q$8 + 1/I27))</f>
        <v>2875</v>
      </c>
      <c r="J28" s="212">
        <f t="shared" ref="J28" si="3">$Q$7 + (1/(1/$Q$8 + 1/J27))</f>
        <v>3000</v>
      </c>
      <c r="K28" s="212">
        <f t="shared" ref="K28:L28" si="4">$Q$7 + (1/(1/$Q$8 + 1/K27))</f>
        <v>3100</v>
      </c>
      <c r="L28" s="212">
        <f t="shared" si="4"/>
        <v>3181.818181818182</v>
      </c>
      <c r="M28" s="212">
        <f t="shared" ref="M28" si="5">$Q$7 + (1/(1/$Q$8 + 1/M27))</f>
        <v>3250</v>
      </c>
      <c r="N28" s="212">
        <f t="shared" ref="N28" si="6">$Q$7 + (1/(1/$Q$8 + 1/N27))</f>
        <v>3307.6923076923076</v>
      </c>
      <c r="O28" s="212">
        <f t="shared" ref="O28:P28" si="7">$Q$7 + (1/(1/$Q$8 + 1/O27))</f>
        <v>3357.1428571428573</v>
      </c>
      <c r="P28" s="212">
        <f t="shared" si="7"/>
        <v>3400</v>
      </c>
      <c r="Q28" s="212">
        <f t="shared" ref="Q28" si="8">$Q$7 + (1/(1/$Q$8 + 1/Q27))</f>
        <v>3437.5</v>
      </c>
      <c r="R28" s="212">
        <f t="shared" ref="R28" si="9">$Q$7 + (1/(1/$Q$8 + 1/R27))</f>
        <v>3470.588235294118</v>
      </c>
      <c r="S28" s="212">
        <f t="shared" ref="S28:T28" si="10">$Q$7 + (1/(1/$Q$8 + 1/S27))</f>
        <v>3500</v>
      </c>
      <c r="T28" s="212">
        <f t="shared" si="10"/>
        <v>3526.3157894736842</v>
      </c>
      <c r="U28" s="212">
        <f t="shared" ref="U28" si="11">$Q$7 + (1/(1/$Q$8 + 1/U27))</f>
        <v>3550</v>
      </c>
      <c r="V28" s="212">
        <f t="shared" ref="V28" si="12">$Q$7 + (1/(1/$Q$8 + 1/V27))</f>
        <v>3571.4285714285716</v>
      </c>
      <c r="W28" s="212">
        <f t="shared" ref="W28:X28" si="13">$Q$7 + (1/(1/$Q$8 + 1/W27))</f>
        <v>3590.909090909091</v>
      </c>
      <c r="X28" s="212">
        <f t="shared" si="13"/>
        <v>3608.695652173913</v>
      </c>
      <c r="Y28" s="212">
        <f t="shared" ref="Y28" si="14">$Q$7 + (1/(1/$Q$8 + 1/Y27))</f>
        <v>3625</v>
      </c>
      <c r="Z28" s="212">
        <f t="shared" ref="Z28" si="15">$Q$7 + (1/(1/$Q$8 + 1/Z27))</f>
        <v>3640</v>
      </c>
      <c r="AA28" s="212">
        <f t="shared" ref="AA28:AB28" si="16">$Q$7 + (1/(1/$Q$8 + 1/AA27))</f>
        <v>3653.8461538461538</v>
      </c>
      <c r="AB28" s="212">
        <f t="shared" si="16"/>
        <v>3666.6666666666665</v>
      </c>
      <c r="AC28" s="212">
        <f t="shared" ref="AC28" si="17">$Q$7 + (1/(1/$Q$8 + 1/AC27))</f>
        <v>3678.5714285714289</v>
      </c>
      <c r="AD28" s="212">
        <f t="shared" ref="AD28" si="18">$Q$7 + (1/(1/$Q$8 + 1/AD27))</f>
        <v>3689.655172413793</v>
      </c>
      <c r="AE28" s="212">
        <f t="shared" ref="AE28:AF28" si="19">$Q$7 + (1/(1/$Q$8 + 1/AE27))</f>
        <v>3700</v>
      </c>
      <c r="AF28" s="212">
        <f t="shared" si="19"/>
        <v>3709.6774193548385</v>
      </c>
      <c r="AG28" s="212">
        <f t="shared" ref="AG28" si="20">$Q$7 + (1/(1/$Q$8 + 1/AG27))</f>
        <v>3718.75</v>
      </c>
      <c r="AH28" s="212">
        <f t="shared" ref="AH28" si="21">$Q$7 + (1/(1/$Q$8 + 1/AH27))</f>
        <v>3727.272727272727</v>
      </c>
      <c r="AI28" s="212">
        <f t="shared" ref="AI28:AJ28" si="22">$Q$7 + (1/(1/$Q$8 + 1/AI27))</f>
        <v>3735.2941176470586</v>
      </c>
      <c r="AJ28" s="212">
        <f t="shared" si="22"/>
        <v>3742.8571428571431</v>
      </c>
      <c r="AK28" s="212">
        <f t="shared" ref="AK28" si="23">$Q$7 + (1/(1/$Q$8 + 1/AK27))</f>
        <v>3750</v>
      </c>
      <c r="AL28" s="212">
        <f t="shared" ref="AL28" si="24">$Q$7 + (1/(1/$Q$8 + 1/AL27))</f>
        <v>3756.7567567567567</v>
      </c>
      <c r="AM28" s="212">
        <f t="shared" ref="AM28" si="25">$Q$7 + (1/(1/$Q$8 + 1/AM27))</f>
        <v>3763.1578947368421</v>
      </c>
    </row>
    <row r="29" spans="2:39" ht="16.5" x14ac:dyDescent="0.45">
      <c r="B29" s="292" t="s">
        <v>933</v>
      </c>
      <c r="C29" s="95" t="s">
        <v>934</v>
      </c>
      <c r="D29" s="212">
        <f>$Q$10/D28</f>
        <v>1.2E-2</v>
      </c>
      <c r="E29" s="212">
        <f t="shared" ref="E29:AM29" si="26">$Q$10/E28</f>
        <v>6.8571428571428568E-3</v>
      </c>
      <c r="F29" s="212">
        <f t="shared" si="26"/>
        <v>5.454545454545455E-3</v>
      </c>
      <c r="G29" s="212">
        <f t="shared" si="26"/>
        <v>4.7999999999999996E-3</v>
      </c>
      <c r="H29" s="212">
        <f t="shared" si="26"/>
        <v>4.4210526315789471E-3</v>
      </c>
      <c r="I29" s="212">
        <f t="shared" si="26"/>
        <v>4.1739130434782605E-3</v>
      </c>
      <c r="J29" s="212">
        <f t="shared" si="26"/>
        <v>4.0000000000000001E-3</v>
      </c>
      <c r="K29" s="212">
        <f t="shared" si="26"/>
        <v>3.8709677419354839E-3</v>
      </c>
      <c r="L29" s="212">
        <f t="shared" si="26"/>
        <v>3.7714285714285714E-3</v>
      </c>
      <c r="M29" s="212">
        <f t="shared" si="26"/>
        <v>3.6923076923076922E-3</v>
      </c>
      <c r="N29" s="212">
        <f t="shared" si="26"/>
        <v>3.6279069767441862E-3</v>
      </c>
      <c r="O29" s="212">
        <f t="shared" si="26"/>
        <v>3.5744680851063828E-3</v>
      </c>
      <c r="P29" s="212">
        <f t="shared" si="26"/>
        <v>3.5294117647058825E-3</v>
      </c>
      <c r="Q29" s="212">
        <f t="shared" si="26"/>
        <v>3.490909090909091E-3</v>
      </c>
      <c r="R29" s="212">
        <f t="shared" si="26"/>
        <v>3.4576271186440672E-3</v>
      </c>
      <c r="S29" s="212">
        <f t="shared" si="26"/>
        <v>3.4285714285714284E-3</v>
      </c>
      <c r="T29" s="212">
        <f t="shared" si="26"/>
        <v>3.4029850746268657E-3</v>
      </c>
      <c r="U29" s="212">
        <f t="shared" si="26"/>
        <v>3.3802816901408453E-3</v>
      </c>
      <c r="V29" s="212">
        <f t="shared" si="26"/>
        <v>3.3599999999999997E-3</v>
      </c>
      <c r="W29" s="212">
        <f t="shared" si="26"/>
        <v>3.3417721518987343E-3</v>
      </c>
      <c r="X29" s="212">
        <f t="shared" si="26"/>
        <v>3.3253012048192771E-3</v>
      </c>
      <c r="Y29" s="212">
        <f t="shared" si="26"/>
        <v>3.3103448275862068E-3</v>
      </c>
      <c r="Z29" s="212">
        <f t="shared" si="26"/>
        <v>3.2967032967032967E-3</v>
      </c>
      <c r="AA29" s="212">
        <f t="shared" si="26"/>
        <v>3.2842105263157896E-3</v>
      </c>
      <c r="AB29" s="212">
        <f t="shared" si="26"/>
        <v>3.2727272727272731E-3</v>
      </c>
      <c r="AC29" s="212">
        <f t="shared" si="26"/>
        <v>3.2621359223300966E-3</v>
      </c>
      <c r="AD29" s="212">
        <f t="shared" si="26"/>
        <v>3.2523364485981311E-3</v>
      </c>
      <c r="AE29" s="212">
        <f t="shared" si="26"/>
        <v>3.2432432432432431E-3</v>
      </c>
      <c r="AF29" s="212">
        <f t="shared" si="26"/>
        <v>3.2347826086956523E-3</v>
      </c>
      <c r="AG29" s="212">
        <f t="shared" si="26"/>
        <v>3.2268907563025211E-3</v>
      </c>
      <c r="AH29" s="212">
        <f t="shared" si="26"/>
        <v>3.2195121951219515E-3</v>
      </c>
      <c r="AI29" s="212">
        <f t="shared" si="26"/>
        <v>3.2125984251968505E-3</v>
      </c>
      <c r="AJ29" s="212">
        <f t="shared" si="26"/>
        <v>3.2061068702290076E-3</v>
      </c>
      <c r="AK29" s="212">
        <f t="shared" si="26"/>
        <v>3.2000000000000002E-3</v>
      </c>
      <c r="AL29" s="212">
        <f t="shared" si="26"/>
        <v>3.1942446043165471E-3</v>
      </c>
      <c r="AM29" s="212">
        <f t="shared" si="26"/>
        <v>3.1888111888111886E-3</v>
      </c>
    </row>
    <row r="30" spans="2:39" ht="16.5" x14ac:dyDescent="0.45">
      <c r="B30" s="293" t="s">
        <v>935</v>
      </c>
      <c r="C30" s="95" t="s">
        <v>936</v>
      </c>
      <c r="D30" s="212">
        <f>$Q$7*D29</f>
        <v>12</v>
      </c>
      <c r="E30" s="212">
        <f t="shared" ref="E30:AM30" si="27">$Q$7*E29</f>
        <v>6.8571428571428568</v>
      </c>
      <c r="F30" s="212">
        <f t="shared" si="27"/>
        <v>5.454545454545455</v>
      </c>
      <c r="G30" s="212">
        <f t="shared" si="27"/>
        <v>4.8</v>
      </c>
      <c r="H30" s="212">
        <f t="shared" si="27"/>
        <v>4.4210526315789469</v>
      </c>
      <c r="I30" s="212">
        <f t="shared" si="27"/>
        <v>4.1739130434782608</v>
      </c>
      <c r="J30" s="212">
        <f t="shared" si="27"/>
        <v>4</v>
      </c>
      <c r="K30" s="212">
        <f t="shared" si="27"/>
        <v>3.870967741935484</v>
      </c>
      <c r="L30" s="212">
        <f t="shared" si="27"/>
        <v>3.7714285714285714</v>
      </c>
      <c r="M30" s="212">
        <f t="shared" si="27"/>
        <v>3.6923076923076921</v>
      </c>
      <c r="N30" s="212">
        <f t="shared" si="27"/>
        <v>3.6279069767441863</v>
      </c>
      <c r="O30" s="212">
        <f t="shared" si="27"/>
        <v>3.5744680851063828</v>
      </c>
      <c r="P30" s="212">
        <f t="shared" si="27"/>
        <v>3.5294117647058827</v>
      </c>
      <c r="Q30" s="212">
        <f t="shared" si="27"/>
        <v>3.4909090909090907</v>
      </c>
      <c r="R30" s="212">
        <f t="shared" si="27"/>
        <v>3.457627118644067</v>
      </c>
      <c r="S30" s="212">
        <f t="shared" si="27"/>
        <v>3.4285714285714284</v>
      </c>
      <c r="T30" s="212">
        <f t="shared" si="27"/>
        <v>3.4029850746268657</v>
      </c>
      <c r="U30" s="212">
        <f t="shared" si="27"/>
        <v>3.3802816901408455</v>
      </c>
      <c r="V30" s="212">
        <f t="shared" si="27"/>
        <v>3.36</v>
      </c>
      <c r="W30" s="212">
        <f t="shared" si="27"/>
        <v>3.3417721518987342</v>
      </c>
      <c r="X30" s="212">
        <f t="shared" si="27"/>
        <v>3.3253012048192772</v>
      </c>
      <c r="Y30" s="212">
        <f t="shared" si="27"/>
        <v>3.3103448275862069</v>
      </c>
      <c r="Z30" s="212">
        <f t="shared" si="27"/>
        <v>3.2967032967032965</v>
      </c>
      <c r="AA30" s="212">
        <f t="shared" si="27"/>
        <v>3.2842105263157895</v>
      </c>
      <c r="AB30" s="212">
        <f t="shared" si="27"/>
        <v>3.2727272727272729</v>
      </c>
      <c r="AC30" s="212">
        <f t="shared" si="27"/>
        <v>3.2621359223300965</v>
      </c>
      <c r="AD30" s="212">
        <f t="shared" si="27"/>
        <v>3.2523364485981312</v>
      </c>
      <c r="AE30" s="212">
        <f t="shared" si="27"/>
        <v>3.243243243243243</v>
      </c>
      <c r="AF30" s="212">
        <f t="shared" si="27"/>
        <v>3.2347826086956522</v>
      </c>
      <c r="AG30" s="212">
        <f t="shared" si="27"/>
        <v>3.2268907563025211</v>
      </c>
      <c r="AH30" s="212">
        <f t="shared" si="27"/>
        <v>3.2195121951219514</v>
      </c>
      <c r="AI30" s="212">
        <f t="shared" si="27"/>
        <v>3.2125984251968505</v>
      </c>
      <c r="AJ30" s="212">
        <f t="shared" si="27"/>
        <v>3.2061068702290076</v>
      </c>
      <c r="AK30" s="212">
        <f t="shared" si="27"/>
        <v>3.2</v>
      </c>
      <c r="AL30" s="212">
        <f t="shared" si="27"/>
        <v>3.1942446043165469</v>
      </c>
      <c r="AM30" s="212">
        <f t="shared" si="27"/>
        <v>3.1888111888111887</v>
      </c>
    </row>
    <row r="31" spans="2:39" ht="16.5" x14ac:dyDescent="0.45">
      <c r="B31" s="293" t="s">
        <v>937</v>
      </c>
      <c r="C31" s="95" t="s">
        <v>938</v>
      </c>
      <c r="D31" s="212">
        <f>$Q$10-D30</f>
        <v>0</v>
      </c>
      <c r="E31" s="212">
        <f t="shared" ref="E31:AM31" si="28">$Q$10-E30</f>
        <v>5.1428571428571432</v>
      </c>
      <c r="F31" s="212">
        <f t="shared" si="28"/>
        <v>6.545454545454545</v>
      </c>
      <c r="G31" s="212">
        <f t="shared" si="28"/>
        <v>7.2</v>
      </c>
      <c r="H31" s="212">
        <f t="shared" si="28"/>
        <v>7.5789473684210531</v>
      </c>
      <c r="I31" s="212">
        <f t="shared" si="28"/>
        <v>7.8260869565217392</v>
      </c>
      <c r="J31" s="212">
        <f t="shared" si="28"/>
        <v>8</v>
      </c>
      <c r="K31" s="212">
        <f t="shared" si="28"/>
        <v>8.129032258064516</v>
      </c>
      <c r="L31" s="212">
        <f t="shared" si="28"/>
        <v>8.2285714285714278</v>
      </c>
      <c r="M31" s="212">
        <f t="shared" si="28"/>
        <v>8.3076923076923084</v>
      </c>
      <c r="N31" s="212">
        <f t="shared" si="28"/>
        <v>8.3720930232558146</v>
      </c>
      <c r="O31" s="212">
        <f t="shared" si="28"/>
        <v>8.4255319148936181</v>
      </c>
      <c r="P31" s="212">
        <f t="shared" si="28"/>
        <v>8.4705882352941178</v>
      </c>
      <c r="Q31" s="212">
        <f t="shared" si="28"/>
        <v>8.5090909090909097</v>
      </c>
      <c r="R31" s="212">
        <f t="shared" si="28"/>
        <v>8.5423728813559325</v>
      </c>
      <c r="S31" s="212">
        <f t="shared" si="28"/>
        <v>8.5714285714285712</v>
      </c>
      <c r="T31" s="212">
        <f t="shared" si="28"/>
        <v>8.5970149253731343</v>
      </c>
      <c r="U31" s="212">
        <f t="shared" si="28"/>
        <v>8.6197183098591541</v>
      </c>
      <c r="V31" s="212">
        <f t="shared" si="28"/>
        <v>8.64</v>
      </c>
      <c r="W31" s="212">
        <f t="shared" si="28"/>
        <v>8.6582278481012658</v>
      </c>
      <c r="X31" s="212">
        <f t="shared" si="28"/>
        <v>8.6746987951807224</v>
      </c>
      <c r="Y31" s="212">
        <f t="shared" si="28"/>
        <v>8.6896551724137936</v>
      </c>
      <c r="Z31" s="212">
        <f t="shared" si="28"/>
        <v>8.7032967032967044</v>
      </c>
      <c r="AA31" s="212">
        <f t="shared" si="28"/>
        <v>8.715789473684211</v>
      </c>
      <c r="AB31" s="212">
        <f t="shared" si="28"/>
        <v>8.7272727272727266</v>
      </c>
      <c r="AC31" s="212">
        <f t="shared" si="28"/>
        <v>8.7378640776699044</v>
      </c>
      <c r="AD31" s="212">
        <f t="shared" si="28"/>
        <v>8.7476635514018692</v>
      </c>
      <c r="AE31" s="212">
        <f t="shared" si="28"/>
        <v>8.7567567567567579</v>
      </c>
      <c r="AF31" s="212">
        <f t="shared" si="28"/>
        <v>8.765217391304347</v>
      </c>
      <c r="AG31" s="212">
        <f t="shared" si="28"/>
        <v>8.7731092436974798</v>
      </c>
      <c r="AH31" s="212">
        <f t="shared" si="28"/>
        <v>8.7804878048780495</v>
      </c>
      <c r="AI31" s="212">
        <f t="shared" si="28"/>
        <v>8.78740157480315</v>
      </c>
      <c r="AJ31" s="212">
        <f t="shared" si="28"/>
        <v>8.7938931297709928</v>
      </c>
      <c r="AK31" s="212">
        <f t="shared" si="28"/>
        <v>8.8000000000000007</v>
      </c>
      <c r="AL31" s="212">
        <f t="shared" si="28"/>
        <v>8.8057553956834536</v>
      </c>
      <c r="AM31" s="212">
        <f t="shared" si="28"/>
        <v>8.8111888111888117</v>
      </c>
    </row>
    <row r="32" spans="2:39" ht="16.5" x14ac:dyDescent="0.45">
      <c r="B32" s="8" t="s">
        <v>931</v>
      </c>
      <c r="C32" s="95" t="s">
        <v>943</v>
      </c>
      <c r="D32" s="212">
        <f>IF(D27=0,$W$7,$W$7 + (1/(1/$W$8 + 1/D27)))</f>
        <v>2400</v>
      </c>
      <c r="E32" s="212">
        <f t="shared" ref="E32:AM32" si="29">$W$7 + (1/(1/$W$8 + 1/E27))</f>
        <v>3278.0487804878048</v>
      </c>
      <c r="F32" s="212">
        <f t="shared" si="29"/>
        <v>3965.217391304348</v>
      </c>
      <c r="G32" s="212">
        <f t="shared" si="29"/>
        <v>4517.6470588235297</v>
      </c>
      <c r="H32" s="212">
        <f t="shared" si="29"/>
        <v>4971.4285714285706</v>
      </c>
      <c r="I32" s="212">
        <f t="shared" si="29"/>
        <v>5350.8196721311469</v>
      </c>
      <c r="J32" s="212">
        <f t="shared" si="29"/>
        <v>5672.727272727273</v>
      </c>
      <c r="K32" s="212">
        <f t="shared" si="29"/>
        <v>5949.2957746478878</v>
      </c>
      <c r="L32" s="212">
        <f t="shared" si="29"/>
        <v>6189.4736842105258</v>
      </c>
      <c r="M32" s="212">
        <f t="shared" si="29"/>
        <v>6400</v>
      </c>
      <c r="N32" s="212">
        <f t="shared" si="29"/>
        <v>6586.0465116279065</v>
      </c>
      <c r="O32" s="212">
        <f t="shared" si="29"/>
        <v>6751.6483516483513</v>
      </c>
      <c r="P32" s="212">
        <f t="shared" si="29"/>
        <v>6900</v>
      </c>
      <c r="Q32" s="212">
        <f t="shared" si="29"/>
        <v>7033.6633663366338</v>
      </c>
      <c r="R32" s="212">
        <f t="shared" si="29"/>
        <v>7154.7169811320755</v>
      </c>
      <c r="S32" s="212">
        <f t="shared" si="29"/>
        <v>7264.864864864865</v>
      </c>
      <c r="T32" s="212">
        <f t="shared" si="29"/>
        <v>7365.5172413793107</v>
      </c>
      <c r="U32" s="212">
        <f t="shared" si="29"/>
        <v>7457.8512396694214</v>
      </c>
      <c r="V32" s="212">
        <f t="shared" si="29"/>
        <v>7542.8571428571422</v>
      </c>
      <c r="W32" s="212">
        <f t="shared" si="29"/>
        <v>7621.3740458015263</v>
      </c>
      <c r="X32" s="212">
        <f t="shared" si="29"/>
        <v>7694.1176470588234</v>
      </c>
      <c r="Y32" s="212">
        <f t="shared" si="29"/>
        <v>7761.7021276595742</v>
      </c>
      <c r="Z32" s="212">
        <f t="shared" si="29"/>
        <v>7824.6575342465758</v>
      </c>
      <c r="AA32" s="212">
        <f t="shared" si="29"/>
        <v>7883.4437086092712</v>
      </c>
      <c r="AB32" s="212">
        <f t="shared" si="29"/>
        <v>7938.461538461539</v>
      </c>
      <c r="AC32" s="212">
        <f t="shared" si="29"/>
        <v>7990.0621118012423</v>
      </c>
      <c r="AD32" s="212">
        <f t="shared" si="29"/>
        <v>8038.5542168674701</v>
      </c>
      <c r="AE32" s="212">
        <f t="shared" si="29"/>
        <v>8084.21052631579</v>
      </c>
      <c r="AF32" s="212">
        <f t="shared" si="29"/>
        <v>8127.2727272727279</v>
      </c>
      <c r="AG32" s="212">
        <f t="shared" si="29"/>
        <v>8167.9558011049721</v>
      </c>
      <c r="AH32" s="212">
        <f t="shared" si="29"/>
        <v>8206.4516129032272</v>
      </c>
      <c r="AI32" s="212">
        <f t="shared" si="29"/>
        <v>8242.9319371727761</v>
      </c>
      <c r="AJ32" s="212">
        <f t="shared" si="29"/>
        <v>8277.551020408162</v>
      </c>
      <c r="AK32" s="212">
        <f t="shared" si="29"/>
        <v>8310.447761194031</v>
      </c>
      <c r="AL32" s="212">
        <f t="shared" si="29"/>
        <v>8341.7475728155332</v>
      </c>
      <c r="AM32" s="212">
        <f t="shared" si="29"/>
        <v>8371.5639810426546</v>
      </c>
    </row>
    <row r="33" spans="2:39" ht="16.5" x14ac:dyDescent="0.45">
      <c r="B33" s="292" t="s">
        <v>933</v>
      </c>
      <c r="C33" s="95" t="s">
        <v>934</v>
      </c>
      <c r="D33" s="212">
        <f>$Q$10/D32</f>
        <v>5.0000000000000001E-3</v>
      </c>
      <c r="E33" s="212">
        <f t="shared" ref="E33:AM33" si="30">$Q$10/E32</f>
        <v>3.6607142857142858E-3</v>
      </c>
      <c r="F33" s="212">
        <f t="shared" si="30"/>
        <v>3.0263157894736843E-3</v>
      </c>
      <c r="G33" s="212">
        <f t="shared" si="30"/>
        <v>2.6562499999999998E-3</v>
      </c>
      <c r="H33" s="212">
        <f t="shared" si="30"/>
        <v>2.4137931034482764E-3</v>
      </c>
      <c r="I33" s="212">
        <f t="shared" si="30"/>
        <v>2.2426470588235298E-3</v>
      </c>
      <c r="J33" s="212">
        <f t="shared" si="30"/>
        <v>2.1153846153846153E-3</v>
      </c>
      <c r="K33" s="212">
        <f t="shared" si="30"/>
        <v>2.0170454545454545E-3</v>
      </c>
      <c r="L33" s="212">
        <f t="shared" si="30"/>
        <v>1.9387755102040819E-3</v>
      </c>
      <c r="M33" s="212">
        <f t="shared" si="30"/>
        <v>1.8749999999999999E-3</v>
      </c>
      <c r="N33" s="212">
        <f t="shared" si="30"/>
        <v>1.8220338983050849E-3</v>
      </c>
      <c r="O33" s="212">
        <f t="shared" si="30"/>
        <v>1.7773437500000001E-3</v>
      </c>
      <c r="P33" s="212">
        <f t="shared" si="30"/>
        <v>1.7391304347826088E-3</v>
      </c>
      <c r="Q33" s="212">
        <f t="shared" si="30"/>
        <v>1.706081081081081E-3</v>
      </c>
      <c r="R33" s="212">
        <f t="shared" si="30"/>
        <v>1.6772151898734177E-3</v>
      </c>
      <c r="S33" s="212">
        <f t="shared" si="30"/>
        <v>1.6517857142857144E-3</v>
      </c>
      <c r="T33" s="212">
        <f t="shared" si="30"/>
        <v>1.6292134831460674E-3</v>
      </c>
      <c r="U33" s="212">
        <f t="shared" si="30"/>
        <v>1.6090425531914893E-3</v>
      </c>
      <c r="V33" s="212">
        <f t="shared" si="30"/>
        <v>1.590909090909091E-3</v>
      </c>
      <c r="W33" s="212">
        <f t="shared" si="30"/>
        <v>1.5745192307692309E-3</v>
      </c>
      <c r="X33" s="212">
        <f t="shared" si="30"/>
        <v>1.5596330275229359E-3</v>
      </c>
      <c r="Y33" s="212">
        <f t="shared" si="30"/>
        <v>1.5460526315789474E-3</v>
      </c>
      <c r="Z33" s="212">
        <f t="shared" si="30"/>
        <v>1.5336134453781511E-3</v>
      </c>
      <c r="AA33" s="212">
        <f t="shared" si="30"/>
        <v>1.5221774193548388E-3</v>
      </c>
      <c r="AB33" s="212">
        <f t="shared" si="30"/>
        <v>1.5116279069767441E-3</v>
      </c>
      <c r="AC33" s="212">
        <f t="shared" si="30"/>
        <v>1.501865671641791E-3</v>
      </c>
      <c r="AD33" s="212">
        <f t="shared" si="30"/>
        <v>1.4928057553956833E-3</v>
      </c>
      <c r="AE33" s="212">
        <f t="shared" si="30"/>
        <v>1.4843749999999998E-3</v>
      </c>
      <c r="AF33" s="212">
        <f t="shared" si="30"/>
        <v>1.4765100671140939E-3</v>
      </c>
      <c r="AG33" s="212">
        <f t="shared" si="30"/>
        <v>1.4691558441558442E-3</v>
      </c>
      <c r="AH33" s="212">
        <f t="shared" si="30"/>
        <v>1.462264150943396E-3</v>
      </c>
      <c r="AI33" s="212">
        <f t="shared" si="30"/>
        <v>1.455792682926829E-3</v>
      </c>
      <c r="AJ33" s="212">
        <f t="shared" si="30"/>
        <v>1.4497041420118346E-3</v>
      </c>
      <c r="AK33" s="212">
        <f t="shared" si="30"/>
        <v>1.443965517241379E-3</v>
      </c>
      <c r="AL33" s="212">
        <f t="shared" si="30"/>
        <v>1.4385474860335197E-3</v>
      </c>
      <c r="AM33" s="212">
        <f t="shared" si="30"/>
        <v>1.4334239130434781E-3</v>
      </c>
    </row>
    <row r="34" spans="2:39" ht="16.5" x14ac:dyDescent="0.45">
      <c r="B34" s="293" t="s">
        <v>935</v>
      </c>
      <c r="C34" s="95" t="s">
        <v>944</v>
      </c>
      <c r="D34" s="212">
        <f>$W$7*D33</f>
        <v>12</v>
      </c>
      <c r="E34" s="212">
        <f t="shared" ref="E34:AM34" si="31">$W$7*E33</f>
        <v>8.7857142857142865</v>
      </c>
      <c r="F34" s="212">
        <f t="shared" si="31"/>
        <v>7.2631578947368425</v>
      </c>
      <c r="G34" s="212">
        <f t="shared" si="31"/>
        <v>6.3749999999999991</v>
      </c>
      <c r="H34" s="212">
        <f t="shared" si="31"/>
        <v>5.7931034482758639</v>
      </c>
      <c r="I34" s="212">
        <f t="shared" si="31"/>
        <v>5.382352941176471</v>
      </c>
      <c r="J34" s="212">
        <f t="shared" si="31"/>
        <v>5.0769230769230766</v>
      </c>
      <c r="K34" s="212">
        <f t="shared" si="31"/>
        <v>4.8409090909090908</v>
      </c>
      <c r="L34" s="212">
        <f t="shared" si="31"/>
        <v>4.6530612244897966</v>
      </c>
      <c r="M34" s="212">
        <f t="shared" si="31"/>
        <v>4.5</v>
      </c>
      <c r="N34" s="212">
        <f t="shared" si="31"/>
        <v>4.3728813559322033</v>
      </c>
      <c r="O34" s="212">
        <f t="shared" si="31"/>
        <v>4.265625</v>
      </c>
      <c r="P34" s="212">
        <f t="shared" si="31"/>
        <v>4.1739130434782608</v>
      </c>
      <c r="Q34" s="212">
        <f t="shared" si="31"/>
        <v>4.0945945945945947</v>
      </c>
      <c r="R34" s="212">
        <f t="shared" si="31"/>
        <v>4.0253164556962027</v>
      </c>
      <c r="S34" s="212">
        <f t="shared" si="31"/>
        <v>3.9642857142857144</v>
      </c>
      <c r="T34" s="212">
        <f t="shared" si="31"/>
        <v>3.910112359550562</v>
      </c>
      <c r="U34" s="212">
        <f t="shared" si="31"/>
        <v>3.8617021276595742</v>
      </c>
      <c r="V34" s="212">
        <f t="shared" si="31"/>
        <v>3.8181818181818183</v>
      </c>
      <c r="W34" s="212">
        <f t="shared" si="31"/>
        <v>3.7788461538461542</v>
      </c>
      <c r="X34" s="212">
        <f t="shared" si="31"/>
        <v>3.7431192660550461</v>
      </c>
      <c r="Y34" s="212">
        <f t="shared" si="31"/>
        <v>3.7105263157894735</v>
      </c>
      <c r="Z34" s="212">
        <f t="shared" si="31"/>
        <v>3.6806722689075628</v>
      </c>
      <c r="AA34" s="212">
        <f t="shared" si="31"/>
        <v>3.653225806451613</v>
      </c>
      <c r="AB34" s="212">
        <f t="shared" si="31"/>
        <v>3.6279069767441858</v>
      </c>
      <c r="AC34" s="212">
        <f t="shared" si="31"/>
        <v>3.6044776119402986</v>
      </c>
      <c r="AD34" s="212">
        <f t="shared" si="31"/>
        <v>3.5827338129496402</v>
      </c>
      <c r="AE34" s="212">
        <f t="shared" si="31"/>
        <v>3.5624999999999996</v>
      </c>
      <c r="AF34" s="212">
        <f t="shared" si="31"/>
        <v>3.5436241610738253</v>
      </c>
      <c r="AG34" s="212">
        <f t="shared" si="31"/>
        <v>3.5259740259740262</v>
      </c>
      <c r="AH34" s="212">
        <f t="shared" si="31"/>
        <v>3.5094339622641506</v>
      </c>
      <c r="AI34" s="212">
        <f t="shared" si="31"/>
        <v>3.4939024390243896</v>
      </c>
      <c r="AJ34" s="212">
        <f t="shared" si="31"/>
        <v>3.4792899408284028</v>
      </c>
      <c r="AK34" s="212">
        <f t="shared" si="31"/>
        <v>3.4655172413793096</v>
      </c>
      <c r="AL34" s="212">
        <f t="shared" si="31"/>
        <v>3.4525139664804474</v>
      </c>
      <c r="AM34" s="212">
        <f t="shared" si="31"/>
        <v>3.4402173913043477</v>
      </c>
    </row>
    <row r="35" spans="2:39" ht="16.5" x14ac:dyDescent="0.45">
      <c r="B35" s="293" t="s">
        <v>937</v>
      </c>
      <c r="C35" s="95" t="s">
        <v>938</v>
      </c>
      <c r="D35" s="212">
        <f>$Q$10-D34</f>
        <v>0</v>
      </c>
      <c r="E35" s="212">
        <f t="shared" ref="E35:AM35" si="32">$Q$10-E34</f>
        <v>3.2142857142857135</v>
      </c>
      <c r="F35" s="212">
        <f t="shared" si="32"/>
        <v>4.7368421052631575</v>
      </c>
      <c r="G35" s="212">
        <f t="shared" si="32"/>
        <v>5.6250000000000009</v>
      </c>
      <c r="H35" s="212">
        <f t="shared" si="32"/>
        <v>6.2068965517241361</v>
      </c>
      <c r="I35" s="212">
        <f t="shared" si="32"/>
        <v>6.617647058823529</v>
      </c>
      <c r="J35" s="212">
        <f t="shared" si="32"/>
        <v>6.9230769230769234</v>
      </c>
      <c r="K35" s="212">
        <f t="shared" si="32"/>
        <v>7.1590909090909092</v>
      </c>
      <c r="L35" s="212">
        <f t="shared" si="32"/>
        <v>7.3469387755102034</v>
      </c>
      <c r="M35" s="212">
        <f t="shared" si="32"/>
        <v>7.5</v>
      </c>
      <c r="N35" s="212">
        <f t="shared" si="32"/>
        <v>7.6271186440677967</v>
      </c>
      <c r="O35" s="212">
        <f t="shared" si="32"/>
        <v>7.734375</v>
      </c>
      <c r="P35" s="212">
        <f t="shared" si="32"/>
        <v>7.8260869565217392</v>
      </c>
      <c r="Q35" s="212">
        <f t="shared" si="32"/>
        <v>7.9054054054054053</v>
      </c>
      <c r="R35" s="212">
        <f t="shared" si="32"/>
        <v>7.9746835443037973</v>
      </c>
      <c r="S35" s="212">
        <f t="shared" si="32"/>
        <v>8.0357142857142847</v>
      </c>
      <c r="T35" s="212">
        <f t="shared" si="32"/>
        <v>8.0898876404494384</v>
      </c>
      <c r="U35" s="212">
        <f t="shared" si="32"/>
        <v>8.1382978723404253</v>
      </c>
      <c r="V35" s="212">
        <f t="shared" si="32"/>
        <v>8.1818181818181817</v>
      </c>
      <c r="W35" s="212">
        <f t="shared" si="32"/>
        <v>8.2211538461538467</v>
      </c>
      <c r="X35" s="212">
        <f t="shared" si="32"/>
        <v>8.2568807339449535</v>
      </c>
      <c r="Y35" s="212">
        <f t="shared" si="32"/>
        <v>8.2894736842105274</v>
      </c>
      <c r="Z35" s="212">
        <f t="shared" si="32"/>
        <v>8.3193277310924376</v>
      </c>
      <c r="AA35" s="212">
        <f t="shared" si="32"/>
        <v>8.3467741935483879</v>
      </c>
      <c r="AB35" s="212">
        <f t="shared" si="32"/>
        <v>8.3720930232558146</v>
      </c>
      <c r="AC35" s="212">
        <f t="shared" si="32"/>
        <v>8.3955223880597014</v>
      </c>
      <c r="AD35" s="212">
        <f t="shared" si="32"/>
        <v>8.4172661870503589</v>
      </c>
      <c r="AE35" s="212">
        <f t="shared" si="32"/>
        <v>8.4375</v>
      </c>
      <c r="AF35" s="212">
        <f t="shared" si="32"/>
        <v>8.4563758389261743</v>
      </c>
      <c r="AG35" s="212">
        <f t="shared" si="32"/>
        <v>8.4740259740259738</v>
      </c>
      <c r="AH35" s="212">
        <f t="shared" si="32"/>
        <v>8.4905660377358494</v>
      </c>
      <c r="AI35" s="212">
        <f t="shared" si="32"/>
        <v>8.5060975609756113</v>
      </c>
      <c r="AJ35" s="212">
        <f t="shared" si="32"/>
        <v>8.5207100591715967</v>
      </c>
      <c r="AK35" s="212">
        <f t="shared" si="32"/>
        <v>8.5344827586206904</v>
      </c>
      <c r="AL35" s="212">
        <f t="shared" si="32"/>
        <v>8.5474860335195526</v>
      </c>
      <c r="AM35" s="212">
        <f t="shared" si="32"/>
        <v>8.5597826086956523</v>
      </c>
    </row>
    <row r="36" spans="2:39" x14ac:dyDescent="0.35">
      <c r="B36" s="163"/>
      <c r="C36" s="55"/>
    </row>
    <row r="37" spans="2:39" x14ac:dyDescent="0.35">
      <c r="B37" s="163"/>
      <c r="C37" s="55"/>
    </row>
    <row r="38" spans="2:39" x14ac:dyDescent="0.35">
      <c r="B38" s="163"/>
      <c r="C38" s="55"/>
    </row>
    <row r="39" spans="2:39" x14ac:dyDescent="0.35">
      <c r="B39" s="163"/>
      <c r="C39" s="55"/>
    </row>
    <row r="41" spans="2:39" x14ac:dyDescent="0.35">
      <c r="B41" s="432" t="str">
        <f>_xlfn.CONCAT("UL = f(RL)   R1/R2 =",Q11)</f>
        <v>UL = f(RL)   R1/R2 =0.333333333333333</v>
      </c>
      <c r="C41" s="218"/>
    </row>
    <row r="42" spans="2:39" x14ac:dyDescent="0.35">
      <c r="B42" s="433" t="str">
        <f>_xlfn.CONCAT("UL = f(RL)   R11/R22 =",W11)</f>
        <v>UL = f(RL)   R11/R22 =0.333333333333333</v>
      </c>
      <c r="C42" s="218"/>
    </row>
  </sheetData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8982B72-84FC-4BAF-B0ED-1A9CE5FC4314}">
          <x14:formula1>
            <xm:f>Einheitenvorsätze!$A$7:$A$31</xm:f>
          </x14:formula1>
          <xm:sqref>N7:N10 E26 T7:T8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910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9" workbookViewId="0">
      <selection activeCell="E45" sqref="E45"/>
    </sheetView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664</v>
      </c>
    </row>
    <row r="6" spans="1:15" ht="16" customHeight="1" x14ac:dyDescent="0.35">
      <c r="A6" s="358" t="s">
        <v>666</v>
      </c>
      <c r="B6" s="358" t="s">
        <v>665</v>
      </c>
      <c r="C6" s="358" t="s">
        <v>667</v>
      </c>
      <c r="D6" s="358" t="s">
        <v>668</v>
      </c>
      <c r="E6" s="358" t="s">
        <v>819</v>
      </c>
    </row>
    <row r="7" spans="1:15" ht="16" customHeight="1" x14ac:dyDescent="0.35">
      <c r="A7" s="111" t="s">
        <v>670</v>
      </c>
      <c r="B7" s="355" t="s">
        <v>669</v>
      </c>
      <c r="C7" s="357">
        <v>1E+30</v>
      </c>
      <c r="D7" s="111" t="s">
        <v>671</v>
      </c>
      <c r="E7" s="5">
        <v>30</v>
      </c>
    </row>
    <row r="8" spans="1:15" ht="16" customHeight="1" x14ac:dyDescent="0.35">
      <c r="A8" s="111" t="s">
        <v>673</v>
      </c>
      <c r="B8" s="355" t="s">
        <v>672</v>
      </c>
      <c r="C8" s="357">
        <v>1E+27</v>
      </c>
      <c r="D8" s="111" t="s">
        <v>674</v>
      </c>
      <c r="E8" s="5">
        <v>27</v>
      </c>
    </row>
    <row r="9" spans="1:15" ht="16" customHeight="1" x14ac:dyDescent="0.35">
      <c r="A9" s="111" t="s">
        <v>676</v>
      </c>
      <c r="B9" s="355" t="s">
        <v>675</v>
      </c>
      <c r="C9" s="357">
        <v>9.9999999999999998E+23</v>
      </c>
      <c r="D9" s="111" t="s">
        <v>677</v>
      </c>
      <c r="E9" s="5">
        <v>24</v>
      </c>
    </row>
    <row r="10" spans="1:15" ht="16" customHeight="1" thickBot="1" x14ac:dyDescent="0.4">
      <c r="A10" s="111" t="s">
        <v>679</v>
      </c>
      <c r="B10" s="355" t="s">
        <v>678</v>
      </c>
      <c r="C10" s="357">
        <v>1E+21</v>
      </c>
      <c r="D10" s="111" t="s">
        <v>680</v>
      </c>
      <c r="E10" s="5">
        <v>21</v>
      </c>
    </row>
    <row r="11" spans="1:15" ht="16" customHeight="1" thickBot="1" x14ac:dyDescent="0.4">
      <c r="A11" s="111" t="s">
        <v>42</v>
      </c>
      <c r="B11" s="355" t="s">
        <v>681</v>
      </c>
      <c r="C11" s="357">
        <v>1E+18</v>
      </c>
      <c r="D11" s="111" t="s">
        <v>682</v>
      </c>
      <c r="E11" s="5">
        <v>18</v>
      </c>
      <c r="H11" s="362" t="s">
        <v>740</v>
      </c>
      <c r="I11" s="363"/>
      <c r="J11" s="364"/>
      <c r="L11" s="5" t="s">
        <v>743</v>
      </c>
      <c r="M11" s="5"/>
      <c r="O11" s="5" t="s">
        <v>742</v>
      </c>
    </row>
    <row r="12" spans="1:15" ht="16" customHeight="1" thickBot="1" x14ac:dyDescent="0.4">
      <c r="A12" s="111" t="s">
        <v>684</v>
      </c>
      <c r="B12" s="355" t="s">
        <v>683</v>
      </c>
      <c r="C12" s="357">
        <v>1000000000000000</v>
      </c>
      <c r="D12" s="111" t="s">
        <v>685</v>
      </c>
      <c r="E12" s="5">
        <v>15</v>
      </c>
      <c r="H12" s="359">
        <v>5.23</v>
      </c>
      <c r="I12" s="360" t="s">
        <v>694</v>
      </c>
      <c r="J12" s="361" t="s">
        <v>741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687</v>
      </c>
      <c r="B13" s="355" t="s">
        <v>686</v>
      </c>
      <c r="C13" s="357">
        <v>1000000000000</v>
      </c>
      <c r="D13" s="111" t="s">
        <v>688</v>
      </c>
      <c r="E13" s="5">
        <v>12</v>
      </c>
    </row>
    <row r="14" spans="1:15" ht="16" customHeight="1" x14ac:dyDescent="0.35">
      <c r="A14" s="111" t="s">
        <v>43</v>
      </c>
      <c r="B14" s="355" t="s">
        <v>689</v>
      </c>
      <c r="C14" s="357">
        <v>1000000000</v>
      </c>
      <c r="D14" s="111" t="s">
        <v>690</v>
      </c>
      <c r="E14" s="5">
        <v>9</v>
      </c>
    </row>
    <row r="15" spans="1:15" ht="16" customHeight="1" x14ac:dyDescent="0.35">
      <c r="A15" s="111" t="s">
        <v>818</v>
      </c>
      <c r="B15" s="355" t="s">
        <v>691</v>
      </c>
      <c r="C15" s="357">
        <v>1000000</v>
      </c>
      <c r="D15" s="111" t="s">
        <v>692</v>
      </c>
      <c r="E15" s="5">
        <v>6</v>
      </c>
    </row>
    <row r="16" spans="1:15" ht="16" customHeight="1" x14ac:dyDescent="0.35">
      <c r="A16" s="111" t="s">
        <v>694</v>
      </c>
      <c r="B16" s="355" t="s">
        <v>693</v>
      </c>
      <c r="C16" s="357">
        <v>1000</v>
      </c>
      <c r="D16" s="111" t="s">
        <v>695</v>
      </c>
      <c r="E16" s="5">
        <v>3</v>
      </c>
      <c r="H16" s="8" t="s">
        <v>665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697</v>
      </c>
      <c r="B17" s="355" t="s">
        <v>696</v>
      </c>
      <c r="C17" s="357">
        <v>100</v>
      </c>
      <c r="D17" s="111" t="s">
        <v>698</v>
      </c>
      <c r="E17" s="5">
        <v>2</v>
      </c>
      <c r="H17" s="8" t="s">
        <v>667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700</v>
      </c>
      <c r="B18" s="355" t="s">
        <v>699</v>
      </c>
      <c r="C18" s="357">
        <v>10</v>
      </c>
      <c r="D18" s="111" t="s">
        <v>701</v>
      </c>
      <c r="E18" s="5">
        <v>1</v>
      </c>
      <c r="H18" s="8" t="s">
        <v>668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703</v>
      </c>
      <c r="B19" s="355" t="s">
        <v>702</v>
      </c>
      <c r="C19" s="357">
        <v>1</v>
      </c>
      <c r="D19" s="111" t="s">
        <v>704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706</v>
      </c>
      <c r="B20" s="355" t="s">
        <v>705</v>
      </c>
      <c r="C20" s="111">
        <v>0.1</v>
      </c>
      <c r="D20" s="111" t="s">
        <v>707</v>
      </c>
      <c r="E20" s="5">
        <v>-1</v>
      </c>
    </row>
    <row r="21" spans="1:9" ht="16" customHeight="1" x14ac:dyDescent="0.35">
      <c r="A21" s="111" t="s">
        <v>709</v>
      </c>
      <c r="B21" s="355" t="s">
        <v>708</v>
      </c>
      <c r="C21" s="111">
        <v>0.01</v>
      </c>
      <c r="D21" s="111" t="s">
        <v>710</v>
      </c>
      <c r="E21" s="5">
        <v>-2</v>
      </c>
    </row>
    <row r="22" spans="1:9" ht="16" customHeight="1" x14ac:dyDescent="0.35">
      <c r="A22" s="111" t="s">
        <v>712</v>
      </c>
      <c r="B22" s="355" t="s">
        <v>711</v>
      </c>
      <c r="C22" s="111">
        <v>1E-3</v>
      </c>
      <c r="D22" s="111" t="s">
        <v>713</v>
      </c>
      <c r="E22" s="5">
        <v>-3</v>
      </c>
    </row>
    <row r="23" spans="1:9" ht="16" customHeight="1" x14ac:dyDescent="0.35">
      <c r="A23" s="111" t="s">
        <v>715</v>
      </c>
      <c r="B23" s="355" t="s">
        <v>714</v>
      </c>
      <c r="C23" s="111">
        <v>9.9999999999999995E-7</v>
      </c>
      <c r="D23" s="111" t="s">
        <v>716</v>
      </c>
      <c r="E23" s="5">
        <v>-6</v>
      </c>
    </row>
    <row r="24" spans="1:9" ht="16" customHeight="1" x14ac:dyDescent="0.35">
      <c r="A24" s="111" t="s">
        <v>718</v>
      </c>
      <c r="B24" s="355" t="s">
        <v>717</v>
      </c>
      <c r="C24" s="111">
        <v>1.0000000000000001E-9</v>
      </c>
      <c r="D24" s="111" t="s">
        <v>719</v>
      </c>
      <c r="E24" s="5">
        <v>-9</v>
      </c>
    </row>
    <row r="25" spans="1:9" ht="16" customHeight="1" x14ac:dyDescent="0.35">
      <c r="A25" s="111" t="s">
        <v>721</v>
      </c>
      <c r="B25" s="355" t="s">
        <v>720</v>
      </c>
      <c r="C25" s="111">
        <v>9.9999999999999998E-13</v>
      </c>
      <c r="D25" s="111" t="s">
        <v>722</v>
      </c>
      <c r="E25" s="5">
        <v>-12</v>
      </c>
    </row>
    <row r="26" spans="1:9" ht="16" customHeight="1" x14ac:dyDescent="0.35">
      <c r="A26" s="111" t="s">
        <v>724</v>
      </c>
      <c r="B26" s="355" t="s">
        <v>723</v>
      </c>
      <c r="C26" s="111">
        <v>1.0000000000000001E-15</v>
      </c>
      <c r="D26" s="111" t="s">
        <v>725</v>
      </c>
      <c r="E26" s="5">
        <v>-15</v>
      </c>
    </row>
    <row r="27" spans="1:9" ht="16" customHeight="1" x14ac:dyDescent="0.35">
      <c r="A27" s="111" t="s">
        <v>727</v>
      </c>
      <c r="B27" s="355" t="s">
        <v>726</v>
      </c>
      <c r="C27" s="111">
        <v>1.0000000000000001E-18</v>
      </c>
      <c r="D27" s="111" t="s">
        <v>728</v>
      </c>
      <c r="E27" s="5">
        <v>-18</v>
      </c>
    </row>
    <row r="28" spans="1:9" ht="16" customHeight="1" x14ac:dyDescent="0.35">
      <c r="A28" s="111" t="s">
        <v>730</v>
      </c>
      <c r="B28" s="355" t="s">
        <v>729</v>
      </c>
      <c r="C28" s="356">
        <v>9.9999999999999991E-22</v>
      </c>
      <c r="D28" s="111" t="s">
        <v>731</v>
      </c>
      <c r="E28" s="5">
        <v>-21</v>
      </c>
    </row>
    <row r="29" spans="1:9" ht="16" customHeight="1" x14ac:dyDescent="0.35">
      <c r="A29" s="111" t="s">
        <v>412</v>
      </c>
      <c r="B29" s="355" t="s">
        <v>732</v>
      </c>
      <c r="C29" s="356">
        <v>9.9999999999999992E-25</v>
      </c>
      <c r="D29" s="111" t="s">
        <v>733</v>
      </c>
      <c r="E29" s="5">
        <v>-24</v>
      </c>
    </row>
    <row r="30" spans="1:9" ht="16" customHeight="1" x14ac:dyDescent="0.35">
      <c r="A30" s="111" t="s">
        <v>735</v>
      </c>
      <c r="B30" s="355" t="s">
        <v>734</v>
      </c>
      <c r="C30" s="356">
        <v>1.0000000000000001E-30</v>
      </c>
      <c r="D30" s="111" t="s">
        <v>736</v>
      </c>
      <c r="E30" s="5">
        <v>-27</v>
      </c>
    </row>
    <row r="31" spans="1:9" ht="16" customHeight="1" x14ac:dyDescent="0.35">
      <c r="A31" s="111" t="s">
        <v>738</v>
      </c>
      <c r="B31" s="355" t="s">
        <v>737</v>
      </c>
      <c r="C31" s="356">
        <v>1E-27</v>
      </c>
      <c r="D31" s="111" t="s">
        <v>739</v>
      </c>
      <c r="E31" s="5">
        <v>-30</v>
      </c>
    </row>
    <row r="36" spans="1:3" x14ac:dyDescent="0.35">
      <c r="A36" t="s">
        <v>745</v>
      </c>
    </row>
    <row r="37" spans="1:3" x14ac:dyDescent="0.35">
      <c r="A37" s="372" t="s">
        <v>748</v>
      </c>
      <c r="B37" s="372" t="s">
        <v>746</v>
      </c>
      <c r="C37" s="372" t="s">
        <v>747</v>
      </c>
    </row>
    <row r="38" spans="1:3" x14ac:dyDescent="0.35">
      <c r="A38" s="111" t="s">
        <v>750</v>
      </c>
      <c r="B38" s="111" t="s">
        <v>749</v>
      </c>
      <c r="C38" s="111" t="s">
        <v>649</v>
      </c>
    </row>
    <row r="39" spans="1:3" x14ac:dyDescent="0.35">
      <c r="A39" s="111" t="s">
        <v>753</v>
      </c>
      <c r="B39" s="111" t="s">
        <v>751</v>
      </c>
      <c r="C39" s="111" t="s">
        <v>752</v>
      </c>
    </row>
    <row r="40" spans="1:3" x14ac:dyDescent="0.35">
      <c r="A40" s="111" t="s">
        <v>756</v>
      </c>
      <c r="B40" s="111" t="s">
        <v>754</v>
      </c>
      <c r="C40" s="111" t="s">
        <v>755</v>
      </c>
    </row>
    <row r="41" spans="1:3" x14ac:dyDescent="0.35">
      <c r="A41" s="111" t="s">
        <v>759</v>
      </c>
      <c r="B41" s="111" t="s">
        <v>757</v>
      </c>
      <c r="C41" s="111" t="s">
        <v>758</v>
      </c>
    </row>
    <row r="42" spans="1:3" x14ac:dyDescent="0.35">
      <c r="A42" s="111" t="s">
        <v>762</v>
      </c>
      <c r="B42" s="111" t="s">
        <v>760</v>
      </c>
      <c r="C42" s="111" t="s">
        <v>761</v>
      </c>
    </row>
    <row r="43" spans="1:3" x14ac:dyDescent="0.35">
      <c r="A43" s="111" t="s">
        <v>765</v>
      </c>
      <c r="B43" s="111" t="s">
        <v>763</v>
      </c>
      <c r="C43" s="111" t="s">
        <v>764</v>
      </c>
    </row>
    <row r="44" spans="1:3" x14ac:dyDescent="0.35">
      <c r="A44" s="111" t="s">
        <v>768</v>
      </c>
      <c r="B44" s="111" t="s">
        <v>766</v>
      </c>
      <c r="C44" s="111" t="s">
        <v>767</v>
      </c>
    </row>
    <row r="45" spans="1:3" x14ac:dyDescent="0.35">
      <c r="A45" s="111" t="s">
        <v>771</v>
      </c>
      <c r="B45" s="111" t="s">
        <v>769</v>
      </c>
      <c r="C45" s="111" t="s">
        <v>770</v>
      </c>
    </row>
    <row r="46" spans="1:3" x14ac:dyDescent="0.35">
      <c r="A46" s="111" t="s">
        <v>774</v>
      </c>
      <c r="B46" s="111" t="s">
        <v>772</v>
      </c>
      <c r="C46" s="111" t="s">
        <v>773</v>
      </c>
    </row>
    <row r="47" spans="1:3" x14ac:dyDescent="0.35">
      <c r="A47" s="111" t="s">
        <v>777</v>
      </c>
      <c r="B47" s="111" t="s">
        <v>775</v>
      </c>
      <c r="C47" s="111" t="s">
        <v>776</v>
      </c>
    </row>
    <row r="48" spans="1:3" x14ac:dyDescent="0.35">
      <c r="A48" s="111" t="s">
        <v>780</v>
      </c>
      <c r="B48" s="111" t="s">
        <v>778</v>
      </c>
      <c r="C48" s="111" t="s">
        <v>779</v>
      </c>
    </row>
    <row r="49" spans="1:3" x14ac:dyDescent="0.35">
      <c r="A49" s="111" t="s">
        <v>783</v>
      </c>
      <c r="B49" s="111" t="s">
        <v>781</v>
      </c>
      <c r="C49" s="111" t="s">
        <v>782</v>
      </c>
    </row>
    <row r="50" spans="1:3" x14ac:dyDescent="0.35">
      <c r="A50" s="111" t="s">
        <v>786</v>
      </c>
      <c r="B50" s="111" t="s">
        <v>784</v>
      </c>
      <c r="C50" s="111" t="s">
        <v>785</v>
      </c>
    </row>
    <row r="51" spans="1:3" x14ac:dyDescent="0.35">
      <c r="A51" s="111" t="s">
        <v>789</v>
      </c>
      <c r="B51" s="111" t="s">
        <v>787</v>
      </c>
      <c r="C51" s="111" t="s">
        <v>788</v>
      </c>
    </row>
    <row r="52" spans="1:3" x14ac:dyDescent="0.35">
      <c r="A52" s="111" t="s">
        <v>792</v>
      </c>
      <c r="B52" s="111" t="s">
        <v>790</v>
      </c>
      <c r="C52" s="111" t="s">
        <v>791</v>
      </c>
    </row>
    <row r="53" spans="1:3" x14ac:dyDescent="0.35">
      <c r="A53" s="111" t="s">
        <v>794</v>
      </c>
      <c r="B53" s="111" t="s">
        <v>793</v>
      </c>
      <c r="C53" s="111" t="s">
        <v>307</v>
      </c>
    </row>
    <row r="54" spans="1:3" x14ac:dyDescent="0.35">
      <c r="A54" s="111" t="s">
        <v>797</v>
      </c>
      <c r="B54" s="111" t="s">
        <v>795</v>
      </c>
      <c r="C54" s="111" t="s">
        <v>796</v>
      </c>
    </row>
    <row r="55" spans="1:3" x14ac:dyDescent="0.35">
      <c r="A55" s="111" t="s">
        <v>816</v>
      </c>
      <c r="B55" s="111" t="s">
        <v>798</v>
      </c>
      <c r="C55" s="111" t="s">
        <v>799</v>
      </c>
    </row>
    <row r="56" spans="1:3" x14ac:dyDescent="0.35">
      <c r="A56" s="111" t="s">
        <v>802</v>
      </c>
      <c r="B56" s="111" t="s">
        <v>800</v>
      </c>
      <c r="C56" s="111" t="s">
        <v>801</v>
      </c>
    </row>
    <row r="57" spans="1:3" x14ac:dyDescent="0.35">
      <c r="A57" s="111" t="s">
        <v>805</v>
      </c>
      <c r="B57" s="111" t="s">
        <v>803</v>
      </c>
      <c r="C57" s="111" t="s">
        <v>804</v>
      </c>
    </row>
    <row r="58" spans="1:3" x14ac:dyDescent="0.35">
      <c r="A58" s="111" t="s">
        <v>807</v>
      </c>
      <c r="B58" s="111" t="s">
        <v>806</v>
      </c>
      <c r="C58" s="111" t="s">
        <v>303</v>
      </c>
    </row>
    <row r="59" spans="1:3" x14ac:dyDescent="0.35">
      <c r="A59" s="111" t="s">
        <v>810</v>
      </c>
      <c r="B59" s="111" t="s">
        <v>808</v>
      </c>
      <c r="C59" s="111" t="s">
        <v>809</v>
      </c>
    </row>
    <row r="60" spans="1:3" x14ac:dyDescent="0.35">
      <c r="A60" s="111" t="s">
        <v>813</v>
      </c>
      <c r="B60" s="111" t="s">
        <v>811</v>
      </c>
      <c r="C60" s="111" t="s">
        <v>812</v>
      </c>
    </row>
    <row r="61" spans="1:3" x14ac:dyDescent="0.35">
      <c r="A61" s="111" t="s">
        <v>815</v>
      </c>
      <c r="B61" s="111" t="s">
        <v>317</v>
      </c>
      <c r="C61" s="111" t="s">
        <v>814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22" t="s">
        <v>908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909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2">
        <v>1</v>
      </c>
      <c r="R17" s="442"/>
      <c r="T17" s="442">
        <v>1</v>
      </c>
      <c r="U17" s="442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3" t="s">
        <v>911</v>
      </c>
      <c r="N23" s="443"/>
      <c r="O23" s="174"/>
      <c r="P23" s="174"/>
      <c r="Q23" s="443">
        <v>3</v>
      </c>
      <c r="R23" s="443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topLeftCell="A15" zoomScale="130" zoomScaleNormal="130" workbookViewId="0">
      <selection activeCell="L19" sqref="L19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610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L88"/>
  <sheetViews>
    <sheetView showGridLines="0" tabSelected="1" topLeftCell="V41" zoomScale="85" zoomScaleNormal="85" workbookViewId="0">
      <selection activeCell="AP52" sqref="AP52"/>
    </sheetView>
  </sheetViews>
  <sheetFormatPr baseColWidth="10" defaultRowHeight="14.5" x14ac:dyDescent="0.35"/>
  <cols>
    <col min="3" max="3" width="30" customWidth="1"/>
    <col min="5" max="5" width="5.1796875" customWidth="1"/>
    <col min="6" max="6" width="4.1796875" customWidth="1"/>
    <col min="7" max="7" width="9.36328125" customWidth="1"/>
    <col min="8" max="9" width="10.90625" customWidth="1"/>
    <col min="10" max="11" width="20.7265625" customWidth="1"/>
    <col min="12" max="12" width="34.26953125" customWidth="1"/>
    <col min="13" max="13" width="31.81640625" customWidth="1"/>
    <col min="14" max="14" width="6.81640625" customWidth="1"/>
    <col min="15" max="15" width="6.2695312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12.26953125" customWidth="1"/>
    <col min="21" max="21" width="3.26953125" customWidth="1"/>
    <col min="22" max="22" width="8.453125" customWidth="1"/>
    <col min="23" max="24" width="12.26953125" customWidth="1"/>
    <col min="25" max="25" width="5.453125" customWidth="1"/>
    <col min="27" max="27" width="18.54296875" customWidth="1"/>
    <col min="28" max="28" width="14.7265625" customWidth="1"/>
    <col min="29" max="29" width="4.1796875" customWidth="1"/>
    <col min="30" max="30" width="46.36328125" customWidth="1"/>
  </cols>
  <sheetData>
    <row r="2" spans="3:28" ht="23.5" x14ac:dyDescent="0.55000000000000004">
      <c r="C2" s="9" t="s">
        <v>889</v>
      </c>
      <c r="R2" t="s">
        <v>64</v>
      </c>
      <c r="AA2" s="8" t="s">
        <v>864</v>
      </c>
      <c r="AB2" s="4" t="s">
        <v>64</v>
      </c>
    </row>
    <row r="3" spans="3:28" x14ac:dyDescent="0.35">
      <c r="R3" t="s">
        <v>65</v>
      </c>
    </row>
    <row r="16" spans="3:28" ht="15" thickBot="1" x14ac:dyDescent="0.4"/>
    <row r="17" spans="3:38" x14ac:dyDescent="0.35">
      <c r="Z17" s="396"/>
      <c r="AA17" s="397"/>
      <c r="AB17" s="397"/>
      <c r="AC17" s="397"/>
      <c r="AD17" s="397"/>
      <c r="AE17" s="398"/>
    </row>
    <row r="18" spans="3:38" x14ac:dyDescent="0.35">
      <c r="Z18" s="399"/>
      <c r="AE18" s="400"/>
    </row>
    <row r="19" spans="3:38" x14ac:dyDescent="0.35">
      <c r="Z19" s="399"/>
      <c r="AB19" s="5" t="s">
        <v>866</v>
      </c>
      <c r="AD19" s="5" t="s">
        <v>865</v>
      </c>
      <c r="AE19" s="400"/>
    </row>
    <row r="20" spans="3:38" ht="20.5" customHeight="1" x14ac:dyDescent="0.45">
      <c r="C20" s="8" t="s">
        <v>855</v>
      </c>
      <c r="D20" s="4">
        <v>1.5</v>
      </c>
      <c r="E20" s="4" t="s">
        <v>694</v>
      </c>
      <c r="F20" s="5" t="str">
        <f>Einheitenvorsätze!B61</f>
        <v>Ω</v>
      </c>
      <c r="G20" s="77">
        <f>VLOOKUP(E20, CHOOSE({1,2,3,4,5}, Einheitenvorsätze!A:A, Einheitenvorsätze!B:B, Einheitenvorsätze!C:C, Einheitenvorsätze!D:D, Einheitenvorsätze!E:E), 5, FALSE)</f>
        <v>3</v>
      </c>
      <c r="H20" s="77">
        <f>D20*VLOOKUP(E20, CHOOSE({1,2,3,4}, Einheitenvorsätze!A:A, Einheitenvorsätze!B:B, Einheitenvorsätze!C:C, Einheitenvorsätze!D:D), 3, FALSE)</f>
        <v>1500</v>
      </c>
      <c r="I20" s="393" t="str">
        <f>C20</f>
        <v xml:space="preserve">R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1.5 * 10³Ω</v>
      </c>
      <c r="K20" s="77" t="str">
        <f>IF(E20=Einheitenvorsätze!$A$19,_xlfn.CONCAT(D20,F20),_xlfn.CONCAT(D20,E20,F20))</f>
        <v>1.5kΩ</v>
      </c>
      <c r="L20" s="77" t="str">
        <f>_xlfn.CONCAT(I20,K20)</f>
        <v>R = 1.5kΩ</v>
      </c>
      <c r="M20" s="77" t="str">
        <f>_xlfn.CONCAT(I20,J20)</f>
        <v>R = 1.5 * 10³Ω</v>
      </c>
      <c r="Z20" s="399"/>
      <c r="AB20" s="394" t="str">
        <f>$L$20</f>
        <v>R = 1.5kΩ</v>
      </c>
      <c r="AD20" s="395" t="str">
        <f>IF($AB$2=$R$2,$L$25,_xlfn.CONCAT($C$25,"?"))</f>
        <v>ω = 6283.1853(1/s)</v>
      </c>
      <c r="AE20" s="400"/>
      <c r="AF20">
        <f>$H$20</f>
        <v>1500</v>
      </c>
      <c r="AG20" s="1" t="s">
        <v>876</v>
      </c>
      <c r="AH20">
        <v>0</v>
      </c>
      <c r="AI20">
        <f>IF($AB$2=$R$2,AF20,0)</f>
        <v>1500</v>
      </c>
      <c r="AK20">
        <v>0</v>
      </c>
      <c r="AL20">
        <v>0</v>
      </c>
    </row>
    <row r="21" spans="3:38" ht="20.5" customHeight="1" x14ac:dyDescent="0.45">
      <c r="C21" s="8" t="s">
        <v>856</v>
      </c>
      <c r="D21" s="4">
        <v>0.1</v>
      </c>
      <c r="E21" s="4" t="s">
        <v>715</v>
      </c>
      <c r="F21" s="5" t="s">
        <v>44</v>
      </c>
      <c r="G21" s="77">
        <f>VLOOKUP(E21, CHOOSE({1,2,3,4,5}, Einheitenvorsätze!A:A, Einheitenvorsätze!B:B, Einheitenvorsätze!C:C, Einheitenvorsätze!D:D, Einheitenvorsätze!E:E), 5, FALSE)</f>
        <v>-6</v>
      </c>
      <c r="H21" s="77">
        <f>D21*VLOOKUP(E21, CHOOSE({1,2,3,4}, Einheitenvorsätze!A:A, Einheitenvorsätze!B:B, Einheitenvorsätze!C:C, Einheitenvorsätze!D:D), 3, FALSE)</f>
        <v>9.9999999999999995E-8</v>
      </c>
      <c r="I21" s="393" t="str">
        <f t="shared" ref="I21:I23" si="0">C21</f>
        <v xml:space="preserve">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0.1 * 10⁻⁶F</v>
      </c>
      <c r="K21" s="77" t="str">
        <f>IF(E21=Einheitenvorsätze!$A$19,_xlfn.CONCAT(D21,F21),_xlfn.CONCAT(D21,E21,F21))</f>
        <v>0.1µF</v>
      </c>
      <c r="L21" s="77" t="str">
        <f t="shared" ref="L21:L23" si="1">_xlfn.CONCAT(I21,K21)</f>
        <v>C = 0.1µF</v>
      </c>
      <c r="M21" s="77" t="str">
        <f t="shared" ref="M21:M23" si="2">_xlfn.CONCAT(I21,J21)</f>
        <v>C = 0.1 * 10⁻⁶F</v>
      </c>
      <c r="Z21" s="399"/>
      <c r="AB21" s="394" t="str">
        <f>$L$21</f>
        <v>C = 0.1µF</v>
      </c>
      <c r="AD21" s="395" t="str">
        <f>IF($AB$2=$R$2,$L$28,_xlfn.CONCAT($C$28,"?"))</f>
        <v>Blindwiderstand XC = 1.59kΩ</v>
      </c>
      <c r="AE21" s="400"/>
      <c r="AF21">
        <f>$H$28</f>
        <v>1590</v>
      </c>
      <c r="AG21" s="1" t="s">
        <v>877</v>
      </c>
      <c r="AH21">
        <v>0</v>
      </c>
      <c r="AI21">
        <v>0</v>
      </c>
      <c r="AK21">
        <v>0</v>
      </c>
      <c r="AL21">
        <f>IF($AB$2=$R$2,-AF21,0)</f>
        <v>-1590</v>
      </c>
    </row>
    <row r="22" spans="3:38" ht="20.5" customHeight="1" x14ac:dyDescent="0.45">
      <c r="C22" s="8" t="s">
        <v>857</v>
      </c>
      <c r="D22" s="4">
        <v>80</v>
      </c>
      <c r="E22" s="4" t="s">
        <v>712</v>
      </c>
      <c r="F22" s="5" t="s">
        <v>45</v>
      </c>
      <c r="G22" s="77">
        <f>VLOOKUP(E22, CHOOSE({1,2,3,4,5}, Einheitenvorsätze!A:A, Einheitenvorsätze!B:B, Einheitenvorsätze!C:C, Einheitenvorsätze!D:D, Einheitenvorsätze!E:E), 5, FALSE)</f>
        <v>-3</v>
      </c>
      <c r="H22" s="77">
        <f>D22*VLOOKUP(E22, CHOOSE({1,2,3,4}, Einheitenvorsätze!A:A, Einheitenvorsätze!B:B, Einheitenvorsätze!C:C, Einheitenvorsätze!D:D), 3, FALSE)</f>
        <v>0.08</v>
      </c>
      <c r="I22" s="393" t="str">
        <f t="shared" si="0"/>
        <v xml:space="preserve">L = </v>
      </c>
      <c r="J22" s="77" t="str">
        <f>IF(E22=Einheitenvorsätze!$A$19,_xlfn.CONCAT(D22,F22),_xlfn.CONCAT(D22," * ",VLOOKUP(E22, CHOOSE({1,2,3,4}, Einheitenvorsätze!A:A, Einheitenvorsätze!B:B, Einheitenvorsätze!C:C, Einheitenvorsätze!D:D), 4, FALSE),F22))</f>
        <v>80 * 10⁻³H</v>
      </c>
      <c r="K22" s="77" t="str">
        <f>IF(E22=Einheitenvorsätze!$A$19,_xlfn.CONCAT(D22,F22),_xlfn.CONCAT(D22,E22,F22))</f>
        <v>80mH</v>
      </c>
      <c r="L22" s="77" t="str">
        <f t="shared" si="1"/>
        <v>L = 80mH</v>
      </c>
      <c r="M22" s="77" t="str">
        <f t="shared" si="2"/>
        <v>L = 80 * 10⁻³H</v>
      </c>
      <c r="Z22" s="399"/>
      <c r="AB22" s="394" t="str">
        <f>$L$23</f>
        <v>f =1kHZ</v>
      </c>
      <c r="AD22" s="395" t="str">
        <f>IF($AB$2=$R$2,$L$32,_xlfn.CONCAT($C$32,"?"))</f>
        <v>Scheinwiderstand ZRC = 2.19kΩ</v>
      </c>
      <c r="AE22" s="401"/>
      <c r="AF22">
        <f>ABS(MAX(AF20:AF21))*1.1</f>
        <v>1749.0000000000002</v>
      </c>
      <c r="AG22" s="1" t="s">
        <v>879</v>
      </c>
      <c r="AH22">
        <f>-AF22</f>
        <v>-1749.0000000000002</v>
      </c>
      <c r="AI22">
        <f>AF22</f>
        <v>1749.0000000000002</v>
      </c>
      <c r="AK22">
        <v>0</v>
      </c>
      <c r="AL22">
        <v>0</v>
      </c>
    </row>
    <row r="23" spans="3:38" ht="20.5" customHeight="1" x14ac:dyDescent="0.45">
      <c r="C23" s="8" t="s">
        <v>858</v>
      </c>
      <c r="D23" s="4">
        <v>1</v>
      </c>
      <c r="E23" s="4" t="s">
        <v>694</v>
      </c>
      <c r="F23" s="5" t="s">
        <v>859</v>
      </c>
      <c r="G23" s="77">
        <f>VLOOKUP(E23, CHOOSE({1,2,3,4,5}, Einheitenvorsätze!A:A, Einheitenvorsätze!B:B, Einheitenvorsätze!C:C, Einheitenvorsätze!D:D, Einheitenvorsätze!E:E), 5, FALSE)</f>
        <v>3</v>
      </c>
      <c r="H23" s="77">
        <f>D23*VLOOKUP(E23, CHOOSE({1,2,3,4}, Einheitenvorsätze!A:A, Einheitenvorsätze!B:B, Einheitenvorsätze!C:C, Einheitenvorsätze!D:D), 3, FALSE)</f>
        <v>1000</v>
      </c>
      <c r="I23" s="393" t="str">
        <f t="shared" si="0"/>
        <v>f =</v>
      </c>
      <c r="J23" s="77" t="str">
        <f>IF(E23=Einheitenvorsätze!$A$19,_xlfn.CONCAT(D23,F23),_xlfn.CONCAT(D23," * ",VLOOKUP(E23, CHOOSE({1,2,3,4}, Einheitenvorsätze!A:A, Einheitenvorsätze!B:B, Einheitenvorsätze!C:C, Einheitenvorsätze!D:D), 4, FALSE),F23))</f>
        <v>1 * 10³HZ</v>
      </c>
      <c r="K23" s="77" t="str">
        <f>IF(E23=Einheitenvorsätze!$A$19,_xlfn.CONCAT(D23,F23),_xlfn.CONCAT(D23,E23,F23))</f>
        <v>1kHZ</v>
      </c>
      <c r="L23" s="77" t="str">
        <f t="shared" si="1"/>
        <v>f =1kHZ</v>
      </c>
      <c r="M23" s="77" t="str">
        <f t="shared" si="2"/>
        <v>f =1 * 10³HZ</v>
      </c>
      <c r="Z23" s="399"/>
      <c r="AD23" s="395" t="str">
        <f>IF($AB$2=$R$2,$T$32,_xlfn.CONCAT($O$32,"?"))</f>
        <v>φ = -46.7°</v>
      </c>
      <c r="AE23" s="400"/>
      <c r="AH23">
        <v>0</v>
      </c>
      <c r="AI23">
        <v>0</v>
      </c>
      <c r="AK23">
        <f>AH22</f>
        <v>-1749.0000000000002</v>
      </c>
      <c r="AL23">
        <f>AI22</f>
        <v>1749.0000000000002</v>
      </c>
    </row>
    <row r="24" spans="3:38" ht="20.5" customHeight="1" x14ac:dyDescent="0.45">
      <c r="Z24" s="399"/>
      <c r="AD24" s="395" t="str">
        <f>IF($AB$2=$R$2,$X$32,_xlfn.CONCAT($V$32,"?"))</f>
        <v>cos(φ) = 0.7</v>
      </c>
      <c r="AE24" s="400"/>
      <c r="AH24">
        <v>0</v>
      </c>
      <c r="AI24">
        <f>AI20</f>
        <v>1500</v>
      </c>
      <c r="AK24">
        <v>0</v>
      </c>
      <c r="AL24">
        <f>AL21</f>
        <v>-1590</v>
      </c>
    </row>
    <row r="25" spans="3:38" ht="20.5" customHeight="1" thickBot="1" x14ac:dyDescent="0.4">
      <c r="C25" s="8" t="s">
        <v>860</v>
      </c>
      <c r="D25" s="77">
        <f>ROUND((2*PI()*H23 / 10^G25),4)</f>
        <v>6283.1853000000001</v>
      </c>
      <c r="E25" s="4" t="s">
        <v>703</v>
      </c>
      <c r="F25" s="5" t="s">
        <v>861</v>
      </c>
      <c r="G25" s="77">
        <f>VLOOKUP(E25, CHOOSE({1,2,3,4,5}, Einheitenvorsätze!A:A, Einheitenvorsätze!B:B, Einheitenvorsätze!C:C, Einheitenvorsätze!D:D, Einheitenvorsätze!E:E), 5, FALSE)</f>
        <v>0</v>
      </c>
      <c r="H25" s="77">
        <f>D25*VLOOKUP(E25, CHOOSE({1,2,3,4}, Einheitenvorsätze!A:A, Einheitenvorsätze!B:B, Einheitenvorsätze!C:C, Einheitenvorsätze!D:D), 3, FALSE)</f>
        <v>6283.1853000000001</v>
      </c>
      <c r="I25" s="393" t="str">
        <f t="shared" ref="I25" si="3">C25</f>
        <v xml:space="preserve">ω = </v>
      </c>
      <c r="J25" s="77" t="str">
        <f>IF(E25=Einheitenvorsätze!$A$19,_xlfn.CONCAT(D25,F25),_xlfn.CONCAT(D25," * ",VLOOKUP(E25, CHOOSE({1,2,3,4}, Einheitenvorsätze!A:A, Einheitenvorsätze!B:B, Einheitenvorsätze!C:C, Einheitenvorsätze!D:D), 4, FALSE),F25))</f>
        <v>6283.1853(1/s)</v>
      </c>
      <c r="K25" s="77" t="str">
        <f>IF(E25=Einheitenvorsätze!$A$19,_xlfn.CONCAT(D25,F25),_xlfn.CONCAT(D25,E25,F25))</f>
        <v>6283.1853(1/s)</v>
      </c>
      <c r="L25" s="77" t="str">
        <f t="shared" ref="L25" si="4">_xlfn.CONCAT(I25,K25)</f>
        <v>ω = 6283.1853(1/s)</v>
      </c>
      <c r="M25" s="77" t="str">
        <f t="shared" ref="M25" si="5">_xlfn.CONCAT(I25,J25)</f>
        <v>ω = 6283.1853(1/s)</v>
      </c>
      <c r="Z25" s="402"/>
      <c r="AA25" s="403"/>
      <c r="AB25" s="403"/>
      <c r="AC25" s="403"/>
      <c r="AD25" s="403"/>
      <c r="AE25" s="404"/>
    </row>
    <row r="26" spans="3:38" ht="20.5" customHeight="1" x14ac:dyDescent="0.35"/>
    <row r="27" spans="3:38" ht="20.5" customHeight="1" x14ac:dyDescent="0.35"/>
    <row r="28" spans="3:38" ht="20.5" customHeight="1" x14ac:dyDescent="0.45">
      <c r="C28" s="8" t="s">
        <v>947</v>
      </c>
      <c r="D28" s="77">
        <f>ROUND((1/((D25*D21)*10^(G25+G21)))/10^G28,2)</f>
        <v>1.59</v>
      </c>
      <c r="E28" s="4" t="s">
        <v>694</v>
      </c>
      <c r="F28" s="5" t="str">
        <f>F20</f>
        <v>Ω</v>
      </c>
      <c r="G28" s="77">
        <f>VLOOKUP(E28, CHOOSE({1,2,3,4,5}, Einheitenvorsätze!A:A, Einheitenvorsätze!B:B, Einheitenvorsätze!C:C, Einheitenvorsätze!D:D, Einheitenvorsätze!E:E), 5, FALSE)</f>
        <v>3</v>
      </c>
      <c r="H28" s="77">
        <f>D28*VLOOKUP(E28, CHOOSE({1,2,3,4}, Einheitenvorsätze!A:A, Einheitenvorsätze!B:B, Einheitenvorsätze!C:C, Einheitenvorsätze!D:D), 3, FALSE)</f>
        <v>1590</v>
      </c>
      <c r="I28" s="393" t="str">
        <f t="shared" ref="I28:I29" si="6">C28</f>
        <v xml:space="preserve">Blindwiderstand XC = </v>
      </c>
      <c r="J28" s="77" t="str">
        <f>IF(E28=Einheitenvorsätze!$A$19,_xlfn.CONCAT(D28,F28),_xlfn.CONCAT(D28," * ",VLOOKUP(E28, CHOOSE({1,2,3,4}, Einheitenvorsätze!A:A, Einheitenvorsätze!B:B, Einheitenvorsätze!C:C, Einheitenvorsätze!D:D), 4, FALSE),F28))</f>
        <v>1.59 * 10³Ω</v>
      </c>
      <c r="K28" s="77" t="str">
        <f>IF(E28=Einheitenvorsätze!$A$19,_xlfn.CONCAT(D28,F28),_xlfn.CONCAT(D28,E28,F28))</f>
        <v>1.59kΩ</v>
      </c>
      <c r="L28" s="77" t="str">
        <f t="shared" ref="L28:L29" si="7">_xlfn.CONCAT(I28,K28)</f>
        <v>Blindwiderstand XC = 1.59kΩ</v>
      </c>
      <c r="M28" s="77" t="str">
        <f t="shared" ref="M28:M29" si="8">_xlfn.CONCAT(I28,J28)</f>
        <v>Blindwiderstand XC = 1.59 * 10³Ω</v>
      </c>
    </row>
    <row r="29" spans="3:38" ht="20.5" customHeight="1" x14ac:dyDescent="0.45">
      <c r="C29" s="8" t="s">
        <v>948</v>
      </c>
      <c r="D29" s="77">
        <f>ROUND((((D25*D22)*10^(G25+G22))/10^G29),4)</f>
        <v>502.65480000000002</v>
      </c>
      <c r="E29" s="4" t="s">
        <v>703</v>
      </c>
      <c r="F29" s="5" t="str">
        <f>F20</f>
        <v>Ω</v>
      </c>
      <c r="G29" s="77">
        <f>VLOOKUP(E29, CHOOSE({1,2,3,4,5}, Einheitenvorsätze!A:A, Einheitenvorsätze!B:B, Einheitenvorsätze!C:C, Einheitenvorsätze!D:D, Einheitenvorsätze!E:E), 5, FALSE)</f>
        <v>0</v>
      </c>
      <c r="H29" s="77">
        <f>D29*VLOOKUP(E29, CHOOSE({1,2,3,4}, Einheitenvorsätze!A:A, Einheitenvorsätze!B:B, Einheitenvorsätze!C:C, Einheitenvorsätze!D:D), 3, FALSE)</f>
        <v>502.65480000000002</v>
      </c>
      <c r="I29" s="393" t="str">
        <f t="shared" si="6"/>
        <v xml:space="preserve">Blindwiderstand XL = </v>
      </c>
      <c r="J29" s="77" t="str">
        <f>IF(E29=Einheitenvorsätze!$A$19,_xlfn.CONCAT(D29,F29),_xlfn.CONCAT(D29," * ",VLOOKUP(E29, CHOOSE({1,2,3,4}, Einheitenvorsätze!A:A, Einheitenvorsätze!B:B, Einheitenvorsätze!C:C, Einheitenvorsätze!D:D), 4, FALSE),F29))</f>
        <v>502.6548Ω</v>
      </c>
      <c r="K29" s="77" t="str">
        <f>IF(E29=Einheitenvorsätze!$A$19,_xlfn.CONCAT(D29,F29),_xlfn.CONCAT(D29,E29,F29))</f>
        <v>502.6548Ω</v>
      </c>
      <c r="L29" s="77" t="str">
        <f t="shared" si="7"/>
        <v>Blindwiderstand XL = 502.6548Ω</v>
      </c>
      <c r="M29" s="77" t="str">
        <f t="shared" si="8"/>
        <v>Blindwiderstand XL = 502.6548Ω</v>
      </c>
    </row>
    <row r="31" spans="3:38" x14ac:dyDescent="0.35">
      <c r="C31" t="s">
        <v>862</v>
      </c>
    </row>
    <row r="32" spans="3:38" ht="16.5" x14ac:dyDescent="0.45">
      <c r="C32" s="8" t="s">
        <v>949</v>
      </c>
      <c r="D32" s="77">
        <f>ROUND(SQRT(H20^2 + H28^2) / 10^G32,2)</f>
        <v>2.19</v>
      </c>
      <c r="E32" s="4" t="s">
        <v>694</v>
      </c>
      <c r="F32" s="5" t="str">
        <f>F29</f>
        <v>Ω</v>
      </c>
      <c r="G32" s="77">
        <f>VLOOKUP(E32, CHOOSE({1,2,3,4,5}, Einheitenvorsätze!A:A, Einheitenvorsätze!B:B, Einheitenvorsätze!C:C, Einheitenvorsätze!D:D, Einheitenvorsätze!E:E), 5, FALSE)</f>
        <v>3</v>
      </c>
      <c r="H32" s="77">
        <f>D32*VLOOKUP(E32, CHOOSE({1,2,3,4}, Einheitenvorsätze!A:A, Einheitenvorsätze!B:B, Einheitenvorsätze!C:C, Einheitenvorsätze!D:D), 3, FALSE)</f>
        <v>2190</v>
      </c>
      <c r="I32" s="393" t="str">
        <f t="shared" ref="I32:I34" si="9">C32</f>
        <v xml:space="preserve">Scheinwiderstand ZRC = </v>
      </c>
      <c r="J32" s="77" t="str">
        <f>IF(E32=Einheitenvorsätze!$A$19,_xlfn.CONCAT(D32,F32),_xlfn.CONCAT(D32," * ",VLOOKUP(E32, CHOOSE({1,2,3,4}, Einheitenvorsätze!A:A, Einheitenvorsätze!B:B, Einheitenvorsätze!C:C, Einheitenvorsätze!D:D), 4, FALSE),F32))</f>
        <v>2.19 * 10³Ω</v>
      </c>
      <c r="K32" s="77" t="str">
        <f>IF(E32=Einheitenvorsätze!$A$19,_xlfn.CONCAT(D32,F32),_xlfn.CONCAT(D32,E32,F32))</f>
        <v>2.19kΩ</v>
      </c>
      <c r="L32" s="77" t="str">
        <f t="shared" ref="L32:L34" si="10">_xlfn.CONCAT(I32,K32)</f>
        <v>Scheinwiderstand ZRC = 2.19kΩ</v>
      </c>
      <c r="M32" s="77" t="str">
        <f t="shared" ref="M32:M34" si="11">_xlfn.CONCAT(I32,J32)</f>
        <v>Scheinwiderstand ZRC = 2.19 * 10³Ω</v>
      </c>
      <c r="O32" s="8" t="s">
        <v>863</v>
      </c>
      <c r="P32" s="77">
        <f>ATAN2(H20,-H28)</f>
        <v>-0.8145161449044872</v>
      </c>
      <c r="Q32" s="5" t="s">
        <v>202</v>
      </c>
      <c r="R32" s="77">
        <f>DEGREES(P32)</f>
        <v>-46.668337448293308</v>
      </c>
      <c r="S32" s="5" t="s">
        <v>201</v>
      </c>
      <c r="T32" s="77" t="str">
        <f>_xlfn.CONCAT(O32,ROUND(R32,1),S32)</f>
        <v>φ = -46.7°</v>
      </c>
      <c r="V32" s="5" t="s">
        <v>954</v>
      </c>
      <c r="W32" s="77">
        <f>COS(RADIANS(R32))</f>
        <v>0.68622042689571938</v>
      </c>
      <c r="X32" s="77" t="str">
        <f>_xlfn.CONCAT(V32,ROUND(W32,1))</f>
        <v>cos(φ) = 0.7</v>
      </c>
    </row>
    <row r="33" spans="2:38" ht="16.5" x14ac:dyDescent="0.45">
      <c r="C33" s="8" t="s">
        <v>950</v>
      </c>
      <c r="D33" s="77">
        <f>ROUND(SQRT(H20^2 + H29^2)/10^G33,2)</f>
        <v>1.58</v>
      </c>
      <c r="E33" s="4" t="s">
        <v>694</v>
      </c>
      <c r="F33" s="5" t="str">
        <f>F29</f>
        <v>Ω</v>
      </c>
      <c r="G33" s="77">
        <f>VLOOKUP(E33, CHOOSE({1,2,3,4,5}, Einheitenvorsätze!A:A, Einheitenvorsätze!B:B, Einheitenvorsätze!C:C, Einheitenvorsätze!D:D, Einheitenvorsätze!E:E), 5, FALSE)</f>
        <v>3</v>
      </c>
      <c r="H33" s="77">
        <f>D33*VLOOKUP(E33, CHOOSE({1,2,3,4}, Einheitenvorsätze!A:A, Einheitenvorsätze!B:B, Einheitenvorsätze!C:C, Einheitenvorsätze!D:D), 3, FALSE)</f>
        <v>1580</v>
      </c>
      <c r="I33" s="393" t="str">
        <f t="shared" si="9"/>
        <v xml:space="preserve">Scheinwiderstand ZRL = </v>
      </c>
      <c r="J33" s="77" t="str">
        <f>IF(E33=Einheitenvorsätze!$A$19,_xlfn.CONCAT(D33,F33),_xlfn.CONCAT(D33," * ",VLOOKUP(E33, CHOOSE({1,2,3,4}, Einheitenvorsätze!A:A, Einheitenvorsätze!B:B, Einheitenvorsätze!C:C, Einheitenvorsätze!D:D), 4, FALSE),F33))</f>
        <v>1.58 * 10³Ω</v>
      </c>
      <c r="K33" s="77" t="str">
        <f>IF(E33=Einheitenvorsätze!$A$19,_xlfn.CONCAT(D33,F33),_xlfn.CONCAT(D33,E33,F33))</f>
        <v>1.58kΩ</v>
      </c>
      <c r="L33" s="77" t="str">
        <f t="shared" si="10"/>
        <v>Scheinwiderstand ZRL = 1.58kΩ</v>
      </c>
      <c r="M33" s="77" t="str">
        <f t="shared" si="11"/>
        <v>Scheinwiderstand ZRL = 1.58 * 10³Ω</v>
      </c>
      <c r="O33" s="8" t="s">
        <v>863</v>
      </c>
      <c r="P33" s="77">
        <f>ATAN2(H20,H29)</f>
        <v>0.32334258774486002</v>
      </c>
      <c r="Q33" s="5" t="s">
        <v>202</v>
      </c>
      <c r="R33" s="77">
        <f>DEGREES(P33)</f>
        <v>18.526165614618975</v>
      </c>
      <c r="S33" s="5" t="s">
        <v>201</v>
      </c>
      <c r="T33" s="77" t="str">
        <f>_xlfn.CONCAT(O33,ROUND(R33,1),S33)</f>
        <v>φ = 18.5°</v>
      </c>
      <c r="V33" s="5" t="s">
        <v>954</v>
      </c>
      <c r="W33" s="77">
        <f t="shared" ref="W33:W34" si="12">COS(RADIANS(R33))</f>
        <v>0.9481786508621064</v>
      </c>
      <c r="X33" s="77" t="str">
        <f t="shared" ref="X33:X34" si="13">_xlfn.CONCAT(V33,ROUND(W33,1))</f>
        <v>cos(φ) = 0.9</v>
      </c>
    </row>
    <row r="34" spans="2:38" ht="16.5" x14ac:dyDescent="0.45">
      <c r="B34" s="435" t="str">
        <f>IF(H28=H29,"ohmsch",IF(H28&gt;H29,"kapazitiv","induktiv"))</f>
        <v>kapazitiv</v>
      </c>
      <c r="C34" s="8" t="s">
        <v>951</v>
      </c>
      <c r="D34" s="77">
        <f>ROUND(SQRT(H20^2 + (H28-H29)^2)/10^G34,2)</f>
        <v>1.85</v>
      </c>
      <c r="E34" s="4" t="s">
        <v>694</v>
      </c>
      <c r="F34" s="5" t="str">
        <f>F28</f>
        <v>Ω</v>
      </c>
      <c r="G34" s="77">
        <f>VLOOKUP(E34, CHOOSE({1,2,3,4,5}, Einheitenvorsätze!A:A, Einheitenvorsätze!B:B, Einheitenvorsätze!C:C, Einheitenvorsätze!D:D, Einheitenvorsätze!E:E), 5, FALSE)</f>
        <v>3</v>
      </c>
      <c r="H34" s="77">
        <f>D34*VLOOKUP(E34, CHOOSE({1,2,3,4}, Einheitenvorsätze!A:A, Einheitenvorsätze!B:B, Einheitenvorsätze!C:C, Einheitenvorsätze!D:D), 3, FALSE)</f>
        <v>1850</v>
      </c>
      <c r="I34" s="393" t="str">
        <f t="shared" si="9"/>
        <v xml:space="preserve">Scheinwiderstand ZRLC = </v>
      </c>
      <c r="J34" s="77" t="str">
        <f>IF(E34=Einheitenvorsätze!$A$19,_xlfn.CONCAT(D34,F34),_xlfn.CONCAT(D34," * ",VLOOKUP(E34, CHOOSE({1,2,3,4}, Einheitenvorsätze!A:A, Einheitenvorsätze!B:B, Einheitenvorsätze!C:C, Einheitenvorsätze!D:D), 4, FALSE),F34))</f>
        <v>1.85 * 10³Ω</v>
      </c>
      <c r="K34" s="77" t="str">
        <f>IF(E34=Einheitenvorsätze!$A$19,_xlfn.CONCAT(D34,F34),_xlfn.CONCAT(D34,E34,F34))</f>
        <v>1.85kΩ</v>
      </c>
      <c r="L34" s="77" t="str">
        <f t="shared" si="10"/>
        <v>Scheinwiderstand ZRLC = 1.85kΩ</v>
      </c>
      <c r="M34" s="77" t="str">
        <f t="shared" si="11"/>
        <v>Scheinwiderstand ZRLC = 1.85 * 10³Ω</v>
      </c>
      <c r="O34" s="8" t="s">
        <v>863</v>
      </c>
      <c r="P34" s="77">
        <f>ATAN2(H20,H29-H28)</f>
        <v>-0.62724054455024325</v>
      </c>
      <c r="Q34" s="5" t="s">
        <v>202</v>
      </c>
      <c r="R34" s="77">
        <f>DEGREES(P34)</f>
        <v>-35.93823594221643</v>
      </c>
      <c r="S34" s="5" t="s">
        <v>201</v>
      </c>
      <c r="T34" s="77" t="str">
        <f>_xlfn.CONCAT(O34,ROUND(R34,1),S34)</f>
        <v>φ = -35.9°</v>
      </c>
      <c r="V34" s="5" t="s">
        <v>954</v>
      </c>
      <c r="W34" s="77">
        <f t="shared" si="12"/>
        <v>0.80965014856304451</v>
      </c>
      <c r="X34" s="77" t="str">
        <f t="shared" si="13"/>
        <v>cos(φ) = 0.8</v>
      </c>
    </row>
    <row r="35" spans="2:38" ht="15" thickBot="1" x14ac:dyDescent="0.4"/>
    <row r="36" spans="2:38" ht="23.5" x14ac:dyDescent="0.55000000000000004">
      <c r="Z36" s="405"/>
      <c r="AA36" s="406"/>
      <c r="AB36" s="397"/>
      <c r="AC36" s="397"/>
      <c r="AD36" s="397"/>
      <c r="AE36" s="398"/>
    </row>
    <row r="37" spans="2:38" ht="23.5" x14ac:dyDescent="0.55000000000000004">
      <c r="Z37" s="407"/>
      <c r="AA37" s="245"/>
      <c r="AB37" s="5" t="s">
        <v>866</v>
      </c>
      <c r="AD37" s="5" t="s">
        <v>865</v>
      </c>
      <c r="AE37" s="400"/>
    </row>
    <row r="38" spans="2:38" ht="18.5" x14ac:dyDescent="0.45">
      <c r="C38" t="s">
        <v>952</v>
      </c>
      <c r="Z38" s="399"/>
      <c r="AB38" s="394" t="str">
        <f>$L$20</f>
        <v>R = 1.5kΩ</v>
      </c>
      <c r="AD38" s="395" t="str">
        <f>IF($AB$2=$R$2,$L$25,_xlfn.CONCAT($C$25,"?"))</f>
        <v>ω = 6283.1853(1/s)</v>
      </c>
      <c r="AE38" s="400"/>
      <c r="AF38">
        <f>$H$20</f>
        <v>1500</v>
      </c>
      <c r="AG38" s="1" t="s">
        <v>876</v>
      </c>
      <c r="AH38">
        <v>0</v>
      </c>
      <c r="AI38">
        <f>IF($AB$2=$R$2,AF38,0)</f>
        <v>1500</v>
      </c>
      <c r="AK38">
        <v>0</v>
      </c>
      <c r="AL38">
        <v>0</v>
      </c>
    </row>
    <row r="39" spans="2:38" ht="18.5" x14ac:dyDescent="0.45">
      <c r="C39" t="s">
        <v>953</v>
      </c>
      <c r="Z39" s="399"/>
      <c r="AB39" s="394" t="str">
        <f>$L$22</f>
        <v>L = 80mH</v>
      </c>
      <c r="AD39" s="395" t="str">
        <f>IF($AB$2=$R$2,$L$29,_xlfn.CONCAT($C$29,"?"))</f>
        <v>Blindwiderstand XL = 502.6548Ω</v>
      </c>
      <c r="AE39" s="400"/>
      <c r="AF39" s="437">
        <f>$H$29</f>
        <v>502.65480000000002</v>
      </c>
      <c r="AG39" s="1" t="s">
        <v>878</v>
      </c>
      <c r="AH39">
        <v>0</v>
      </c>
      <c r="AI39">
        <v>0</v>
      </c>
      <c r="AK39">
        <v>0</v>
      </c>
      <c r="AL39">
        <f>IF($AB$2=$R$2,AF39,0)</f>
        <v>502.65480000000002</v>
      </c>
    </row>
    <row r="40" spans="2:38" ht="18.5" x14ac:dyDescent="0.45">
      <c r="Z40" s="399"/>
      <c r="AB40" s="394" t="str">
        <f>$L$23</f>
        <v>f =1kHZ</v>
      </c>
      <c r="AD40" s="395" t="str">
        <f>IF($AB$2=$R$2,$L$33,_xlfn.CONCAT($C$33,"?"))</f>
        <v>Scheinwiderstand ZRL = 1.58kΩ</v>
      </c>
      <c r="AE40" s="400"/>
      <c r="AF40">
        <f>ABS(MAX(AF38:AF39))*1.1</f>
        <v>1650.0000000000002</v>
      </c>
      <c r="AG40" s="1" t="s">
        <v>879</v>
      </c>
      <c r="AH40">
        <f>-AF40</f>
        <v>-1650.0000000000002</v>
      </c>
      <c r="AI40">
        <f>AF40</f>
        <v>1650.0000000000002</v>
      </c>
      <c r="AK40">
        <v>0</v>
      </c>
      <c r="AL40">
        <v>0</v>
      </c>
    </row>
    <row r="41" spans="2:38" ht="18.5" x14ac:dyDescent="0.45">
      <c r="Z41" s="399"/>
      <c r="AD41" s="395" t="str">
        <f>IF($AB$2=$R$2,$T$33,_xlfn.CONCAT($O$33,"?"))</f>
        <v>φ = 18.5°</v>
      </c>
      <c r="AE41" s="400"/>
      <c r="AH41">
        <v>0</v>
      </c>
      <c r="AI41">
        <v>0</v>
      </c>
      <c r="AK41">
        <f>AH40</f>
        <v>-1650.0000000000002</v>
      </c>
      <c r="AL41">
        <f>AI40</f>
        <v>1650.0000000000002</v>
      </c>
    </row>
    <row r="42" spans="2:38" ht="18.5" x14ac:dyDescent="0.45">
      <c r="Z42" s="399"/>
      <c r="AD42" s="395" t="str">
        <f>IF($AB$2=$R$2,$X$33,_xlfn.CONCAT($V$33,"?"))</f>
        <v>cos(φ) = 0.9</v>
      </c>
      <c r="AE42" s="400"/>
      <c r="AH42">
        <v>0</v>
      </c>
      <c r="AI42">
        <f>AI38</f>
        <v>1500</v>
      </c>
      <c r="AK42">
        <v>0</v>
      </c>
      <c r="AL42">
        <f>AL39</f>
        <v>502.65480000000002</v>
      </c>
    </row>
    <row r="43" spans="2:38" x14ac:dyDescent="0.35">
      <c r="Z43" s="399"/>
      <c r="AE43" s="400"/>
    </row>
    <row r="44" spans="2:38" x14ac:dyDescent="0.35">
      <c r="Z44" s="399"/>
      <c r="AE44" s="400"/>
    </row>
    <row r="45" spans="2:38" x14ac:dyDescent="0.35">
      <c r="Z45" s="399"/>
      <c r="AE45" s="400"/>
    </row>
    <row r="46" spans="2:38" x14ac:dyDescent="0.35">
      <c r="Z46" s="399"/>
      <c r="AE46" s="400"/>
    </row>
    <row r="47" spans="2:38" ht="15" thickBot="1" x14ac:dyDescent="0.4">
      <c r="Z47" s="402"/>
      <c r="AA47" s="403"/>
      <c r="AB47" s="403"/>
      <c r="AC47" s="403"/>
      <c r="AD47" s="403"/>
      <c r="AE47" s="404"/>
    </row>
    <row r="56" spans="26:38" ht="15" thickBot="1" x14ac:dyDescent="0.4"/>
    <row r="57" spans="26:38" x14ac:dyDescent="0.35">
      <c r="Z57" s="396"/>
      <c r="AA57" s="397"/>
      <c r="AB57" s="397"/>
      <c r="AC57" s="397"/>
      <c r="AD57" s="397"/>
      <c r="AE57" s="398"/>
      <c r="AF57" s="437"/>
    </row>
    <row r="58" spans="26:38" x14ac:dyDescent="0.35">
      <c r="Z58" s="399"/>
      <c r="AE58" s="400"/>
      <c r="AF58" s="437">
        <f>$H$20</f>
        <v>1500</v>
      </c>
      <c r="AG58" s="1" t="s">
        <v>876</v>
      </c>
      <c r="AH58">
        <v>0</v>
      </c>
      <c r="AI58">
        <f>IF($AB$2=$R$2,AF58,0)</f>
        <v>1500</v>
      </c>
      <c r="AK58">
        <v>0</v>
      </c>
      <c r="AL58">
        <v>0</v>
      </c>
    </row>
    <row r="59" spans="26:38" x14ac:dyDescent="0.35">
      <c r="Z59" s="399"/>
      <c r="AB59" s="5" t="s">
        <v>866</v>
      </c>
      <c r="AD59" s="5" t="s">
        <v>865</v>
      </c>
      <c r="AE59" s="400"/>
      <c r="AF59" s="437">
        <f>$H$28</f>
        <v>1590</v>
      </c>
      <c r="AG59" s="1" t="s">
        <v>877</v>
      </c>
      <c r="AH59">
        <v>0</v>
      </c>
      <c r="AI59">
        <v>0</v>
      </c>
      <c r="AK59">
        <v>0</v>
      </c>
      <c r="AL59">
        <f>IF($AB$2=$R$2,-AF59,0)</f>
        <v>-1590</v>
      </c>
    </row>
    <row r="60" spans="26:38" ht="18.5" x14ac:dyDescent="0.45">
      <c r="Z60" s="399"/>
      <c r="AB60" s="394" t="str">
        <f>$L$20</f>
        <v>R = 1.5kΩ</v>
      </c>
      <c r="AD60" s="395" t="str">
        <f>IF($AB$2=$R$2,$L$25,_xlfn.CONCAT($C$25,"?"))</f>
        <v>ω = 6283.1853(1/s)</v>
      </c>
      <c r="AE60" s="400"/>
      <c r="AF60" s="437">
        <f>$H$29</f>
        <v>502.65480000000002</v>
      </c>
      <c r="AG60" s="1" t="s">
        <v>878</v>
      </c>
      <c r="AH60">
        <v>0</v>
      </c>
      <c r="AI60">
        <v>0</v>
      </c>
      <c r="AK60">
        <v>0</v>
      </c>
      <c r="AL60">
        <f>IF($AB$2=$R$2,AF60,0)</f>
        <v>502.65480000000002</v>
      </c>
    </row>
    <row r="61" spans="26:38" ht="18.5" x14ac:dyDescent="0.45">
      <c r="Z61" s="399"/>
      <c r="AB61" s="394" t="str">
        <f>$L$22</f>
        <v>L = 80mH</v>
      </c>
      <c r="AD61" s="395" t="str">
        <f>IF($AB$2=$R$2,$L$29,_xlfn.CONCAT($C$29,"?"))</f>
        <v>Blindwiderstand XL = 502.6548Ω</v>
      </c>
      <c r="AE61" s="400"/>
      <c r="AF61" s="437"/>
      <c r="AG61" s="1" t="s">
        <v>880</v>
      </c>
      <c r="AH61">
        <v>0</v>
      </c>
      <c r="AI61">
        <v>0</v>
      </c>
      <c r="AK61">
        <v>0</v>
      </c>
      <c r="AL61">
        <f>AL59+AL60</f>
        <v>-1087.3452</v>
      </c>
    </row>
    <row r="62" spans="26:38" ht="18.5" x14ac:dyDescent="0.45">
      <c r="Z62" s="399"/>
      <c r="AB62" s="394" t="str">
        <f>$L$21</f>
        <v>C = 0.1µF</v>
      </c>
      <c r="AD62" s="395" t="str">
        <f>IF($AB$2=$R$2,$L$28,_xlfn.CONCAT($C$28,"?"))</f>
        <v>Blindwiderstand XC = 1.59kΩ</v>
      </c>
      <c r="AE62" s="400"/>
      <c r="AF62" s="437"/>
      <c r="AG62" s="1"/>
    </row>
    <row r="63" spans="26:38" ht="18.5" x14ac:dyDescent="0.45">
      <c r="Z63" s="399"/>
      <c r="AB63" s="394" t="str">
        <f>$L$23</f>
        <v>f =1kHZ</v>
      </c>
      <c r="AD63" s="395" t="str">
        <f>IF($AB$2=$R$2,$L$34,_xlfn.CONCAT($C$33,"?"))</f>
        <v>Scheinwiderstand ZRLC = 1.85kΩ</v>
      </c>
      <c r="AE63" s="400"/>
      <c r="AF63" s="437"/>
      <c r="AG63" s="1"/>
    </row>
    <row r="64" spans="26:38" ht="18.5" x14ac:dyDescent="0.45">
      <c r="Z64" s="399"/>
      <c r="AB64" s="411"/>
      <c r="AD64" s="395" t="str">
        <f>IF($AB$2=$R$2,$T$34,_xlfn.CONCAT($O$34,"?"))</f>
        <v>φ = -35.9°</v>
      </c>
      <c r="AE64" s="400"/>
      <c r="AF64" s="437"/>
      <c r="AG64" s="1" t="s">
        <v>881</v>
      </c>
      <c r="AH64">
        <v>0</v>
      </c>
      <c r="AI64">
        <f>AI58</f>
        <v>1500</v>
      </c>
      <c r="AK64">
        <v>0</v>
      </c>
      <c r="AL64">
        <f>AL61</f>
        <v>-1087.3452</v>
      </c>
    </row>
    <row r="65" spans="26:38" ht="18.5" x14ac:dyDescent="0.45">
      <c r="Z65" s="399"/>
      <c r="AD65" s="395" t="str">
        <f>IF($AB$2=$R$2,$X$34,_xlfn.CONCAT($V$34,"?"))</f>
        <v>cos(φ) = 0.8</v>
      </c>
      <c r="AE65" s="400"/>
      <c r="AF65" s="437">
        <f>ABS(MAX(AF58:AF60))*1.1</f>
        <v>1749.0000000000002</v>
      </c>
      <c r="AG65" s="1" t="s">
        <v>879</v>
      </c>
      <c r="AH65">
        <f>-AF65</f>
        <v>-1749.0000000000002</v>
      </c>
      <c r="AI65">
        <f>AF65</f>
        <v>1749.0000000000002</v>
      </c>
      <c r="AK65">
        <v>0</v>
      </c>
      <c r="AL65">
        <v>0</v>
      </c>
    </row>
    <row r="66" spans="26:38" ht="18.5" x14ac:dyDescent="0.45">
      <c r="Z66" s="399"/>
      <c r="AD66" s="395" t="str">
        <f>IF($AB$2=$R$2,_xlfn.CONCAT("Die Schaltung ist ",$B$34),"Ist die Schaltung induktiv oder kapazitiv?")</f>
        <v>Die Schaltung ist kapazitiv</v>
      </c>
      <c r="AE66" s="400"/>
      <c r="AH66">
        <v>0</v>
      </c>
      <c r="AI66">
        <v>0</v>
      </c>
      <c r="AK66">
        <f>AH65</f>
        <v>-1749.0000000000002</v>
      </c>
      <c r="AL66">
        <f>AI65</f>
        <v>1749.0000000000002</v>
      </c>
    </row>
    <row r="67" spans="26:38" x14ac:dyDescent="0.35">
      <c r="Z67" s="399"/>
      <c r="AE67" s="400"/>
      <c r="AH67">
        <v>0</v>
      </c>
      <c r="AI67">
        <f>AI59</f>
        <v>0</v>
      </c>
      <c r="AK67">
        <v>0</v>
      </c>
      <c r="AL67">
        <f>AL60</f>
        <v>502.65480000000002</v>
      </c>
    </row>
    <row r="68" spans="26:38" x14ac:dyDescent="0.35">
      <c r="Z68" s="399"/>
      <c r="AE68" s="400"/>
    </row>
    <row r="69" spans="26:38" x14ac:dyDescent="0.35">
      <c r="Z69" s="399"/>
      <c r="AE69" s="400"/>
    </row>
    <row r="70" spans="26:38" x14ac:dyDescent="0.35">
      <c r="Z70" s="399"/>
      <c r="AE70" s="400"/>
    </row>
    <row r="71" spans="26:38" x14ac:dyDescent="0.35">
      <c r="Z71" s="399"/>
      <c r="AE71" s="400"/>
    </row>
    <row r="72" spans="26:38" x14ac:dyDescent="0.35">
      <c r="Z72" s="399"/>
      <c r="AE72" s="400"/>
    </row>
    <row r="73" spans="26:38" ht="15" thickBot="1" x14ac:dyDescent="0.4">
      <c r="Z73" s="402"/>
      <c r="AA73" s="403"/>
      <c r="AB73" s="403"/>
      <c r="AC73" s="403"/>
      <c r="AD73" s="403"/>
      <c r="AE73" s="404"/>
    </row>
    <row r="88" spans="38:38" x14ac:dyDescent="0.35">
      <c r="AL88" s="1"/>
    </row>
  </sheetData>
  <dataValidations count="1">
    <dataValidation type="list" allowBlank="1" showInputMessage="1" showErrorMessage="1" sqref="AB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E20:E23 E25 E28:E29 E32:E34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I4" sqref="I4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6.179687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890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864</v>
      </c>
      <c r="I4" s="4" t="s">
        <v>64</v>
      </c>
    </row>
    <row r="5" spans="2:19" ht="16.5" customHeight="1" x14ac:dyDescent="0.35">
      <c r="C5" s="416"/>
    </row>
    <row r="6" spans="2:19" ht="16.5" customHeight="1" x14ac:dyDescent="0.45">
      <c r="C6" s="8" t="s">
        <v>891</v>
      </c>
      <c r="D6" s="4">
        <v>55</v>
      </c>
      <c r="E6" s="4" t="s">
        <v>703</v>
      </c>
      <c r="F6" s="5" t="s">
        <v>316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393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855</v>
      </c>
      <c r="D7" s="4">
        <v>1500</v>
      </c>
      <c r="E7" s="4" t="s">
        <v>694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1500000</v>
      </c>
      <c r="I7" s="393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10³Ω</v>
      </c>
      <c r="K7" s="77" t="str">
        <f>IF(E7=Einheitenvorsätze!$A$19,_xlfn.CONCAT(D7,F7),_xlfn.CONCAT(D7,E7,F7))</f>
        <v>1500kΩ</v>
      </c>
      <c r="L7" s="77" t="str">
        <f>_xlfn.CONCAT(I7,K7)</f>
        <v>R = 1500kΩ</v>
      </c>
      <c r="M7" s="77" t="str">
        <f>_xlfn.CONCAT(I7,J7)</f>
        <v>R = 1500 * 10³Ω</v>
      </c>
    </row>
    <row r="8" spans="2:19" ht="16.5" customHeight="1" x14ac:dyDescent="0.35">
      <c r="C8" s="8" t="s">
        <v>856</v>
      </c>
      <c r="D8" s="4">
        <v>12</v>
      </c>
      <c r="E8" s="4" t="s">
        <v>718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393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436</v>
      </c>
      <c r="D9" s="4">
        <v>12</v>
      </c>
      <c r="E9" s="4" t="s">
        <v>712</v>
      </c>
      <c r="F9" s="5" t="s">
        <v>741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1.2E-2</v>
      </c>
      <c r="I9" s="393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12 * 10⁻³s</v>
      </c>
      <c r="K9" s="77" t="str">
        <f>IF(E9=Einheitenvorsätze!$A$19,_xlfn.CONCAT(D9,F9),_xlfn.CONCAT(D9,E9,F9))</f>
        <v>12ms</v>
      </c>
      <c r="L9" s="77" t="str">
        <f>_xlfn.CONCAT(I9,K9)</f>
        <v>t = 12ms</v>
      </c>
      <c r="M9" s="77" t="str">
        <f>_xlfn.CONCAT(I9,J9)</f>
        <v>t = 12 * 10⁻³s</v>
      </c>
      <c r="O9" s="339" t="str">
        <f>_xlfn.CONCAT(C9,"-",Einheitenvorsätze!C56," * ln(1 - UC/U0)")</f>
        <v>t = -τ * ln(1 - UC/U0)</v>
      </c>
      <c r="R9" s="415">
        <f xml:space="preserve"> -D11 * LN(1 - D12/D6)</f>
        <v>1.2000026483616559E-2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1.7999999999999999E-2</v>
      </c>
      <c r="E11" s="4" t="s">
        <v>703</v>
      </c>
      <c r="F11" s="5" t="s">
        <v>741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1.7999999999999999E-2</v>
      </c>
      <c r="I11" s="393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0.018s</v>
      </c>
      <c r="K11" s="77" t="str">
        <f>IF(E11=Einheitenvorsätze!$A$19,_xlfn.CONCAT(D11,F11),_xlfn.CONCAT(D11,E11,F11))</f>
        <v>0.018s</v>
      </c>
      <c r="L11" s="77" t="str">
        <f t="shared" ref="L11" si="3">_xlfn.CONCAT(I11,K11)</f>
        <v xml:space="preserve"> τ = 0.018s</v>
      </c>
      <c r="M11" s="77" t="str">
        <f t="shared" ref="M11" si="4">_xlfn.CONCAT(I11,J11)</f>
        <v xml:space="preserve"> τ = 0.018s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15">
        <f xml:space="preserve"> -D9 / LN(1 - D12/D6)</f>
        <v>17.999960274662833</v>
      </c>
    </row>
    <row r="12" spans="2:19" ht="18.5" x14ac:dyDescent="0.45">
      <c r="B12" s="412" t="s">
        <v>900</v>
      </c>
      <c r="C12" s="8" t="str">
        <f>_xlfn.CONCAT(" UC = ")</f>
        <v xml:space="preserve"> UC = </v>
      </c>
      <c r="D12" s="77">
        <f>ROUND(H6*(1-EXP(-H9/H11))/10^G12,4)</f>
        <v>26.7621</v>
      </c>
      <c r="E12" s="4" t="s">
        <v>703</v>
      </c>
      <c r="F12" s="5" t="s">
        <v>316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26.7621</v>
      </c>
      <c r="I12" s="393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26.7621V</v>
      </c>
      <c r="K12" s="77" t="str">
        <f>IF(E12=Einheitenvorsätze!$A$19,_xlfn.CONCAT(D12,F12),_xlfn.CONCAT(D12,E12,F12))</f>
        <v>26.7621V</v>
      </c>
      <c r="L12" s="77" t="str">
        <f t="shared" ref="L12" si="6">_xlfn.CONCAT(I12,K12)</f>
        <v xml:space="preserve"> UC = 26.7621V</v>
      </c>
      <c r="M12" s="77" t="str">
        <f t="shared" ref="M12" si="7">_xlfn.CONCAT(I12,J12)</f>
        <v xml:space="preserve"> UC = 26.7621V</v>
      </c>
      <c r="N12" s="417" t="s">
        <v>900</v>
      </c>
      <c r="O12" s="339" t="str">
        <f>_xlfn.CONCAT("UC(t) = U0(1 - e^(-t/",Einheitenvorsätze!C56,"))")</f>
        <v>UC(t) = U0(1 - e^(-t/τ))</v>
      </c>
      <c r="R12" s="415">
        <f xml:space="preserve"> D6*(1 - EXP(-D9/D11))</f>
        <v>55</v>
      </c>
    </row>
    <row r="13" spans="2:19" ht="18.5" x14ac:dyDescent="0.45">
      <c r="B13" s="412" t="s">
        <v>901</v>
      </c>
      <c r="C13" s="8" t="str">
        <f>_xlfn.CONCAT(" UC = ")</f>
        <v xml:space="preserve"> UC = </v>
      </c>
      <c r="D13" s="77">
        <f>ROUND(H6*(EXP(-H9/H11))/10^G12,4)</f>
        <v>28.2379</v>
      </c>
      <c r="E13" s="4" t="s">
        <v>703</v>
      </c>
      <c r="F13" s="5" t="s">
        <v>316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28.2379</v>
      </c>
      <c r="I13" s="393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28.2379V</v>
      </c>
      <c r="K13" s="77" t="str">
        <f>IF(E13=Einheitenvorsätze!$A$19,_xlfn.CONCAT(D13,F13),_xlfn.CONCAT(D13,E13,F13))</f>
        <v>28.2379V</v>
      </c>
      <c r="L13" s="77" t="str">
        <f t="shared" ref="L13" si="9">_xlfn.CONCAT(I13,K13)</f>
        <v xml:space="preserve"> UC = 28.2379V</v>
      </c>
      <c r="M13" s="77" t="str">
        <f t="shared" ref="M13" si="10">_xlfn.CONCAT(I13,J13)</f>
        <v xml:space="preserve"> UC = 28.2379V</v>
      </c>
      <c r="N13" s="417" t="s">
        <v>901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396"/>
      <c r="C16" s="397"/>
      <c r="D16" s="397"/>
      <c r="E16" s="397"/>
      <c r="F16" s="397"/>
      <c r="G16" s="397"/>
      <c r="H16" s="397"/>
      <c r="I16" s="397"/>
      <c r="J16" s="397"/>
      <c r="K16" s="397"/>
      <c r="L16" s="398"/>
      <c r="N16" s="8" t="s">
        <v>896</v>
      </c>
      <c r="O16" s="77">
        <f>-H9/H11</f>
        <v>-0.66666666666666674</v>
      </c>
      <c r="R16" s="413" t="str">
        <f>_xlfn.CONCAT("t / ", Einheitenvorsätze!C56)</f>
        <v>t / τ</v>
      </c>
      <c r="S16" s="413" t="s">
        <v>899</v>
      </c>
    </row>
    <row r="17" spans="2:26" x14ac:dyDescent="0.35">
      <c r="B17" s="399"/>
      <c r="L17" s="400"/>
      <c r="N17" s="8" t="s">
        <v>897</v>
      </c>
      <c r="O17" s="77">
        <f>EXP(O16)</f>
        <v>0.51341711903259202</v>
      </c>
      <c r="R17" s="95">
        <v>0</v>
      </c>
      <c r="S17" s="414">
        <f>1-EXP(-R17)</f>
        <v>0</v>
      </c>
    </row>
    <row r="18" spans="2:26" x14ac:dyDescent="0.35">
      <c r="B18" s="399"/>
      <c r="I18" s="5" t="s">
        <v>866</v>
      </c>
      <c r="K18" s="5" t="s">
        <v>865</v>
      </c>
      <c r="L18" s="400"/>
      <c r="N18" s="8" t="s">
        <v>898</v>
      </c>
      <c r="O18" s="77">
        <f>1-O17</f>
        <v>0.48658288096740798</v>
      </c>
      <c r="R18" s="95">
        <v>1</v>
      </c>
      <c r="S18" s="414">
        <f t="shared" ref="S18:S23" si="11">1-EXP(-R18)</f>
        <v>0.63212055882855767</v>
      </c>
    </row>
    <row r="19" spans="2:26" ht="18.5" x14ac:dyDescent="0.45">
      <c r="B19" s="399"/>
      <c r="I19" s="394" t="str">
        <f>$L$7</f>
        <v>R = 1500kΩ</v>
      </c>
      <c r="K19" s="395" t="str">
        <f>IF($I$4=$R$2,$L$11,_xlfn.CONCAT($C$11,"?"))</f>
        <v xml:space="preserve"> τ = 0.018s</v>
      </c>
      <c r="L19" s="400"/>
      <c r="R19" s="95">
        <v>2</v>
      </c>
      <c r="S19" s="414">
        <f t="shared" si="11"/>
        <v>0.8646647167633873</v>
      </c>
    </row>
    <row r="20" spans="2:26" ht="18.5" x14ac:dyDescent="0.45">
      <c r="B20" s="399"/>
      <c r="I20" s="394" t="str">
        <f>$L$8</f>
        <v>C = 12nF</v>
      </c>
      <c r="K20" s="395" t="str">
        <f>IF($I$4=$R$2,$L$12,_xlfn.CONCAT($C$12,"?"))</f>
        <v xml:space="preserve"> UC = 26.7621V</v>
      </c>
      <c r="L20" s="436">
        <f>IF($I$4=$R$2,$H$12/$H$6,"")</f>
        <v>0.48658363636363638</v>
      </c>
      <c r="R20" s="95">
        <v>3</v>
      </c>
      <c r="S20" s="414">
        <f t="shared" si="11"/>
        <v>0.95021293163213605</v>
      </c>
    </row>
    <row r="21" spans="2:26" ht="18.5" x14ac:dyDescent="0.45">
      <c r="B21" s="399"/>
      <c r="I21" s="394" t="str">
        <f>$L$6</f>
        <v>U0 = 55V</v>
      </c>
      <c r="K21" s="411"/>
      <c r="L21" s="400"/>
      <c r="R21" s="95">
        <v>4</v>
      </c>
      <c r="S21" s="414">
        <f t="shared" si="11"/>
        <v>0.98168436111126578</v>
      </c>
    </row>
    <row r="22" spans="2:26" ht="18.5" x14ac:dyDescent="0.45">
      <c r="B22" s="399"/>
      <c r="I22" s="394" t="str">
        <f>$L$9</f>
        <v>t = 12ms</v>
      </c>
      <c r="K22" s="411"/>
      <c r="L22" s="400"/>
      <c r="R22" s="95">
        <v>5</v>
      </c>
      <c r="S22" s="414">
        <f t="shared" si="11"/>
        <v>0.99326205300091452</v>
      </c>
    </row>
    <row r="23" spans="2:26" x14ac:dyDescent="0.35">
      <c r="B23" s="399"/>
      <c r="L23" s="400"/>
      <c r="R23" s="95">
        <v>6</v>
      </c>
      <c r="S23" s="414">
        <f t="shared" si="11"/>
        <v>0.99752124782333362</v>
      </c>
    </row>
    <row r="24" spans="2:26" x14ac:dyDescent="0.35">
      <c r="B24" s="399"/>
      <c r="L24" s="400"/>
    </row>
    <row r="25" spans="2:26" ht="15" thickBot="1" x14ac:dyDescent="0.4">
      <c r="B25" s="402"/>
      <c r="C25" s="403"/>
      <c r="D25" s="403"/>
      <c r="E25" s="403"/>
      <c r="F25" s="403"/>
      <c r="G25" s="403"/>
      <c r="H25" s="403"/>
      <c r="I25" s="403"/>
      <c r="J25" s="403"/>
      <c r="K25" s="403"/>
      <c r="L25" s="404"/>
    </row>
    <row r="30" spans="2:26" x14ac:dyDescent="0.35">
      <c r="B30" s="8" t="s">
        <v>1</v>
      </c>
      <c r="C30" s="77">
        <v>2</v>
      </c>
      <c r="D30" s="77" t="str">
        <f>_xlfn.CONCAT(IF(E9="–","",E9),F9)</f>
        <v>ms</v>
      </c>
      <c r="Y30" t="s">
        <v>905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2E-3</v>
      </c>
      <c r="E31" s="77">
        <f t="shared" si="12"/>
        <v>4.0000000000000001E-3</v>
      </c>
      <c r="F31" s="77">
        <f t="shared" si="12"/>
        <v>6.0000000000000001E-3</v>
      </c>
      <c r="G31" s="77">
        <f t="shared" si="12"/>
        <v>8.0000000000000002E-3</v>
      </c>
      <c r="H31" s="77">
        <f t="shared" si="12"/>
        <v>0.01</v>
      </c>
      <c r="I31" s="77">
        <f t="shared" si="12"/>
        <v>1.2E-2</v>
      </c>
      <c r="J31" s="77">
        <f t="shared" si="12"/>
        <v>1.4E-2</v>
      </c>
      <c r="K31" s="77">
        <f t="shared" si="12"/>
        <v>1.6E-2</v>
      </c>
      <c r="L31" s="77">
        <f t="shared" si="12"/>
        <v>1.8000000000000002E-2</v>
      </c>
      <c r="M31" s="77">
        <f t="shared" si="12"/>
        <v>0.02</v>
      </c>
      <c r="N31" s="77">
        <f t="shared" si="12"/>
        <v>2.1999999999999999E-2</v>
      </c>
      <c r="O31" s="77">
        <f t="shared" si="12"/>
        <v>2.4E-2</v>
      </c>
      <c r="P31" s="77">
        <f t="shared" si="12"/>
        <v>2.6000000000000002E-2</v>
      </c>
      <c r="Q31" s="77">
        <f t="shared" si="12"/>
        <v>2.8000000000000001E-2</v>
      </c>
      <c r="R31" s="77">
        <f t="shared" si="12"/>
        <v>0.03</v>
      </c>
      <c r="S31" s="77">
        <f t="shared" si="12"/>
        <v>3.2000000000000001E-2</v>
      </c>
      <c r="T31" s="77">
        <f t="shared" si="12"/>
        <v>3.4000000000000002E-2</v>
      </c>
      <c r="U31" s="77">
        <f t="shared" si="12"/>
        <v>3.6000000000000004E-2</v>
      </c>
      <c r="V31" s="77">
        <f t="shared" si="12"/>
        <v>3.7999999999999999E-2</v>
      </c>
      <c r="W31" s="77">
        <f t="shared" si="12"/>
        <v>0.04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[ms]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902</v>
      </c>
      <c r="B33" s="292" t="s">
        <v>892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26.762058453207437</v>
      </c>
      <c r="J33" s="212">
        <f t="shared" si="14"/>
        <v>29.731579678024037</v>
      </c>
      <c r="K33" s="212">
        <f t="shared" si="14"/>
        <v>32.388824022104693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40.502157403635032</v>
      </c>
      <c r="P33" s="212">
        <f t="shared" si="14"/>
        <v>42.0267604357865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903</v>
      </c>
      <c r="B34" s="292" t="s">
        <v>904</v>
      </c>
      <c r="C34" s="212">
        <f>$D$6*EXP(-C32/($H$7*$H$8))</f>
        <v>55</v>
      </c>
      <c r="D34" s="212">
        <f t="shared" ref="D34:W34" si="15">$D$6*EXP(-D32/($H$7*$H$8))</f>
        <v>3.0578787139746315E-47</v>
      </c>
      <c r="E34" s="212">
        <f t="shared" si="15"/>
        <v>1.7001131326143899E-95</v>
      </c>
      <c r="F34" s="212">
        <f t="shared" si="15"/>
        <v>9.4522541083094524E-144</v>
      </c>
      <c r="G34" s="212">
        <f t="shared" si="15"/>
        <v>5.2552448430689352E-192</v>
      </c>
      <c r="H34" s="212">
        <f t="shared" si="15"/>
        <v>2.9218002440626845E-240</v>
      </c>
      <c r="I34" s="212">
        <f t="shared" si="15"/>
        <v>1.6244565041464168E-288</v>
      </c>
      <c r="J34" s="212">
        <f t="shared" si="15"/>
        <v>0</v>
      </c>
      <c r="K34" s="212">
        <f t="shared" si="15"/>
        <v>0</v>
      </c>
      <c r="L34" s="212">
        <f t="shared" si="15"/>
        <v>0</v>
      </c>
      <c r="M34" s="212">
        <f t="shared" si="15"/>
        <v>0</v>
      </c>
      <c r="N34" s="212">
        <f t="shared" si="15"/>
        <v>0</v>
      </c>
      <c r="O34" s="212">
        <f t="shared" si="15"/>
        <v>0</v>
      </c>
      <c r="P34" s="212">
        <f t="shared" si="15"/>
        <v>0</v>
      </c>
      <c r="Q34" s="212">
        <f t="shared" si="15"/>
        <v>0</v>
      </c>
      <c r="R34" s="212">
        <f t="shared" si="15"/>
        <v>0</v>
      </c>
      <c r="S34" s="212">
        <f t="shared" si="15"/>
        <v>0</v>
      </c>
      <c r="T34" s="212">
        <f t="shared" si="15"/>
        <v>0</v>
      </c>
      <c r="U34" s="212">
        <f t="shared" si="15"/>
        <v>0</v>
      </c>
      <c r="V34" s="212">
        <f t="shared" si="15"/>
        <v>0</v>
      </c>
      <c r="W34" s="212">
        <f t="shared" si="15"/>
        <v>0</v>
      </c>
    </row>
    <row r="39" spans="1:25" x14ac:dyDescent="0.35">
      <c r="I39" s="5" t="s">
        <v>894</v>
      </c>
      <c r="J39" s="5"/>
    </row>
    <row r="40" spans="1:25" x14ac:dyDescent="0.35">
      <c r="I40" s="5">
        <f>H11/10^G11</f>
        <v>1.7999999999999999E-2</v>
      </c>
      <c r="J40" s="5">
        <f>I40</f>
        <v>1.7999999999999999E-2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313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893</v>
      </c>
      <c r="J43" s="5"/>
      <c r="N43" s="8" t="s">
        <v>895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1.7999999999999999E-2</v>
      </c>
      <c r="N44" s="418" t="s">
        <v>907</v>
      </c>
      <c r="O44" s="419">
        <f>1-EXP(-O43)</f>
        <v>0</v>
      </c>
      <c r="P44" s="419">
        <f t="shared" ref="P44:Q44" si="17">1-EXP(-P43)</f>
        <v>0.63212055882855767</v>
      </c>
      <c r="Q44" s="419">
        <f t="shared" si="17"/>
        <v>0.8646647167633873</v>
      </c>
      <c r="R44" s="419">
        <f>1-EXP(-R43)</f>
        <v>0.95021293163213605</v>
      </c>
      <c r="S44" s="419">
        <f t="shared" ref="S44" si="18">1-EXP(-S43)</f>
        <v>0.98168436111126578</v>
      </c>
      <c r="T44" s="419">
        <f t="shared" ref="T44" si="19">1-EXP(-T43)</f>
        <v>0.99326205300091452</v>
      </c>
      <c r="U44" s="419">
        <f>1-EXP(-U43)</f>
        <v>0.99752124782333362</v>
      </c>
      <c r="V44" s="419">
        <f t="shared" ref="V44" si="20">1-EXP(-V43)</f>
        <v>0.99908811803444553</v>
      </c>
      <c r="W44" s="419">
        <f t="shared" ref="W44" si="21">1-EXP(-W43)</f>
        <v>0.99966453737209748</v>
      </c>
      <c r="X44" s="419">
        <f>1-EXP(-X43)</f>
        <v>0.99987659019591335</v>
      </c>
      <c r="Y44" s="419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0" t="s">
        <v>906</v>
      </c>
      <c r="O45" s="421">
        <f>EXP(-O43)</f>
        <v>1</v>
      </c>
      <c r="P45" s="421">
        <f t="shared" ref="P45:Y45" si="23">EXP(-P43)</f>
        <v>0.36787944117144233</v>
      </c>
      <c r="Q45" s="421">
        <f t="shared" si="23"/>
        <v>0.1353352832366127</v>
      </c>
      <c r="R45" s="421">
        <f t="shared" si="23"/>
        <v>4.9787068367863944E-2</v>
      </c>
      <c r="S45" s="421">
        <f t="shared" si="23"/>
        <v>1.8315638888734179E-2</v>
      </c>
      <c r="T45" s="421">
        <f t="shared" si="23"/>
        <v>6.737946999085467E-3</v>
      </c>
      <c r="U45" s="421">
        <f t="shared" si="23"/>
        <v>2.4787521766663585E-3</v>
      </c>
      <c r="V45" s="421">
        <f t="shared" si="23"/>
        <v>9.1188196555451624E-4</v>
      </c>
      <c r="W45" s="421">
        <f t="shared" si="23"/>
        <v>3.3546262790251185E-4</v>
      </c>
      <c r="X45" s="421">
        <f t="shared" si="23"/>
        <v>1.2340980408667956E-4</v>
      </c>
      <c r="Y45" s="421">
        <f t="shared" si="23"/>
        <v>4.5399929762484854E-5</v>
      </c>
    </row>
    <row r="72" spans="8:9" x14ac:dyDescent="0.35">
      <c r="H72" s="5" t="s">
        <v>894</v>
      </c>
      <c r="I72" s="5"/>
    </row>
    <row r="73" spans="8:9" x14ac:dyDescent="0.35">
      <c r="H73" s="77">
        <f>H11/10^G11</f>
        <v>1.7999999999999999E-2</v>
      </c>
      <c r="I73" s="77">
        <f>H73</f>
        <v>1.7999999999999999E-2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893</v>
      </c>
      <c r="I76" s="5"/>
    </row>
    <row r="77" spans="8:9" x14ac:dyDescent="0.35">
      <c r="H77" s="77">
        <v>0</v>
      </c>
      <c r="I77" s="77">
        <f>I73</f>
        <v>1.7999999999999999E-2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561</v>
      </c>
    </row>
    <row r="5" spans="3:30" ht="16.5" x14ac:dyDescent="0.45">
      <c r="J5" s="5" t="s">
        <v>593</v>
      </c>
      <c r="K5" s="5"/>
      <c r="L5" s="5"/>
      <c r="N5" s="5" t="s">
        <v>592</v>
      </c>
      <c r="O5" s="5"/>
    </row>
    <row r="6" spans="3:30" ht="16.5" x14ac:dyDescent="0.45">
      <c r="J6" s="8" t="s">
        <v>584</v>
      </c>
      <c r="K6" s="4">
        <v>1.55</v>
      </c>
      <c r="L6" s="5" t="s">
        <v>549</v>
      </c>
      <c r="N6" s="5" t="s">
        <v>590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583</v>
      </c>
      <c r="K7" s="4">
        <v>0.7</v>
      </c>
      <c r="L7" s="5" t="s">
        <v>562</v>
      </c>
      <c r="N7" s="5" t="s">
        <v>589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591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585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586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587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588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585</v>
      </c>
      <c r="J17" s="295" t="s">
        <v>586</v>
      </c>
      <c r="K17" s="296" t="s">
        <v>587</v>
      </c>
    </row>
    <row r="18" spans="9:15" x14ac:dyDescent="0.35">
      <c r="I18" s="95" t="s">
        <v>562</v>
      </c>
      <c r="J18" s="295" t="s">
        <v>594</v>
      </c>
      <c r="K18" s="296" t="s">
        <v>549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>
      <selection activeCell="J4" sqref="J4"/>
    </sheetView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842</v>
      </c>
      <c r="D2" s="90"/>
    </row>
    <row r="4" spans="2:46" ht="16.5" x14ac:dyDescent="0.45">
      <c r="E4" s="8" t="s">
        <v>545</v>
      </c>
      <c r="F4" s="4">
        <v>1</v>
      </c>
      <c r="G4" s="5" t="s">
        <v>316</v>
      </c>
      <c r="I4" s="272" t="s">
        <v>547</v>
      </c>
      <c r="J4" s="4">
        <v>120</v>
      </c>
      <c r="K4" s="5" t="s">
        <v>548</v>
      </c>
      <c r="L4" s="77">
        <f>RADIANS(J4)</f>
        <v>2.0943951023931953</v>
      </c>
      <c r="M4" s="5" t="s">
        <v>202</v>
      </c>
      <c r="T4" s="5" t="s">
        <v>470</v>
      </c>
      <c r="U4" s="77">
        <f>MIN(F8:AT8)</f>
        <v>0</v>
      </c>
      <c r="V4" s="77">
        <f>MAX(F8:AT8)</f>
        <v>400</v>
      </c>
      <c r="Y4" s="5" t="s">
        <v>471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546</v>
      </c>
      <c r="F5" s="4">
        <v>2</v>
      </c>
      <c r="G5" s="5" t="s">
        <v>38</v>
      </c>
      <c r="I5" s="272" t="s">
        <v>551</v>
      </c>
      <c r="J5" s="4">
        <v>90</v>
      </c>
      <c r="K5" s="5" t="s">
        <v>548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313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411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411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553</v>
      </c>
      <c r="D10" s="277" t="s">
        <v>555</v>
      </c>
      <c r="E10" s="274" t="s">
        <v>549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554</v>
      </c>
      <c r="D11" s="278" t="s">
        <v>556</v>
      </c>
      <c r="E11" s="276" t="s">
        <v>550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557</v>
      </c>
      <c r="D12" s="280" t="str">
        <f>IF($J$4=$J$5,"Umomentan^2 / R","Nicht gleichphasig")</f>
        <v>Nicht gleichphasig</v>
      </c>
      <c r="E12" s="281" t="s">
        <v>552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557</v>
      </c>
      <c r="D13" s="278" t="s">
        <v>558</v>
      </c>
      <c r="E13" s="281" t="s">
        <v>552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85" zoomScaleNormal="85" workbookViewId="0">
      <selection activeCell="G124" sqref="G124"/>
    </sheetView>
  </sheetViews>
  <sheetFormatPr baseColWidth="10" defaultRowHeight="14.5" x14ac:dyDescent="0.35"/>
  <cols>
    <col min="1" max="1" width="2.453125" customWidth="1"/>
    <col min="2" max="3" width="16.1796875" customWidth="1"/>
    <col min="4" max="4" width="23.90625" customWidth="1"/>
    <col min="5" max="5" width="16.1796875" customWidth="1"/>
    <col min="6" max="6" width="15.7265625" customWidth="1"/>
    <col min="7" max="7" width="27.26953125" customWidth="1"/>
    <col min="8" max="8" width="9.453125" customWidth="1"/>
    <col min="9" max="9" width="9.54296875" customWidth="1"/>
    <col min="10" max="10" width="17.1796875" customWidth="1"/>
    <col min="11" max="11" width="21.2695312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311</v>
      </c>
      <c r="BC2" s="310" t="s">
        <v>612</v>
      </c>
      <c r="BD2" s="310"/>
    </row>
    <row r="3" spans="3:71" x14ac:dyDescent="0.35">
      <c r="L3" s="5" t="s">
        <v>64</v>
      </c>
      <c r="M3" s="5" t="s">
        <v>298</v>
      </c>
      <c r="BC3" s="77">
        <f>AZ10</f>
        <v>0</v>
      </c>
      <c r="BD3" s="77">
        <f>BC3</f>
        <v>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2.45029690981724E-16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313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611</v>
      </c>
      <c r="BA9" s="5"/>
      <c r="BC9" s="5" t="s">
        <v>195</v>
      </c>
      <c r="BD9" s="5"/>
      <c r="BE9" s="5"/>
      <c r="BF9" s="5"/>
      <c r="BG9" s="5" t="s">
        <v>617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613</v>
      </c>
      <c r="D10" s="5"/>
      <c r="E10" s="5"/>
      <c r="F10" s="8" t="s">
        <v>411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0</v>
      </c>
      <c r="BA10" s="113" t="s">
        <v>298</v>
      </c>
      <c r="BC10" s="5" t="s">
        <v>206</v>
      </c>
      <c r="BD10" s="5" t="s">
        <v>207</v>
      </c>
      <c r="BE10" s="8" t="s">
        <v>411</v>
      </c>
      <c r="BF10" s="8" t="s">
        <v>412</v>
      </c>
      <c r="BG10" s="95" t="s">
        <v>615</v>
      </c>
      <c r="BH10" s="95" t="s">
        <v>616</v>
      </c>
      <c r="BI10" s="95" t="s">
        <v>618</v>
      </c>
      <c r="BJ10" s="95" t="s">
        <v>227</v>
      </c>
      <c r="BK10" s="95" t="s">
        <v>619</v>
      </c>
      <c r="BL10" s="95" t="s">
        <v>615</v>
      </c>
      <c r="BM10" s="95" t="s">
        <v>616</v>
      </c>
      <c r="BN10" s="95" t="s">
        <v>620</v>
      </c>
      <c r="BO10" s="95" t="s">
        <v>621</v>
      </c>
      <c r="BP10" s="95" t="s">
        <v>618</v>
      </c>
      <c r="BQ10" s="95" t="s">
        <v>622</v>
      </c>
      <c r="BR10" s="95" t="s">
        <v>623</v>
      </c>
      <c r="BS10" s="95" t="s">
        <v>624</v>
      </c>
    </row>
    <row r="11" spans="3:71" x14ac:dyDescent="0.35">
      <c r="C11" s="5" t="s">
        <v>614</v>
      </c>
      <c r="D11" s="5" t="s">
        <v>625</v>
      </c>
      <c r="E11" s="5" t="s">
        <v>912</v>
      </c>
      <c r="F11" s="8" t="s">
        <v>411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628</v>
      </c>
      <c r="AZ11" s="309">
        <f>IF($BA$10=$M$3,AZ10*PI()/180,H10)</f>
        <v>0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4</v>
      </c>
      <c r="BL11" s="77">
        <v>0</v>
      </c>
      <c r="BM11" s="77">
        <f>BK11</f>
        <v>4</v>
      </c>
      <c r="BN11" s="77">
        <v>0</v>
      </c>
      <c r="BO11" s="77">
        <f>-BK11</f>
        <v>-4</v>
      </c>
      <c r="BP11" s="77">
        <f>BM11</f>
        <v>4</v>
      </c>
      <c r="BQ11" s="77">
        <v>0</v>
      </c>
      <c r="BR11" s="77">
        <f>BO11</f>
        <v>-4</v>
      </c>
      <c r="BS11" s="77">
        <v>0</v>
      </c>
    </row>
    <row r="12" spans="3:71" ht="18.5" x14ac:dyDescent="0.45">
      <c r="C12" s="4">
        <v>4</v>
      </c>
      <c r="D12" s="4">
        <v>0</v>
      </c>
      <c r="E12" s="104"/>
      <c r="F12" s="279" t="s">
        <v>312</v>
      </c>
      <c r="G12" s="279" t="str">
        <f>_xlfn.CONCAT(C12, IF(D12=0," * sin(x) =",IF(D12&lt;0,_xlfn.CONCAT(" * sin(x - ",ABS(D12),") ="),_xlfn.CONCAT(" * sin(x + ",D12,") ="))))</f>
        <v>4 * sin(x) =</v>
      </c>
      <c r="H12" s="212">
        <f>IF($AX$12=$L$3,$C$12*SIN(H11+RADIANS($D$12)),0)</f>
        <v>0</v>
      </c>
      <c r="I12" s="212">
        <f t="shared" ref="I12:AV12" si="3">IF($AX$12=$L$3,$C$12*SIN(I11+RADIANS($D$12)),0)</f>
        <v>0.69459271066772132</v>
      </c>
      <c r="J12" s="212">
        <f t="shared" si="3"/>
        <v>1.3680805733026749</v>
      </c>
      <c r="K12" s="212">
        <f t="shared" si="3"/>
        <v>1.9999999999999998</v>
      </c>
      <c r="L12" s="212">
        <f t="shared" si="3"/>
        <v>2.571150438746157</v>
      </c>
      <c r="M12" s="212">
        <f t="shared" si="3"/>
        <v>3.0641777724759121</v>
      </c>
      <c r="N12" s="212">
        <f t="shared" si="3"/>
        <v>3.4641016151377544</v>
      </c>
      <c r="O12" s="212">
        <f t="shared" si="3"/>
        <v>3.7587704831436333</v>
      </c>
      <c r="P12" s="212">
        <f t="shared" si="3"/>
        <v>3.9392310120488321</v>
      </c>
      <c r="Q12" s="212">
        <f t="shared" si="3"/>
        <v>4</v>
      </c>
      <c r="R12" s="212">
        <f t="shared" si="3"/>
        <v>3.9392310120488321</v>
      </c>
      <c r="S12" s="212">
        <f t="shared" si="3"/>
        <v>3.7587704831436337</v>
      </c>
      <c r="T12" s="212">
        <f t="shared" si="3"/>
        <v>3.4641016151377548</v>
      </c>
      <c r="U12" s="212">
        <f t="shared" si="3"/>
        <v>3.0641777724759121</v>
      </c>
      <c r="V12" s="212">
        <f t="shared" si="3"/>
        <v>2.5711504387461579</v>
      </c>
      <c r="W12" s="212">
        <f t="shared" si="3"/>
        <v>1.9999999999999998</v>
      </c>
      <c r="X12" s="212">
        <f t="shared" si="3"/>
        <v>1.3680805733026755</v>
      </c>
      <c r="Y12" s="212">
        <f t="shared" si="3"/>
        <v>0.6945927106677211</v>
      </c>
      <c r="Z12" s="212">
        <f t="shared" si="3"/>
        <v>4.90059381963448E-16</v>
      </c>
      <c r="AA12" s="212">
        <f t="shared" si="3"/>
        <v>-0.69459271066772188</v>
      </c>
      <c r="AB12" s="212">
        <f t="shared" si="3"/>
        <v>-1.3680805733026746</v>
      </c>
      <c r="AC12" s="212">
        <f t="shared" si="3"/>
        <v>-2.0000000000000004</v>
      </c>
      <c r="AD12" s="212">
        <f t="shared" si="3"/>
        <v>-2.571150438746157</v>
      </c>
      <c r="AE12" s="212">
        <f t="shared" si="3"/>
        <v>-3.0641777724759116</v>
      </c>
      <c r="AF12" s="212">
        <f t="shared" si="3"/>
        <v>-3.4641016151377535</v>
      </c>
      <c r="AG12" s="212">
        <f t="shared" si="3"/>
        <v>-3.7587704831436328</v>
      </c>
      <c r="AH12" s="212">
        <f t="shared" si="3"/>
        <v>-3.9392310120488321</v>
      </c>
      <c r="AI12" s="212">
        <f t="shared" si="3"/>
        <v>-4</v>
      </c>
      <c r="AJ12" s="212">
        <f t="shared" si="3"/>
        <v>-3.9392310120488325</v>
      </c>
      <c r="AK12" s="212">
        <f t="shared" si="3"/>
        <v>-3.7587704831436342</v>
      </c>
      <c r="AL12" s="212">
        <f t="shared" si="3"/>
        <v>-3.4641016151377544</v>
      </c>
      <c r="AM12" s="212">
        <f t="shared" si="3"/>
        <v>-3.0641777724759125</v>
      </c>
      <c r="AN12" s="212">
        <f t="shared" si="3"/>
        <v>-2.5711504387461583</v>
      </c>
      <c r="AO12" s="212">
        <f t="shared" si="3"/>
        <v>-2.0000000000000018</v>
      </c>
      <c r="AP12" s="212">
        <f t="shared" si="3"/>
        <v>-1.3680805733026744</v>
      </c>
      <c r="AQ12" s="212">
        <f t="shared" si="3"/>
        <v>-0.6945927106677251</v>
      </c>
      <c r="AR12" s="212">
        <f t="shared" si="3"/>
        <v>-9.8011876392689601E-16</v>
      </c>
      <c r="AS12" s="212">
        <f t="shared" si="3"/>
        <v>0.69459271066771966</v>
      </c>
      <c r="AT12" s="212">
        <f t="shared" si="3"/>
        <v>1.3680805733026757</v>
      </c>
      <c r="AU12" s="212">
        <f t="shared" si="3"/>
        <v>1.9999999999999971</v>
      </c>
      <c r="AV12" s="212">
        <f t="shared" si="3"/>
        <v>2.5711504387461566</v>
      </c>
      <c r="AW12" s="99"/>
      <c r="AX12" s="318" t="s">
        <v>64</v>
      </c>
      <c r="AZ12" s="212">
        <f>IF($AX$12=$L$3,$C$12 * SIN(AZ11 + RADIANS($D$12)),0)</f>
        <v>0</v>
      </c>
      <c r="BA12" s="5"/>
      <c r="BC12" s="77">
        <f>IF($AX$12=$L$3,$C12,0)</f>
        <v>4</v>
      </c>
      <c r="BD12" s="77">
        <f>$AZ$10+$D$12</f>
        <v>0</v>
      </c>
      <c r="BE12" s="311">
        <f>BC12*COS(RADIANS(BD12))</f>
        <v>4</v>
      </c>
      <c r="BF12" s="311">
        <f>BC12*SIN(RADIANS(BD12))</f>
        <v>0</v>
      </c>
      <c r="BG12" s="311">
        <v>0</v>
      </c>
      <c r="BH12" s="311">
        <f>BE12</f>
        <v>4</v>
      </c>
      <c r="BI12" s="311">
        <v>0</v>
      </c>
      <c r="BJ12" s="311">
        <f>BF12</f>
        <v>0</v>
      </c>
    </row>
    <row r="13" spans="3:71" ht="18.5" x14ac:dyDescent="0.45">
      <c r="C13" s="4">
        <v>4</v>
      </c>
      <c r="D13" s="4">
        <v>-90</v>
      </c>
      <c r="E13" s="104"/>
      <c r="F13" s="317" t="s">
        <v>315</v>
      </c>
      <c r="G13" s="317" t="str">
        <f>_xlfn.CONCAT(C13, IF(D13=0," * cos(x) =",IF(D13&lt;0,_xlfn.CONCAT(" * cos(x - ",ABS(D13),") ="),_xlfn.CONCAT(" * cos(x + ",D13,") ="))))</f>
        <v>4 * cos(x - 90) =</v>
      </c>
      <c r="H13" s="212">
        <f t="shared" ref="H13:AV13" si="4">IF($AX$13=$L$3,$C$13*COS(H11+RADIANS($D$13)),0)</f>
        <v>2.45029690981724E-16</v>
      </c>
      <c r="I13" s="212">
        <f t="shared" si="4"/>
        <v>0.69459271066772166</v>
      </c>
      <c r="J13" s="212">
        <f t="shared" si="4"/>
        <v>1.3680805733026753</v>
      </c>
      <c r="K13" s="212">
        <f t="shared" si="4"/>
        <v>1.9999999999999996</v>
      </c>
      <c r="L13" s="212">
        <f t="shared" si="4"/>
        <v>2.5711504387461575</v>
      </c>
      <c r="M13" s="212">
        <f t="shared" si="4"/>
        <v>3.0641777724759121</v>
      </c>
      <c r="N13" s="212">
        <f t="shared" si="4"/>
        <v>3.4641016151377544</v>
      </c>
      <c r="O13" s="212">
        <f t="shared" si="4"/>
        <v>3.7587704831436333</v>
      </c>
      <c r="P13" s="212">
        <f t="shared" si="4"/>
        <v>3.9392310120488321</v>
      </c>
      <c r="Q13" s="212">
        <f t="shared" si="4"/>
        <v>4</v>
      </c>
      <c r="R13" s="212">
        <f t="shared" si="4"/>
        <v>3.9392310120488321</v>
      </c>
      <c r="S13" s="212">
        <f t="shared" si="4"/>
        <v>3.7587704831436333</v>
      </c>
      <c r="T13" s="212">
        <f t="shared" si="4"/>
        <v>3.4641016151377548</v>
      </c>
      <c r="U13" s="212">
        <f t="shared" si="4"/>
        <v>3.0641777724759121</v>
      </c>
      <c r="V13" s="212">
        <f t="shared" si="4"/>
        <v>2.5711504387461579</v>
      </c>
      <c r="W13" s="212">
        <f t="shared" si="4"/>
        <v>1.9999999999999996</v>
      </c>
      <c r="X13" s="212">
        <f t="shared" si="4"/>
        <v>1.3680805733026753</v>
      </c>
      <c r="Y13" s="212">
        <f t="shared" si="4"/>
        <v>0.69459271066772088</v>
      </c>
      <c r="Z13" s="212">
        <f t="shared" si="4"/>
        <v>2.45029690981724E-16</v>
      </c>
      <c r="AA13" s="212">
        <f t="shared" si="4"/>
        <v>-0.6945927106677221</v>
      </c>
      <c r="AB13" s="212">
        <f t="shared" si="4"/>
        <v>-1.3680805733026749</v>
      </c>
      <c r="AC13" s="212">
        <f t="shared" si="4"/>
        <v>-2.0000000000000009</v>
      </c>
      <c r="AD13" s="212">
        <f t="shared" si="4"/>
        <v>-2.5711504387461575</v>
      </c>
      <c r="AE13" s="212">
        <f t="shared" si="4"/>
        <v>-3.0641777724759116</v>
      </c>
      <c r="AF13" s="212">
        <f t="shared" si="4"/>
        <v>-3.4641016151377539</v>
      </c>
      <c r="AG13" s="212">
        <f t="shared" si="4"/>
        <v>-3.7587704831436328</v>
      </c>
      <c r="AH13" s="212">
        <f t="shared" si="4"/>
        <v>-3.9392310120488321</v>
      </c>
      <c r="AI13" s="212">
        <f t="shared" si="4"/>
        <v>-4</v>
      </c>
      <c r="AJ13" s="212">
        <f t="shared" si="4"/>
        <v>-3.9392310120488325</v>
      </c>
      <c r="AK13" s="212">
        <f t="shared" si="4"/>
        <v>-3.7587704831436342</v>
      </c>
      <c r="AL13" s="212">
        <f t="shared" si="4"/>
        <v>-3.4641016151377544</v>
      </c>
      <c r="AM13" s="212">
        <f t="shared" si="4"/>
        <v>-3.0641777724759121</v>
      </c>
      <c r="AN13" s="212">
        <f t="shared" si="4"/>
        <v>-2.5711504387461579</v>
      </c>
      <c r="AO13" s="212">
        <f t="shared" si="4"/>
        <v>-2.0000000000000018</v>
      </c>
      <c r="AP13" s="212">
        <f t="shared" si="4"/>
        <v>-1.3680805733026742</v>
      </c>
      <c r="AQ13" s="212">
        <f t="shared" si="4"/>
        <v>-0.69459271066772477</v>
      </c>
      <c r="AR13" s="212">
        <f t="shared" si="4"/>
        <v>-7.3508907294517201E-16</v>
      </c>
      <c r="AS13" s="212">
        <f t="shared" si="4"/>
        <v>0.69459271066771988</v>
      </c>
      <c r="AT13" s="212">
        <f t="shared" si="4"/>
        <v>1.368080573302676</v>
      </c>
      <c r="AU13" s="212">
        <f t="shared" si="4"/>
        <v>1.9999999999999973</v>
      </c>
      <c r="AV13" s="212">
        <f t="shared" si="4"/>
        <v>2.571150438746157</v>
      </c>
      <c r="AW13" s="99"/>
      <c r="AX13" s="318" t="s">
        <v>64</v>
      </c>
      <c r="AZ13" s="212">
        <f>IF($AX$13=$L$3,$C$13 * COS(AZ11+RADIANS(D13)),0)</f>
        <v>2.45029690981724E-16</v>
      </c>
      <c r="BA13" s="5"/>
      <c r="BC13" s="77">
        <f>IF($AX$13=$L$3,$C13,0)</f>
        <v>4</v>
      </c>
      <c r="BD13" s="77">
        <f>$AZ$10+90+$D$13</f>
        <v>0</v>
      </c>
      <c r="BE13" s="311">
        <f>BC13*COS(RADIANS(BD13))</f>
        <v>4</v>
      </c>
      <c r="BF13" s="311">
        <f>BC13*SIN(RADIANS(BD13))</f>
        <v>0</v>
      </c>
      <c r="BG13" s="311">
        <v>0</v>
      </c>
      <c r="BH13" s="311">
        <f>BE13</f>
        <v>4</v>
      </c>
      <c r="BI13" s="311">
        <v>0</v>
      </c>
      <c r="BJ13" s="311">
        <f>BF13</f>
        <v>0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633</v>
      </c>
      <c r="BL15" s="5"/>
      <c r="BM15" s="5"/>
      <c r="BN15" s="5"/>
      <c r="BO15" s="5" t="s">
        <v>634</v>
      </c>
      <c r="BP15" s="5"/>
      <c r="BQ15" s="5"/>
      <c r="BR15" s="5"/>
    </row>
    <row r="16" spans="3:71" ht="18.5" x14ac:dyDescent="0.45">
      <c r="D16" s="321"/>
      <c r="E16" s="104"/>
      <c r="F16" s="319" t="s">
        <v>631</v>
      </c>
      <c r="G16" s="319" t="s">
        <v>627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4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104"/>
      <c r="F17" s="320" t="s">
        <v>631</v>
      </c>
      <c r="G17" s="320" t="s">
        <v>632</v>
      </c>
      <c r="H17" s="212">
        <f>IF($AX$17=$L$3,H12*H13,0)</f>
        <v>0</v>
      </c>
      <c r="I17" s="212">
        <f t="shared" ref="I17:AV17" si="6">IF($AX$17=$L$3,I12*I13,0)</f>
        <v>0.48245903371273308</v>
      </c>
      <c r="J17" s="212">
        <f t="shared" si="6"/>
        <v>1.8716444550481761</v>
      </c>
      <c r="K17" s="212">
        <f t="shared" si="6"/>
        <v>3.9999999999999987</v>
      </c>
      <c r="L17" s="212">
        <f t="shared" si="6"/>
        <v>6.6108145786645567</v>
      </c>
      <c r="M17" s="212">
        <f t="shared" si="6"/>
        <v>9.3891854213354424</v>
      </c>
      <c r="N17" s="212">
        <f t="shared" si="6"/>
        <v>11.999999999999998</v>
      </c>
      <c r="O17" s="212">
        <f t="shared" si="6"/>
        <v>14.128355544951821</v>
      </c>
      <c r="P17" s="212">
        <f t="shared" si="6"/>
        <v>15.517540966287266</v>
      </c>
      <c r="Q17" s="212">
        <f t="shared" si="6"/>
        <v>16</v>
      </c>
      <c r="R17" s="212">
        <f t="shared" si="6"/>
        <v>15.517540966287266</v>
      </c>
      <c r="S17" s="212">
        <f t="shared" si="6"/>
        <v>14.128355544951823</v>
      </c>
      <c r="T17" s="212">
        <f t="shared" si="6"/>
        <v>12.000000000000002</v>
      </c>
      <c r="U17" s="212">
        <f t="shared" si="6"/>
        <v>9.3891854213354424</v>
      </c>
      <c r="V17" s="212">
        <f t="shared" si="6"/>
        <v>6.6108145786645602</v>
      </c>
      <c r="W17" s="212">
        <f t="shared" si="6"/>
        <v>3.9999999999999987</v>
      </c>
      <c r="X17" s="212">
        <f t="shared" si="6"/>
        <v>1.871644455048177</v>
      </c>
      <c r="Y17" s="212">
        <f t="shared" si="6"/>
        <v>0.48245903371273235</v>
      </c>
      <c r="Z17" s="212">
        <f t="shared" si="6"/>
        <v>1.2007909892519831E-31</v>
      </c>
      <c r="AA17" s="212">
        <f t="shared" si="6"/>
        <v>0.48245903371273374</v>
      </c>
      <c r="AB17" s="212">
        <f t="shared" si="6"/>
        <v>1.8716444550481752</v>
      </c>
      <c r="AC17" s="212">
        <f t="shared" si="6"/>
        <v>4.0000000000000027</v>
      </c>
      <c r="AD17" s="212">
        <f t="shared" si="6"/>
        <v>6.6108145786645567</v>
      </c>
      <c r="AE17" s="212">
        <f t="shared" si="6"/>
        <v>9.3891854213354389</v>
      </c>
      <c r="AF17" s="212">
        <f t="shared" si="6"/>
        <v>11.999999999999995</v>
      </c>
      <c r="AG17" s="212">
        <f t="shared" si="6"/>
        <v>14.12835554495182</v>
      </c>
      <c r="AH17" s="212">
        <f t="shared" si="6"/>
        <v>15.517540966287266</v>
      </c>
      <c r="AI17" s="212">
        <f t="shared" si="6"/>
        <v>16</v>
      </c>
      <c r="AJ17" s="212">
        <f t="shared" si="6"/>
        <v>15.517540966287269</v>
      </c>
      <c r="AK17" s="212">
        <f t="shared" si="6"/>
        <v>14.128355544951829</v>
      </c>
      <c r="AL17" s="212">
        <f t="shared" si="6"/>
        <v>11.999999999999998</v>
      </c>
      <c r="AM17" s="212">
        <f t="shared" si="6"/>
        <v>9.3891854213354442</v>
      </c>
      <c r="AN17" s="212">
        <f t="shared" si="6"/>
        <v>6.6108145786645611</v>
      </c>
      <c r="AO17" s="212">
        <f t="shared" si="6"/>
        <v>4.0000000000000071</v>
      </c>
      <c r="AP17" s="212">
        <f t="shared" si="6"/>
        <v>1.8716444550481739</v>
      </c>
      <c r="AQ17" s="212">
        <f t="shared" si="6"/>
        <v>0.48245903371273785</v>
      </c>
      <c r="AR17" s="212">
        <f t="shared" si="6"/>
        <v>7.2047459355118988E-31</v>
      </c>
      <c r="AS17" s="212">
        <f t="shared" si="6"/>
        <v>0.48245903371273069</v>
      </c>
      <c r="AT17" s="212">
        <f t="shared" si="6"/>
        <v>1.8716444550481783</v>
      </c>
      <c r="AU17" s="212">
        <f t="shared" si="6"/>
        <v>3.9999999999999889</v>
      </c>
      <c r="AV17" s="212">
        <f t="shared" si="6"/>
        <v>6.6108145786645549</v>
      </c>
      <c r="AW17" s="99"/>
      <c r="AX17" s="318" t="s">
        <v>64</v>
      </c>
      <c r="AZ17" s="212">
        <f>IF($AX$17=$L$3,AZ12*AZ13,0)</f>
        <v>0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629</v>
      </c>
      <c r="G61" s="273" t="s">
        <v>314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630</v>
      </c>
      <c r="G62" s="279" t="s">
        <v>626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78" t="s">
        <v>649</v>
      </c>
      <c r="G92" s="350" t="s">
        <v>648</v>
      </c>
      <c r="H92" s="350" t="s">
        <v>654</v>
      </c>
      <c r="I92" s="350" t="s">
        <v>650</v>
      </c>
      <c r="J92" s="350" t="s">
        <v>651</v>
      </c>
      <c r="K92" s="350" t="s">
        <v>652</v>
      </c>
      <c r="L92" s="350" t="s">
        <v>659</v>
      </c>
      <c r="M92" s="444" t="s">
        <v>655</v>
      </c>
      <c r="N92" s="444"/>
      <c r="O92" s="444"/>
      <c r="P92" s="445"/>
      <c r="Q92" s="446" t="s">
        <v>64</v>
      </c>
      <c r="R92" s="447"/>
      <c r="S92" s="448"/>
    </row>
    <row r="93" spans="6:19" s="61" customFormat="1" ht="34" customHeight="1" x14ac:dyDescent="0.35">
      <c r="F93" s="347">
        <v>45</v>
      </c>
      <c r="G93" s="379" t="s">
        <v>298</v>
      </c>
      <c r="H93" s="380">
        <f>IF($Q$92=$L$3,IF(G93=$M$3,RADIANS(F93),F93),"")</f>
        <v>0.78539816339744828</v>
      </c>
      <c r="I93" s="348">
        <f>IF($Q$92=$L$3,SIN(H93),"")</f>
        <v>0.70710678118654746</v>
      </c>
      <c r="J93" s="348">
        <f>IF($Q$92=$L$3,COS(H93),"")</f>
        <v>0.70710678118654757</v>
      </c>
      <c r="K93" s="348">
        <f>IF($Q$92=$L$3,TAN(H93),"")</f>
        <v>0.99999999999999989</v>
      </c>
      <c r="L93" s="381">
        <f>IF($Q$92=$L$3,IF(G93=$M$4,DEGREES(F93),F93),"")</f>
        <v>45</v>
      </c>
    </row>
    <row r="94" spans="6:19" s="61" customFormat="1" ht="34" customHeight="1" x14ac:dyDescent="0.35">
      <c r="F94" s="347" t="s">
        <v>653</v>
      </c>
      <c r="G94" s="379" t="s">
        <v>300</v>
      </c>
      <c r="H94" s="380">
        <f>IF($Q$92=$L$3,2*PI(),"")</f>
        <v>6.2831853071795862</v>
      </c>
      <c r="I94" s="348">
        <f t="shared" ref="I94:I96" si="9">IF($Q$92=$L$3,SIN(H94),"")</f>
        <v>-2.45029690981724E-16</v>
      </c>
      <c r="J94" s="348">
        <f t="shared" ref="J94:J96" si="10">IF($Q$92=$L$3,COS(H94),"")</f>
        <v>1</v>
      </c>
      <c r="K94" s="348">
        <f t="shared" ref="K94:K96" si="11">IF($Q$92=$L$3,TAN(H94),"")</f>
        <v>-2.45029690981724E-16</v>
      </c>
      <c r="L94" s="381">
        <f>IF($Q$92=$L$3,IF(G94=$M$4,DEGREES(2*PI()),2*PI()),"")</f>
        <v>360</v>
      </c>
    </row>
    <row r="95" spans="6:19" s="61" customFormat="1" ht="34" customHeight="1" x14ac:dyDescent="0.35">
      <c r="F95" s="347">
        <v>-3.14</v>
      </c>
      <c r="G95" s="379" t="s">
        <v>300</v>
      </c>
      <c r="H95" s="380">
        <f>IF($Q$92=$L$3,IF(G95=$M$3,RADIANS(F95),F95),"")</f>
        <v>-3.14</v>
      </c>
      <c r="I95" s="348">
        <f t="shared" si="9"/>
        <v>-1.5926529164868282E-3</v>
      </c>
      <c r="J95" s="348">
        <f t="shared" si="10"/>
        <v>-0.9999987317275395</v>
      </c>
      <c r="K95" s="348">
        <f t="shared" si="11"/>
        <v>1.592654936407223E-3</v>
      </c>
      <c r="L95" s="381">
        <f t="shared" ref="L95:L96" si="12">IF($Q$92=$L$3,IF(G95=$M$4,DEGREES(F95),F95),"")</f>
        <v>-179.90874767107849</v>
      </c>
    </row>
    <row r="96" spans="6:19" s="61" customFormat="1" ht="34" customHeight="1" x14ac:dyDescent="0.35">
      <c r="F96" s="347">
        <v>-30</v>
      </c>
      <c r="G96" s="379" t="s">
        <v>298</v>
      </c>
      <c r="H96" s="380">
        <f>IF($Q$92=$L$3,IF(G96=$M$3,RADIANS(F96),F96),"")</f>
        <v>-0.52359877559829882</v>
      </c>
      <c r="I96" s="348">
        <f t="shared" si="9"/>
        <v>-0.49999999999999994</v>
      </c>
      <c r="J96" s="348">
        <f t="shared" si="10"/>
        <v>0.86602540378443871</v>
      </c>
      <c r="K96" s="348">
        <f t="shared" si="11"/>
        <v>-0.57735026918962573</v>
      </c>
      <c r="L96" s="381">
        <f t="shared" si="12"/>
        <v>-30</v>
      </c>
    </row>
    <row r="100" spans="6:12" ht="30" customHeight="1" x14ac:dyDescent="0.35">
      <c r="F100" s="92"/>
      <c r="G100" s="92"/>
      <c r="H100" s="349" t="s">
        <v>659</v>
      </c>
      <c r="I100" s="349" t="s">
        <v>654</v>
      </c>
    </row>
    <row r="101" spans="6:12" ht="32.5" customHeight="1" x14ac:dyDescent="0.35">
      <c r="F101" s="350" t="s">
        <v>656</v>
      </c>
      <c r="G101" s="347">
        <v>0.25</v>
      </c>
      <c r="H101" s="352">
        <f>IF($Q$92=$L$3,DEGREES(ASIN(G101)),"")</f>
        <v>14.477512185929925</v>
      </c>
      <c r="I101" s="351">
        <f>IF($Q$92=$L$3,ASIN(G101),"")</f>
        <v>0.25268025514207865</v>
      </c>
    </row>
    <row r="102" spans="6:12" ht="32.5" customHeight="1" x14ac:dyDescent="0.35">
      <c r="F102" s="350" t="s">
        <v>656</v>
      </c>
      <c r="G102" s="347">
        <v>-0.5</v>
      </c>
      <c r="H102" s="352">
        <f>IF($Q$92=$L$3,DEGREES(ASIN(G102)),"")</f>
        <v>-30.000000000000004</v>
      </c>
      <c r="I102" s="351">
        <f>IF($Q$92=$L$3,ASIN(G102),"")</f>
        <v>-0.52359877559829893</v>
      </c>
    </row>
    <row r="103" spans="6:12" ht="32.5" customHeight="1" x14ac:dyDescent="0.35">
      <c r="F103" s="350" t="s">
        <v>657</v>
      </c>
      <c r="G103" s="347">
        <v>-0.5</v>
      </c>
      <c r="H103" s="352">
        <f>IF($Q$92=$L$3,DEGREES(ACOS(G103)),"")</f>
        <v>120.00000000000001</v>
      </c>
      <c r="I103" s="351">
        <f>IF($Q$92=$L$3,ACOS(G103),"")</f>
        <v>2.0943951023931957</v>
      </c>
    </row>
    <row r="104" spans="6:12" ht="32.5" customHeight="1" x14ac:dyDescent="0.35">
      <c r="F104" s="350" t="s">
        <v>657</v>
      </c>
      <c r="G104" s="347">
        <f>1/SQRT(2)</f>
        <v>0.70710678118654746</v>
      </c>
      <c r="H104" s="352">
        <f>IF($Q$92=$L$3,DEGREES(ACOS(G104)),"")</f>
        <v>45</v>
      </c>
      <c r="I104" s="351">
        <f>IF($Q$92=$L$3,ACOS(G104),"")</f>
        <v>0.78539816339744828</v>
      </c>
    </row>
    <row r="105" spans="6:12" ht="32.5" customHeight="1" x14ac:dyDescent="0.35">
      <c r="F105" s="350" t="s">
        <v>658</v>
      </c>
      <c r="G105" s="347">
        <v>50</v>
      </c>
      <c r="H105" s="352">
        <f>IF($Q$92=$L$3,DEGREES(ATAN(G105)),"")</f>
        <v>88.854237161824898</v>
      </c>
      <c r="I105" s="351">
        <f>IF($Q$92=$L$3,ATAN(G105),"")</f>
        <v>1.550798992821746</v>
      </c>
    </row>
    <row r="106" spans="6:12" ht="32.5" customHeight="1" x14ac:dyDescent="0.35">
      <c r="F106" s="350" t="s">
        <v>658</v>
      </c>
      <c r="G106" s="347">
        <v>0.25</v>
      </c>
      <c r="H106" s="352">
        <f>IF($Q$92=$L$3,DEGREES(ATAN(G106)),"")</f>
        <v>14.036243467926479</v>
      </c>
      <c r="I106" s="351">
        <f>IF($Q$92=$L$3,ATAN(G106),"")</f>
        <v>0.24497866312686414</v>
      </c>
    </row>
    <row r="110" spans="6:12" ht="26.5" thickBot="1" x14ac:dyDescent="0.65">
      <c r="F110" s="353" t="s">
        <v>660</v>
      </c>
      <c r="G110" s="353"/>
      <c r="I110" s="354" t="s">
        <v>817</v>
      </c>
    </row>
    <row r="111" spans="6:12" x14ac:dyDescent="0.35">
      <c r="F111" s="366" t="s">
        <v>661</v>
      </c>
      <c r="G111" s="10">
        <v>5</v>
      </c>
      <c r="H111" s="439" t="s">
        <v>709</v>
      </c>
      <c r="I111" s="10" t="s">
        <v>712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662</v>
      </c>
      <c r="G112" s="4">
        <v>0.6</v>
      </c>
      <c r="H112" s="225" t="s">
        <v>703</v>
      </c>
      <c r="I112" s="4" t="s">
        <v>744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9" ht="15" thickBot="1" x14ac:dyDescent="0.4">
      <c r="F113" s="369" t="s">
        <v>663</v>
      </c>
      <c r="G113" s="11">
        <v>6.2</v>
      </c>
      <c r="H113" s="440" t="s">
        <v>703</v>
      </c>
      <c r="I113" s="11" t="s">
        <v>741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9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9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9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1" spans="4:19" x14ac:dyDescent="0.35">
      <c r="F121" s="258"/>
    </row>
    <row r="122" spans="4:19" x14ac:dyDescent="0.35">
      <c r="F122" s="258"/>
    </row>
    <row r="124" spans="4:19" ht="16.5" x14ac:dyDescent="0.45">
      <c r="D124" s="5" t="s">
        <v>956</v>
      </c>
      <c r="E124" s="5"/>
      <c r="F124" s="8" t="s">
        <v>962</v>
      </c>
      <c r="G124" s="75">
        <v>230</v>
      </c>
      <c r="H124" s="225" t="s">
        <v>694</v>
      </c>
      <c r="I124" s="5" t="s">
        <v>316</v>
      </c>
      <c r="J124" s="77">
        <f>VLOOKUP(H124, CHOOSE({1,2,3,4,5}, Einheitenvorsätze!A:A, Einheitenvorsätze!B:B, Einheitenvorsätze!C:C, Einheitenvorsätze!D:D, Einheitenvorsätze!E:E), 5, FALSE)</f>
        <v>3</v>
      </c>
      <c r="K124" s="441">
        <f>G124*VLOOKUP(H124, CHOOSE({1,2,3,4}, Einheitenvorsätze!A:A, Einheitenvorsätze!B:B, Einheitenvorsätze!C:C, Einheitenvorsätze!D:D), 3, FALSE)</f>
        <v>230000</v>
      </c>
      <c r="L124" s="77"/>
      <c r="M124" s="77" t="str">
        <f>_xlfn.CONCAT(G124," * ",VLOOKUP(H124, CHOOSE({1,2,3,4}, Einheitenvorsätze!A:A, Einheitenvorsätze!B:B, Einheitenvorsätze!C:C, Einheitenvorsätze!D:D), 4, FALSE),I124)</f>
        <v>230 * 10³V</v>
      </c>
      <c r="N124" s="77"/>
      <c r="O124" s="77"/>
      <c r="P124" s="77"/>
      <c r="Q124" s="77"/>
      <c r="R124" s="77"/>
      <c r="S124" s="77"/>
    </row>
    <row r="125" spans="4:19" x14ac:dyDescent="0.35">
      <c r="D125" s="5"/>
      <c r="E125" s="5"/>
      <c r="F125" s="8" t="s">
        <v>961</v>
      </c>
      <c r="G125" s="75">
        <v>50</v>
      </c>
      <c r="H125" s="225" t="s">
        <v>703</v>
      </c>
      <c r="I125" s="5" t="s">
        <v>744</v>
      </c>
      <c r="J125" s="77">
        <f>VLOOKUP(H125, CHOOSE({1,2,3,4,5}, Einheitenvorsätze!A:A, Einheitenvorsätze!B:B, Einheitenvorsätze!C:C, Einheitenvorsätze!D:D, Einheitenvorsätze!E:E), 5, FALSE)</f>
        <v>0</v>
      </c>
      <c r="K125" s="441">
        <f>G125*VLOOKUP(H125, CHOOSE({1,2,3,4}, Einheitenvorsätze!A:A, Einheitenvorsätze!B:B, Einheitenvorsätze!C:C, Einheitenvorsätze!D:D), 3, FALSE)</f>
        <v>50</v>
      </c>
      <c r="L125" s="77"/>
      <c r="M125" s="77" t="str">
        <f>_xlfn.CONCAT(G125," * ",VLOOKUP(H125, CHOOSE({1,2,3,4}, Einheitenvorsätze!A:A, Einheitenvorsätze!B:B, Einheitenvorsätze!C:C, Einheitenvorsätze!D:D), 4, FALSE),I125)</f>
        <v>50 * 10⁰Hz</v>
      </c>
      <c r="N125" s="77"/>
      <c r="O125" s="77"/>
      <c r="P125" s="77"/>
      <c r="Q125" s="77"/>
      <c r="R125" s="77"/>
      <c r="S125" s="77"/>
    </row>
    <row r="126" spans="4:19" x14ac:dyDescent="0.35">
      <c r="D126" s="5"/>
      <c r="E126" s="5"/>
      <c r="F126" s="8" t="s">
        <v>960</v>
      </c>
      <c r="G126" s="211">
        <f>300*10^3</f>
        <v>300000</v>
      </c>
      <c r="H126" s="225" t="s">
        <v>694</v>
      </c>
      <c r="I126" s="438" t="s">
        <v>834</v>
      </c>
      <c r="J126" s="77">
        <f>VLOOKUP(H126, CHOOSE({1,2,3,4,5}, Einheitenvorsätze!A:A, Einheitenvorsätze!B:B, Einheitenvorsätze!C:C, Einheitenvorsätze!D:D, Einheitenvorsätze!E:E), 5, FALSE)</f>
        <v>3</v>
      </c>
      <c r="K126" s="441">
        <f>G126*VLOOKUP(H126, CHOOSE({1,2,3,4}, Einheitenvorsätze!A:A, Einheitenvorsätze!B:B, Einheitenvorsätze!C:C, Einheitenvorsätze!D:D), 3, FALSE)</f>
        <v>300000000</v>
      </c>
      <c r="L126" s="77"/>
      <c r="M126" s="77" t="str">
        <f>_xlfn.CONCAT(G126," * ",VLOOKUP(H126, CHOOSE({1,2,3,4}, Einheitenvorsätze!A:A, Einheitenvorsätze!B:B, Einheitenvorsätze!C:C, Einheitenvorsätze!D:D), 4, FALSE),I126)</f>
        <v>300000 * 10³m/s</v>
      </c>
      <c r="N126" s="77"/>
      <c r="O126" s="77"/>
      <c r="P126" s="77"/>
      <c r="Q126" s="77"/>
      <c r="R126" s="77"/>
      <c r="S126" s="77"/>
    </row>
    <row r="127" spans="4:19" x14ac:dyDescent="0.35">
      <c r="D127" s="5"/>
      <c r="E127" s="449" t="s">
        <v>963</v>
      </c>
      <c r="F127" s="449"/>
      <c r="G127" s="75">
        <v>20</v>
      </c>
      <c r="H127" s="225" t="s">
        <v>712</v>
      </c>
      <c r="I127" s="5" t="s">
        <v>741</v>
      </c>
      <c r="J127" s="77">
        <f>VLOOKUP(H127, CHOOSE({1,2,3,4,5}, Einheitenvorsätze!A:A, Einheitenvorsätze!B:B, Einheitenvorsätze!C:C, Einheitenvorsätze!D:D, Einheitenvorsätze!E:E), 5, FALSE)</f>
        <v>-3</v>
      </c>
      <c r="K127" s="441">
        <f>G127*VLOOKUP(H127, CHOOSE({1,2,3,4}, Einheitenvorsätze!A:A, Einheitenvorsätze!B:B, Einheitenvorsätze!C:C, Einheitenvorsätze!D:D), 3, FALSE)</f>
        <v>0.02</v>
      </c>
      <c r="L127" s="77"/>
      <c r="M127" s="77" t="str">
        <f>_xlfn.CONCAT(G127," * ",VLOOKUP(H127, CHOOSE({1,2,3,4}, Einheitenvorsätze!A:A, Einheitenvorsätze!B:B, Einheitenvorsätze!C:C, Einheitenvorsätze!D:D), 4, FALSE),I127)</f>
        <v>20 * 10⁻³s</v>
      </c>
      <c r="N127" s="77"/>
      <c r="O127" s="77"/>
      <c r="P127" s="77"/>
      <c r="Q127" s="77"/>
      <c r="R127" s="77"/>
      <c r="S127" s="77"/>
    </row>
    <row r="128" spans="4:19" ht="16.5" x14ac:dyDescent="0.45">
      <c r="D128" s="5" t="s">
        <v>955</v>
      </c>
      <c r="E128" s="449" t="s">
        <v>824</v>
      </c>
      <c r="F128" s="449"/>
      <c r="G128" s="212">
        <f>(G124*10^J124*SQRT(2))/10^J128</f>
        <v>325.26911934581187</v>
      </c>
      <c r="H128" s="225" t="s">
        <v>694</v>
      </c>
      <c r="I128" s="5" t="str">
        <f>I124</f>
        <v>V</v>
      </c>
      <c r="J128" s="77">
        <f>VLOOKUP(H128, CHOOSE({1,2,3,4,5}, Einheitenvorsätze!A:A, Einheitenvorsätze!B:B, Einheitenvorsätze!C:C, Einheitenvorsätze!D:D, Einheitenvorsätze!E:E), 5, FALSE)</f>
        <v>3</v>
      </c>
      <c r="K128" s="441">
        <f>G128*VLOOKUP(H128, CHOOSE({1,2,3,4}, Einheitenvorsätze!A:A, Einheitenvorsätze!B:B, Einheitenvorsätze!C:C, Einheitenvorsätze!D:D), 3, FALSE)</f>
        <v>325269.11934581189</v>
      </c>
      <c r="L128" s="77"/>
      <c r="M128" s="77" t="str">
        <f>_xlfn.CONCAT(G128," * ",VLOOKUP(H128, CHOOSE({1,2,3,4}, Einheitenvorsätze!A:A, Einheitenvorsätze!B:B, Einheitenvorsätze!C:C, Einheitenvorsätze!D:D), 4, FALSE),I128)</f>
        <v>325.269119345812 * 10³V</v>
      </c>
      <c r="N128" s="77"/>
      <c r="O128" s="77"/>
      <c r="P128" s="77"/>
      <c r="Q128" s="77"/>
      <c r="R128" s="77"/>
      <c r="S128" s="77"/>
    </row>
    <row r="129" spans="4:19" x14ac:dyDescent="0.35">
      <c r="D129" s="5" t="s">
        <v>957</v>
      </c>
      <c r="E129" s="449" t="s">
        <v>820</v>
      </c>
      <c r="F129" s="449"/>
      <c r="G129" s="212">
        <f>(1/(G125 * 10^J125))/10^J129</f>
        <v>0.02</v>
      </c>
      <c r="H129" s="225" t="s">
        <v>703</v>
      </c>
      <c r="I129" s="5" t="s">
        <v>741</v>
      </c>
      <c r="J129" s="77">
        <f>VLOOKUP(H129, CHOOSE({1,2,3,4,5}, Einheitenvorsätze!A:A, Einheitenvorsätze!B:B, Einheitenvorsätze!C:C, Einheitenvorsätze!D:D, Einheitenvorsätze!E:E), 5, FALSE)</f>
        <v>0</v>
      </c>
      <c r="K129" s="77"/>
      <c r="L129" s="77"/>
      <c r="M129" s="77"/>
      <c r="N129" s="77"/>
      <c r="O129" s="77"/>
      <c r="P129" s="77"/>
      <c r="Q129" s="77"/>
      <c r="R129" s="77"/>
      <c r="S129" s="77"/>
    </row>
    <row r="130" spans="4:19" x14ac:dyDescent="0.35">
      <c r="D130" s="5" t="s">
        <v>958</v>
      </c>
      <c r="E130" s="449" t="s">
        <v>821</v>
      </c>
      <c r="F130" s="449"/>
      <c r="G130" s="212">
        <f>(2*PI()*G125*10^J125)/10^J130</f>
        <v>314.15926535897933</v>
      </c>
      <c r="H130" s="225" t="s">
        <v>703</v>
      </c>
      <c r="I130" s="5" t="s">
        <v>825</v>
      </c>
      <c r="J130" s="77">
        <f>VLOOKUP(H130, CHOOSE({1,2,3,4,5}, Einheitenvorsätze!A:A, Einheitenvorsätze!B:B, Einheitenvorsätze!C:C, Einheitenvorsätze!D:D, Einheitenvorsätze!E:E), 5, FALSE)</f>
        <v>0</v>
      </c>
      <c r="K130" s="77"/>
      <c r="L130" s="77"/>
      <c r="M130" s="77"/>
      <c r="N130" s="77"/>
      <c r="O130" s="77"/>
      <c r="P130" s="77"/>
      <c r="Q130" s="77"/>
      <c r="R130" s="77"/>
      <c r="S130" s="77"/>
    </row>
    <row r="131" spans="4:19" x14ac:dyDescent="0.35">
      <c r="D131" s="5" t="s">
        <v>965</v>
      </c>
      <c r="E131" s="449" t="s">
        <v>822</v>
      </c>
      <c r="F131" s="449"/>
      <c r="G131" s="212">
        <f>G126*10^J126*G129*10^J129/10^J131</f>
        <v>6000</v>
      </c>
      <c r="H131" s="225" t="s">
        <v>694</v>
      </c>
      <c r="I131" s="5" t="s">
        <v>712</v>
      </c>
      <c r="J131" s="77">
        <f>VLOOKUP(H131, CHOOSE({1,2,3,4,5}, Einheitenvorsätze!A:A, Einheitenvorsätze!B:B, Einheitenvorsätze!C:C, Einheitenvorsätze!D:D, Einheitenvorsätze!E:E), 5, FALSE)</f>
        <v>3</v>
      </c>
      <c r="K131" s="77"/>
      <c r="L131" s="77"/>
      <c r="M131" s="77"/>
      <c r="N131" s="77"/>
      <c r="O131" s="77"/>
      <c r="P131" s="77"/>
      <c r="Q131" s="77"/>
      <c r="R131" s="77"/>
      <c r="S131" s="77"/>
    </row>
    <row r="132" spans="4:19" x14ac:dyDescent="0.35">
      <c r="D132" s="5" t="s">
        <v>964</v>
      </c>
      <c r="E132" s="449" t="s">
        <v>823</v>
      </c>
      <c r="F132" s="449"/>
      <c r="G132" s="212">
        <f>(G128*10^J128)*SIN(2 * PI()*G125*10^J125*G127*10^J127)/10^J132</f>
        <v>2.0919642059861284E-13</v>
      </c>
      <c r="H132" s="225" t="s">
        <v>694</v>
      </c>
      <c r="I132" s="5" t="str">
        <f>I124</f>
        <v>V</v>
      </c>
      <c r="J132" s="77">
        <f>VLOOKUP(H132, CHOOSE({1,2,3,4,5}, Einheitenvorsätze!A:A, Einheitenvorsätze!B:B, Einheitenvorsätze!C:C, Einheitenvorsätze!D:D, Einheitenvorsätze!E:E), 5, FALSE)</f>
        <v>3</v>
      </c>
      <c r="K132" s="77"/>
      <c r="L132" s="77"/>
      <c r="M132" s="77"/>
      <c r="N132" s="77"/>
      <c r="O132" s="77"/>
      <c r="P132" s="77"/>
      <c r="Q132" s="77"/>
      <c r="R132" s="77"/>
      <c r="S132" s="77"/>
    </row>
  </sheetData>
  <mergeCells count="8">
    <mergeCell ref="M92:P92"/>
    <mergeCell ref="Q92:S92"/>
    <mergeCell ref="E132:F132"/>
    <mergeCell ref="E127:F127"/>
    <mergeCell ref="E128:F128"/>
    <mergeCell ref="E129:F129"/>
    <mergeCell ref="E130:F130"/>
    <mergeCell ref="E131:F131"/>
  </mergeCells>
  <dataValidations count="4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AX12:AX13 Q92:S92 AX16:AX17 D16:D17" xr:uid="{8FB8006F-A5AB-41B5-B544-F9B479F8D761}">
      <formula1>$L$3:$L$4</formula1>
    </dataValidation>
    <dataValidation type="list" allowBlank="1" showInputMessage="1" showErrorMessage="1" sqref="E12:E13 E16:E17" xr:uid="{DF0FFC0D-C82C-4ADF-A3F9-AE2CF1C358A0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 H124:H132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/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913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25">
        <f>PI()*J9/180</f>
        <v>0.17453292519943295</v>
      </c>
      <c r="K10" s="425">
        <f t="shared" ref="K10:AX10" si="2">PI()*K9/180</f>
        <v>0.3490658503988659</v>
      </c>
      <c r="L10" s="425">
        <f t="shared" si="2"/>
        <v>0.52359877559829882</v>
      </c>
      <c r="M10" s="425">
        <f t="shared" si="2"/>
        <v>0.69813170079773179</v>
      </c>
      <c r="N10" s="425">
        <f t="shared" si="2"/>
        <v>0.87266462599716477</v>
      </c>
      <c r="O10" s="425">
        <f>PI()*O9/180</f>
        <v>1.0471975511965976</v>
      </c>
      <c r="P10" s="425">
        <f t="shared" si="2"/>
        <v>1.2217304763960306</v>
      </c>
      <c r="Q10" s="425">
        <f t="shared" si="2"/>
        <v>1.3962634015954636</v>
      </c>
      <c r="R10" s="425">
        <f t="shared" si="2"/>
        <v>1.5707963267948966</v>
      </c>
      <c r="S10" s="425">
        <f t="shared" si="2"/>
        <v>1.7453292519943295</v>
      </c>
      <c r="T10" s="425">
        <f t="shared" si="2"/>
        <v>1.9198621771937625</v>
      </c>
      <c r="U10" s="425">
        <f t="shared" si="2"/>
        <v>2.0943951023931953</v>
      </c>
      <c r="V10" s="425">
        <f t="shared" si="2"/>
        <v>2.2689280275926285</v>
      </c>
      <c r="W10" s="425">
        <f t="shared" si="2"/>
        <v>2.4434609527920612</v>
      </c>
      <c r="X10" s="425">
        <f t="shared" si="2"/>
        <v>2.6179938779914944</v>
      </c>
      <c r="Y10" s="425">
        <f t="shared" si="2"/>
        <v>2.7925268031909272</v>
      </c>
      <c r="Z10" s="425">
        <f t="shared" si="2"/>
        <v>2.9670597283903604</v>
      </c>
      <c r="AA10" s="425">
        <f t="shared" si="2"/>
        <v>3.1415926535897931</v>
      </c>
      <c r="AB10" s="425">
        <f t="shared" si="2"/>
        <v>3.3161255787892263</v>
      </c>
      <c r="AC10" s="425">
        <f t="shared" si="2"/>
        <v>3.4906585039886591</v>
      </c>
      <c r="AD10" s="425">
        <f t="shared" si="2"/>
        <v>3.6651914291880923</v>
      </c>
      <c r="AE10" s="425">
        <f t="shared" si="2"/>
        <v>3.839724354387525</v>
      </c>
      <c r="AF10" s="425">
        <f t="shared" si="2"/>
        <v>4.0142572795869578</v>
      </c>
      <c r="AG10" s="425">
        <f t="shared" si="2"/>
        <v>4.1887902047863905</v>
      </c>
      <c r="AH10" s="425">
        <f t="shared" si="2"/>
        <v>4.3633231299858233</v>
      </c>
      <c r="AI10" s="425">
        <f t="shared" si="2"/>
        <v>4.5378560551852569</v>
      </c>
      <c r="AJ10" s="425">
        <f t="shared" si="2"/>
        <v>4.7123889803846897</v>
      </c>
      <c r="AK10" s="425">
        <f t="shared" si="2"/>
        <v>4.8869219055841224</v>
      </c>
      <c r="AL10" s="425">
        <f t="shared" si="2"/>
        <v>5.0614548307835552</v>
      </c>
      <c r="AM10" s="425">
        <f t="shared" si="2"/>
        <v>5.2359877559829888</v>
      </c>
      <c r="AN10" s="425">
        <f t="shared" si="2"/>
        <v>5.4105206811824216</v>
      </c>
      <c r="AO10" s="425">
        <f t="shared" si="2"/>
        <v>5.5850536063818543</v>
      </c>
      <c r="AP10" s="425">
        <f t="shared" si="2"/>
        <v>5.7595865315812871</v>
      </c>
      <c r="AQ10" s="425">
        <f t="shared" si="2"/>
        <v>5.9341194567807207</v>
      </c>
      <c r="AR10" s="425">
        <f t="shared" si="2"/>
        <v>6.1086523819801526</v>
      </c>
      <c r="AS10" s="425">
        <f t="shared" si="2"/>
        <v>6.2831853071795862</v>
      </c>
      <c r="AT10" s="425">
        <f t="shared" si="2"/>
        <v>6.457718232379019</v>
      </c>
      <c r="AU10" s="425">
        <f t="shared" si="2"/>
        <v>6.6322511575784526</v>
      </c>
      <c r="AV10" s="425">
        <f t="shared" si="2"/>
        <v>6.8067840827778845</v>
      </c>
      <c r="AW10" s="425">
        <f t="shared" si="2"/>
        <v>6.9813170079773181</v>
      </c>
      <c r="AX10" s="425">
        <f t="shared" si="2"/>
        <v>7.1558499331767509</v>
      </c>
    </row>
    <row r="11" spans="2:50" x14ac:dyDescent="0.35">
      <c r="H11" s="5" t="s">
        <v>914</v>
      </c>
      <c r="I11" s="95" t="s">
        <v>298</v>
      </c>
      <c r="J11" s="425">
        <f>IF($I$11=$M$3,J9,J10)</f>
        <v>10</v>
      </c>
      <c r="K11" s="425">
        <f t="shared" ref="K11:AX11" si="3">IF($I$11=$M$3,K9,K10)</f>
        <v>20</v>
      </c>
      <c r="L11" s="425">
        <f t="shared" si="3"/>
        <v>30</v>
      </c>
      <c r="M11" s="425">
        <f t="shared" si="3"/>
        <v>40</v>
      </c>
      <c r="N11" s="425">
        <f t="shared" si="3"/>
        <v>50</v>
      </c>
      <c r="O11" s="425">
        <f t="shared" si="3"/>
        <v>60</v>
      </c>
      <c r="P11" s="425">
        <f t="shared" si="3"/>
        <v>70</v>
      </c>
      <c r="Q11" s="425">
        <f t="shared" si="3"/>
        <v>80</v>
      </c>
      <c r="R11" s="425">
        <f t="shared" si="3"/>
        <v>90</v>
      </c>
      <c r="S11" s="425">
        <f t="shared" si="3"/>
        <v>100</v>
      </c>
      <c r="T11" s="425">
        <f t="shared" si="3"/>
        <v>110</v>
      </c>
      <c r="U11" s="425">
        <f t="shared" si="3"/>
        <v>120</v>
      </c>
      <c r="V11" s="425">
        <f t="shared" si="3"/>
        <v>130</v>
      </c>
      <c r="W11" s="425">
        <f t="shared" si="3"/>
        <v>140</v>
      </c>
      <c r="X11" s="425">
        <f t="shared" si="3"/>
        <v>150</v>
      </c>
      <c r="Y11" s="425">
        <f t="shared" si="3"/>
        <v>160</v>
      </c>
      <c r="Z11" s="425">
        <f t="shared" si="3"/>
        <v>170</v>
      </c>
      <c r="AA11" s="425">
        <f t="shared" si="3"/>
        <v>180</v>
      </c>
      <c r="AB11" s="425">
        <f t="shared" si="3"/>
        <v>190</v>
      </c>
      <c r="AC11" s="425">
        <f t="shared" si="3"/>
        <v>200</v>
      </c>
      <c r="AD11" s="425">
        <f t="shared" si="3"/>
        <v>210</v>
      </c>
      <c r="AE11" s="425">
        <f t="shared" si="3"/>
        <v>220</v>
      </c>
      <c r="AF11" s="425">
        <f t="shared" si="3"/>
        <v>230</v>
      </c>
      <c r="AG11" s="425">
        <f t="shared" si="3"/>
        <v>240</v>
      </c>
      <c r="AH11" s="425">
        <f t="shared" si="3"/>
        <v>250</v>
      </c>
      <c r="AI11" s="425">
        <f t="shared" si="3"/>
        <v>260</v>
      </c>
      <c r="AJ11" s="425">
        <f t="shared" si="3"/>
        <v>270</v>
      </c>
      <c r="AK11" s="425">
        <f t="shared" si="3"/>
        <v>280</v>
      </c>
      <c r="AL11" s="425">
        <f t="shared" si="3"/>
        <v>290</v>
      </c>
      <c r="AM11" s="425">
        <f t="shared" si="3"/>
        <v>300</v>
      </c>
      <c r="AN11" s="425">
        <f t="shared" si="3"/>
        <v>310</v>
      </c>
      <c r="AO11" s="425">
        <f t="shared" si="3"/>
        <v>320</v>
      </c>
      <c r="AP11" s="425">
        <f t="shared" si="3"/>
        <v>330</v>
      </c>
      <c r="AQ11" s="425">
        <f t="shared" si="3"/>
        <v>340</v>
      </c>
      <c r="AR11" s="425">
        <f t="shared" si="3"/>
        <v>350</v>
      </c>
      <c r="AS11" s="425">
        <f t="shared" si="3"/>
        <v>360</v>
      </c>
      <c r="AT11" s="425">
        <f t="shared" si="3"/>
        <v>370</v>
      </c>
      <c r="AU11" s="425">
        <f t="shared" si="3"/>
        <v>380</v>
      </c>
      <c r="AV11" s="425">
        <f t="shared" si="3"/>
        <v>390</v>
      </c>
      <c r="AW11" s="425">
        <f t="shared" si="3"/>
        <v>400</v>
      </c>
      <c r="AX11" s="425">
        <f t="shared" si="3"/>
        <v>410</v>
      </c>
    </row>
    <row r="12" spans="2:50" x14ac:dyDescent="0.35">
      <c r="B12" s="5" t="s">
        <v>614</v>
      </c>
      <c r="C12" s="5" t="str">
        <f>Einheitenvorsätze!C58</f>
        <v>φ</v>
      </c>
      <c r="D12" s="5" t="s">
        <v>410</v>
      </c>
      <c r="E12" s="5" t="s">
        <v>915</v>
      </c>
      <c r="F12" s="5" t="s">
        <v>917</v>
      </c>
      <c r="G12" s="423" t="s">
        <v>916</v>
      </c>
      <c r="H12" s="426" t="str">
        <f>_xlfn.CONCAT("y1 = sin(",Einheitenvorsätze!C38,")")</f>
        <v>y1 = sin(α)</v>
      </c>
      <c r="I12" s="427" t="s">
        <v>63</v>
      </c>
      <c r="J12" s="425">
        <f>IF($I$12=$N$3,SIN(J10),0)</f>
        <v>0.17364817766693033</v>
      </c>
      <c r="K12" s="425">
        <f t="shared" ref="K12:AX12" si="4">IF($I$12=$N$3,SIN(K10),0)</f>
        <v>0.34202014332566871</v>
      </c>
      <c r="L12" s="425">
        <f t="shared" si="4"/>
        <v>0.49999999999999994</v>
      </c>
      <c r="M12" s="425">
        <f t="shared" si="4"/>
        <v>0.64278760968653925</v>
      </c>
      <c r="N12" s="425">
        <f t="shared" si="4"/>
        <v>0.76604444311897801</v>
      </c>
      <c r="O12" s="425">
        <f t="shared" si="4"/>
        <v>0.8660254037844386</v>
      </c>
      <c r="P12" s="425">
        <f t="shared" si="4"/>
        <v>0.93969262078590832</v>
      </c>
      <c r="Q12" s="425">
        <f t="shared" si="4"/>
        <v>0.98480775301220802</v>
      </c>
      <c r="R12" s="425">
        <f t="shared" si="4"/>
        <v>1</v>
      </c>
      <c r="S12" s="425">
        <f t="shared" si="4"/>
        <v>0.98480775301220802</v>
      </c>
      <c r="T12" s="425">
        <f t="shared" si="4"/>
        <v>0.93969262078590843</v>
      </c>
      <c r="U12" s="425">
        <f t="shared" si="4"/>
        <v>0.86602540378443871</v>
      </c>
      <c r="V12" s="425">
        <f t="shared" si="4"/>
        <v>0.76604444311897801</v>
      </c>
      <c r="W12" s="425">
        <f t="shared" si="4"/>
        <v>0.64278760968653947</v>
      </c>
      <c r="X12" s="425">
        <f t="shared" si="4"/>
        <v>0.49999999999999994</v>
      </c>
      <c r="Y12" s="425">
        <f t="shared" si="4"/>
        <v>0.34202014332566888</v>
      </c>
      <c r="Z12" s="425">
        <f t="shared" si="4"/>
        <v>0.17364817766693028</v>
      </c>
      <c r="AA12" s="425">
        <f t="shared" si="4"/>
        <v>1.22514845490862E-16</v>
      </c>
      <c r="AB12" s="425">
        <f t="shared" si="4"/>
        <v>-0.17364817766693047</v>
      </c>
      <c r="AC12" s="425">
        <f t="shared" si="4"/>
        <v>-0.34202014332566866</v>
      </c>
      <c r="AD12" s="425">
        <f t="shared" si="4"/>
        <v>-0.50000000000000011</v>
      </c>
      <c r="AE12" s="425">
        <f t="shared" si="4"/>
        <v>-0.64278760968653925</v>
      </c>
      <c r="AF12" s="425">
        <f t="shared" si="4"/>
        <v>-0.7660444431189779</v>
      </c>
      <c r="AG12" s="425">
        <f t="shared" si="4"/>
        <v>-0.86602540378443837</v>
      </c>
      <c r="AH12" s="425">
        <f t="shared" si="4"/>
        <v>-0.93969262078590821</v>
      </c>
      <c r="AI12" s="425">
        <f t="shared" si="4"/>
        <v>-0.98480775301220802</v>
      </c>
      <c r="AJ12" s="425">
        <f t="shared" si="4"/>
        <v>-1</v>
      </c>
      <c r="AK12" s="425">
        <f t="shared" si="4"/>
        <v>-0.98480775301220813</v>
      </c>
      <c r="AL12" s="425">
        <f t="shared" si="4"/>
        <v>-0.93969262078590854</v>
      </c>
      <c r="AM12" s="425">
        <f t="shared" si="4"/>
        <v>-0.8660254037844386</v>
      </c>
      <c r="AN12" s="425">
        <f t="shared" si="4"/>
        <v>-0.76604444311897812</v>
      </c>
      <c r="AO12" s="425">
        <f t="shared" si="4"/>
        <v>-0.64278760968653958</v>
      </c>
      <c r="AP12" s="425">
        <f t="shared" si="4"/>
        <v>-0.50000000000000044</v>
      </c>
      <c r="AQ12" s="425">
        <f t="shared" si="4"/>
        <v>-0.3420201433256686</v>
      </c>
      <c r="AR12" s="425">
        <f t="shared" si="4"/>
        <v>-0.17364817766693127</v>
      </c>
      <c r="AS12" s="425">
        <f t="shared" si="4"/>
        <v>-2.45029690981724E-16</v>
      </c>
      <c r="AT12" s="425">
        <f t="shared" si="4"/>
        <v>0.17364817766692991</v>
      </c>
      <c r="AU12" s="425">
        <f t="shared" si="4"/>
        <v>0.34202014332566893</v>
      </c>
      <c r="AV12" s="425">
        <f t="shared" si="4"/>
        <v>0.49999999999999928</v>
      </c>
      <c r="AW12" s="425">
        <f t="shared" si="4"/>
        <v>0.64278760968653914</v>
      </c>
      <c r="AX12" s="425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24">
        <v>3</v>
      </c>
      <c r="H13" s="428" t="str">
        <f>_xlfn.CONCAT("y2 = ",B13," * sin(",$G$13," * ",Einheitenvorsätze!C38," + ",_xlfn.CONCAT($C$13,MID($D$13,2,LEN($D$13)-2)),")")</f>
        <v>y2 = 5 * sin(3 * α + 90°)</v>
      </c>
      <c r="I13" s="429" t="s">
        <v>63</v>
      </c>
      <c r="J13" s="425">
        <f>IF($I$13=$N$3,$B$13*SIN($G$13*J10+$E$13),0)</f>
        <v>4.3301270189221936</v>
      </c>
      <c r="K13" s="425">
        <f>IF($I$13=$N$3,$B$13*SIN($G$13*K10+$E$13),0)</f>
        <v>2.5000000000000018</v>
      </c>
      <c r="L13" s="425">
        <f t="shared" ref="L13:AX13" si="5">IF($I$13=$N$3,$B$13*SIN($G$13*L10+$E$13),0)</f>
        <v>6.1257422745431001E-16</v>
      </c>
      <c r="M13" s="425">
        <f t="shared" si="5"/>
        <v>-2.4999999999999987</v>
      </c>
      <c r="N13" s="425">
        <f t="shared" si="5"/>
        <v>-4.3301270189221945</v>
      </c>
      <c r="O13" s="425">
        <f t="shared" si="5"/>
        <v>-5</v>
      </c>
      <c r="P13" s="425">
        <f t="shared" si="5"/>
        <v>-4.3301270189221954</v>
      </c>
      <c r="Q13" s="425">
        <f t="shared" si="5"/>
        <v>-2.5000000000000022</v>
      </c>
      <c r="R13" s="425">
        <f t="shared" si="5"/>
        <v>-1.22514845490862E-15</v>
      </c>
      <c r="S13" s="425">
        <f t="shared" si="5"/>
        <v>2.5</v>
      </c>
      <c r="T13" s="425">
        <f t="shared" si="5"/>
        <v>4.3301270189221945</v>
      </c>
      <c r="U13" s="425">
        <f t="shared" si="5"/>
        <v>5</v>
      </c>
      <c r="V13" s="425">
        <f t="shared" si="5"/>
        <v>4.330127018922191</v>
      </c>
      <c r="W13" s="425">
        <f t="shared" si="5"/>
        <v>2.4999999999999991</v>
      </c>
      <c r="X13" s="425">
        <f t="shared" si="5"/>
        <v>1.83772268236293E-15</v>
      </c>
      <c r="Y13" s="425">
        <f t="shared" si="5"/>
        <v>-2.499999999999996</v>
      </c>
      <c r="Z13" s="425">
        <f t="shared" si="5"/>
        <v>-4.3301270189221936</v>
      </c>
      <c r="AA13" s="425">
        <f t="shared" si="5"/>
        <v>-5</v>
      </c>
      <c r="AB13" s="425">
        <f t="shared" si="5"/>
        <v>-4.330127018922191</v>
      </c>
      <c r="AC13" s="425">
        <f t="shared" si="5"/>
        <v>-2.4999999999999996</v>
      </c>
      <c r="AD13" s="425">
        <f t="shared" si="5"/>
        <v>6.4314872871840123E-15</v>
      </c>
      <c r="AE13" s="425">
        <f t="shared" si="5"/>
        <v>2.5000000000000027</v>
      </c>
      <c r="AF13" s="425">
        <f t="shared" si="5"/>
        <v>4.3301270189221936</v>
      </c>
      <c r="AG13" s="425">
        <f t="shared" si="5"/>
        <v>5</v>
      </c>
      <c r="AH13" s="425">
        <f t="shared" si="5"/>
        <v>4.3301270189221963</v>
      </c>
      <c r="AI13" s="425">
        <f t="shared" si="5"/>
        <v>2.5</v>
      </c>
      <c r="AJ13" s="425">
        <f t="shared" si="5"/>
        <v>3.06287113727155E-15</v>
      </c>
      <c r="AK13" s="425">
        <f t="shared" si="5"/>
        <v>-2.4999999999999947</v>
      </c>
      <c r="AL13" s="425">
        <f t="shared" si="5"/>
        <v>-4.3301270189221883</v>
      </c>
      <c r="AM13" s="425">
        <f t="shared" si="5"/>
        <v>-5</v>
      </c>
      <c r="AN13" s="425">
        <f t="shared" si="5"/>
        <v>-4.3301270189221919</v>
      </c>
      <c r="AO13" s="425">
        <f t="shared" si="5"/>
        <v>-2.500000000000016</v>
      </c>
      <c r="AP13" s="425">
        <f t="shared" si="5"/>
        <v>-3.67544536472586E-15</v>
      </c>
      <c r="AQ13" s="425">
        <f t="shared" si="5"/>
        <v>2.5000000000000093</v>
      </c>
      <c r="AR13" s="425">
        <f t="shared" si="5"/>
        <v>4.3301270189221883</v>
      </c>
      <c r="AS13" s="425">
        <f t="shared" si="5"/>
        <v>5</v>
      </c>
      <c r="AT13" s="425">
        <f t="shared" si="5"/>
        <v>4.3301270189222016</v>
      </c>
      <c r="AU13" s="425">
        <f t="shared" si="5"/>
        <v>2.5000000000000009</v>
      </c>
      <c r="AV13" s="425">
        <f t="shared" si="5"/>
        <v>2.2051587986182675E-14</v>
      </c>
      <c r="AW13" s="425">
        <f t="shared" si="5"/>
        <v>-2.4999999999999938</v>
      </c>
      <c r="AX13" s="425">
        <f t="shared" si="5"/>
        <v>-4.3301270189221972</v>
      </c>
    </row>
    <row r="14" spans="2:50" x14ac:dyDescent="0.35">
      <c r="B14" s="1" t="s">
        <v>918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31">
        <f>IF($I$13=$N$3,$B$13*SIN($G$13*$E$14+$E$13),0)</f>
        <v>-2.5000000000000022</v>
      </c>
    </row>
    <row r="22" spans="4:10" x14ac:dyDescent="0.35">
      <c r="H22" t="s">
        <v>921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919</v>
      </c>
      <c r="E26" s="430">
        <f>$J$11</f>
        <v>10</v>
      </c>
      <c r="F26" s="430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920</v>
      </c>
      <c r="E29" s="430">
        <f>$J$11</f>
        <v>10</v>
      </c>
      <c r="F29" s="430">
        <f>E29</f>
        <v>10</v>
      </c>
      <c r="H29" t="str">
        <f>D26</f>
        <v>X-Achse:</v>
      </c>
    </row>
    <row r="30" spans="4:10" x14ac:dyDescent="0.35">
      <c r="E30" s="430">
        <f>MIN($J$12:$AX$13)</f>
        <v>-5</v>
      </c>
      <c r="F30" s="430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topLeftCell="A10" zoomScale="70" zoomScaleNormal="70" workbookViewId="0">
      <selection activeCell="H17" sqref="H17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327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-209.99999999999997</v>
      </c>
      <c r="W3" s="74">
        <f>MAX(K14:L20)</f>
        <v>363.73066958946424</v>
      </c>
      <c r="Y3" s="5" t="s">
        <v>232</v>
      </c>
      <c r="Z3" s="5">
        <v>0</v>
      </c>
      <c r="AA3" s="5">
        <f>W5</f>
        <v>400.10373654841072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209.99999999999997</v>
      </c>
      <c r="W4" s="5">
        <f>ABS(W3)</f>
        <v>363.73066958946424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400.10373654841072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363.73066958946424</v>
      </c>
      <c r="W5" s="5">
        <f>V5*1.1</f>
        <v>400.10373654841072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1" t="s">
        <v>216</v>
      </c>
      <c r="D12" s="451"/>
      <c r="E12" s="451"/>
      <c r="F12" s="451"/>
      <c r="G12" s="451"/>
      <c r="H12" s="56"/>
      <c r="I12" s="451" t="s">
        <v>217</v>
      </c>
      <c r="J12" s="451"/>
      <c r="K12" s="451" t="s">
        <v>212</v>
      </c>
      <c r="L12" s="451"/>
      <c r="M12" s="451" t="s">
        <v>218</v>
      </c>
      <c r="N12" s="451"/>
      <c r="O12" s="451"/>
      <c r="P12" s="450" t="s">
        <v>229</v>
      </c>
      <c r="Q12" s="450"/>
      <c r="R12" s="450"/>
      <c r="S12" s="450"/>
      <c r="T12" s="450" t="s">
        <v>261</v>
      </c>
      <c r="U12" s="450"/>
      <c r="V12" s="450"/>
      <c r="W12" s="450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420</v>
      </c>
      <c r="E14" s="92" t="s">
        <v>205</v>
      </c>
      <c r="F14" s="4">
        <v>-30</v>
      </c>
      <c r="G14" s="4" t="s">
        <v>201</v>
      </c>
      <c r="H14" s="103"/>
      <c r="I14" s="5" t="str">
        <f>IF(AND(E14=$S$5,G14=$S$5),$T$3,IF(AND(E14=$S$5,G14=$S$4),$T$4,IF(AND(E14=$S$5,G14=$S$3),$T$5,$T$6)))</f>
        <v>Polar [°]</v>
      </c>
      <c r="J14" s="74">
        <f>IF(I14=$T$5,F14*PI()/180,IF(I14=$T$4,F14,""))</f>
        <v>-0.52359877559829882</v>
      </c>
      <c r="K14" s="101">
        <f>IF(I14=$T$3,D14,D14*COS(J14))</f>
        <v>363.73066958946424</v>
      </c>
      <c r="L14" s="101">
        <f>IF(I14=$T$3,F14,D14*SIN(J14))</f>
        <v>-209.99999999999997</v>
      </c>
      <c r="M14" s="102">
        <f>SQRT(K14^2 + L14^2)</f>
        <v>420</v>
      </c>
      <c r="N14" s="102">
        <f>DEGREES(ATAN2(K14,L14))</f>
        <v>-29.999999999999996</v>
      </c>
      <c r="O14" s="102">
        <f>ATAN2(K14,L14)</f>
        <v>-0.52359877559829882</v>
      </c>
      <c r="P14" s="74">
        <v>0</v>
      </c>
      <c r="Q14" s="74">
        <f>K14</f>
        <v>363.73066958946424</v>
      </c>
      <c r="R14" s="74">
        <v>0</v>
      </c>
      <c r="S14" s="74">
        <f>L14</f>
        <v>-209.99999999999997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150</v>
      </c>
      <c r="E15" s="92" t="s">
        <v>205</v>
      </c>
      <c r="F15" s="4">
        <v>4</v>
      </c>
      <c r="G15" s="4" t="s">
        <v>202</v>
      </c>
      <c r="H15" s="104" t="s">
        <v>235</v>
      </c>
      <c r="I15" s="5" t="str">
        <f t="shared" ref="I15:I20" si="0">IF(AND(E15=$S$5,G15=$S$5),$T$3,IF(AND(E15=$S$5,G15=$S$4),$T$4,IF(AND(E15=$S$5,G15=$S$3),$T$5,$T$6)))</f>
        <v>Polar [rad]</v>
      </c>
      <c r="J15" s="74">
        <f t="shared" ref="J15:J20" si="1">IF(I15=$T$5,F15*PI()/180,IF(I15=$T$4,F15,""))</f>
        <v>4</v>
      </c>
      <c r="K15" s="101">
        <f t="shared" ref="K15:K20" si="2">IF(I15=$T$3,D15,D15*COS(J15))</f>
        <v>-98.046543129541789</v>
      </c>
      <c r="L15" s="101">
        <f t="shared" ref="L15:L20" si="3">IF(I15=$T$3,F15,D15*SIN(J15))</f>
        <v>-113.52037429618923</v>
      </c>
      <c r="M15" s="102">
        <f t="shared" ref="M15:M20" si="4">SQRT(K15^2 + L15^2)</f>
        <v>150</v>
      </c>
      <c r="N15" s="102">
        <f t="shared" ref="N15:N20" si="5">DEGREES(ATAN2(K15,L15))</f>
        <v>-130.81688194767071</v>
      </c>
      <c r="O15" s="102">
        <f t="shared" ref="O15:O20" si="6">ATAN2(K15,L15)</f>
        <v>-2.2831853071795862</v>
      </c>
      <c r="P15" s="74">
        <f t="shared" ref="P15:P20" si="7">IF(H15=$R$6,0,IF(H15=$R$3,Q14,0))</f>
        <v>363.73066958946424</v>
      </c>
      <c r="Q15" s="74">
        <f t="shared" ref="Q15:Q20" si="8">IF(H15=$R$6,0,IF(H15=$R$3,K15+Q14,K15))</f>
        <v>265.68412645992248</v>
      </c>
      <c r="R15" s="74">
        <f t="shared" ref="R15:R20" si="9">IF(H15=$R$6,0,IF(H15=$R$3,S14,0))</f>
        <v>-209.99999999999997</v>
      </c>
      <c r="S15" s="74">
        <f t="shared" ref="S15:S20" si="10">IF(H15=$R$6,0,IF(H15=$R$3,S14+L15,L15))</f>
        <v>-323.52037429618917</v>
      </c>
      <c r="T15" s="74">
        <v>0</v>
      </c>
      <c r="U15" s="74">
        <v>0</v>
      </c>
      <c r="V15" s="74">
        <f t="shared" ref="V15:V20" si="11">IF(P15&lt;&gt;0,Q15,0)</f>
        <v>265.68412645992248</v>
      </c>
      <c r="W15" s="74">
        <f t="shared" ref="W15:W20" si="12">IF(R15&lt;&gt;0,S15,0)</f>
        <v>-323.52037429618917</v>
      </c>
    </row>
    <row r="16" spans="3:29" x14ac:dyDescent="0.35">
      <c r="C16" s="4" t="s">
        <v>220</v>
      </c>
      <c r="D16" s="4">
        <v>200</v>
      </c>
      <c r="E16" s="92" t="s">
        <v>205</v>
      </c>
      <c r="F16" s="4">
        <v>3.1415000000000002</v>
      </c>
      <c r="G16" s="4" t="s">
        <v>202</v>
      </c>
      <c r="H16" s="104" t="s">
        <v>235</v>
      </c>
      <c r="I16" s="5" t="str">
        <f t="shared" si="0"/>
        <v>Polar [rad]</v>
      </c>
      <c r="J16" s="74">
        <f t="shared" si="1"/>
        <v>3.1415000000000002</v>
      </c>
      <c r="K16" s="101">
        <f t="shared" si="2"/>
        <v>-199.99999914153125</v>
      </c>
      <c r="L16" s="101">
        <f t="shared" si="3"/>
        <v>1.8530717932098061E-2</v>
      </c>
      <c r="M16" s="102">
        <f t="shared" si="4"/>
        <v>200.00000000000003</v>
      </c>
      <c r="N16" s="102">
        <f t="shared" si="5"/>
        <v>179.99469134034814</v>
      </c>
      <c r="O16" s="102">
        <f t="shared" si="6"/>
        <v>3.1415000000000002</v>
      </c>
      <c r="P16" s="74">
        <f t="shared" si="7"/>
        <v>265.68412645992248</v>
      </c>
      <c r="Q16" s="74">
        <f t="shared" si="8"/>
        <v>65.684127318391234</v>
      </c>
      <c r="R16" s="74">
        <f t="shared" si="9"/>
        <v>-323.52037429618917</v>
      </c>
      <c r="S16" s="74">
        <f t="shared" si="10"/>
        <v>-323.50184357825708</v>
      </c>
      <c r="T16" s="74">
        <v>0</v>
      </c>
      <c r="U16" s="74">
        <v>0</v>
      </c>
      <c r="V16" s="74">
        <f t="shared" si="11"/>
        <v>65.684127318391234</v>
      </c>
      <c r="W16" s="74">
        <f t="shared" si="12"/>
        <v>-323.50184357825708</v>
      </c>
    </row>
    <row r="17" spans="3:23" x14ac:dyDescent="0.35">
      <c r="C17" s="4" t="s">
        <v>221</v>
      </c>
      <c r="D17" s="4">
        <v>0</v>
      </c>
      <c r="E17" s="92" t="s">
        <v>205</v>
      </c>
      <c r="F17" s="4">
        <v>100</v>
      </c>
      <c r="G17" s="4" t="s">
        <v>205</v>
      </c>
      <c r="H17" s="104" t="s">
        <v>235</v>
      </c>
      <c r="I17" s="5" t="str">
        <f t="shared" si="0"/>
        <v>Kartesisch</v>
      </c>
      <c r="J17" s="74" t="str">
        <f t="shared" si="1"/>
        <v/>
      </c>
      <c r="K17" s="101">
        <f t="shared" si="2"/>
        <v>0</v>
      </c>
      <c r="L17" s="101">
        <f t="shared" si="3"/>
        <v>100</v>
      </c>
      <c r="M17" s="102">
        <f t="shared" si="4"/>
        <v>100</v>
      </c>
      <c r="N17" s="102">
        <f t="shared" si="5"/>
        <v>90</v>
      </c>
      <c r="O17" s="102">
        <f t="shared" si="6"/>
        <v>1.5707963267948966</v>
      </c>
      <c r="P17" s="74">
        <f t="shared" si="7"/>
        <v>65.684127318391234</v>
      </c>
      <c r="Q17" s="74">
        <f t="shared" si="8"/>
        <v>65.684127318391234</v>
      </c>
      <c r="R17" s="74">
        <f t="shared" si="9"/>
        <v>-323.50184357825708</v>
      </c>
      <c r="S17" s="74">
        <f t="shared" si="10"/>
        <v>-223.50184357825708</v>
      </c>
      <c r="T17" s="74">
        <v>0</v>
      </c>
      <c r="U17" s="74">
        <v>0</v>
      </c>
      <c r="V17" s="74">
        <f t="shared" si="11"/>
        <v>65.684127318391234</v>
      </c>
      <c r="W17" s="74">
        <f t="shared" si="12"/>
        <v>-223.50184357825708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>
      <selection activeCell="D7" sqref="D7"/>
    </sheetView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841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409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326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4</v>
      </c>
      <c r="D7" s="5" t="str">
        <f>M7</f>
        <v>rad</v>
      </c>
      <c r="E7" s="207" t="s">
        <v>326</v>
      </c>
      <c r="F7" s="212">
        <f>180*C7/PI()</f>
        <v>229.18311805232929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326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2" t="s">
        <v>413</v>
      </c>
      <c r="C13" s="454"/>
      <c r="D13" s="454"/>
      <c r="E13" s="454"/>
      <c r="F13" s="454"/>
      <c r="G13" s="454"/>
      <c r="H13" s="454"/>
      <c r="I13" s="454"/>
      <c r="L13" s="452" t="s">
        <v>414</v>
      </c>
      <c r="M13" s="453"/>
      <c r="N13" s="453"/>
      <c r="O13" s="453"/>
      <c r="Q13" s="452" t="s">
        <v>230</v>
      </c>
      <c r="R13" s="453"/>
      <c r="S13" s="453"/>
      <c r="T13" s="453"/>
      <c r="U13" s="453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410</v>
      </c>
      <c r="F14" s="213" t="s">
        <v>91</v>
      </c>
      <c r="G14" s="213" t="s">
        <v>410</v>
      </c>
      <c r="H14" s="213" t="s">
        <v>411</v>
      </c>
      <c r="I14" s="213" t="s">
        <v>412</v>
      </c>
      <c r="L14" s="219" t="s">
        <v>418</v>
      </c>
      <c r="M14" s="219" t="s">
        <v>419</v>
      </c>
      <c r="N14" s="219" t="s">
        <v>420</v>
      </c>
      <c r="O14" s="219" t="s">
        <v>421</v>
      </c>
      <c r="P14" s="217"/>
      <c r="Q14" s="223" t="s">
        <v>415</v>
      </c>
      <c r="R14" s="219"/>
      <c r="S14" s="219"/>
      <c r="T14" s="219"/>
      <c r="U14" s="219"/>
    </row>
    <row r="15" spans="2:21" x14ac:dyDescent="0.35">
      <c r="B15" s="215" t="s">
        <v>416</v>
      </c>
      <c r="C15" s="211">
        <v>3</v>
      </c>
      <c r="D15" s="75">
        <v>90</v>
      </c>
      <c r="E15" s="75" t="s">
        <v>201</v>
      </c>
      <c r="F15" s="212">
        <f>IF(E15=M7,D15,IF(D8=M6,D15*PI()/180,"Unknown"))</f>
        <v>1.5707963267948966</v>
      </c>
      <c r="G15" s="74" t="str">
        <f>M7</f>
        <v>rad</v>
      </c>
      <c r="H15" s="212">
        <f>C15*COS(F15)</f>
        <v>1.83772268236293E-16</v>
      </c>
      <c r="I15" s="212">
        <f>C15*SIN(F15)</f>
        <v>3</v>
      </c>
      <c r="L15" s="220">
        <v>0</v>
      </c>
      <c r="M15" s="220">
        <f>H15</f>
        <v>1.83772268236293E-16</v>
      </c>
      <c r="N15" s="220">
        <v>0</v>
      </c>
      <c r="O15" s="220">
        <f>I15</f>
        <v>3</v>
      </c>
      <c r="P15" s="221"/>
      <c r="Q15" s="222">
        <f>MAX(ABS(O15),ABS(M16),ABS(O16),ABS(M15),ABS(M17),ABS(O17))</f>
        <v>8</v>
      </c>
      <c r="R15" s="220">
        <f>Q16</f>
        <v>8.8000000000000007</v>
      </c>
      <c r="S15" s="220">
        <v>0</v>
      </c>
      <c r="T15" s="220">
        <f>-R15</f>
        <v>-8.8000000000000007</v>
      </c>
      <c r="U15" s="220">
        <v>0</v>
      </c>
    </row>
    <row r="16" spans="2:21" x14ac:dyDescent="0.35">
      <c r="B16" s="216" t="s">
        <v>417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8.8000000000000007</v>
      </c>
      <c r="R16" s="220">
        <v>0</v>
      </c>
      <c r="S16" s="220">
        <f>R15</f>
        <v>8.8000000000000007</v>
      </c>
      <c r="T16" s="220">
        <v>0</v>
      </c>
      <c r="U16" s="220">
        <f>T15</f>
        <v>-8.8000000000000007</v>
      </c>
    </row>
    <row r="17" spans="2:54" ht="16.5" x14ac:dyDescent="0.45">
      <c r="B17" s="224" t="s">
        <v>428</v>
      </c>
      <c r="C17" s="212">
        <f>SQRT(H17^2+I17^2)</f>
        <v>8.9442719099991592</v>
      </c>
      <c r="D17" s="212">
        <f>F17*180/PI()</f>
        <v>116.56505117707799</v>
      </c>
      <c r="E17" s="74" t="str">
        <f>E16</f>
        <v>°</v>
      </c>
      <c r="F17" s="212">
        <f>ATAN2(H17,I17)</f>
        <v>2.0344439357957027</v>
      </c>
      <c r="G17" s="74" t="str">
        <f>G16</f>
        <v>rad</v>
      </c>
      <c r="H17" s="212">
        <f>H16+H15</f>
        <v>-4</v>
      </c>
      <c r="I17" s="212">
        <f>I16+I15</f>
        <v>8</v>
      </c>
      <c r="L17" s="220">
        <v>0</v>
      </c>
      <c r="M17" s="220">
        <f>H17</f>
        <v>-4</v>
      </c>
      <c r="N17" s="220">
        <v>0</v>
      </c>
      <c r="O17" s="220">
        <f>I17</f>
        <v>8</v>
      </c>
    </row>
    <row r="18" spans="2:54" ht="16.5" x14ac:dyDescent="0.45">
      <c r="B18" s="8" t="s">
        <v>429</v>
      </c>
      <c r="C18" s="77">
        <f>C16*C15</f>
        <v>19.209372712298546</v>
      </c>
      <c r="D18" s="212">
        <f>D16+D15</f>
        <v>218.65980825409008</v>
      </c>
      <c r="E18" s="74" t="str">
        <f>E17</f>
        <v>°</v>
      </c>
      <c r="F18" s="212">
        <f>F15+F16</f>
        <v>3.8163335958133455</v>
      </c>
      <c r="G18" s="74" t="str">
        <f>G17</f>
        <v>rad</v>
      </c>
      <c r="H18" s="212">
        <f>C18*COS(F18)</f>
        <v>-15.000000000000005</v>
      </c>
      <c r="I18" s="212">
        <f>C18*SIN(F18)</f>
        <v>-11.999999999999995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416</v>
      </c>
      <c r="M23" s="218">
        <f>$C$15*SIN(M22+$F$15)</f>
        <v>3</v>
      </c>
      <c r="N23" s="218">
        <f t="shared" ref="N23:AW23" si="2">$C$15*SIN(N22+$F$15)</f>
        <v>2.9544232590366239</v>
      </c>
      <c r="O23" s="218">
        <f t="shared" si="2"/>
        <v>2.8190778623577253</v>
      </c>
      <c r="P23" s="218">
        <f t="shared" si="2"/>
        <v>2.598076211353316</v>
      </c>
      <c r="Q23" s="218">
        <f t="shared" si="2"/>
        <v>2.2981333293569342</v>
      </c>
      <c r="R23" s="218">
        <f t="shared" si="2"/>
        <v>1.9283628290596184</v>
      </c>
      <c r="S23" s="218">
        <f t="shared" si="2"/>
        <v>1.5000000000000009</v>
      </c>
      <c r="T23" s="218">
        <f t="shared" si="2"/>
        <v>1.0260604299770066</v>
      </c>
      <c r="U23" s="218">
        <f t="shared" si="2"/>
        <v>0.5209445330007908</v>
      </c>
      <c r="V23" s="218">
        <f t="shared" si="2"/>
        <v>3.67544536472586E-16</v>
      </c>
      <c r="W23" s="218">
        <f t="shared" si="2"/>
        <v>-0.52094453300079002</v>
      </c>
      <c r="X23" s="218">
        <f t="shared" si="2"/>
        <v>-1.026060429977006</v>
      </c>
      <c r="Y23" s="218">
        <f t="shared" si="2"/>
        <v>-1.4999999999999991</v>
      </c>
      <c r="Z23" s="218">
        <f t="shared" si="2"/>
        <v>-1.9283628290596178</v>
      </c>
      <c r="AA23" s="218">
        <f t="shared" si="2"/>
        <v>-2.2981333293569337</v>
      </c>
      <c r="AB23" s="218">
        <f t="shared" si="2"/>
        <v>-2.5980762113533165</v>
      </c>
      <c r="AC23" s="218">
        <f t="shared" si="2"/>
        <v>-2.8190778623577253</v>
      </c>
      <c r="AD23" s="218">
        <f t="shared" si="2"/>
        <v>-2.9544232590366239</v>
      </c>
      <c r="AE23" s="218">
        <f t="shared" si="2"/>
        <v>-3</v>
      </c>
      <c r="AF23" s="218">
        <f t="shared" si="2"/>
        <v>-2.9544232590366244</v>
      </c>
      <c r="AG23" s="218">
        <f t="shared" si="2"/>
        <v>-2.8190778623577257</v>
      </c>
      <c r="AH23" s="218">
        <f t="shared" si="2"/>
        <v>-2.598076211353316</v>
      </c>
      <c r="AI23" s="218">
        <f t="shared" si="2"/>
        <v>-2.2981333293569346</v>
      </c>
      <c r="AJ23" s="218">
        <f t="shared" si="2"/>
        <v>-1.9283628290596186</v>
      </c>
      <c r="AK23" s="218">
        <f t="shared" si="2"/>
        <v>-1.5000000000000013</v>
      </c>
      <c r="AL23" s="218">
        <f t="shared" si="2"/>
        <v>-1.0260604299770084</v>
      </c>
      <c r="AM23" s="218">
        <f t="shared" si="2"/>
        <v>-0.52094453300079113</v>
      </c>
      <c r="AN23" s="218">
        <f t="shared" si="2"/>
        <v>-7.3508907294517201E-16</v>
      </c>
      <c r="AO23" s="218">
        <f t="shared" si="2"/>
        <v>0.5209445330007898</v>
      </c>
      <c r="AP23" s="218">
        <f t="shared" si="2"/>
        <v>1.0260604299770044</v>
      </c>
      <c r="AQ23" s="218">
        <f t="shared" si="2"/>
        <v>1.5</v>
      </c>
      <c r="AR23" s="218">
        <f t="shared" si="2"/>
        <v>1.9283628290596173</v>
      </c>
      <c r="AS23" s="218">
        <f t="shared" si="2"/>
        <v>2.2981333293569333</v>
      </c>
      <c r="AT23" s="218">
        <f t="shared" si="2"/>
        <v>2.5980762113533151</v>
      </c>
      <c r="AU23" s="218">
        <f t="shared" si="2"/>
        <v>2.8190778623577253</v>
      </c>
      <c r="AV23" s="218">
        <f t="shared" si="2"/>
        <v>2.9544232590366235</v>
      </c>
      <c r="AW23" s="218">
        <f t="shared" si="2"/>
        <v>3</v>
      </c>
    </row>
    <row r="24" spans="2:54" ht="16" customHeight="1" x14ac:dyDescent="0.35">
      <c r="L24" s="216" t="s">
        <v>417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428</v>
      </c>
      <c r="M25" s="218">
        <f>M23+M24</f>
        <v>8</v>
      </c>
      <c r="N25" s="218">
        <f t="shared" ref="N25:AW25" si="4">N23+N24</f>
        <v>7.1838693134299447</v>
      </c>
      <c r="O25" s="218">
        <f t="shared" si="4"/>
        <v>6.1494603929845937</v>
      </c>
      <c r="P25" s="218">
        <f t="shared" si="4"/>
        <v>4.9282032302755123</v>
      </c>
      <c r="Q25" s="218">
        <f t="shared" si="4"/>
        <v>3.5572051062056684</v>
      </c>
      <c r="R25" s="218">
        <f t="shared" si="4"/>
        <v>2.078123105016406</v>
      </c>
      <c r="S25" s="218">
        <f t="shared" si="4"/>
        <v>0.53589838486225039</v>
      </c>
      <c r="T25" s="218">
        <f t="shared" si="4"/>
        <v>-1.0226093365382809</v>
      </c>
      <c r="U25" s="218">
        <f t="shared" si="4"/>
        <v>-2.5500455907133888</v>
      </c>
      <c r="V25" s="218">
        <f t="shared" si="4"/>
        <v>-3.9999999999999973</v>
      </c>
      <c r="W25" s="218">
        <f t="shared" si="4"/>
        <v>-5.3284164333842723</v>
      </c>
      <c r="X25" s="218">
        <f t="shared" si="4"/>
        <v>-6.4949316297489803</v>
      </c>
      <c r="Y25" s="218">
        <f t="shared" si="4"/>
        <v>-7.4641016151377508</v>
      </c>
      <c r="Z25" s="218">
        <f t="shared" si="4"/>
        <v>-8.2064786499682256</v>
      </c>
      <c r="AA25" s="218">
        <f t="shared" si="4"/>
        <v>-8.699505983697982</v>
      </c>
      <c r="AB25" s="218">
        <f t="shared" si="4"/>
        <v>-8.9282032302755088</v>
      </c>
      <c r="AC25" s="218">
        <f t="shared" si="4"/>
        <v>-8.8856215395899429</v>
      </c>
      <c r="AD25" s="218">
        <f t="shared" si="4"/>
        <v>-8.5730547347653872</v>
      </c>
      <c r="AE25" s="218">
        <f t="shared" si="4"/>
        <v>-8.0000000000000018</v>
      </c>
      <c r="AF25" s="218">
        <f t="shared" si="4"/>
        <v>-7.1838693134299465</v>
      </c>
      <c r="AG25" s="218">
        <f t="shared" si="4"/>
        <v>-6.1494603929845972</v>
      </c>
      <c r="AH25" s="218">
        <f t="shared" si="4"/>
        <v>-4.9282032302755105</v>
      </c>
      <c r="AI25" s="218">
        <f t="shared" si="4"/>
        <v>-3.5572051062056698</v>
      </c>
      <c r="AJ25" s="218">
        <f t="shared" si="4"/>
        <v>-2.0781231050164068</v>
      </c>
      <c r="AK25" s="218">
        <f t="shared" si="4"/>
        <v>-0.53589838486225172</v>
      </c>
      <c r="AL25" s="218">
        <f t="shared" si="4"/>
        <v>1.0226093365382756</v>
      </c>
      <c r="AM25" s="218">
        <f t="shared" si="4"/>
        <v>2.5500455907133879</v>
      </c>
      <c r="AN25" s="218">
        <f t="shared" si="4"/>
        <v>3.9999999999999964</v>
      </c>
      <c r="AO25" s="218">
        <f t="shared" si="4"/>
        <v>5.3284164333842714</v>
      </c>
      <c r="AP25" s="218">
        <f t="shared" si="4"/>
        <v>6.4949316297489785</v>
      </c>
      <c r="AQ25" s="218">
        <f t="shared" si="4"/>
        <v>7.4641016151377544</v>
      </c>
      <c r="AR25" s="218">
        <f t="shared" si="4"/>
        <v>8.2064786499682256</v>
      </c>
      <c r="AS25" s="218">
        <f t="shared" si="4"/>
        <v>8.6995059836979802</v>
      </c>
      <c r="AT25" s="218">
        <f t="shared" si="4"/>
        <v>8.928203230275507</v>
      </c>
      <c r="AU25" s="218">
        <f t="shared" si="4"/>
        <v>8.8856215395899429</v>
      </c>
      <c r="AV25" s="218">
        <f t="shared" si="4"/>
        <v>8.5730547347653854</v>
      </c>
      <c r="AW25" s="218">
        <f t="shared" si="4"/>
        <v>8.0000000000000036</v>
      </c>
    </row>
    <row r="26" spans="2:54" ht="16" customHeight="1" x14ac:dyDescent="0.35"/>
    <row r="44" spans="2:4" x14ac:dyDescent="0.35">
      <c r="B44" s="2" t="s">
        <v>422</v>
      </c>
      <c r="C44" s="2"/>
      <c r="D44" t="s">
        <v>423</v>
      </c>
    </row>
    <row r="45" spans="2:4" x14ac:dyDescent="0.35">
      <c r="B45" s="3" t="s">
        <v>424</v>
      </c>
      <c r="C45" s="3"/>
      <c r="D45" t="s">
        <v>427</v>
      </c>
    </row>
    <row r="46" spans="2:4" x14ac:dyDescent="0.35">
      <c r="B46" t="s">
        <v>425</v>
      </c>
      <c r="D46" t="s">
        <v>426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46184.496040162034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86" t="s">
        <v>836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82" t="s">
        <v>833</v>
      </c>
      <c r="J24" s="383" t="str">
        <f>IF($I$24=$R$24,"s [km]","s [m]")</f>
        <v>s [km]</v>
      </c>
      <c r="K24" s="383" t="str">
        <f>IF($I$24=$R$24,"v [km/h]","v [m/s]")</f>
        <v>v [km/h]</v>
      </c>
      <c r="L24" s="383" t="str">
        <f>IF($I$24=$R$24,"t [h]","t [s]")</f>
        <v>t [h]</v>
      </c>
      <c r="M24" s="383" t="str">
        <f>IF($I$24=$R$24,"s0 [km]","s0 [m]")</f>
        <v>s0 [km]</v>
      </c>
      <c r="R24" t="s">
        <v>833</v>
      </c>
    </row>
    <row r="25" spans="2:41" ht="21" x14ac:dyDescent="0.5">
      <c r="B25" s="245"/>
      <c r="H25" s="385" t="s">
        <v>830</v>
      </c>
      <c r="I25" s="384" t="s">
        <v>826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834</v>
      </c>
    </row>
    <row r="26" spans="2:41" ht="21" x14ac:dyDescent="0.5">
      <c r="B26" s="245"/>
      <c r="H26" s="385" t="s">
        <v>831</v>
      </c>
      <c r="I26" s="384" t="s">
        <v>827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85" t="s">
        <v>832</v>
      </c>
      <c r="I27" s="384" t="s">
        <v>828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85" t="s">
        <v>835</v>
      </c>
      <c r="I28" s="384" t="s">
        <v>829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86" t="s">
        <v>843</v>
      </c>
      <c r="D2" s="386"/>
    </row>
    <row r="4" spans="2:26" x14ac:dyDescent="0.35">
      <c r="J4" t="s">
        <v>641</v>
      </c>
    </row>
    <row r="5" spans="2:26" x14ac:dyDescent="0.35">
      <c r="J5" t="s">
        <v>867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867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639</v>
      </c>
      <c r="C12" s="337" t="s">
        <v>868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869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638</v>
      </c>
      <c r="C14" s="337" t="s">
        <v>870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871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644</v>
      </c>
      <c r="C38" s="92"/>
      <c r="D38" s="92"/>
      <c r="E38" s="92"/>
      <c r="G38" t="s">
        <v>645</v>
      </c>
    </row>
    <row r="39" spans="2:9" ht="16.5" x14ac:dyDescent="0.45">
      <c r="B39" s="8" t="s">
        <v>640</v>
      </c>
      <c r="C39" s="5">
        <f>(E15-E13)/(E12-E14)</f>
        <v>13.837633945532412</v>
      </c>
      <c r="D39" s="5"/>
      <c r="E39" s="5" t="s">
        <v>641</v>
      </c>
      <c r="F39" s="340"/>
      <c r="G39" t="s">
        <v>646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642</v>
      </c>
      <c r="C42" s="5">
        <f>E12*C39+E13</f>
        <v>143.91139303353708</v>
      </c>
      <c r="D42" s="5"/>
      <c r="E42" s="5" t="s">
        <v>643</v>
      </c>
      <c r="G42" t="s">
        <v>647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642</v>
      </c>
      <c r="C43" s="5">
        <f>E14*C39+E15</f>
        <v>143.91139303353708</v>
      </c>
      <c r="D43" s="5"/>
      <c r="E43" s="5" t="s">
        <v>643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55" t="s">
        <v>886</v>
      </c>
      <c r="D3" s="455" t="s">
        <v>663</v>
      </c>
      <c r="E3" s="410">
        <v>4</v>
      </c>
      <c r="F3" s="410" t="s">
        <v>867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55" t="s">
        <v>21</v>
      </c>
      <c r="D4" s="455"/>
      <c r="E4" s="410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55" t="s">
        <v>22</v>
      </c>
      <c r="D5" s="455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55" t="s">
        <v>872</v>
      </c>
      <c r="D6" s="455"/>
      <c r="E6" s="410">
        <v>50</v>
      </c>
      <c r="F6" s="410" t="s">
        <v>852</v>
      </c>
      <c r="G6" s="77">
        <f>IF(F6=H6,E6,E6*1000)</f>
        <v>50</v>
      </c>
      <c r="H6" s="5" t="str">
        <f>O6</f>
        <v>[m]</v>
      </c>
      <c r="N6" t="s">
        <v>887</v>
      </c>
      <c r="O6" t="s">
        <v>852</v>
      </c>
      <c r="P6" t="s">
        <v>867</v>
      </c>
    </row>
    <row r="7" spans="2:28" ht="15.65" customHeight="1" x14ac:dyDescent="0.35">
      <c r="N7" t="s">
        <v>23</v>
      </c>
      <c r="O7" t="s">
        <v>643</v>
      </c>
      <c r="P7" t="s">
        <v>888</v>
      </c>
    </row>
    <row r="8" spans="2:28" ht="15.65" customHeight="1" x14ac:dyDescent="0.35">
      <c r="P8" t="s">
        <v>641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56" t="s">
        <v>884</v>
      </c>
      <c r="D11" s="449"/>
      <c r="E11" s="408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883</v>
      </c>
    </row>
    <row r="12" spans="2:28" ht="22.5" customHeight="1" x14ac:dyDescent="0.65">
      <c r="C12" s="456" t="s">
        <v>885</v>
      </c>
      <c r="D12" s="449"/>
      <c r="E12" s="408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643</v>
      </c>
      <c r="N12" t="s">
        <v>882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09"/>
    </row>
    <row r="18" spans="3:27" ht="15.65" customHeight="1" x14ac:dyDescent="0.35">
      <c r="C18" s="458" t="s">
        <v>1</v>
      </c>
      <c r="D18" s="459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57" t="s">
        <v>19</v>
      </c>
      <c r="D19" s="457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49" t="s">
        <v>24</v>
      </c>
      <c r="D20" s="449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49" t="s">
        <v>873</v>
      </c>
      <c r="D21" s="449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21:D21"/>
    <mergeCell ref="C18:D18"/>
    <mergeCell ref="C4:D4"/>
    <mergeCell ref="C5:D5"/>
    <mergeCell ref="C6:D6"/>
    <mergeCell ref="C3:D3"/>
    <mergeCell ref="C11:D11"/>
    <mergeCell ref="C12:D12"/>
    <mergeCell ref="C19:D19"/>
    <mergeCell ref="C20:D20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5" zoomScale="115" zoomScaleNormal="11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1" t="str">
        <f>$O$8</f>
        <v>Anfangs-Geschwindigkeit</v>
      </c>
      <c r="D6" s="472"/>
      <c r="E6" s="475" t="str">
        <f>$O$9</f>
        <v>Geschwindigkeit</v>
      </c>
      <c r="F6" s="472"/>
      <c r="G6" s="475" t="str">
        <f>$O$10</f>
        <v>Strecke</v>
      </c>
      <c r="H6" s="472"/>
      <c r="I6" s="475" t="str">
        <f>$O$11</f>
        <v>Zeit</v>
      </c>
      <c r="J6" s="472"/>
      <c r="K6" s="475" t="str">
        <f>$O$12</f>
        <v>Beschleunigung</v>
      </c>
      <c r="L6" s="476"/>
    </row>
    <row r="7" spans="1:19" ht="15" thickBot="1" x14ac:dyDescent="0.4">
      <c r="B7" s="13" t="s">
        <v>37</v>
      </c>
      <c r="C7" s="473" t="str">
        <f>$P$8</f>
        <v>v0 [m/s]</v>
      </c>
      <c r="D7" s="474"/>
      <c r="E7" s="477" t="str">
        <f>$P$9</f>
        <v>v [m/s]</v>
      </c>
      <c r="F7" s="474"/>
      <c r="G7" s="477" t="str">
        <f>$P$10</f>
        <v>s [m]</v>
      </c>
      <c r="H7" s="474"/>
      <c r="I7" s="477" t="str">
        <f>$P$11</f>
        <v>t [s]</v>
      </c>
      <c r="J7" s="474"/>
      <c r="K7" s="477" t="str">
        <f>$P$12</f>
        <v>a [m/s2]</v>
      </c>
      <c r="L7" s="478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65">
        <v>119</v>
      </c>
      <c r="H8" s="466"/>
      <c r="I8" s="465">
        <v>7</v>
      </c>
      <c r="J8" s="466"/>
      <c r="K8" s="465">
        <v>2</v>
      </c>
      <c r="L8" s="470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62">
        <v>24</v>
      </c>
      <c r="F9" s="463"/>
      <c r="G9" s="16" t="s">
        <v>75</v>
      </c>
      <c r="H9" s="16">
        <f>E9*I9 - K9*I9^2/2</f>
        <v>119</v>
      </c>
      <c r="I9" s="462">
        <v>7</v>
      </c>
      <c r="J9" s="463"/>
      <c r="K9" s="462">
        <v>2</v>
      </c>
      <c r="L9" s="468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62">
        <v>24</v>
      </c>
      <c r="F10" s="463"/>
      <c r="G10" s="462">
        <v>119</v>
      </c>
      <c r="H10" s="463"/>
      <c r="I10" s="16" t="s">
        <v>76</v>
      </c>
      <c r="J10" s="16">
        <f>(E10 - SQRT(E10^2 - 2*K10*G10))/K10</f>
        <v>7</v>
      </c>
      <c r="K10" s="462">
        <v>2</v>
      </c>
      <c r="L10" s="468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62">
        <v>24</v>
      </c>
      <c r="F11" s="463"/>
      <c r="G11" s="462">
        <v>119</v>
      </c>
      <c r="H11" s="463"/>
      <c r="I11" s="462">
        <v>7</v>
      </c>
      <c r="J11" s="463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67">
        <v>10</v>
      </c>
      <c r="D12" s="463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62">
        <v>7</v>
      </c>
      <c r="J12" s="463"/>
      <c r="K12" s="462">
        <v>2</v>
      </c>
      <c r="L12" s="468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67">
        <v>10</v>
      </c>
      <c r="D13" s="463"/>
      <c r="E13" s="16" t="s">
        <v>80</v>
      </c>
      <c r="F13" s="16">
        <f>SQRT(C13^2 + 2*K13*G13)</f>
        <v>24</v>
      </c>
      <c r="G13" s="462">
        <v>119</v>
      </c>
      <c r="H13" s="463"/>
      <c r="I13" s="22" t="s">
        <v>55</v>
      </c>
      <c r="J13" s="16">
        <f xml:space="preserve"> (-C13 + SQRT(C13^2 + 2*K13*G13))/K13</f>
        <v>7</v>
      </c>
      <c r="K13" s="460">
        <v>2</v>
      </c>
      <c r="L13" s="468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67">
        <v>10</v>
      </c>
      <c r="D14" s="463"/>
      <c r="E14" s="16" t="s">
        <v>81</v>
      </c>
      <c r="F14" s="16">
        <f>2*G14/I14 - C14</f>
        <v>24</v>
      </c>
      <c r="G14" s="462">
        <v>119</v>
      </c>
      <c r="H14" s="463"/>
      <c r="I14" s="462">
        <v>7</v>
      </c>
      <c r="J14" s="469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67">
        <v>10</v>
      </c>
      <c r="D15" s="463"/>
      <c r="E15" s="462">
        <v>24</v>
      </c>
      <c r="F15" s="463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62">
        <v>2</v>
      </c>
      <c r="L15" s="468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67">
        <v>10</v>
      </c>
      <c r="D16" s="463"/>
      <c r="E16" s="462">
        <v>24</v>
      </c>
      <c r="F16" s="463"/>
      <c r="G16" s="16" t="s">
        <v>83</v>
      </c>
      <c r="H16" s="16">
        <f>(C16+E16)*I16/2</f>
        <v>119</v>
      </c>
      <c r="I16" s="462">
        <v>7</v>
      </c>
      <c r="J16" s="463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64">
        <v>10</v>
      </c>
      <c r="D17" s="461"/>
      <c r="E17" s="460">
        <v>24</v>
      </c>
      <c r="F17" s="461"/>
      <c r="G17" s="460">
        <v>119</v>
      </c>
      <c r="H17" s="461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79" t="str">
        <f>P13</f>
        <v>ω0 [rad/s]</v>
      </c>
      <c r="D18" s="480"/>
      <c r="E18" s="481" t="str">
        <f>P14</f>
        <v>ω [rad/s]</v>
      </c>
      <c r="F18" s="480"/>
      <c r="G18" s="481" t="str">
        <f>P15</f>
        <v>φ [rad]</v>
      </c>
      <c r="H18" s="480"/>
      <c r="I18" s="481" t="str">
        <f>P16</f>
        <v>t [s]</v>
      </c>
      <c r="J18" s="480"/>
      <c r="K18" s="481" t="str">
        <f>P17</f>
        <v>α [rad/s2]</v>
      </c>
      <c r="L18" s="482"/>
    </row>
    <row r="19" spans="1:16" ht="29.15" customHeight="1" thickBot="1" x14ac:dyDescent="0.4">
      <c r="C19" s="483" t="str">
        <f>O13</f>
        <v>Anfangs-Winkelgeschwindigkeit</v>
      </c>
      <c r="D19" s="484"/>
      <c r="E19" s="485" t="str">
        <f>O14</f>
        <v>Winkelgeschwindigkeit</v>
      </c>
      <c r="F19" s="484"/>
      <c r="G19" s="485" t="str">
        <f>O15</f>
        <v>Winkel</v>
      </c>
      <c r="H19" s="484"/>
      <c r="I19" s="485" t="str">
        <f>O16</f>
        <v>Zeit</v>
      </c>
      <c r="J19" s="484"/>
      <c r="K19" s="485" t="str">
        <f>O17</f>
        <v>Winkelbeschleunigung</v>
      </c>
      <c r="L19" s="486"/>
    </row>
  </sheetData>
  <mergeCells count="50"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K8:L8"/>
    <mergeCell ref="K9:L9"/>
    <mergeCell ref="K10:L10"/>
    <mergeCell ref="K12:L12"/>
    <mergeCell ref="K13:L13"/>
    <mergeCell ref="I8:J8"/>
    <mergeCell ref="I9:J9"/>
    <mergeCell ref="I11:J11"/>
    <mergeCell ref="I12:J12"/>
    <mergeCell ref="I14:J14"/>
    <mergeCell ref="E9:F9"/>
    <mergeCell ref="E10:F10"/>
    <mergeCell ref="E11:F11"/>
    <mergeCell ref="E15:F15"/>
    <mergeCell ref="K15:L15"/>
    <mergeCell ref="C12:D12"/>
    <mergeCell ref="C13:D13"/>
    <mergeCell ref="C14:D14"/>
    <mergeCell ref="C15:D15"/>
    <mergeCell ref="C16:D16"/>
    <mergeCell ref="G8:H8"/>
    <mergeCell ref="G10:H10"/>
    <mergeCell ref="G11:H11"/>
    <mergeCell ref="G13:H13"/>
    <mergeCell ref="G14:H14"/>
    <mergeCell ref="G17:H17"/>
    <mergeCell ref="E16:F16"/>
    <mergeCell ref="E17:F17"/>
    <mergeCell ref="C17:D17"/>
    <mergeCell ref="I16:J16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86" t="s">
        <v>844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87"/>
      <c r="I10" s="387"/>
      <c r="J10" s="387"/>
      <c r="K10" s="387"/>
      <c r="L10" s="387"/>
      <c r="M10" s="387"/>
      <c r="N10" s="387"/>
      <c r="O10" s="387"/>
      <c r="P10" s="387"/>
      <c r="Q10" s="387"/>
      <c r="R10" s="387"/>
      <c r="S10" s="387"/>
      <c r="T10" s="387"/>
      <c r="U10" s="387"/>
      <c r="V10" s="387"/>
      <c r="W10" s="387"/>
      <c r="X10" s="387"/>
      <c r="Y10" s="387"/>
      <c r="Z10" s="387"/>
      <c r="AA10" s="387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89" t="s">
        <v>853</v>
      </c>
      <c r="C12" s="5"/>
      <c r="D12" s="337" t="s">
        <v>850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89" t="s">
        <v>854</v>
      </c>
      <c r="C13" s="5"/>
      <c r="D13" s="337" t="s">
        <v>851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635</v>
      </c>
      <c r="D14" s="4">
        <v>36.6</v>
      </c>
      <c r="E14" s="77">
        <f>D14*1000</f>
        <v>36600</v>
      </c>
      <c r="F14" s="77" t="s">
        <v>852</v>
      </c>
      <c r="G14" s="387"/>
      <c r="H14" s="387"/>
      <c r="I14" s="387"/>
      <c r="J14" s="387"/>
      <c r="K14" s="387"/>
      <c r="L14" s="387"/>
      <c r="M14" s="387"/>
      <c r="N14" s="387"/>
      <c r="O14" s="387"/>
      <c r="P14" s="387"/>
      <c r="Q14" s="387"/>
      <c r="R14" s="387"/>
      <c r="S14" s="387"/>
      <c r="T14" s="387"/>
      <c r="U14" s="387"/>
      <c r="V14" s="387"/>
      <c r="W14" s="387"/>
      <c r="X14" s="387"/>
      <c r="Y14" s="387"/>
      <c r="Z14" s="387"/>
      <c r="AA14" s="387"/>
    </row>
    <row r="15" spans="2:27" ht="20.5" x14ac:dyDescent="0.55000000000000004">
      <c r="B15" s="337"/>
      <c r="C15" s="337" t="s">
        <v>846</v>
      </c>
      <c r="D15" s="4">
        <v>30</v>
      </c>
      <c r="E15" s="77">
        <f>D15/3.6</f>
        <v>8.3333333333333339</v>
      </c>
      <c r="F15" s="77" t="s">
        <v>23</v>
      </c>
      <c r="G15" s="387"/>
      <c r="H15" s="387"/>
      <c r="I15" s="387"/>
      <c r="J15" s="387"/>
      <c r="K15" s="387"/>
      <c r="L15" s="387"/>
      <c r="M15" s="387"/>
      <c r="N15" s="387"/>
      <c r="O15" s="387"/>
      <c r="P15" s="387"/>
      <c r="Q15" s="387"/>
      <c r="R15" s="387"/>
      <c r="S15" s="387"/>
      <c r="T15" s="387"/>
      <c r="U15" s="387"/>
      <c r="V15" s="387"/>
      <c r="W15" s="387"/>
      <c r="X15" s="387"/>
      <c r="Y15" s="387"/>
      <c r="Z15" s="387"/>
      <c r="AA15" s="387"/>
    </row>
    <row r="16" spans="2:27" ht="22" x14ac:dyDescent="0.55000000000000004">
      <c r="B16" s="337"/>
      <c r="C16" s="337" t="s">
        <v>845</v>
      </c>
      <c r="D16" s="4">
        <v>2</v>
      </c>
      <c r="E16" s="77">
        <f>D16</f>
        <v>2</v>
      </c>
      <c r="F16" s="77" t="s">
        <v>20</v>
      </c>
      <c r="G16" s="387"/>
      <c r="H16" s="387"/>
      <c r="I16" s="387"/>
      <c r="J16" s="387"/>
      <c r="K16" s="387"/>
      <c r="L16" s="387"/>
      <c r="M16" s="387"/>
      <c r="N16" s="387"/>
      <c r="O16" s="387"/>
      <c r="P16" s="387"/>
      <c r="Q16" s="387"/>
      <c r="R16" s="387"/>
      <c r="S16" s="387"/>
      <c r="T16" s="387"/>
      <c r="U16" s="387"/>
      <c r="V16" s="387"/>
      <c r="W16" s="387"/>
      <c r="X16" s="387"/>
      <c r="Y16" s="387"/>
      <c r="Z16" s="387"/>
      <c r="AA16" s="387"/>
    </row>
    <row r="17" spans="2:27" ht="18.5" x14ac:dyDescent="0.45">
      <c r="B17" s="390"/>
      <c r="C17" s="390"/>
      <c r="D17" s="387"/>
      <c r="E17" s="387"/>
      <c r="F17" s="387"/>
      <c r="G17" s="387"/>
      <c r="H17" s="387"/>
      <c r="I17" s="387"/>
      <c r="J17" s="387"/>
      <c r="K17" s="387"/>
      <c r="L17" s="387"/>
      <c r="M17" s="387"/>
      <c r="N17" s="387"/>
      <c r="O17" s="387"/>
      <c r="P17" s="387"/>
      <c r="Q17" s="387"/>
      <c r="R17" s="387"/>
      <c r="S17" s="387"/>
      <c r="T17" s="387"/>
      <c r="U17" s="387"/>
      <c r="V17" s="387"/>
      <c r="W17" s="387"/>
      <c r="X17" s="387"/>
      <c r="Y17" s="387"/>
      <c r="Z17" s="387"/>
      <c r="AA17" s="387"/>
    </row>
    <row r="18" spans="2:27" ht="30" x14ac:dyDescent="0.8">
      <c r="B18" s="388" t="s">
        <v>847</v>
      </c>
      <c r="C18" s="337" t="s">
        <v>636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637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848</v>
      </c>
      <c r="D20" s="4"/>
      <c r="E20" s="4"/>
      <c r="F20" s="4"/>
      <c r="G20" s="387"/>
      <c r="H20" s="387"/>
      <c r="I20" s="387"/>
      <c r="J20" s="387"/>
      <c r="K20" s="387"/>
      <c r="L20" s="387"/>
      <c r="M20" s="387"/>
      <c r="N20" s="387"/>
      <c r="O20" s="387"/>
      <c r="P20" s="387"/>
      <c r="Q20" s="387"/>
      <c r="R20" s="387"/>
      <c r="S20" s="387"/>
      <c r="T20" s="387"/>
      <c r="U20" s="387"/>
      <c r="V20" s="387"/>
      <c r="W20" s="387"/>
      <c r="X20" s="387"/>
      <c r="Y20" s="387"/>
      <c r="Z20" s="387"/>
      <c r="AA20" s="387"/>
    </row>
    <row r="21" spans="2:27" ht="20.5" x14ac:dyDescent="0.55000000000000004">
      <c r="B21" s="337"/>
      <c r="C21" s="337" t="s">
        <v>849</v>
      </c>
      <c r="D21" s="4"/>
      <c r="E21" s="4"/>
      <c r="F21" s="4"/>
      <c r="G21" s="387"/>
      <c r="H21" s="387"/>
      <c r="I21" s="387"/>
      <c r="J21" s="387"/>
      <c r="K21" s="387"/>
      <c r="L21" s="387"/>
      <c r="M21" s="387"/>
      <c r="N21" s="387"/>
      <c r="O21" s="387"/>
      <c r="P21" s="387"/>
      <c r="Q21" s="387"/>
      <c r="R21" s="387"/>
      <c r="S21" s="387"/>
      <c r="T21" s="387"/>
      <c r="U21" s="387"/>
      <c r="V21" s="387"/>
      <c r="W21" s="387"/>
      <c r="X21" s="387"/>
      <c r="Y21" s="387"/>
      <c r="Z21" s="387"/>
      <c r="AA21" s="387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644</v>
      </c>
      <c r="C44" s="92"/>
      <c r="D44" s="92"/>
      <c r="E44" s="391"/>
      <c r="F44" s="391"/>
      <c r="H44" t="s">
        <v>645</v>
      </c>
    </row>
    <row r="45" spans="2:10" ht="16.5" x14ac:dyDescent="0.45">
      <c r="B45" s="8" t="s">
        <v>640</v>
      </c>
      <c r="C45" s="5" t="e">
        <f>(D21-D14)/(#REF!-D18)</f>
        <v>#REF!</v>
      </c>
      <c r="D45" s="5" t="s">
        <v>641</v>
      </c>
      <c r="G45" s="340"/>
      <c r="H45" t="s">
        <v>646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392"/>
      <c r="F47" s="392"/>
    </row>
    <row r="48" spans="2:10" ht="16.5" x14ac:dyDescent="0.45">
      <c r="B48" s="8" t="s">
        <v>642</v>
      </c>
      <c r="C48" s="5" t="e">
        <f>#REF!*C45+D14</f>
        <v>#REF!</v>
      </c>
      <c r="D48" s="5" t="s">
        <v>643</v>
      </c>
      <c r="H48" t="s">
        <v>647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642</v>
      </c>
      <c r="C49" s="5" t="e">
        <f>D18*C45+D21</f>
        <v>#REF!</v>
      </c>
      <c r="D49" s="5" t="s">
        <v>643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303</v>
      </c>
      <c r="N7" t="s">
        <v>305</v>
      </c>
      <c r="U7" s="449" t="s">
        <v>73</v>
      </c>
      <c r="V7" s="449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303</v>
      </c>
      <c r="N8" t="s">
        <v>304</v>
      </c>
      <c r="U8" s="1"/>
      <c r="V8" s="24"/>
      <c r="AL8" s="5" t="s">
        <v>65</v>
      </c>
    </row>
    <row r="9" spans="3:54" x14ac:dyDescent="0.35">
      <c r="M9" s="118" t="s">
        <v>307</v>
      </c>
      <c r="N9" t="s">
        <v>306</v>
      </c>
    </row>
    <row r="11" spans="3:54" ht="21" x14ac:dyDescent="0.35">
      <c r="C11" s="487"/>
      <c r="D11" s="487"/>
      <c r="E11" s="487"/>
      <c r="F11" s="487"/>
      <c r="G11" s="487"/>
      <c r="H11" s="487"/>
      <c r="I11" s="487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88" t="s">
        <v>437</v>
      </c>
      <c r="D12" s="488"/>
      <c r="E12" s="488"/>
      <c r="F12" s="488"/>
      <c r="G12" s="488"/>
      <c r="H12" s="488"/>
      <c r="I12" s="488"/>
      <c r="J12" s="32"/>
      <c r="K12" s="32"/>
      <c r="M12" s="42" t="s">
        <v>431</v>
      </c>
      <c r="N12" s="23">
        <v>50</v>
      </c>
      <c r="O12" s="489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308</v>
      </c>
      <c r="E13" s="44" t="s">
        <v>435</v>
      </c>
      <c r="F13" s="44" t="s">
        <v>430</v>
      </c>
      <c r="G13" s="44" t="s">
        <v>433</v>
      </c>
      <c r="H13" s="44" t="s">
        <v>309</v>
      </c>
      <c r="I13" s="44" t="s">
        <v>310</v>
      </c>
      <c r="J13" s="45"/>
      <c r="K13" s="45"/>
      <c r="M13" s="53" t="s">
        <v>432</v>
      </c>
      <c r="N13" s="47">
        <f>PI()*N12/180</f>
        <v>0.87266462599716477</v>
      </c>
      <c r="O13" s="490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436</v>
      </c>
      <c r="N14" s="232">
        <f>$F$19 * N12 / 360</f>
        <v>2.7777777777777779E-3</v>
      </c>
      <c r="O14" s="491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434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topLeftCell="A12" zoomScale="85" zoomScaleNormal="85" workbookViewId="0">
      <selection activeCell="A56" sqref="A56"/>
    </sheetView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463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470</v>
      </c>
      <c r="AA4" s="5"/>
      <c r="AC4" s="5" t="s">
        <v>471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460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461</v>
      </c>
      <c r="R7" s="449" t="s">
        <v>73</v>
      </c>
      <c r="S7" s="449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87"/>
      <c r="D11" s="487"/>
      <c r="E11" s="487"/>
      <c r="F11" s="487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88" t="s">
        <v>472</v>
      </c>
      <c r="D12" s="488"/>
      <c r="E12" s="488"/>
      <c r="F12" s="488"/>
      <c r="G12" s="32"/>
      <c r="H12" s="32"/>
      <c r="J12" s="42" t="s">
        <v>62</v>
      </c>
      <c r="K12" s="23">
        <v>60</v>
      </c>
      <c r="L12" s="489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1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462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464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465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466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467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469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468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444</v>
      </c>
      <c r="E59" t="s">
        <v>447</v>
      </c>
      <c r="G59" t="s">
        <v>454</v>
      </c>
    </row>
    <row r="60" spans="3:10" ht="16.5" x14ac:dyDescent="0.45">
      <c r="C60" t="s">
        <v>445</v>
      </c>
      <c r="E60" t="s">
        <v>448</v>
      </c>
      <c r="G60" t="s">
        <v>455</v>
      </c>
    </row>
    <row r="61" spans="3:10" x14ac:dyDescent="0.35">
      <c r="C61" s="244" t="s">
        <v>446</v>
      </c>
      <c r="E61" t="s">
        <v>449</v>
      </c>
    </row>
    <row r="63" spans="3:10" x14ac:dyDescent="0.35">
      <c r="C63" t="s">
        <v>451</v>
      </c>
      <c r="E63" t="s">
        <v>450</v>
      </c>
      <c r="J63" t="s">
        <v>453</v>
      </c>
    </row>
    <row r="64" spans="3:10" ht="18.5" x14ac:dyDescent="0.45">
      <c r="C64" t="s">
        <v>452</v>
      </c>
      <c r="E64" t="s">
        <v>459</v>
      </c>
    </row>
    <row r="66" spans="3:5" ht="24" x14ac:dyDescent="0.65">
      <c r="E66" s="245" t="s">
        <v>457</v>
      </c>
    </row>
    <row r="68" spans="3:5" x14ac:dyDescent="0.35">
      <c r="C68" t="s">
        <v>456</v>
      </c>
    </row>
    <row r="74" spans="3:5" x14ac:dyDescent="0.35">
      <c r="C74" t="s">
        <v>458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441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474</v>
      </c>
      <c r="AB3" s="257">
        <f>SQRT(3)/2</f>
        <v>0.8660254037844386</v>
      </c>
      <c r="AD3" s="1"/>
      <c r="AE3" s="258"/>
      <c r="AG3" s="256" t="s">
        <v>478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473</v>
      </c>
      <c r="AB4" s="257">
        <f>COS(RADIANS(30))</f>
        <v>0.86602540378443871</v>
      </c>
      <c r="AD4" s="256" t="s">
        <v>476</v>
      </c>
      <c r="AE4" s="257">
        <f>COS(RADIANS(60))</f>
        <v>0.50000000000000011</v>
      </c>
      <c r="AG4" s="256" t="s">
        <v>477</v>
      </c>
      <c r="AH4" s="257">
        <f>COS(RADIANS(45))</f>
        <v>0.70710678118654757</v>
      </c>
    </row>
    <row r="5" spans="2:43" ht="14.5" customHeight="1" x14ac:dyDescent="0.35">
      <c r="AA5" s="256" t="s">
        <v>475</v>
      </c>
      <c r="AB5" s="257">
        <f>SIN(RADIANS(60))</f>
        <v>0.8660254037844386</v>
      </c>
      <c r="AD5" s="256" t="s">
        <v>473</v>
      </c>
      <c r="AE5" s="257">
        <f>SIN(RADIANS(30))</f>
        <v>0.49999999999999994</v>
      </c>
      <c r="AG5" s="256" t="s">
        <v>477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413</v>
      </c>
      <c r="C9" s="5"/>
      <c r="D9" s="5"/>
      <c r="E9" s="5"/>
      <c r="F9" s="5"/>
      <c r="G9" s="5"/>
      <c r="H9" s="5"/>
      <c r="I9" s="5"/>
      <c r="J9" s="5"/>
      <c r="M9" s="452" t="s">
        <v>414</v>
      </c>
      <c r="N9" s="453"/>
      <c r="O9" s="453"/>
      <c r="P9" s="453"/>
      <c r="R9" s="452" t="s">
        <v>230</v>
      </c>
      <c r="S9" s="453"/>
      <c r="T9" s="453"/>
      <c r="U9" s="453"/>
      <c r="V9" s="453"/>
      <c r="W9"/>
      <c r="X9" s="5" t="s">
        <v>480</v>
      </c>
      <c r="Y9" s="5"/>
      <c r="Z9"/>
      <c r="AA9" s="5" t="s">
        <v>479</v>
      </c>
      <c r="AB9" s="5"/>
    </row>
    <row r="10" spans="2:43" ht="16.5" x14ac:dyDescent="0.45">
      <c r="B10" s="214" t="s">
        <v>196</v>
      </c>
      <c r="C10" s="213" t="s">
        <v>608</v>
      </c>
      <c r="D10" s="213" t="s">
        <v>609</v>
      </c>
      <c r="E10" s="213" t="s">
        <v>91</v>
      </c>
      <c r="F10" s="213" t="s">
        <v>410</v>
      </c>
      <c r="G10" s="213" t="s">
        <v>91</v>
      </c>
      <c r="H10" s="213" t="s">
        <v>410</v>
      </c>
      <c r="I10" s="213" t="s">
        <v>411</v>
      </c>
      <c r="J10" s="213" t="s">
        <v>412</v>
      </c>
      <c r="M10" s="219" t="s">
        <v>418</v>
      </c>
      <c r="N10" s="219" t="s">
        <v>419</v>
      </c>
      <c r="O10" s="219" t="s">
        <v>420</v>
      </c>
      <c r="P10" s="219" t="s">
        <v>421</v>
      </c>
      <c r="Q10" s="217"/>
      <c r="R10" s="223" t="s">
        <v>415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438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439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559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440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481</v>
      </c>
      <c r="Y14" s="259">
        <f>C11-Y10</f>
        <v>487.90367901871775</v>
      </c>
      <c r="Z14"/>
    </row>
    <row r="15" spans="2:43" ht="16.5" x14ac:dyDescent="0.45">
      <c r="AB15" s="1" t="s">
        <v>482</v>
      </c>
      <c r="AC15" s="259">
        <f>AB11</f>
        <v>281.69132042006549</v>
      </c>
    </row>
    <row r="16" spans="2:43" ht="16.5" x14ac:dyDescent="0.45">
      <c r="AB16" s="224" t="s">
        <v>483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442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560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559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443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440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422</v>
      </c>
      <c r="C44" s="2"/>
      <c r="D44" t="s">
        <v>423</v>
      </c>
      <c r="P44" s="218"/>
      <c r="Z44"/>
    </row>
    <row r="45" spans="2:26" x14ac:dyDescent="0.35">
      <c r="B45" s="3" t="s">
        <v>424</v>
      </c>
      <c r="C45" s="3"/>
      <c r="D45" t="s">
        <v>427</v>
      </c>
      <c r="P45" s="218"/>
      <c r="Z45"/>
    </row>
    <row r="46" spans="2:26" x14ac:dyDescent="0.35">
      <c r="B46" t="s">
        <v>425</v>
      </c>
      <c r="D46" t="s">
        <v>426</v>
      </c>
      <c r="P46" s="218"/>
      <c r="Z46"/>
    </row>
    <row r="49" spans="2:5" ht="15" thickBot="1" x14ac:dyDescent="0.4"/>
    <row r="50" spans="2:5" ht="17" thickBot="1" x14ac:dyDescent="0.5">
      <c r="B50" s="260" t="s">
        <v>483</v>
      </c>
      <c r="C50" s="227" t="s">
        <v>484</v>
      </c>
      <c r="D50" s="229"/>
      <c r="E50" s="230"/>
    </row>
    <row r="86" spans="2:20" ht="21" x14ac:dyDescent="0.5">
      <c r="B86" s="69" t="s">
        <v>563</v>
      </c>
      <c r="M86" s="8" t="s">
        <v>567</v>
      </c>
      <c r="N86" s="4">
        <v>300</v>
      </c>
      <c r="O86" s="5" t="s">
        <v>568</v>
      </c>
      <c r="P86" s="5"/>
      <c r="Q86" s="288">
        <f>N86*SQRT(2)</f>
        <v>424.26406871192853</v>
      </c>
      <c r="R86" s="107" t="s">
        <v>570</v>
      </c>
    </row>
    <row r="87" spans="2:20" ht="16.5" x14ac:dyDescent="0.45">
      <c r="M87" s="8" t="s">
        <v>569</v>
      </c>
      <c r="N87" s="288">
        <f>N86*SQRT(3)</f>
        <v>519.6152422706632</v>
      </c>
      <c r="O87" s="5" t="s">
        <v>568</v>
      </c>
      <c r="P87" s="5"/>
      <c r="Q87" s="288">
        <f>N87*SQRT(2)</f>
        <v>734.84692283495349</v>
      </c>
      <c r="R87" s="107" t="s">
        <v>570</v>
      </c>
    </row>
    <row r="88" spans="2:20" x14ac:dyDescent="0.35">
      <c r="M88" s="8" t="s">
        <v>564</v>
      </c>
      <c r="N88" s="4">
        <v>40</v>
      </c>
      <c r="O88" s="289" t="s">
        <v>317</v>
      </c>
      <c r="P88" s="5"/>
      <c r="Q88" s="107"/>
      <c r="R88" s="107"/>
    </row>
    <row r="89" spans="2:20" x14ac:dyDescent="0.35">
      <c r="M89" s="8" t="s">
        <v>565</v>
      </c>
      <c r="N89" s="4">
        <v>80</v>
      </c>
      <c r="O89" s="289" t="s">
        <v>317</v>
      </c>
      <c r="P89" s="5"/>
      <c r="Q89" s="107"/>
      <c r="R89" s="107"/>
    </row>
    <row r="90" spans="2:20" x14ac:dyDescent="0.35">
      <c r="M90" s="8" t="s">
        <v>566</v>
      </c>
      <c r="N90" s="4">
        <v>160</v>
      </c>
      <c r="O90" s="289" t="s">
        <v>317</v>
      </c>
      <c r="P90" s="5"/>
      <c r="Q90" s="107"/>
      <c r="R90" s="107"/>
    </row>
    <row r="94" spans="2:20" x14ac:dyDescent="0.35">
      <c r="J94" s="90" t="s">
        <v>571</v>
      </c>
      <c r="Q94" s="90" t="s">
        <v>581</v>
      </c>
    </row>
    <row r="96" spans="2:20" ht="17.5" x14ac:dyDescent="0.45">
      <c r="J96" s="8" t="s">
        <v>572</v>
      </c>
      <c r="K96" s="5" t="s">
        <v>573</v>
      </c>
      <c r="L96" s="290">
        <f>$N$86^2/$N$88</f>
        <v>2250</v>
      </c>
      <c r="M96" s="5" t="s">
        <v>574</v>
      </c>
      <c r="Q96" s="8"/>
      <c r="R96" s="5"/>
      <c r="S96" s="290"/>
      <c r="T96" s="5"/>
    </row>
    <row r="97" spans="10:14" ht="17.5" x14ac:dyDescent="0.45">
      <c r="J97" s="8" t="s">
        <v>575</v>
      </c>
      <c r="K97" s="5" t="s">
        <v>578</v>
      </c>
      <c r="L97" s="290">
        <f>$N$86^2/$N$89</f>
        <v>1125</v>
      </c>
      <c r="M97" s="5" t="s">
        <v>574</v>
      </c>
    </row>
    <row r="98" spans="10:14" ht="17.5" x14ac:dyDescent="0.45">
      <c r="J98" s="8" t="s">
        <v>576</v>
      </c>
      <c r="K98" s="5" t="s">
        <v>579</v>
      </c>
      <c r="L98" s="290">
        <f>$N$86^2/$N$90</f>
        <v>562.5</v>
      </c>
      <c r="M98" s="5" t="s">
        <v>574</v>
      </c>
    </row>
    <row r="99" spans="10:14" ht="16.5" x14ac:dyDescent="0.45">
      <c r="J99" s="8" t="s">
        <v>577</v>
      </c>
      <c r="K99" s="5" t="s">
        <v>580</v>
      </c>
      <c r="L99" s="290">
        <f>SUM(L96:L98)</f>
        <v>3937.5</v>
      </c>
      <c r="M99" s="5" t="s">
        <v>574</v>
      </c>
    </row>
    <row r="100" spans="10:14" ht="21.65" customHeight="1" x14ac:dyDescent="0.35"/>
    <row r="101" spans="10:14" ht="16.5" x14ac:dyDescent="0.45">
      <c r="J101" s="292" t="s">
        <v>598</v>
      </c>
      <c r="K101" s="298" t="s">
        <v>599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600</v>
      </c>
      <c r="K102" s="298" t="s">
        <v>601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602</v>
      </c>
      <c r="K103" s="298" t="s">
        <v>603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411</v>
      </c>
      <c r="N106" s="95" t="s">
        <v>412</v>
      </c>
    </row>
    <row r="107" spans="10:14" ht="16.5" x14ac:dyDescent="0.45">
      <c r="J107" s="292" t="s">
        <v>604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605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606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597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604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605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606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597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607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582</v>
      </c>
      <c r="L121" s="301" t="s">
        <v>65</v>
      </c>
    </row>
    <row r="123" spans="10:15" x14ac:dyDescent="0.35">
      <c r="M123" t="s">
        <v>595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596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318</v>
      </c>
    </row>
    <row r="5" spans="3:29" ht="24" x14ac:dyDescent="0.65">
      <c r="P5" s="136" t="s">
        <v>329</v>
      </c>
      <c r="Q5" s="135" t="s">
        <v>328</v>
      </c>
      <c r="R5" s="122">
        <v>0.5</v>
      </c>
      <c r="S5" s="175" t="s">
        <v>317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330</v>
      </c>
      <c r="Q6" s="135" t="s">
        <v>328</v>
      </c>
      <c r="R6" s="122">
        <v>0.5</v>
      </c>
      <c r="S6" s="175" t="s">
        <v>317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331</v>
      </c>
      <c r="Q7" s="135" t="s">
        <v>328</v>
      </c>
      <c r="R7" s="122">
        <v>1</v>
      </c>
      <c r="S7" s="175" t="s">
        <v>317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332</v>
      </c>
      <c r="Q8" s="135" t="s">
        <v>328</v>
      </c>
      <c r="R8" s="122">
        <v>1</v>
      </c>
      <c r="S8" s="175" t="s">
        <v>317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333</v>
      </c>
      <c r="Q9" s="135" t="s">
        <v>328</v>
      </c>
      <c r="R9" s="122">
        <v>2</v>
      </c>
      <c r="S9" s="175" t="s">
        <v>317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334</v>
      </c>
      <c r="Q10" s="135" t="s">
        <v>328</v>
      </c>
      <c r="R10" s="122">
        <v>2</v>
      </c>
      <c r="S10" s="175" t="s">
        <v>317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335</v>
      </c>
      <c r="Q11" s="135" t="s">
        <v>328</v>
      </c>
      <c r="R11" s="122">
        <v>0.5</v>
      </c>
      <c r="S11" s="175" t="s">
        <v>317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336</v>
      </c>
      <c r="Q12" s="135" t="s">
        <v>328</v>
      </c>
      <c r="R12" s="122">
        <v>0.5</v>
      </c>
      <c r="S12" s="175" t="s">
        <v>317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337</v>
      </c>
      <c r="Q13" s="135" t="s">
        <v>328</v>
      </c>
      <c r="R13" s="122">
        <v>2</v>
      </c>
      <c r="S13" s="175" t="s">
        <v>317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338</v>
      </c>
      <c r="Q14" s="135" t="s">
        <v>328</v>
      </c>
      <c r="R14" s="122">
        <v>1</v>
      </c>
      <c r="S14" s="175" t="s">
        <v>317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398</v>
      </c>
      <c r="Q15" s="171" t="s">
        <v>328</v>
      </c>
      <c r="R15" s="172">
        <f>R273</f>
        <v>1.5203252032520327</v>
      </c>
      <c r="S15" s="176" t="s">
        <v>316</v>
      </c>
      <c r="U15" s="137" t="s">
        <v>397</v>
      </c>
      <c r="V15" s="198" t="s">
        <v>328</v>
      </c>
      <c r="W15" s="122">
        <v>12</v>
      </c>
      <c r="X15" s="192" t="s">
        <v>316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385</v>
      </c>
      <c r="V17" s="198" t="s">
        <v>328</v>
      </c>
      <c r="W17" s="149" t="s">
        <v>391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385</v>
      </c>
      <c r="V18" s="199" t="s">
        <v>328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386</v>
      </c>
      <c r="V20" s="198" t="s">
        <v>328</v>
      </c>
      <c r="W20" s="149" t="s">
        <v>392</v>
      </c>
      <c r="X20" s="5"/>
    </row>
    <row r="21" spans="16:24" ht="35.5" customHeight="1" x14ac:dyDescent="0.8">
      <c r="U21" s="155" t="s">
        <v>386</v>
      </c>
      <c r="V21" s="199" t="s">
        <v>328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387</v>
      </c>
      <c r="V23" s="198" t="s">
        <v>328</v>
      </c>
      <c r="W23" s="149" t="s">
        <v>393</v>
      </c>
      <c r="X23" s="5"/>
    </row>
    <row r="24" spans="16:24" ht="35.5" customHeight="1" x14ac:dyDescent="0.8">
      <c r="U24" s="155" t="s">
        <v>387</v>
      </c>
      <c r="V24" s="199" t="s">
        <v>328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388</v>
      </c>
      <c r="V26" s="198" t="s">
        <v>328</v>
      </c>
      <c r="W26" s="149" t="s">
        <v>394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388</v>
      </c>
      <c r="V27" s="199" t="s">
        <v>328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389</v>
      </c>
      <c r="V30" s="198" t="s">
        <v>328</v>
      </c>
      <c r="W30" s="162" t="s">
        <v>395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389</v>
      </c>
      <c r="V31" s="199" t="s">
        <v>328</v>
      </c>
      <c r="W31" s="166">
        <f>W68*R11</f>
        <v>2.0534759358288772</v>
      </c>
      <c r="X31" s="166" t="s">
        <v>316</v>
      </c>
    </row>
    <row r="32" spans="16:24" ht="35.5" customHeight="1" x14ac:dyDescent="0.35"/>
    <row r="33" spans="3:24" ht="35.5" customHeight="1" x14ac:dyDescent="0.85">
      <c r="U33" s="160" t="s">
        <v>390</v>
      </c>
      <c r="V33" s="198" t="s">
        <v>328</v>
      </c>
      <c r="W33" s="162" t="s">
        <v>396</v>
      </c>
      <c r="X33" s="193"/>
    </row>
    <row r="34" spans="3:24" ht="35.5" customHeight="1" x14ac:dyDescent="0.85">
      <c r="U34" s="165" t="s">
        <v>390</v>
      </c>
      <c r="V34" s="199" t="s">
        <v>328</v>
      </c>
      <c r="W34" s="166">
        <f>W68*R12</f>
        <v>2.0534759358288772</v>
      </c>
      <c r="X34" s="166" t="s">
        <v>316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319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339</v>
      </c>
      <c r="Q58" s="135" t="s">
        <v>328</v>
      </c>
      <c r="R58" s="124" t="s">
        <v>343</v>
      </c>
      <c r="S58" s="177"/>
      <c r="U58" s="160" t="s">
        <v>379</v>
      </c>
      <c r="V58" s="198" t="s">
        <v>328</v>
      </c>
      <c r="W58" s="162" t="s">
        <v>381</v>
      </c>
      <c r="X58" s="193"/>
    </row>
    <row r="59" spans="16:24" ht="32.5" x14ac:dyDescent="0.85">
      <c r="P59" s="139" t="s">
        <v>339</v>
      </c>
      <c r="Q59" s="140" t="s">
        <v>328</v>
      </c>
      <c r="R59" s="141">
        <f>1/(1/R6+1/R7)</f>
        <v>0.33333333333333331</v>
      </c>
      <c r="S59" s="178" t="s">
        <v>317</v>
      </c>
      <c r="U59" s="165" t="s">
        <v>379</v>
      </c>
      <c r="V59" s="199" t="s">
        <v>328</v>
      </c>
      <c r="W59" s="166">
        <f>W48*W50</f>
        <v>0.38502673796791448</v>
      </c>
      <c r="X59" s="166" t="s">
        <v>316</v>
      </c>
    </row>
    <row r="61" spans="16:24" ht="32.5" x14ac:dyDescent="0.85">
      <c r="P61" s="123" t="s">
        <v>340</v>
      </c>
      <c r="Q61" s="135" t="s">
        <v>328</v>
      </c>
      <c r="R61" s="124" t="s">
        <v>344</v>
      </c>
      <c r="S61" s="177"/>
      <c r="U61" s="160" t="s">
        <v>380</v>
      </c>
      <c r="V61" s="198" t="s">
        <v>328</v>
      </c>
      <c r="W61" s="162" t="s">
        <v>382</v>
      </c>
      <c r="X61" s="193"/>
    </row>
    <row r="62" spans="16:24" ht="32.5" x14ac:dyDescent="0.85">
      <c r="P62" s="139" t="s">
        <v>340</v>
      </c>
      <c r="Q62" s="140" t="s">
        <v>328</v>
      </c>
      <c r="R62" s="141">
        <f>1/(1/R8+1/R9)</f>
        <v>0.66666666666666663</v>
      </c>
      <c r="S62" s="178" t="s">
        <v>317</v>
      </c>
      <c r="U62" s="165" t="s">
        <v>404</v>
      </c>
      <c r="V62" s="199" t="s">
        <v>328</v>
      </c>
      <c r="W62" s="166">
        <f>W48*W51</f>
        <v>0.25668449197860965</v>
      </c>
      <c r="X62" s="166" t="s">
        <v>316</v>
      </c>
    </row>
    <row r="64" spans="16:24" ht="30" x14ac:dyDescent="0.8">
      <c r="P64" s="123" t="s">
        <v>341</v>
      </c>
      <c r="Q64" s="135" t="s">
        <v>328</v>
      </c>
      <c r="R64" s="124" t="s">
        <v>345</v>
      </c>
      <c r="S64" s="177"/>
      <c r="U64" s="127" t="s">
        <v>378</v>
      </c>
      <c r="V64" s="198" t="s">
        <v>328</v>
      </c>
      <c r="W64" s="149" t="s">
        <v>383</v>
      </c>
      <c r="X64" s="5"/>
    </row>
    <row r="65" spans="16:24" ht="30" x14ac:dyDescent="0.8">
      <c r="P65" s="139" t="s">
        <v>341</v>
      </c>
      <c r="Q65" s="140" t="s">
        <v>328</v>
      </c>
      <c r="R65" s="141">
        <f>R11+R12</f>
        <v>1</v>
      </c>
      <c r="S65" s="178" t="s">
        <v>317</v>
      </c>
      <c r="U65" s="155" t="s">
        <v>378</v>
      </c>
      <c r="V65" s="199" t="s">
        <v>328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377</v>
      </c>
      <c r="V67" s="198" t="s">
        <v>328</v>
      </c>
      <c r="W67" s="149" t="s">
        <v>384</v>
      </c>
      <c r="X67" s="5"/>
    </row>
    <row r="68" spans="16:24" ht="30" x14ac:dyDescent="0.8">
      <c r="U68" s="155" t="s">
        <v>405</v>
      </c>
      <c r="V68" s="199" t="s">
        <v>328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400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401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324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342</v>
      </c>
      <c r="Q97" s="135" t="s">
        <v>328</v>
      </c>
      <c r="R97" s="124" t="s">
        <v>346</v>
      </c>
      <c r="S97" s="177"/>
      <c r="U97" s="127" t="s">
        <v>373</v>
      </c>
      <c r="V97" s="198" t="s">
        <v>328</v>
      </c>
      <c r="W97" s="149" t="s">
        <v>374</v>
      </c>
      <c r="X97" s="5"/>
    </row>
    <row r="98" spans="16:24" ht="30" x14ac:dyDescent="0.8">
      <c r="P98" s="139" t="s">
        <v>342</v>
      </c>
      <c r="Q98" s="140" t="s">
        <v>328</v>
      </c>
      <c r="R98" s="141">
        <f>R90+R88</f>
        <v>0.83333333333333326</v>
      </c>
      <c r="S98" s="178" t="s">
        <v>317</v>
      </c>
      <c r="U98" s="155" t="s">
        <v>408</v>
      </c>
      <c r="V98" s="199" t="s">
        <v>328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347</v>
      </c>
      <c r="Q100" s="135" t="s">
        <v>328</v>
      </c>
      <c r="R100" s="124" t="s">
        <v>348</v>
      </c>
      <c r="S100" s="177"/>
      <c r="U100" s="127" t="s">
        <v>375</v>
      </c>
      <c r="V100" s="198" t="s">
        <v>328</v>
      </c>
      <c r="W100" s="149" t="s">
        <v>376</v>
      </c>
      <c r="X100" s="5"/>
    </row>
    <row r="101" spans="16:24" ht="30" x14ac:dyDescent="0.8">
      <c r="P101" s="139" t="s">
        <v>347</v>
      </c>
      <c r="Q101" s="140" t="s">
        <v>328</v>
      </c>
      <c r="R101" s="141">
        <f>1/(1/R89+1/R91)</f>
        <v>0.66666666666666663</v>
      </c>
      <c r="S101" s="178" t="s">
        <v>317</v>
      </c>
      <c r="U101" s="155" t="s">
        <v>375</v>
      </c>
      <c r="V101" s="199" t="s">
        <v>328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399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323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349</v>
      </c>
      <c r="Q140" s="135" t="s">
        <v>328</v>
      </c>
      <c r="R140" s="124" t="s">
        <v>350</v>
      </c>
      <c r="S140" s="179"/>
      <c r="U140" s="160" t="s">
        <v>370</v>
      </c>
      <c r="V140" s="198" t="s">
        <v>328</v>
      </c>
      <c r="W140" s="162" t="s">
        <v>364</v>
      </c>
      <c r="X140" s="193"/>
    </row>
    <row r="141" spans="3:24" ht="32.5" x14ac:dyDescent="0.85">
      <c r="P141" s="144" t="s">
        <v>349</v>
      </c>
      <c r="Q141" s="140" t="s">
        <v>328</v>
      </c>
      <c r="R141" s="145">
        <f>1/(1/R135+1/R136)</f>
        <v>0.37037037037037035</v>
      </c>
      <c r="S141" s="180" t="s">
        <v>317</v>
      </c>
      <c r="U141" s="165" t="s">
        <v>403</v>
      </c>
      <c r="V141" s="199" t="s">
        <v>328</v>
      </c>
      <c r="W141" s="166">
        <f>W137*W135</f>
        <v>0.64171122994652408</v>
      </c>
      <c r="X141" s="166" t="s">
        <v>316</v>
      </c>
    </row>
    <row r="143" spans="3:24" ht="32.5" x14ac:dyDescent="0.85">
      <c r="U143" s="160" t="s">
        <v>371</v>
      </c>
      <c r="V143" s="198" t="s">
        <v>328</v>
      </c>
      <c r="W143" s="162" t="s">
        <v>366</v>
      </c>
      <c r="X143" s="193"/>
    </row>
    <row r="144" spans="3:24" ht="32.5" x14ac:dyDescent="0.85">
      <c r="U144" s="165" t="s">
        <v>371</v>
      </c>
      <c r="V144" s="199" t="s">
        <v>328</v>
      </c>
      <c r="W144" s="166">
        <f>W137*W136</f>
        <v>3.4652406417112305</v>
      </c>
      <c r="X144" s="166" t="s">
        <v>316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372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322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351</v>
      </c>
      <c r="Q179" s="135" t="s">
        <v>328</v>
      </c>
      <c r="R179" s="126" t="s">
        <v>352</v>
      </c>
      <c r="S179" s="181"/>
      <c r="U179" s="127" t="s">
        <v>361</v>
      </c>
      <c r="V179" s="198" t="s">
        <v>328</v>
      </c>
      <c r="W179" s="149" t="s">
        <v>360</v>
      </c>
      <c r="X179" s="194"/>
    </row>
    <row r="180" spans="4:24" ht="30" x14ac:dyDescent="0.8">
      <c r="P180" s="151" t="s">
        <v>351</v>
      </c>
      <c r="Q180" s="140" t="s">
        <v>328</v>
      </c>
      <c r="R180" s="152">
        <f>R172+R173</f>
        <v>2.3703703703703702</v>
      </c>
      <c r="S180" s="182" t="s">
        <v>317</v>
      </c>
      <c r="U180" s="155" t="s">
        <v>361</v>
      </c>
      <c r="V180" s="199" t="s">
        <v>328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363</v>
      </c>
      <c r="V182" s="198" t="s">
        <v>328</v>
      </c>
      <c r="W182" s="149" t="s">
        <v>362</v>
      </c>
      <c r="X182" s="194"/>
    </row>
    <row r="183" spans="4:24" ht="30" x14ac:dyDescent="0.8">
      <c r="U183" s="155" t="s">
        <v>407</v>
      </c>
      <c r="V183" s="199" t="s">
        <v>328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325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321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353</v>
      </c>
      <c r="Q225" s="135" t="s">
        <v>328</v>
      </c>
      <c r="R225" s="126" t="s">
        <v>354</v>
      </c>
      <c r="S225" s="181"/>
      <c r="T225" s="128"/>
      <c r="U225" s="157" t="s">
        <v>368</v>
      </c>
      <c r="V225" s="198" t="s">
        <v>328</v>
      </c>
      <c r="W225" s="161" t="s">
        <v>358</v>
      </c>
      <c r="X225" s="195"/>
    </row>
    <row r="226" spans="9:24" ht="30" x14ac:dyDescent="0.8">
      <c r="P226" s="151" t="s">
        <v>353</v>
      </c>
      <c r="Q226" s="140" t="s">
        <v>328</v>
      </c>
      <c r="R226" s="152">
        <f>1/(1/R217+1/R218)</f>
        <v>0.52032520325203258</v>
      </c>
      <c r="S226" s="182" t="s">
        <v>317</v>
      </c>
      <c r="T226" s="128"/>
      <c r="U226" s="158" t="s">
        <v>402</v>
      </c>
      <c r="V226" s="199" t="s">
        <v>328</v>
      </c>
      <c r="W226" s="159">
        <f>W218*W217</f>
        <v>4.1069518716577544</v>
      </c>
      <c r="X226" s="159" t="s">
        <v>316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367</v>
      </c>
      <c r="V228" s="198" t="s">
        <v>328</v>
      </c>
      <c r="W228" s="149" t="s">
        <v>359</v>
      </c>
      <c r="X228" s="195"/>
    </row>
    <row r="229" spans="9:24" ht="30" x14ac:dyDescent="0.8">
      <c r="U229" s="158" t="s">
        <v>367</v>
      </c>
      <c r="V229" s="199" t="s">
        <v>328</v>
      </c>
      <c r="W229" s="159">
        <f>W217*W219</f>
        <v>7.8930481283422456</v>
      </c>
      <c r="X229" s="159" t="s">
        <v>316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369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320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357</v>
      </c>
      <c r="Q272" s="135" t="s">
        <v>328</v>
      </c>
      <c r="R272" s="126" t="s">
        <v>355</v>
      </c>
      <c r="S272" s="181"/>
      <c r="U272" s="127" t="s">
        <v>356</v>
      </c>
      <c r="V272" s="198" t="s">
        <v>328</v>
      </c>
      <c r="W272" s="149" t="s">
        <v>365</v>
      </c>
      <c r="X272" s="196"/>
    </row>
    <row r="273" spans="9:24" ht="30" x14ac:dyDescent="0.8">
      <c r="I273" s="164">
        <f>W267</f>
        <v>12</v>
      </c>
      <c r="P273" s="151" t="s">
        <v>357</v>
      </c>
      <c r="Q273" s="140" t="s">
        <v>328</v>
      </c>
      <c r="R273" s="152">
        <f>R267+R268</f>
        <v>1.5203252032520327</v>
      </c>
      <c r="S273" s="182" t="s">
        <v>317</v>
      </c>
      <c r="U273" s="155" t="s">
        <v>406</v>
      </c>
      <c r="V273" s="205" t="s">
        <v>328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485</v>
      </c>
    </row>
  </sheetData>
  <pageMargins left="0.7" right="0.7" top="0.78740157499999996" bottom="0.78740157499999996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486</v>
      </c>
    </row>
    <row r="21" spans="3:13" ht="15" thickBot="1" x14ac:dyDescent="0.4"/>
    <row r="22" spans="3:13" ht="16.5" x14ac:dyDescent="0.45">
      <c r="C22" s="261" t="s">
        <v>495</v>
      </c>
      <c r="D22" s="262" t="s">
        <v>411</v>
      </c>
      <c r="E22" s="262" t="s">
        <v>412</v>
      </c>
      <c r="F22" s="262" t="s">
        <v>487</v>
      </c>
      <c r="G22" s="262" t="s">
        <v>488</v>
      </c>
      <c r="H22" s="263" t="s">
        <v>489</v>
      </c>
      <c r="L22" t="s">
        <v>506</v>
      </c>
      <c r="M22" t="s">
        <v>507</v>
      </c>
    </row>
    <row r="23" spans="3:13" x14ac:dyDescent="0.35">
      <c r="C23" s="264" t="s">
        <v>491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492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493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494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496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497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498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499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500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501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502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503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504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505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490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508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509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510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511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512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513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514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515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516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517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509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518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519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520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521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522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523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524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525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526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527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528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529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530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531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532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533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534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535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511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536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537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538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539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540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541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542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543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544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30</vt:i4>
      </vt:variant>
    </vt:vector>
  </HeadingPairs>
  <TitlesOfParts>
    <vt:vector size="30" baseType="lpstr">
      <vt:lpstr>TOC</vt:lpstr>
      <vt:lpstr>Gemischte Schaltungen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 an Wechselspannung</vt:lpstr>
      <vt:lpstr>Kondensator an Gleichspannung</vt:lpstr>
      <vt:lpstr>Quelle mit Innenwiderstand</vt:lpstr>
      <vt:lpstr>Schiefeebene</vt:lpstr>
      <vt:lpstr>Leistung bei Wechselstrom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2026-06-11T09:57:00Z</dcterms:modified>
</cp:coreProperties>
</file>