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Studentenbeispiele\BZU\24_25\Informatik\"/>
    </mc:Choice>
  </mc:AlternateContent>
  <xr:revisionPtr revIDLastSave="0" documentId="13_ncr:1_{72DF2A61-FB35-4F88-8226-3502B35B1997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TOC" sheetId="13" r:id="rId1"/>
    <sheet name="Geburtstagsliste" sheetId="17" r:id="rId2"/>
    <sheet name="Einheiten umrechnen" sheetId="16" r:id="rId3"/>
    <sheet name="Flächenberechnungen" sheetId="14" r:id="rId4"/>
    <sheet name="Kinematik_1" sheetId="4" r:id="rId5"/>
    <sheet name="Kinematik_2" sheetId="9" r:id="rId6"/>
    <sheet name="Kinematik_2_Berechnungen" sheetId="11" r:id="rId7"/>
    <sheet name="Fourierreihe" sheetId="12" r:id="rId8"/>
    <sheet name="Scheinleistung" sheetId="15" r:id="rId9"/>
  </sheets>
  <definedNames>
    <definedName name="_xlnm._FilterDatabase" localSheetId="1" hidden="1">Geburtstagsliste!$A$4:$K$4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17" l="1"/>
  <c r="B23" i="17"/>
  <c r="A24" i="17"/>
  <c r="B24" i="17"/>
  <c r="A25" i="17"/>
  <c r="B25" i="17"/>
  <c r="A26" i="17"/>
  <c r="B26" i="17"/>
  <c r="A27" i="17"/>
  <c r="B27" i="17"/>
  <c r="A28" i="17"/>
  <c r="B28" i="17"/>
  <c r="A29" i="17"/>
  <c r="B29" i="17"/>
  <c r="A30" i="17"/>
  <c r="B30" i="17"/>
  <c r="A31" i="17"/>
  <c r="B31" i="17"/>
  <c r="A32" i="17"/>
  <c r="B32" i="17"/>
  <c r="A33" i="17"/>
  <c r="B33" i="17"/>
  <c r="A34" i="17"/>
  <c r="B34" i="17"/>
  <c r="A5" i="17"/>
  <c r="B5" i="17"/>
  <c r="A6" i="17"/>
  <c r="B6" i="17"/>
  <c r="A7" i="17"/>
  <c r="B7" i="17"/>
  <c r="A8" i="17"/>
  <c r="B8" i="17"/>
  <c r="A9" i="17"/>
  <c r="B9" i="17"/>
  <c r="A10" i="17"/>
  <c r="B10" i="17"/>
  <c r="A11" i="17"/>
  <c r="B11" i="17"/>
  <c r="A12" i="17"/>
  <c r="B12" i="17"/>
  <c r="A13" i="17"/>
  <c r="B13" i="17"/>
  <c r="A14" i="17"/>
  <c r="B14" i="17"/>
  <c r="A15" i="17"/>
  <c r="B15" i="17"/>
  <c r="A16" i="17"/>
  <c r="B16" i="17"/>
  <c r="A17" i="17"/>
  <c r="B17" i="17"/>
  <c r="A18" i="17"/>
  <c r="B18" i="17"/>
  <c r="A19" i="17"/>
  <c r="B19" i="17"/>
  <c r="A20" i="17"/>
  <c r="B20" i="17"/>
  <c r="A21" i="17"/>
  <c r="B21" i="17"/>
  <c r="B22" i="17"/>
  <c r="A22" i="17"/>
  <c r="J2" i="17"/>
  <c r="C24" i="17" s="1"/>
  <c r="D24" i="17" s="1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J15" i="15"/>
  <c r="AK15" i="15"/>
  <c r="AL15" i="15"/>
  <c r="AM15" i="15"/>
  <c r="AN15" i="15"/>
  <c r="AO15" i="15"/>
  <c r="AP15" i="15"/>
  <c r="AQ15" i="15"/>
  <c r="AR15" i="15"/>
  <c r="AS15" i="15"/>
  <c r="AT15" i="15"/>
  <c r="AU15" i="15"/>
  <c r="AV15" i="15"/>
  <c r="AW15" i="15"/>
  <c r="AX15" i="15"/>
  <c r="AY15" i="15"/>
  <c r="M15" i="15"/>
  <c r="N12" i="15"/>
  <c r="N13" i="15" s="1"/>
  <c r="J15" i="15"/>
  <c r="J14" i="15"/>
  <c r="F15" i="15"/>
  <c r="F14" i="15"/>
  <c r="R14" i="15" s="1"/>
  <c r="M13" i="15"/>
  <c r="K13" i="15"/>
  <c r="W5" i="15"/>
  <c r="X5" i="15" s="1"/>
  <c r="G11" i="14"/>
  <c r="H11" i="14" s="1"/>
  <c r="F24" i="14"/>
  <c r="F22" i="14"/>
  <c r="C22" i="14" s="1"/>
  <c r="E22" i="14"/>
  <c r="E24" i="14"/>
  <c r="C24" i="14" s="1"/>
  <c r="H21" i="14"/>
  <c r="B25" i="14"/>
  <c r="E25" i="14" s="1"/>
  <c r="C25" i="14" s="1"/>
  <c r="B23" i="14"/>
  <c r="F23" i="14" s="1"/>
  <c r="C23" i="14" s="1"/>
  <c r="D24" i="14"/>
  <c r="D22" i="14"/>
  <c r="D21" i="14"/>
  <c r="B21" i="14" s="1"/>
  <c r="E21" i="14" s="1"/>
  <c r="G21" i="14" s="1"/>
  <c r="G20" i="14"/>
  <c r="B20" i="14"/>
  <c r="D20" i="14" s="1"/>
  <c r="B19" i="14"/>
  <c r="F19" i="14" s="1"/>
  <c r="H19" i="14" s="1"/>
  <c r="E18" i="14"/>
  <c r="G18" i="14" s="1"/>
  <c r="F18" i="14"/>
  <c r="H18" i="14" s="1"/>
  <c r="D18" i="14"/>
  <c r="H12" i="14"/>
  <c r="G12" i="14" s="1"/>
  <c r="H10" i="14"/>
  <c r="J10" i="14" s="1"/>
  <c r="H9" i="14"/>
  <c r="I9" i="14" s="1"/>
  <c r="H8" i="14"/>
  <c r="J8" i="14" s="1"/>
  <c r="K7" i="14"/>
  <c r="J7" i="14"/>
  <c r="D8" i="14"/>
  <c r="I7" i="14"/>
  <c r="E7" i="14"/>
  <c r="D7" i="14"/>
  <c r="B10" i="14"/>
  <c r="D10" i="14" s="1"/>
  <c r="B9" i="14"/>
  <c r="E9" i="14" s="1"/>
  <c r="B8" i="14"/>
  <c r="E8" i="14" s="1"/>
  <c r="C7" i="14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N20" i="12"/>
  <c r="O20" i="12"/>
  <c r="M20" i="12"/>
  <c r="Q12" i="11"/>
  <c r="Q11" i="11"/>
  <c r="Q10" i="11"/>
  <c r="Q9" i="11"/>
  <c r="Q8" i="11"/>
  <c r="K19" i="11"/>
  <c r="I19" i="11"/>
  <c r="G19" i="11"/>
  <c r="E19" i="11"/>
  <c r="C19" i="11"/>
  <c r="K18" i="11"/>
  <c r="I18" i="11"/>
  <c r="G18" i="11"/>
  <c r="E18" i="11"/>
  <c r="C18" i="11"/>
  <c r="K6" i="11"/>
  <c r="I6" i="11"/>
  <c r="G7" i="11"/>
  <c r="G6" i="11"/>
  <c r="E6" i="11"/>
  <c r="K7" i="11"/>
  <c r="I7" i="11"/>
  <c r="E7" i="11"/>
  <c r="C7" i="11"/>
  <c r="C6" i="11"/>
  <c r="L17" i="11"/>
  <c r="J17" i="11"/>
  <c r="H16" i="11"/>
  <c r="H15" i="11"/>
  <c r="F8" i="11"/>
  <c r="F14" i="11"/>
  <c r="F13" i="11"/>
  <c r="D11" i="11"/>
  <c r="L11" i="11"/>
  <c r="J10" i="11"/>
  <c r="H9" i="11"/>
  <c r="D10" i="11"/>
  <c r="W5" i="12"/>
  <c r="X5" i="12" s="1"/>
  <c r="F15" i="12"/>
  <c r="F16" i="12"/>
  <c r="F17" i="12"/>
  <c r="F14" i="12"/>
  <c r="M13" i="12"/>
  <c r="M14" i="12" s="1"/>
  <c r="K13" i="12"/>
  <c r="K15" i="12" s="1"/>
  <c r="N12" i="12"/>
  <c r="O12" i="12" s="1"/>
  <c r="P12" i="12" s="1"/>
  <c r="Q12" i="12" s="1"/>
  <c r="R12" i="12" s="1"/>
  <c r="S12" i="12" s="1"/>
  <c r="T12" i="12" s="1"/>
  <c r="U12" i="12" s="1"/>
  <c r="V12" i="12" s="1"/>
  <c r="W12" i="12" s="1"/>
  <c r="X12" i="12" s="1"/>
  <c r="Y12" i="12" s="1"/>
  <c r="Z12" i="12" s="1"/>
  <c r="AA12" i="12" s="1"/>
  <c r="AB12" i="12" s="1"/>
  <c r="AC12" i="12" s="1"/>
  <c r="AD12" i="12" s="1"/>
  <c r="AE12" i="12" s="1"/>
  <c r="AF12" i="12" s="1"/>
  <c r="AG12" i="12" s="1"/>
  <c r="AH12" i="12" s="1"/>
  <c r="AI12" i="12" s="1"/>
  <c r="AJ12" i="12" s="1"/>
  <c r="AK12" i="12" s="1"/>
  <c r="AL12" i="12" s="1"/>
  <c r="AM12" i="12" s="1"/>
  <c r="AN12" i="12" s="1"/>
  <c r="AO12" i="12" s="1"/>
  <c r="AP12" i="12" s="1"/>
  <c r="AQ12" i="12" s="1"/>
  <c r="AR12" i="12" s="1"/>
  <c r="AS12" i="12" s="1"/>
  <c r="AT12" i="12" s="1"/>
  <c r="AU12" i="12" s="1"/>
  <c r="AV12" i="12" s="1"/>
  <c r="AW12" i="12" s="1"/>
  <c r="AX12" i="12" s="1"/>
  <c r="AY12" i="12" s="1"/>
  <c r="AY13" i="12" s="1"/>
  <c r="K24" i="17" l="1"/>
  <c r="F20" i="17"/>
  <c r="F16" i="17"/>
  <c r="F19" i="17"/>
  <c r="F12" i="17"/>
  <c r="F8" i="17"/>
  <c r="F34" i="17"/>
  <c r="F30" i="17"/>
  <c r="F26" i="17"/>
  <c r="C19" i="17"/>
  <c r="D19" i="17" s="1"/>
  <c r="C15" i="17"/>
  <c r="C11" i="17"/>
  <c r="D11" i="17" s="1"/>
  <c r="C7" i="17"/>
  <c r="D7" i="17" s="1"/>
  <c r="C33" i="17"/>
  <c r="D33" i="17" s="1"/>
  <c r="C29" i="17"/>
  <c r="D29" i="17" s="1"/>
  <c r="C25" i="17"/>
  <c r="D25" i="17" s="1"/>
  <c r="F21" i="17"/>
  <c r="F17" i="17"/>
  <c r="F13" i="17"/>
  <c r="F9" i="17"/>
  <c r="F5" i="17"/>
  <c r="F31" i="17"/>
  <c r="F27" i="17"/>
  <c r="F23" i="17"/>
  <c r="C20" i="17"/>
  <c r="D20" i="17" s="1"/>
  <c r="C16" i="17"/>
  <c r="D16" i="17" s="1"/>
  <c r="C12" i="17"/>
  <c r="D12" i="17" s="1"/>
  <c r="C8" i="17"/>
  <c r="D8" i="17" s="1"/>
  <c r="C34" i="17"/>
  <c r="D34" i="17" s="1"/>
  <c r="C30" i="17"/>
  <c r="D30" i="17" s="1"/>
  <c r="C26" i="17"/>
  <c r="D26" i="17" s="1"/>
  <c r="F18" i="17"/>
  <c r="F14" i="17"/>
  <c r="F10" i="17"/>
  <c r="F6" i="17"/>
  <c r="F32" i="17"/>
  <c r="F28" i="17"/>
  <c r="F24" i="17"/>
  <c r="C21" i="17"/>
  <c r="D21" i="17" s="1"/>
  <c r="C17" i="17"/>
  <c r="D17" i="17" s="1"/>
  <c r="C13" i="17"/>
  <c r="D13" i="17" s="1"/>
  <c r="C9" i="17"/>
  <c r="D9" i="17" s="1"/>
  <c r="C5" i="17"/>
  <c r="D5" i="17" s="1"/>
  <c r="C31" i="17"/>
  <c r="D31" i="17" s="1"/>
  <c r="C27" i="17"/>
  <c r="D27" i="17" s="1"/>
  <c r="E24" i="17"/>
  <c r="C23" i="17"/>
  <c r="D23" i="17" s="1"/>
  <c r="F15" i="17"/>
  <c r="F11" i="17"/>
  <c r="F7" i="17"/>
  <c r="F33" i="17"/>
  <c r="F29" i="17"/>
  <c r="F25" i="17"/>
  <c r="C18" i="17"/>
  <c r="D18" i="17" s="1"/>
  <c r="C14" i="17"/>
  <c r="D14" i="17" s="1"/>
  <c r="C10" i="17"/>
  <c r="D10" i="17" s="1"/>
  <c r="C6" i="17"/>
  <c r="D6" i="17" s="1"/>
  <c r="C32" i="17"/>
  <c r="D32" i="17" s="1"/>
  <c r="C28" i="17"/>
  <c r="D28" i="17" s="1"/>
  <c r="F22" i="17"/>
  <c r="C22" i="17"/>
  <c r="D22" i="17" s="1"/>
  <c r="C4" i="17"/>
  <c r="C2" i="17"/>
  <c r="AV14" i="15"/>
  <c r="AF14" i="15"/>
  <c r="AU14" i="15"/>
  <c r="AE14" i="15"/>
  <c r="AP14" i="15"/>
  <c r="AP18" i="15" s="1"/>
  <c r="Z14" i="15"/>
  <c r="Z18" i="15" s="1"/>
  <c r="AO14" i="15"/>
  <c r="Y14" i="15"/>
  <c r="AN14" i="15"/>
  <c r="X14" i="15"/>
  <c r="AM14" i="15"/>
  <c r="W14" i="15"/>
  <c r="W18" i="15" s="1"/>
  <c r="M14" i="15"/>
  <c r="AX14" i="15"/>
  <c r="AX18" i="15" s="1"/>
  <c r="AH14" i="15"/>
  <c r="AH18" i="15" s="1"/>
  <c r="Q14" i="15"/>
  <c r="K14" i="15"/>
  <c r="AW14" i="15"/>
  <c r="AG14" i="15"/>
  <c r="P14" i="15"/>
  <c r="I10" i="14"/>
  <c r="E23" i="14"/>
  <c r="G23" i="14" s="1"/>
  <c r="R18" i="15"/>
  <c r="AO18" i="15"/>
  <c r="Y18" i="15"/>
  <c r="Q18" i="15"/>
  <c r="AW18" i="15"/>
  <c r="AG18" i="15"/>
  <c r="AV18" i="15"/>
  <c r="AN18" i="15"/>
  <c r="AF18" i="15"/>
  <c r="X18" i="15"/>
  <c r="P18" i="15"/>
  <c r="AT14" i="15"/>
  <c r="AT18" i="15" s="1"/>
  <c r="AL14" i="15"/>
  <c r="AL18" i="15" s="1"/>
  <c r="AD14" i="15"/>
  <c r="AD18" i="15" s="1"/>
  <c r="V14" i="15"/>
  <c r="V18" i="15" s="1"/>
  <c r="N14" i="15"/>
  <c r="N18" i="15" s="1"/>
  <c r="AU18" i="15"/>
  <c r="AM18" i="15"/>
  <c r="AE18" i="15"/>
  <c r="AS14" i="15"/>
  <c r="AS18" i="15" s="1"/>
  <c r="AK14" i="15"/>
  <c r="AK18" i="15" s="1"/>
  <c r="AC14" i="15"/>
  <c r="AC18" i="15" s="1"/>
  <c r="U14" i="15"/>
  <c r="U18" i="15" s="1"/>
  <c r="AR14" i="15"/>
  <c r="AR18" i="15" s="1"/>
  <c r="AJ14" i="15"/>
  <c r="AJ18" i="15" s="1"/>
  <c r="AB14" i="15"/>
  <c r="AB18" i="15" s="1"/>
  <c r="T14" i="15"/>
  <c r="T18" i="15" s="1"/>
  <c r="O14" i="15"/>
  <c r="O18" i="15" s="1"/>
  <c r="AY14" i="15"/>
  <c r="AY18" i="15" s="1"/>
  <c r="AQ14" i="15"/>
  <c r="AQ18" i="15" s="1"/>
  <c r="AI14" i="15"/>
  <c r="AI18" i="15" s="1"/>
  <c r="AA14" i="15"/>
  <c r="AA18" i="15" s="1"/>
  <c r="S14" i="15"/>
  <c r="S18" i="15" s="1"/>
  <c r="O12" i="15"/>
  <c r="M18" i="15"/>
  <c r="K15" i="15"/>
  <c r="G22" i="14"/>
  <c r="H24" i="14"/>
  <c r="E19" i="14"/>
  <c r="G19" i="14" s="1"/>
  <c r="C9" i="14"/>
  <c r="F20" i="14"/>
  <c r="H20" i="14" s="1"/>
  <c r="F25" i="14"/>
  <c r="H25" i="14" s="1"/>
  <c r="K9" i="14"/>
  <c r="K8" i="14"/>
  <c r="J12" i="14"/>
  <c r="C10" i="14"/>
  <c r="S12" i="11"/>
  <c r="K14" i="12"/>
  <c r="AY14" i="12"/>
  <c r="W13" i="12"/>
  <c r="W14" i="12" s="1"/>
  <c r="AT13" i="12"/>
  <c r="AT14" i="12" s="1"/>
  <c r="V13" i="12"/>
  <c r="V14" i="12" s="1"/>
  <c r="Q13" i="12"/>
  <c r="Q14" i="12" s="1"/>
  <c r="AD13" i="12"/>
  <c r="AD14" i="12" s="1"/>
  <c r="AM13" i="12"/>
  <c r="AM14" i="12" s="1"/>
  <c r="AL13" i="12"/>
  <c r="AL14" i="12" s="1"/>
  <c r="O13" i="12"/>
  <c r="O14" i="12" s="1"/>
  <c r="Y13" i="12"/>
  <c r="Y14" i="12" s="1"/>
  <c r="AG13" i="12"/>
  <c r="AG14" i="12" s="1"/>
  <c r="N13" i="12"/>
  <c r="N14" i="12" s="1"/>
  <c r="AU13" i="12"/>
  <c r="AU14" i="12" s="1"/>
  <c r="AE13" i="12"/>
  <c r="AE14" i="12" s="1"/>
  <c r="AO13" i="12"/>
  <c r="AO14" i="12" s="1"/>
  <c r="AV13" i="12"/>
  <c r="AV14" i="12" s="1"/>
  <c r="AN13" i="12"/>
  <c r="AN14" i="12" s="1"/>
  <c r="AF13" i="12"/>
  <c r="AF14" i="12" s="1"/>
  <c r="X13" i="12"/>
  <c r="X14" i="12" s="1"/>
  <c r="P13" i="12"/>
  <c r="P14" i="12" s="1"/>
  <c r="AC13" i="12"/>
  <c r="AC14" i="12" s="1"/>
  <c r="AR13" i="12"/>
  <c r="AR14" i="12" s="1"/>
  <c r="AJ13" i="12"/>
  <c r="AJ14" i="12" s="1"/>
  <c r="AB13" i="12"/>
  <c r="AB14" i="12" s="1"/>
  <c r="T13" i="12"/>
  <c r="T14" i="12" s="1"/>
  <c r="AS13" i="12"/>
  <c r="AS14" i="12" s="1"/>
  <c r="U13" i="12"/>
  <c r="U14" i="12" s="1"/>
  <c r="AQ13" i="12"/>
  <c r="AQ14" i="12" s="1"/>
  <c r="AI13" i="12"/>
  <c r="AI14" i="12" s="1"/>
  <c r="AA13" i="12"/>
  <c r="AA14" i="12" s="1"/>
  <c r="S13" i="12"/>
  <c r="S14" i="12" s="1"/>
  <c r="AK13" i="12"/>
  <c r="AK14" i="12" s="1"/>
  <c r="AX13" i="12"/>
  <c r="AX14" i="12" s="1"/>
  <c r="AP13" i="12"/>
  <c r="AP14" i="12" s="1"/>
  <c r="AH13" i="12"/>
  <c r="AH14" i="12" s="1"/>
  <c r="Z13" i="12"/>
  <c r="Z14" i="12" s="1"/>
  <c r="R13" i="12"/>
  <c r="R14" i="12" s="1"/>
  <c r="AW13" i="12"/>
  <c r="AW14" i="12" s="1"/>
  <c r="J14" i="12"/>
  <c r="C15" i="12"/>
  <c r="C16" i="12"/>
  <c r="K16" i="12" s="1"/>
  <c r="C17" i="12"/>
  <c r="K17" i="12" s="1"/>
  <c r="J13" i="11"/>
  <c r="F12" i="11"/>
  <c r="L14" i="11"/>
  <c r="D8" i="11"/>
  <c r="J15" i="11"/>
  <c r="L16" i="11"/>
  <c r="D9" i="11"/>
  <c r="H12" i="11"/>
  <c r="E11" i="9"/>
  <c r="AA4" i="9"/>
  <c r="X4" i="9"/>
  <c r="Z4" i="9" s="1"/>
  <c r="Q4" i="9"/>
  <c r="P4" i="9"/>
  <c r="Q3" i="9"/>
  <c r="W3" i="9" s="1"/>
  <c r="X3" i="9" s="1"/>
  <c r="AA3" i="9" s="1"/>
  <c r="N4" i="9"/>
  <c r="S4" i="9" s="1"/>
  <c r="T4" i="9" s="1"/>
  <c r="M3" i="9"/>
  <c r="N3" i="9" s="1"/>
  <c r="T3" i="9" s="1"/>
  <c r="E10" i="9"/>
  <c r="F9" i="9"/>
  <c r="G9" i="9" s="1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S9" i="9" s="1"/>
  <c r="T9" i="9" s="1"/>
  <c r="U9" i="9" s="1"/>
  <c r="V9" i="9" s="1"/>
  <c r="W9" i="9" s="1"/>
  <c r="X9" i="9" s="1"/>
  <c r="Y9" i="9" s="1"/>
  <c r="Y11" i="9" s="1"/>
  <c r="E44" i="4"/>
  <c r="F42" i="4"/>
  <c r="E42" i="4"/>
  <c r="F41" i="4"/>
  <c r="F44" i="4" s="1"/>
  <c r="J18" i="4"/>
  <c r="K17" i="4"/>
  <c r="K18" i="4" s="1"/>
  <c r="D8" i="4"/>
  <c r="E8" i="4"/>
  <c r="F8" i="4"/>
  <c r="C8" i="4"/>
  <c r="E29" i="17" l="1"/>
  <c r="E7" i="17"/>
  <c r="K7" i="17"/>
  <c r="E11" i="17"/>
  <c r="K11" i="17"/>
  <c r="K14" i="17"/>
  <c r="D15" i="17"/>
  <c r="K15" i="17"/>
  <c r="K19" i="17"/>
  <c r="K27" i="17"/>
  <c r="K32" i="17"/>
  <c r="K6" i="17"/>
  <c r="K5" i="17"/>
  <c r="K10" i="17"/>
  <c r="K29" i="17"/>
  <c r="K13" i="17"/>
  <c r="K23" i="17"/>
  <c r="K18" i="17"/>
  <c r="K26" i="17"/>
  <c r="K21" i="17"/>
  <c r="K31" i="17"/>
  <c r="K28" i="17"/>
  <c r="K34" i="17"/>
  <c r="K30" i="17"/>
  <c r="K9" i="17"/>
  <c r="K25" i="17"/>
  <c r="K12" i="17"/>
  <c r="K8" i="17"/>
  <c r="K17" i="17"/>
  <c r="K33" i="17"/>
  <c r="K20" i="17"/>
  <c r="K16" i="17"/>
  <c r="K22" i="17"/>
  <c r="E33" i="17"/>
  <c r="E20" i="17"/>
  <c r="E30" i="17"/>
  <c r="E19" i="17"/>
  <c r="E13" i="17"/>
  <c r="E28" i="17"/>
  <c r="E27" i="17"/>
  <c r="E8" i="17"/>
  <c r="E14" i="17"/>
  <c r="E34" i="17"/>
  <c r="E25" i="17"/>
  <c r="E21" i="17"/>
  <c r="E15" i="17"/>
  <c r="E10" i="17"/>
  <c r="E5" i="17"/>
  <c r="E16" i="17"/>
  <c r="E31" i="17"/>
  <c r="E17" i="17"/>
  <c r="E32" i="17"/>
  <c r="E18" i="17"/>
  <c r="E23" i="17"/>
  <c r="E9" i="17"/>
  <c r="E26" i="17"/>
  <c r="E12" i="17"/>
  <c r="E6" i="17"/>
  <c r="E22" i="17"/>
  <c r="K18" i="15"/>
  <c r="T6" i="15" s="1"/>
  <c r="W6" i="15" s="1"/>
  <c r="P12" i="15"/>
  <c r="O13" i="15"/>
  <c r="K20" i="12"/>
  <c r="T5" i="12" s="1"/>
  <c r="M16" i="12"/>
  <c r="M15" i="12"/>
  <c r="M17" i="12"/>
  <c r="J16" i="12"/>
  <c r="N16" i="12"/>
  <c r="AT16" i="12"/>
  <c r="AJ16" i="12"/>
  <c r="O16" i="12"/>
  <c r="W16" i="12"/>
  <c r="AE16" i="12"/>
  <c r="AM16" i="12"/>
  <c r="AU16" i="12"/>
  <c r="AH16" i="12"/>
  <c r="S16" i="12"/>
  <c r="AQ16" i="12"/>
  <c r="T16" i="12"/>
  <c r="P16" i="12"/>
  <c r="X16" i="12"/>
  <c r="AF16" i="12"/>
  <c r="AN16" i="12"/>
  <c r="AV16" i="12"/>
  <c r="Z16" i="12"/>
  <c r="AX16" i="12"/>
  <c r="AA16" i="12"/>
  <c r="AY16" i="12"/>
  <c r="AR16" i="12"/>
  <c r="Q16" i="12"/>
  <c r="Y16" i="12"/>
  <c r="AG16" i="12"/>
  <c r="AO16" i="12"/>
  <c r="AW16" i="12"/>
  <c r="R16" i="12"/>
  <c r="AP16" i="12"/>
  <c r="AI16" i="12"/>
  <c r="U16" i="12"/>
  <c r="AC16" i="12"/>
  <c r="AK16" i="12"/>
  <c r="AS16" i="12"/>
  <c r="V16" i="12"/>
  <c r="AD16" i="12"/>
  <c r="AL16" i="12"/>
  <c r="AB16" i="12"/>
  <c r="J17" i="12"/>
  <c r="X17" i="12"/>
  <c r="AN17" i="12"/>
  <c r="V17" i="12"/>
  <c r="Q17" i="12"/>
  <c r="Y17" i="12"/>
  <c r="AG17" i="12"/>
  <c r="AO17" i="12"/>
  <c r="AW17" i="12"/>
  <c r="T17" i="12"/>
  <c r="AC17" i="12"/>
  <c r="N17" i="12"/>
  <c r="AT17" i="12"/>
  <c r="R17" i="12"/>
  <c r="Z17" i="12"/>
  <c r="AH17" i="12"/>
  <c r="AP17" i="12"/>
  <c r="AX17" i="12"/>
  <c r="AB17" i="12"/>
  <c r="AR17" i="12"/>
  <c r="U17" i="12"/>
  <c r="AS17" i="12"/>
  <c r="AL17" i="12"/>
  <c r="S17" i="12"/>
  <c r="AA17" i="12"/>
  <c r="AI17" i="12"/>
  <c r="AQ17" i="12"/>
  <c r="AY17" i="12"/>
  <c r="AJ17" i="12"/>
  <c r="AK17" i="12"/>
  <c r="O17" i="12"/>
  <c r="W17" i="12"/>
  <c r="AE17" i="12"/>
  <c r="AM17" i="12"/>
  <c r="AU17" i="12"/>
  <c r="P17" i="12"/>
  <c r="AF17" i="12"/>
  <c r="AV17" i="12"/>
  <c r="AD17" i="12"/>
  <c r="J15" i="12"/>
  <c r="R15" i="12"/>
  <c r="AX15" i="12"/>
  <c r="U15" i="12"/>
  <c r="AC15" i="12"/>
  <c r="AK15" i="12"/>
  <c r="AS15" i="12"/>
  <c r="X15" i="12"/>
  <c r="AV15" i="12"/>
  <c r="Y15" i="12"/>
  <c r="AO15" i="12"/>
  <c r="AH15" i="12"/>
  <c r="N15" i="12"/>
  <c r="V15" i="12"/>
  <c r="AD15" i="12"/>
  <c r="AL15" i="12"/>
  <c r="AT15" i="12"/>
  <c r="AF15" i="12"/>
  <c r="Q15" i="12"/>
  <c r="AW15" i="12"/>
  <c r="AP15" i="12"/>
  <c r="O15" i="12"/>
  <c r="W15" i="12"/>
  <c r="AE15" i="12"/>
  <c r="AM15" i="12"/>
  <c r="AU15" i="12"/>
  <c r="AN15" i="12"/>
  <c r="P15" i="12"/>
  <c r="AG15" i="12"/>
  <c r="S15" i="12"/>
  <c r="AA15" i="12"/>
  <c r="AI15" i="12"/>
  <c r="AQ15" i="12"/>
  <c r="AY15" i="12"/>
  <c r="T15" i="12"/>
  <c r="AB15" i="12"/>
  <c r="AJ15" i="12"/>
  <c r="AR15" i="12"/>
  <c r="Z15" i="12"/>
  <c r="Z9" i="9"/>
  <c r="Z11" i="9" s="1"/>
  <c r="L11" i="9"/>
  <c r="Y10" i="9"/>
  <c r="Q10" i="9"/>
  <c r="I10" i="9"/>
  <c r="Q11" i="9"/>
  <c r="I11" i="9"/>
  <c r="L10" i="9"/>
  <c r="S11" i="9"/>
  <c r="R10" i="9"/>
  <c r="X10" i="9"/>
  <c r="P10" i="9"/>
  <c r="H10" i="9"/>
  <c r="X11" i="9"/>
  <c r="P11" i="9"/>
  <c r="H11" i="9"/>
  <c r="T10" i="9"/>
  <c r="T11" i="9"/>
  <c r="K10" i="9"/>
  <c r="K11" i="9"/>
  <c r="R11" i="9"/>
  <c r="W10" i="9"/>
  <c r="O10" i="9"/>
  <c r="G10" i="9"/>
  <c r="W11" i="9"/>
  <c r="O11" i="9"/>
  <c r="G11" i="9"/>
  <c r="J11" i="9"/>
  <c r="V10" i="9"/>
  <c r="N10" i="9"/>
  <c r="F10" i="9"/>
  <c r="V11" i="9"/>
  <c r="N11" i="9"/>
  <c r="F11" i="9"/>
  <c r="S10" i="9"/>
  <c r="J10" i="9"/>
  <c r="U10" i="9"/>
  <c r="M10" i="9"/>
  <c r="U11" i="9"/>
  <c r="M11" i="9"/>
  <c r="G41" i="4"/>
  <c r="L17" i="4"/>
  <c r="I7" i="4"/>
  <c r="C7" i="4"/>
  <c r="D7" i="4"/>
  <c r="E7" i="4"/>
  <c r="F7" i="4"/>
  <c r="T5" i="15" l="1"/>
  <c r="X6" i="15" s="1"/>
  <c r="Q12" i="15"/>
  <c r="P13" i="15"/>
  <c r="T6" i="12"/>
  <c r="T7" i="12" s="1"/>
  <c r="X6" i="12" s="1"/>
  <c r="Z10" i="9"/>
  <c r="AA9" i="9"/>
  <c r="G42" i="4"/>
  <c r="G44" i="4"/>
  <c r="H41" i="4"/>
  <c r="M17" i="4"/>
  <c r="L18" i="4"/>
  <c r="T7" i="15" l="1"/>
  <c r="R12" i="15"/>
  <c r="Q13" i="15"/>
  <c r="AA10" i="9"/>
  <c r="AA11" i="9"/>
  <c r="H44" i="4"/>
  <c r="H42" i="4"/>
  <c r="I41" i="4"/>
  <c r="N17" i="4"/>
  <c r="M18" i="4"/>
  <c r="R13" i="15" l="1"/>
  <c r="S12" i="15"/>
  <c r="J41" i="4"/>
  <c r="I42" i="4"/>
  <c r="I44" i="4"/>
  <c r="O17" i="4"/>
  <c r="N18" i="4"/>
  <c r="T12" i="15" l="1"/>
  <c r="S13" i="15"/>
  <c r="J42" i="4"/>
  <c r="K41" i="4"/>
  <c r="J44" i="4"/>
  <c r="P17" i="4"/>
  <c r="O18" i="4"/>
  <c r="U12" i="15" l="1"/>
  <c r="T13" i="15"/>
  <c r="K42" i="4"/>
  <c r="L41" i="4"/>
  <c r="K44" i="4"/>
  <c r="Q17" i="4"/>
  <c r="P18" i="4"/>
  <c r="U13" i="15" l="1"/>
  <c r="V12" i="15"/>
  <c r="L42" i="4"/>
  <c r="L44" i="4"/>
  <c r="M41" i="4"/>
  <c r="R17" i="4"/>
  <c r="Q18" i="4"/>
  <c r="V13" i="15" l="1"/>
  <c r="W12" i="15"/>
  <c r="M42" i="4"/>
  <c r="M44" i="4"/>
  <c r="N41" i="4"/>
  <c r="S17" i="4"/>
  <c r="R18" i="4"/>
  <c r="X12" i="15" l="1"/>
  <c r="W13" i="15"/>
  <c r="O41" i="4"/>
  <c r="N42" i="4"/>
  <c r="N44" i="4"/>
  <c r="T17" i="4"/>
  <c r="S18" i="4"/>
  <c r="Y12" i="15" l="1"/>
  <c r="X13" i="15"/>
  <c r="P41" i="4"/>
  <c r="O44" i="4"/>
  <c r="O42" i="4"/>
  <c r="U17" i="4"/>
  <c r="T18" i="4"/>
  <c r="Z12" i="15" l="1"/>
  <c r="Y13" i="15"/>
  <c r="P44" i="4"/>
  <c r="Q41" i="4"/>
  <c r="P42" i="4"/>
  <c r="V17" i="4"/>
  <c r="U18" i="4"/>
  <c r="AA12" i="15" l="1"/>
  <c r="Z13" i="15"/>
  <c r="R41" i="4"/>
  <c r="Q44" i="4"/>
  <c r="Q42" i="4"/>
  <c r="W17" i="4"/>
  <c r="V18" i="4"/>
  <c r="AB12" i="15" l="1"/>
  <c r="AA13" i="15"/>
  <c r="R42" i="4"/>
  <c r="R44" i="4"/>
  <c r="S41" i="4"/>
  <c r="X17" i="4"/>
  <c r="W18" i="4"/>
  <c r="AC12" i="15" l="1"/>
  <c r="AB13" i="15"/>
  <c r="S44" i="4"/>
  <c r="S42" i="4"/>
  <c r="T41" i="4"/>
  <c r="Y17" i="4"/>
  <c r="X18" i="4"/>
  <c r="AC13" i="15" l="1"/>
  <c r="AD12" i="15"/>
  <c r="T44" i="4"/>
  <c r="U41" i="4"/>
  <c r="T42" i="4"/>
  <c r="Z17" i="4"/>
  <c r="Y18" i="4"/>
  <c r="AD13" i="15" l="1"/>
  <c r="AE12" i="15"/>
  <c r="U42" i="4"/>
  <c r="U44" i="4"/>
  <c r="V41" i="4"/>
  <c r="AA17" i="4"/>
  <c r="Z18" i="4"/>
  <c r="AF12" i="15" l="1"/>
  <c r="AE13" i="15"/>
  <c r="V44" i="4"/>
  <c r="W41" i="4"/>
  <c r="V42" i="4"/>
  <c r="AB17" i="4"/>
  <c r="AA18" i="4"/>
  <c r="AG12" i="15" l="1"/>
  <c r="AF13" i="15"/>
  <c r="W42" i="4"/>
  <c r="W44" i="4"/>
  <c r="X41" i="4"/>
  <c r="AC17" i="4"/>
  <c r="AB18" i="4"/>
  <c r="AH12" i="15" l="1"/>
  <c r="AG13" i="15"/>
  <c r="X44" i="4"/>
  <c r="X42" i="4"/>
  <c r="Y41" i="4"/>
  <c r="AD17" i="4"/>
  <c r="AC18" i="4"/>
  <c r="AH13" i="15" l="1"/>
  <c r="AI12" i="15"/>
  <c r="Y44" i="4"/>
  <c r="Y42" i="4"/>
  <c r="AE17" i="4"/>
  <c r="AD18" i="4"/>
  <c r="AJ12" i="15" l="1"/>
  <c r="AI13" i="15"/>
  <c r="AF17" i="4"/>
  <c r="AE18" i="4"/>
  <c r="AK12" i="15" l="1"/>
  <c r="AJ13" i="15"/>
  <c r="AG17" i="4"/>
  <c r="AF18" i="4"/>
  <c r="AK13" i="15" l="1"/>
  <c r="AL12" i="15"/>
  <c r="AH17" i="4"/>
  <c r="AG18" i="4"/>
  <c r="AM12" i="15" l="1"/>
  <c r="AL13" i="15"/>
  <c r="AI17" i="4"/>
  <c r="AH18" i="4"/>
  <c r="AN12" i="15" l="1"/>
  <c r="AM13" i="15"/>
  <c r="AJ17" i="4"/>
  <c r="AI18" i="4"/>
  <c r="AO12" i="15" l="1"/>
  <c r="AN13" i="15"/>
  <c r="AK17" i="4"/>
  <c r="AJ18" i="4"/>
  <c r="AP12" i="15" l="1"/>
  <c r="AO13" i="15"/>
  <c r="AL17" i="4"/>
  <c r="AK18" i="4"/>
  <c r="AQ12" i="15" l="1"/>
  <c r="AP13" i="15"/>
  <c r="AM17" i="4"/>
  <c r="AL18" i="4"/>
  <c r="AR12" i="15" l="1"/>
  <c r="AQ13" i="15"/>
  <c r="AN17" i="4"/>
  <c r="AM18" i="4"/>
  <c r="AS12" i="15" l="1"/>
  <c r="AR13" i="15"/>
  <c r="AO17" i="4"/>
  <c r="AO18" i="4" s="1"/>
  <c r="AN18" i="4"/>
  <c r="K11" i="14"/>
  <c r="AS13" i="15" l="1"/>
  <c r="AT12" i="15"/>
  <c r="AT13" i="15" l="1"/>
  <c r="AU12" i="15"/>
  <c r="AV12" i="15" l="1"/>
  <c r="AU13" i="15"/>
  <c r="AW12" i="15" l="1"/>
  <c r="AV13" i="15"/>
  <c r="AW13" i="15" l="1"/>
  <c r="AX12" i="15"/>
  <c r="AY12" i="15" l="1"/>
  <c r="AY13" i="15" s="1"/>
  <c r="AX13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I13" authorId="0" shapeId="0" xr:uid="{C52A2570-9323-444D-93C5-26B4C6F49E76}">
      <text>
        <r>
          <rPr>
            <sz val="9"/>
            <color indexed="81"/>
            <rFont val="Segoe UI"/>
            <family val="2"/>
          </rPr>
          <t xml:space="preserve">Lösung der Quadratischen-Gleichung mit Mitternachtsformel
</t>
        </r>
      </text>
    </comment>
  </commentList>
</comments>
</file>

<file path=xl/sharedStrings.xml><?xml version="1.0" encoding="utf-8"?>
<sst xmlns="http://schemas.openxmlformats.org/spreadsheetml/2006/main" count="290" uniqueCount="209">
  <si>
    <t>x:</t>
  </si>
  <si>
    <t>Increment:</t>
  </si>
  <si>
    <t>Zeit t [s]</t>
  </si>
  <si>
    <t>Durchschnitt:</t>
  </si>
  <si>
    <t>Weg s [m] gemessen</t>
  </si>
  <si>
    <t>Weg-Zeit Diagramm</t>
  </si>
  <si>
    <t>Geschwindigkeit v = s/t [m/s]</t>
  </si>
  <si>
    <t>Weg s = v*t [m] gerechnet</t>
  </si>
  <si>
    <t>Step:</t>
  </si>
  <si>
    <t>Lineare Funktion y= f(x)</t>
  </si>
  <si>
    <t>Steigung:</t>
  </si>
  <si>
    <t>y-Achsenabschnitt (Bias):</t>
  </si>
  <si>
    <r>
      <t xml:space="preserve">y = </t>
    </r>
    <r>
      <rPr>
        <sz val="20"/>
        <color rgb="FFFF0000"/>
        <rFont val="Calibri"/>
        <family val="2"/>
        <scheme val="minor"/>
      </rPr>
      <t>a</t>
    </r>
    <r>
      <rPr>
        <sz val="20"/>
        <color theme="1"/>
        <rFont val="Calibri"/>
        <family val="2"/>
        <scheme val="minor"/>
      </rPr>
      <t xml:space="preserve"> * x + </t>
    </r>
    <r>
      <rPr>
        <sz val="20"/>
        <color rgb="FFFFC000"/>
        <rFont val="Calibri"/>
        <family val="2"/>
        <scheme val="minor"/>
      </rPr>
      <t>b</t>
    </r>
  </si>
  <si>
    <t xml:space="preserve">a = </t>
  </si>
  <si>
    <t xml:space="preserve">b = </t>
  </si>
  <si>
    <t>y = ax + b</t>
  </si>
  <si>
    <t>Step (inc):</t>
  </si>
  <si>
    <t>t [h]</t>
  </si>
  <si>
    <r>
      <t>Fz_1: 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t  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</si>
  <si>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[km/h]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</si>
  <si>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[km/h]</t>
    </r>
  </si>
  <si>
    <r>
      <t>Fz_2: 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t + s0  </t>
    </r>
  </si>
  <si>
    <t>s0 [km]</t>
  </si>
  <si>
    <t>Beschleunigte Bewegung</t>
  </si>
  <si>
    <t>t [s]</t>
  </si>
  <si>
    <r>
      <t>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</si>
  <si>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Beschleunigung a:</t>
  </si>
  <si>
    <t>Anfangsgeschwindigkeit v0:</t>
  </si>
  <si>
    <t>[m/s]</t>
  </si>
  <si>
    <t>v = a * t + v0</t>
  </si>
  <si>
    <t>Vertikale Hilfslinie</t>
  </si>
  <si>
    <t>Vertikale</t>
  </si>
  <si>
    <t>Senkrechte</t>
  </si>
  <si>
    <t>Senkrechte_2</t>
  </si>
  <si>
    <t>Vertikale_2</t>
  </si>
  <si>
    <t>t:</t>
  </si>
  <si>
    <r>
      <t>Beschleunigte Bewegung</t>
    </r>
    <r>
      <rPr>
        <u/>
        <sz val="16"/>
        <color theme="1"/>
        <rFont val="Calibri"/>
        <family val="2"/>
        <scheme val="minor"/>
      </rPr>
      <t xml:space="preserve"> (Kinematik II a&gt;0 und a ist konstant)</t>
    </r>
  </si>
  <si>
    <t>Geschwindigkeit</t>
  </si>
  <si>
    <t>Strecke</t>
  </si>
  <si>
    <t>Zeit</t>
  </si>
  <si>
    <t>Beschleunigung</t>
  </si>
  <si>
    <t>v [m/s]</t>
  </si>
  <si>
    <t>s [m]</t>
  </si>
  <si>
    <t>Fall</t>
  </si>
  <si>
    <t>A</t>
  </si>
  <si>
    <t>B</t>
  </si>
  <si>
    <t>C</t>
  </si>
  <si>
    <t>D</t>
  </si>
  <si>
    <t>E</t>
  </si>
  <si>
    <t>G</t>
  </si>
  <si>
    <t>F</t>
  </si>
  <si>
    <t>H</t>
  </si>
  <si>
    <t>I</t>
  </si>
  <si>
    <t>J</t>
  </si>
  <si>
    <t>Zelle formatieren</t>
  </si>
  <si>
    <t>Ctrl-1</t>
  </si>
  <si>
    <r>
      <t>s = a/2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v0*t</t>
    </r>
  </si>
  <si>
    <t>v0 = v - at</t>
  </si>
  <si>
    <t>a = (v - v0)/t</t>
  </si>
  <si>
    <t>t = (v - v0)/a</t>
  </si>
  <si>
    <r>
      <t>v = at + v</t>
    </r>
    <r>
      <rPr>
        <b/>
        <vertAlign val="subscript"/>
        <sz val="14"/>
        <color rgb="FFFFC000"/>
        <rFont val="Calibri"/>
        <family val="2"/>
        <scheme val="minor"/>
      </rPr>
      <t>0</t>
    </r>
  </si>
  <si>
    <r>
      <t>a = 2((s - v0*t)/t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>)</t>
    </r>
  </si>
  <si>
    <r>
      <t>t = (-v0 + sqrt(v0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 xml:space="preserve"> + 2as))/a</t>
    </r>
  </si>
  <si>
    <r>
      <t>s = (a/2)t</t>
    </r>
    <r>
      <rPr>
        <b/>
        <vertAlign val="superscript"/>
        <sz val="11"/>
        <color theme="5" tint="-0.249977111117893"/>
        <rFont val="Calibri"/>
        <family val="2"/>
        <scheme val="minor"/>
      </rPr>
      <t>2</t>
    </r>
    <r>
      <rPr>
        <b/>
        <sz val="11"/>
        <color theme="5" tint="-0.249977111117893"/>
        <rFont val="Calibri"/>
        <family val="2"/>
        <scheme val="minor"/>
      </rPr>
      <t xml:space="preserve"> + v</t>
    </r>
    <r>
      <rPr>
        <b/>
        <vertAlign val="subscript"/>
        <sz val="11"/>
        <color theme="5" tint="-0.249977111117893"/>
        <rFont val="Calibri"/>
        <family val="2"/>
        <scheme val="minor"/>
      </rPr>
      <t>0</t>
    </r>
    <r>
      <rPr>
        <b/>
        <sz val="11"/>
        <color theme="5" tint="-0.249977111117893"/>
        <rFont val="Calibri"/>
        <family val="2"/>
        <scheme val="minor"/>
      </rPr>
      <t>t</t>
    </r>
    <r>
      <rPr>
        <b/>
        <sz val="14"/>
        <color theme="5" tint="-0.249977111117893"/>
        <rFont val="Calibri"/>
        <family val="2"/>
        <scheme val="minor"/>
      </rPr>
      <t xml:space="preserve"> 
s = (v0+v)*t/2</t>
    </r>
  </si>
  <si>
    <r>
      <t>v0 = (s - (a/2)t</t>
    </r>
    <r>
      <rPr>
        <vertAlign val="superscript"/>
        <sz val="11"/>
        <color theme="5" tint="-0.249977111117893"/>
        <rFont val="Calibri"/>
        <family val="2"/>
        <scheme val="minor"/>
      </rPr>
      <t>2</t>
    </r>
    <r>
      <rPr>
        <sz val="11"/>
        <color theme="5" tint="-0.249977111117893"/>
        <rFont val="Calibri"/>
        <family val="2"/>
        <scheme val="minor"/>
      </rPr>
      <t>)/t
v0 = (2s/t) - v</t>
    </r>
  </si>
  <si>
    <r>
      <t>a 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</si>
  <si>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y</t>
    </r>
    <r>
      <rPr>
        <vertAlign val="subscript"/>
        <sz val="11"/>
        <color theme="1"/>
        <rFont val="Calibri"/>
        <family val="2"/>
        <scheme val="minor"/>
      </rPr>
      <t>Resultierend</t>
    </r>
    <r>
      <rPr>
        <sz val="11"/>
        <color theme="1"/>
        <rFont val="Calibri"/>
        <family val="2"/>
        <scheme val="minor"/>
      </rPr>
      <t xml:space="preserve"> = y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= </t>
    </r>
  </si>
  <si>
    <t>y = a * sin(b*x + c)</t>
  </si>
  <si>
    <t>Fourierreihe</t>
  </si>
  <si>
    <t xml:space="preserve">phi [rad] = </t>
  </si>
  <si>
    <t xml:space="preserve">phi [°] = </t>
  </si>
  <si>
    <t>Show</t>
  </si>
  <si>
    <t>Ja</t>
  </si>
  <si>
    <t>Nein</t>
  </si>
  <si>
    <t>a
Amplitude</t>
  </si>
  <si>
    <t>b
Frequenz</t>
  </si>
  <si>
    <t>Hilfslinie:</t>
  </si>
  <si>
    <t>c
Phasenlage [rad]</t>
  </si>
  <si>
    <t>c
Phasenlage
[°]</t>
  </si>
  <si>
    <t xml:space="preserve">Min = </t>
  </si>
  <si>
    <t xml:space="preserve">Max = </t>
  </si>
  <si>
    <t xml:space="preserve">Amplitude = </t>
  </si>
  <si>
    <t>v=s/t + at/2</t>
  </si>
  <si>
    <r>
      <t>s = vt - at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/2</t>
    </r>
  </si>
  <si>
    <r>
      <t>t = (v -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- 2as))/a</t>
    </r>
  </si>
  <si>
    <t>a = 2/t * (v - s/t)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</si>
  <si>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</t>
    </r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</si>
  <si>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2s/t - v</t>
    </r>
  </si>
  <si>
    <r>
      <t>v = sqrt(v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+ 2as)</t>
    </r>
  </si>
  <si>
    <r>
      <t>v = 2s/t - v</t>
    </r>
    <r>
      <rPr>
        <vertAlign val="subscript"/>
        <sz val="11"/>
        <color theme="1"/>
        <rFont val="Calibri"/>
        <family val="2"/>
        <scheme val="minor"/>
      </rPr>
      <t>0</t>
    </r>
  </si>
  <si>
    <r>
      <t>s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)/2a</t>
    </r>
  </si>
  <si>
    <r>
      <t>s = 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v)t/2</t>
    </r>
  </si>
  <si>
    <r>
      <t>t = 2s/(v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</t>
    </r>
  </si>
  <si>
    <r>
      <t>a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)/2s</t>
    </r>
  </si>
  <si>
    <t>Anfangs-Geschwindigkeit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</si>
  <si>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[m/s]</t>
    </r>
  </si>
  <si>
    <t>Winkelbeschleunigung</t>
  </si>
  <si>
    <t>Anfangs-Winkelgeschwindigkeit</t>
  </si>
  <si>
    <t>Winkelgeschwindigkeit</t>
  </si>
  <si>
    <t>Winkel</t>
  </si>
  <si>
    <t>φ [rad]</t>
  </si>
  <si>
    <r>
      <t>α [rad/s</t>
    </r>
    <r>
      <rPr>
        <vertAlign val="superscript"/>
        <sz val="11"/>
        <color theme="1"/>
        <rFont val="Aptos Narrow"/>
        <family val="2"/>
      </rPr>
      <t>2</t>
    </r>
    <r>
      <rPr>
        <sz val="11"/>
        <color theme="1"/>
        <rFont val="Aptos Narrow"/>
        <family val="2"/>
      </rPr>
      <t>]</t>
    </r>
  </si>
  <si>
    <t>ω [rad/s]</t>
  </si>
  <si>
    <r>
      <t>ω</t>
    </r>
    <r>
      <rPr>
        <vertAlign val="subscript"/>
        <sz val="11"/>
        <color theme="1"/>
        <rFont val="Aptos Narrow"/>
        <family val="2"/>
      </rPr>
      <t>0</t>
    </r>
    <r>
      <rPr>
        <sz val="11"/>
        <color theme="1"/>
        <rFont val="Aptos Narrow"/>
        <family val="2"/>
      </rPr>
      <t xml:space="preserve"> [rad/s]</t>
    </r>
  </si>
  <si>
    <t>gegeben</t>
  </si>
  <si>
    <t>--</t>
  </si>
  <si>
    <t>Inhaltsverzeichnis</t>
  </si>
  <si>
    <t>Kinematik 1</t>
  </si>
  <si>
    <t>Kinematik_2</t>
  </si>
  <si>
    <t>Kinematik 2 Berechnungen</t>
  </si>
  <si>
    <t>Fouirierreihe</t>
  </si>
  <si>
    <t>Flächenberechnungen</t>
  </si>
  <si>
    <t>Quadrat</t>
  </si>
  <si>
    <t>Rechteck</t>
  </si>
  <si>
    <t>s (Seite) [m]</t>
  </si>
  <si>
    <t>d (Diagonale) [m]</t>
  </si>
  <si>
    <r>
      <t>A (Fläche) [m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</si>
  <si>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U (Umfang) [m]</t>
  </si>
  <si>
    <t>l (Länge) [m]</t>
  </si>
  <si>
    <t>b (Breite) [m]</t>
  </si>
  <si>
    <t>Kreis</t>
  </si>
  <si>
    <t>r (Radius)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</si>
  <si>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(Zentriwinkel) [°]</t>
    </r>
  </si>
  <si>
    <t>d (Durchmesser)</t>
  </si>
  <si>
    <t>b (Bogenlänge Sektor)</t>
  </si>
  <si>
    <r>
      <t>A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</si>
  <si>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U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</si>
  <si>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A</t>
    </r>
    <r>
      <rPr>
        <vertAlign val="subscript"/>
        <sz val="11"/>
        <color theme="1"/>
        <rFont val="Calibri"/>
        <family val="2"/>
        <scheme val="minor"/>
      </rPr>
      <t>sektor</t>
    </r>
  </si>
  <si>
    <t>Schein- / Blind-Leistung</t>
  </si>
  <si>
    <t>Scheinleistung</t>
  </si>
  <si>
    <t xml:space="preserve">Leistung P = U *I = </t>
  </si>
  <si>
    <t>Rechtwinkliges Dreieck</t>
  </si>
  <si>
    <t>c (Hypothenuse)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</si>
  <si>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[°]</t>
    </r>
  </si>
  <si>
    <r>
      <rPr>
        <sz val="9.35"/>
        <color theme="1"/>
        <rFont val="Aptos Narrow"/>
        <family val="2"/>
      </rPr>
      <t>β</t>
    </r>
    <r>
      <rPr>
        <sz val="9.35"/>
        <color theme="1"/>
        <rFont val="Calibri"/>
        <family val="2"/>
      </rPr>
      <t xml:space="preserve"> [°]</t>
    </r>
  </si>
  <si>
    <r>
      <t xml:space="preserve">b (Ankathete zu </t>
    </r>
    <r>
      <rPr>
        <sz val="11"/>
        <color theme="1"/>
        <rFont val="Aptos Narrow"/>
        <family val="2"/>
      </rPr>
      <t>α)</t>
    </r>
  </si>
  <si>
    <r>
      <t xml:space="preserve">a (Gegenkathete zu </t>
    </r>
    <r>
      <rPr>
        <sz val="11"/>
        <color theme="1"/>
        <rFont val="Aptos Narrow"/>
        <family val="2"/>
      </rPr>
      <t>α)</t>
    </r>
  </si>
  <si>
    <t>A (Fläche)</t>
  </si>
  <si>
    <t>Einheiten umrechnen</t>
  </si>
  <si>
    <t>Temperatur</t>
  </si>
  <si>
    <t>Frau</t>
  </si>
  <si>
    <t>Brigitte</t>
  </si>
  <si>
    <t>Herr</t>
  </si>
  <si>
    <t>Hans</t>
  </si>
  <si>
    <t>Bruhin</t>
  </si>
  <si>
    <t>02.01.1987</t>
  </si>
  <si>
    <t>Dominik</t>
  </si>
  <si>
    <t>Hüppin</t>
  </si>
  <si>
    <t>Werner</t>
  </si>
  <si>
    <t>Nadja</t>
  </si>
  <si>
    <t>02.01.1992</t>
  </si>
  <si>
    <t>Christian</t>
  </si>
  <si>
    <t>06.01.1988</t>
  </si>
  <si>
    <t>Daniel</t>
  </si>
  <si>
    <t>Schnellmann</t>
  </si>
  <si>
    <t>07.01.1976</t>
  </si>
  <si>
    <t>Yvonne</t>
  </si>
  <si>
    <t>09.01.1965</t>
  </si>
  <si>
    <t>Rita</t>
  </si>
  <si>
    <t>Maria</t>
  </si>
  <si>
    <t>09.01.1958</t>
  </si>
  <si>
    <t>Xaver</t>
  </si>
  <si>
    <t>10.01.1997</t>
  </si>
  <si>
    <t>Beda</t>
  </si>
  <si>
    <t>Meinrad</t>
  </si>
  <si>
    <t>Hansjörg</t>
  </si>
  <si>
    <t>11.01.1964</t>
  </si>
  <si>
    <t>Marlise</t>
  </si>
  <si>
    <t>Theres</t>
  </si>
  <si>
    <t>11.01.1983</t>
  </si>
  <si>
    <t>Roman</t>
  </si>
  <si>
    <t>Brigitta</t>
  </si>
  <si>
    <t>Markus</t>
  </si>
  <si>
    <t>Josef</t>
  </si>
  <si>
    <t>Farit</t>
  </si>
  <si>
    <t>14.01.1960</t>
  </si>
  <si>
    <t>Armin</t>
  </si>
  <si>
    <t>Marlen</t>
  </si>
  <si>
    <t>15.01.1980</t>
  </si>
  <si>
    <t>Martin</t>
  </si>
  <si>
    <t>Vogt</t>
  </si>
  <si>
    <t>Ueli</t>
  </si>
  <si>
    <t>Edith</t>
  </si>
  <si>
    <t>Loris</t>
  </si>
  <si>
    <t>Brändle-Schnellmann</t>
  </si>
  <si>
    <t>Heiz-Schnellmann</t>
  </si>
  <si>
    <t>Diethelm-Schnellmann</t>
  </si>
  <si>
    <t>Mächler-Badat</t>
  </si>
  <si>
    <t>Bruhin-Niedermeier</t>
  </si>
  <si>
    <t>Hungerbühler-Vogt</t>
  </si>
  <si>
    <t>Schnellmann-Schuster</t>
  </si>
  <si>
    <t>Bruhin-Schnellmann</t>
  </si>
  <si>
    <t>Bruhin-Wichert</t>
  </si>
  <si>
    <t>Müller</t>
  </si>
  <si>
    <t>Horvath-Vogt</t>
  </si>
  <si>
    <t>Schättin</t>
  </si>
  <si>
    <t>Hüppin-Gyr</t>
  </si>
  <si>
    <t>Widrig-Vogt</t>
  </si>
  <si>
    <t>Geburtstagsliste</t>
  </si>
  <si>
    <t>Geburtsdatum</t>
  </si>
  <si>
    <t>Geschlecht</t>
  </si>
  <si>
    <t>Vorname</t>
  </si>
  <si>
    <t>Familienname</t>
  </si>
  <si>
    <t>Already had birthday this year</t>
  </si>
  <si>
    <t>Heute:</t>
  </si>
  <si>
    <t>Sorter</t>
  </si>
  <si>
    <t>Alter
aktuell</t>
  </si>
  <si>
    <t>Alter in 
diesem Jahr</t>
  </si>
  <si>
    <t>Nächster Geburtstag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</si>
</sst>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0000"/>
    <numFmt numFmtId="165" formatCode="#,##0.000000000"/>
    <numFmt numFmtId="166" formatCode="#,##0.0000000"/>
    <numFmt numFmtId="167" formatCode="dd/mm"/>
    <numFmt numFmtId="168" formatCode="ddd\ dd/mm/yyyy"/>
  </numFmts>
  <fonts count="3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20"/>
      <color rgb="FFFFC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vertAlign val="subscript"/>
      <sz val="14"/>
      <color rgb="FFFFC00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vertAlign val="superscript"/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vertAlign val="subscript"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vertAlign val="superscript"/>
      <sz val="11"/>
      <color theme="5" tint="-0.249977111117893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Segoe UI"/>
      <family val="2"/>
    </font>
    <font>
      <b/>
      <sz val="1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1"/>
      <color theme="1"/>
      <name val="Aptos Narrow"/>
      <family val="2"/>
    </font>
    <font>
      <vertAlign val="subscript"/>
      <sz val="11"/>
      <color theme="1"/>
      <name val="Aptos Narrow"/>
      <family val="2"/>
    </font>
    <font>
      <vertAlign val="superscript"/>
      <sz val="11"/>
      <color theme="1"/>
      <name val="Aptos Narrow"/>
      <family val="2"/>
    </font>
    <font>
      <b/>
      <u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.35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Aptos Narrow"/>
      <family val="2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158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4" xfId="0" applyBorder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Alignment="1">
      <alignment horizontal="right"/>
    </xf>
    <xf numFmtId="0" fontId="5" fillId="0" borderId="8" xfId="0" applyFont="1" applyBorder="1"/>
    <xf numFmtId="0" fontId="5" fillId="0" borderId="9" xfId="0" applyFont="1" applyBorder="1" applyAlignment="1">
      <alignment horizontal="right"/>
    </xf>
    <xf numFmtId="0" fontId="0" fillId="2" borderId="9" xfId="0" applyFill="1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2" borderId="17" xfId="0" applyFill="1" applyBorder="1"/>
    <xf numFmtId="0" fontId="9" fillId="0" borderId="0" xfId="0" applyFont="1"/>
    <xf numFmtId="0" fontId="0" fillId="2" borderId="19" xfId="0" applyFill="1" applyBorder="1"/>
    <xf numFmtId="0" fontId="0" fillId="0" borderId="12" xfId="0" applyBorder="1"/>
    <xf numFmtId="0" fontId="0" fillId="2" borderId="20" xfId="0" applyFill="1" applyBorder="1"/>
    <xf numFmtId="0" fontId="0" fillId="0" borderId="14" xfId="0" applyBorder="1"/>
    <xf numFmtId="0" fontId="0" fillId="4" borderId="2" xfId="0" applyFill="1" applyBorder="1"/>
    <xf numFmtId="0" fontId="0" fillId="4" borderId="18" xfId="0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7" fillId="0" borderId="1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0" xfId="0" applyNumberFormat="1"/>
    <xf numFmtId="0" fontId="0" fillId="5" borderId="2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2" fontId="0" fillId="2" borderId="2" xfId="0" applyNumberFormat="1" applyFill="1" applyBorder="1" applyAlignment="1">
      <alignment horizontal="center"/>
    </xf>
    <xf numFmtId="0" fontId="0" fillId="0" borderId="37" xfId="0" applyBorder="1" applyAlignment="1">
      <alignment horizontal="right" vertical="center"/>
    </xf>
    <xf numFmtId="0" fontId="23" fillId="0" borderId="0" xfId="0" applyFont="1"/>
    <xf numFmtId="0" fontId="0" fillId="0" borderId="28" xfId="0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2" fontId="0" fillId="0" borderId="15" xfId="0" applyNumberFormat="1" applyBorder="1"/>
    <xf numFmtId="2" fontId="0" fillId="0" borderId="2" xfId="0" applyNumberFormat="1" applyBorder="1"/>
    <xf numFmtId="2" fontId="0" fillId="0" borderId="0" xfId="0" applyNumberFormat="1" applyAlignment="1">
      <alignment horizontal="center"/>
    </xf>
    <xf numFmtId="0" fontId="0" fillId="4" borderId="2" xfId="0" applyFill="1" applyBorder="1" applyAlignment="1">
      <alignment horizontal="right" vertical="center"/>
    </xf>
    <xf numFmtId="0" fontId="0" fillId="9" borderId="2" xfId="0" applyFill="1" applyBorder="1" applyAlignment="1">
      <alignment horizontal="right" vertical="center"/>
    </xf>
    <xf numFmtId="0" fontId="0" fillId="8" borderId="2" xfId="0" applyFill="1" applyBorder="1" applyAlignment="1">
      <alignment horizontal="right" vertical="center"/>
    </xf>
    <xf numFmtId="0" fontId="0" fillId="7" borderId="2" xfId="0" applyFill="1" applyBorder="1" applyAlignment="1">
      <alignment horizontal="right" vertical="center"/>
    </xf>
    <xf numFmtId="0" fontId="0" fillId="6" borderId="2" xfId="0" applyFill="1" applyBorder="1" applyAlignment="1">
      <alignment horizontal="right" vertical="center"/>
    </xf>
    <xf numFmtId="0" fontId="0" fillId="4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10" borderId="15" xfId="0" applyNumberFormat="1" applyFill="1" applyBorder="1" applyAlignment="1">
      <alignment vertical="center"/>
    </xf>
    <xf numFmtId="2" fontId="0" fillId="10" borderId="15" xfId="0" applyNumberFormat="1" applyFill="1" applyBorder="1" applyAlignment="1">
      <alignment horizontal="center" vertical="center"/>
    </xf>
    <xf numFmtId="2" fontId="0" fillId="9" borderId="15" xfId="0" applyNumberFormat="1" applyFill="1" applyBorder="1" applyAlignment="1">
      <alignment horizontal="center" vertical="center"/>
    </xf>
    <xf numFmtId="2" fontId="0" fillId="8" borderId="15" xfId="0" applyNumberFormat="1" applyFill="1" applyBorder="1" applyAlignment="1">
      <alignment horizontal="center" vertical="center"/>
    </xf>
    <xf numFmtId="2" fontId="0" fillId="7" borderId="15" xfId="0" applyNumberFormat="1" applyFill="1" applyBorder="1" applyAlignment="1">
      <alignment horizontal="center" vertical="center"/>
    </xf>
    <xf numFmtId="2" fontId="0" fillId="6" borderId="1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0" fontId="0" fillId="10" borderId="2" xfId="0" applyFill="1" applyBorder="1" applyAlignment="1">
      <alignment horizontal="right" vertical="center"/>
    </xf>
    <xf numFmtId="2" fontId="0" fillId="11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quotePrefix="1"/>
    <xf numFmtId="0" fontId="0" fillId="2" borderId="0" xfId="0" applyFill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7" fillId="0" borderId="0" xfId="0" applyFont="1"/>
    <xf numFmtId="14" fontId="0" fillId="0" borderId="0" xfId="0" applyNumberFormat="1"/>
    <xf numFmtId="0" fontId="28" fillId="0" borderId="0" xfId="1"/>
    <xf numFmtId="0" fontId="29" fillId="0" borderId="0" xfId="0" applyFont="1"/>
    <xf numFmtId="0" fontId="0" fillId="12" borderId="2" xfId="0" applyFill="1" applyBorder="1"/>
    <xf numFmtId="4" fontId="0" fillId="0" borderId="2" xfId="0" applyNumberFormat="1" applyBorder="1"/>
    <xf numFmtId="4" fontId="0" fillId="2" borderId="2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31" fillId="5" borderId="2" xfId="0" applyFont="1" applyFill="1" applyBorder="1" applyAlignment="1">
      <alignment horizontal="right" vertical="center"/>
    </xf>
    <xf numFmtId="2" fontId="31" fillId="5" borderId="15" xfId="0" applyNumberFormat="1" applyFont="1" applyFill="1" applyBorder="1" applyAlignment="1">
      <alignment horizontal="center" vertical="center"/>
    </xf>
    <xf numFmtId="0" fontId="31" fillId="5" borderId="15" xfId="0" applyFont="1" applyFill="1" applyBorder="1" applyAlignment="1">
      <alignment horizontal="center" vertical="center"/>
    </xf>
    <xf numFmtId="0" fontId="0" fillId="13" borderId="2" xfId="0" applyFill="1" applyBorder="1" applyAlignment="1">
      <alignment horizontal="right" vertical="center"/>
    </xf>
    <xf numFmtId="2" fontId="0" fillId="13" borderId="2" xfId="0" applyNumberForma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0" xfId="0" applyFill="1"/>
    <xf numFmtId="165" fontId="0" fillId="3" borderId="2" xfId="0" applyNumberFormat="1" applyFill="1" applyBorder="1"/>
    <xf numFmtId="0" fontId="32" fillId="12" borderId="2" xfId="0" applyFont="1" applyFill="1" applyBorder="1"/>
    <xf numFmtId="0" fontId="30" fillId="12" borderId="2" xfId="0" applyFont="1" applyFill="1" applyBorder="1"/>
    <xf numFmtId="166" fontId="0" fillId="3" borderId="2" xfId="0" applyNumberFormat="1" applyFill="1" applyBorder="1"/>
    <xf numFmtId="4" fontId="0" fillId="5" borderId="2" xfId="0" applyNumberFormat="1" applyFill="1" applyBorder="1"/>
    <xf numFmtId="0" fontId="28" fillId="0" borderId="0" xfId="1" applyFill="1"/>
    <xf numFmtId="0" fontId="34" fillId="0" borderId="0" xfId="0" applyFont="1"/>
    <xf numFmtId="168" fontId="35" fillId="0" borderId="0" xfId="0" applyNumberFormat="1" applyFont="1" applyAlignment="1">
      <alignment horizontal="left" vertical="center"/>
    </xf>
    <xf numFmtId="0" fontId="0" fillId="10" borderId="2" xfId="0" applyFill="1" applyBorder="1"/>
    <xf numFmtId="167" fontId="0" fillId="0" borderId="2" xfId="0" applyNumberFormat="1" applyBorder="1"/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168" fontId="0" fillId="0" borderId="2" xfId="0" applyNumberFormat="1" applyBorder="1"/>
    <xf numFmtId="0" fontId="0" fillId="10" borderId="2" xfId="0" applyFill="1" applyBorder="1" applyAlignment="1">
      <alignment horizontal="center" wrapText="1"/>
    </xf>
    <xf numFmtId="0" fontId="0" fillId="4" borderId="2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4" borderId="13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4" borderId="1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23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4" borderId="33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4" borderId="29" xfId="0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4" borderId="35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19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10" borderId="2" xfId="0" applyFont="1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2">
    <cellStyle name="Link" xfId="1" builtinId="8"/>
    <cellStyle name="Standard" xfId="0" builtinId="0"/>
  </cellStyles>
  <dxfs count="1">
    <dxf>
      <font>
        <color theme="5" tint="-0.24994659260841701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465714040043902E-2"/>
          <c:y val="4.6025104602510462E-2"/>
          <c:w val="0.90531900207224802"/>
          <c:h val="0.856911013738345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Kinematik_1!$B$5</c:f>
              <c:strCache>
                <c:ptCount val="1"/>
                <c:pt idx="0">
                  <c:v>Weg s [m] gemessen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4-49E4-8CED-60D4545B8694}"/>
            </c:ext>
          </c:extLst>
        </c:ser>
        <c:ser>
          <c:idx val="1"/>
          <c:order val="1"/>
          <c:tx>
            <c:strRef>
              <c:f>Kinematik_1!$B$8</c:f>
              <c:strCache>
                <c:ptCount val="1"/>
                <c:pt idx="0">
                  <c:v>Weg s = v*t [m] gerechnet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Kinematik_1!$C$8:$F$8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4-49E4-8CED-60D4545B8694}"/>
            </c:ext>
          </c:extLst>
        </c:ser>
        <c:ser>
          <c:idx val="2"/>
          <c:order val="2"/>
          <c:tx>
            <c:strRef>
              <c:f>Kinematik_1!$I$18</c:f>
              <c:strCache>
                <c:ptCount val="1"/>
                <c:pt idx="0">
                  <c:v>y = ax + b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Kinematik_1!$J$17:$AO$17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Kinematik_1!$J$18:$AO$18</c:f>
              <c:numCache>
                <c:formatCode>General</c:formatCode>
                <c:ptCount val="32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  <c:pt idx="5">
                  <c:v>-2.5</c:v>
                </c:pt>
                <c:pt idx="6">
                  <c:v>-5</c:v>
                </c:pt>
                <c:pt idx="7">
                  <c:v>-7.5</c:v>
                </c:pt>
                <c:pt idx="8">
                  <c:v>-10</c:v>
                </c:pt>
                <c:pt idx="9">
                  <c:v>-12.5</c:v>
                </c:pt>
                <c:pt idx="10">
                  <c:v>-15</c:v>
                </c:pt>
                <c:pt idx="11">
                  <c:v>-17.5</c:v>
                </c:pt>
                <c:pt idx="12">
                  <c:v>-20</c:v>
                </c:pt>
                <c:pt idx="13">
                  <c:v>-22.5</c:v>
                </c:pt>
                <c:pt idx="14">
                  <c:v>-25</c:v>
                </c:pt>
                <c:pt idx="15">
                  <c:v>-27.5</c:v>
                </c:pt>
                <c:pt idx="16">
                  <c:v>-30</c:v>
                </c:pt>
                <c:pt idx="17">
                  <c:v>-32.5</c:v>
                </c:pt>
                <c:pt idx="18">
                  <c:v>-35</c:v>
                </c:pt>
                <c:pt idx="19">
                  <c:v>-37.5</c:v>
                </c:pt>
                <c:pt idx="20">
                  <c:v>-40</c:v>
                </c:pt>
                <c:pt idx="21">
                  <c:v>-42.5</c:v>
                </c:pt>
                <c:pt idx="22">
                  <c:v>-45</c:v>
                </c:pt>
                <c:pt idx="23">
                  <c:v>-47.5</c:v>
                </c:pt>
                <c:pt idx="24">
                  <c:v>-50</c:v>
                </c:pt>
                <c:pt idx="25">
                  <c:v>-52.5</c:v>
                </c:pt>
                <c:pt idx="26">
                  <c:v>-55</c:v>
                </c:pt>
                <c:pt idx="27">
                  <c:v>-57.5</c:v>
                </c:pt>
                <c:pt idx="28">
                  <c:v>-60</c:v>
                </c:pt>
                <c:pt idx="29">
                  <c:v>-62.5</c:v>
                </c:pt>
                <c:pt idx="30">
                  <c:v>-65</c:v>
                </c:pt>
                <c:pt idx="31">
                  <c:v>-67.5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6-4E7C-99EF-90C15DD1E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164415"/>
        <c:axId val="866161535"/>
      </c:scatterChart>
      <c:valAx>
        <c:axId val="8661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1535"/>
        <c:crosses val="autoZero"/>
        <c:crossBetween val="midCat"/>
      </c:valAx>
      <c:valAx>
        <c:axId val="8661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4-42EA-895E-E3188ED26C61}"/>
            </c:ext>
          </c:extLst>
        </c:ser>
        <c:ser>
          <c:idx val="1"/>
          <c:order val="1"/>
          <c:tx>
            <c:strRef>
              <c:f>Kinematik_1!$B$44</c:f>
              <c:strCache>
                <c:ptCount val="1"/>
                <c:pt idx="0">
                  <c:v>Fz_2: s2 = v2 * t + s0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Kinematik_1!$E$44:$Y$44</c:f>
              <c:numCache>
                <c:formatCode>General</c:formatCode>
                <c:ptCount val="21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63.999999999999993</c:v>
                </c:pt>
                <c:pt idx="19">
                  <c:v>61.999999999999986</c:v>
                </c:pt>
                <c:pt idx="20">
                  <c:v>59.999999999999993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34-42EA-895E-E3188ED26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82511"/>
        <c:axId val="1515505071"/>
      </c:scatterChart>
      <c:valAx>
        <c:axId val="151548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505071"/>
        <c:crosses val="autoZero"/>
        <c:crossBetween val="midCat"/>
      </c:valAx>
      <c:valAx>
        <c:axId val="15155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48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Geschwindigkeit-Zeit</a:t>
            </a:r>
            <a:r>
              <a:rPr lang="de-CH" baseline="0"/>
              <a:t> Diagramm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Kinematik_2!$C$10</c:f>
              <c:strCache>
                <c:ptCount val="1"/>
                <c:pt idx="0">
                  <c:v>v = a * t + v0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Kinematik_2!$E$10:$Y$10</c:f>
              <c:numCache>
                <c:formatCode>General</c:formatCod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BB-4B4D-883F-3319D7F46756}"/>
            </c:ext>
          </c:extLst>
        </c:ser>
        <c:ser>
          <c:idx val="1"/>
          <c:order val="1"/>
          <c:tx>
            <c:strRef>
              <c:f>Kinematik_2!$M$2</c:f>
              <c:strCache>
                <c:ptCount val="1"/>
                <c:pt idx="0">
                  <c:v>Senkrechte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Kinematik_2!$M$3:$N$3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Kinematik_2!$M$4:$N$4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BB-4B4D-883F-3319D7F46756}"/>
            </c:ext>
          </c:extLst>
        </c:ser>
        <c:ser>
          <c:idx val="2"/>
          <c:order val="2"/>
          <c:tx>
            <c:strRef>
              <c:f>Kinematik_2!$P$2</c:f>
              <c:strCache>
                <c:ptCount val="1"/>
                <c:pt idx="0">
                  <c:v>Vertikale Hilfslinie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Kinematik_2!$P$3:$Q$3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Kinematik_2!$P$4:$Q$4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BB-4B4D-883F-3319D7F46756}"/>
            </c:ext>
          </c:extLst>
        </c:ser>
        <c:ser>
          <c:idx val="3"/>
          <c:order val="3"/>
          <c:tx>
            <c:strRef>
              <c:f>Kinematik_2!$S$2</c:f>
              <c:strCache>
                <c:ptCount val="1"/>
                <c:pt idx="0">
                  <c:v>Vertikale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Kinematik_2!$S$3:$T$3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Kinematik_2!$S$4:$T$4</c:f>
              <c:numCache>
                <c:formatCode>General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0-4E87-B567-157405C2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05664"/>
        <c:axId val="1130406144"/>
      </c:scatterChart>
      <c:valAx>
        <c:axId val="113040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6144"/>
        <c:crosses val="autoZero"/>
        <c:crossBetween val="midCat"/>
      </c:valAx>
      <c:valAx>
        <c:axId val="11304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Geschwindigkeit v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Weg-Zeit Diagramm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Kinematik_2!$C$11</c:f>
              <c:strCache>
                <c:ptCount val="1"/>
                <c:pt idx="0">
                  <c:v>s = a/2 * t2 + v0*t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Kinematik_2!$E$11:$Y$11</c:f>
              <c:numCache>
                <c:formatCode>General</c:formatCode>
                <c:ptCount val="21"/>
                <c:pt idx="0">
                  <c:v>0</c:v>
                </c:pt>
                <c:pt idx="1">
                  <c:v>11</c:v>
                </c:pt>
                <c:pt idx="2">
                  <c:v>24</c:v>
                </c:pt>
                <c:pt idx="3">
                  <c:v>39</c:v>
                </c:pt>
                <c:pt idx="4">
                  <c:v>56</c:v>
                </c:pt>
                <c:pt idx="5">
                  <c:v>75</c:v>
                </c:pt>
                <c:pt idx="6">
                  <c:v>96</c:v>
                </c:pt>
                <c:pt idx="7">
                  <c:v>119</c:v>
                </c:pt>
                <c:pt idx="8">
                  <c:v>144</c:v>
                </c:pt>
                <c:pt idx="9">
                  <c:v>171</c:v>
                </c:pt>
                <c:pt idx="10">
                  <c:v>200</c:v>
                </c:pt>
                <c:pt idx="11">
                  <c:v>231</c:v>
                </c:pt>
                <c:pt idx="12">
                  <c:v>264</c:v>
                </c:pt>
                <c:pt idx="13">
                  <c:v>299</c:v>
                </c:pt>
                <c:pt idx="14">
                  <c:v>336</c:v>
                </c:pt>
                <c:pt idx="15">
                  <c:v>375</c:v>
                </c:pt>
                <c:pt idx="16">
                  <c:v>416</c:v>
                </c:pt>
                <c:pt idx="17">
                  <c:v>459</c:v>
                </c:pt>
                <c:pt idx="18">
                  <c:v>504</c:v>
                </c:pt>
                <c:pt idx="19">
                  <c:v>551</c:v>
                </c:pt>
                <c:pt idx="2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0D-4EC4-B2CF-F9F2CB1F2A6C}"/>
            </c:ext>
          </c:extLst>
        </c:ser>
        <c:ser>
          <c:idx val="1"/>
          <c:order val="1"/>
          <c:tx>
            <c:strRef>
              <c:f>Kinematik_2!$W$2</c:f>
              <c:strCache>
                <c:ptCount val="1"/>
                <c:pt idx="0">
                  <c:v>Senkrechte_2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Kinematik_2!$W$3:$X$3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Kinematik_2!$W$4:$X$4</c:f>
              <c:numCache>
                <c:formatCode>General</c:formatCode>
                <c:ptCount val="2"/>
                <c:pt idx="0">
                  <c:v>0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34-4A3D-AC4F-58A3941EEC57}"/>
            </c:ext>
          </c:extLst>
        </c:ser>
        <c:ser>
          <c:idx val="2"/>
          <c:order val="2"/>
          <c:tx>
            <c:strRef>
              <c:f>Kinematik_2!$Z$2</c:f>
              <c:strCache>
                <c:ptCount val="1"/>
                <c:pt idx="0">
                  <c:v>Vertikale_2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Kinematik_2!$Z$3:$AA$3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Kinematik_2!$Z$4:$AA$4</c:f>
              <c:numCache>
                <c:formatCode>General</c:formatCode>
                <c:ptCount val="2"/>
                <c:pt idx="0">
                  <c:v>119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4-4A3D-AC4F-58A3941EE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84816"/>
        <c:axId val="631581936"/>
      </c:scatterChart>
      <c:valAx>
        <c:axId val="6315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1936"/>
        <c:crosses val="autoZero"/>
        <c:crossBetween val="midCat"/>
      </c:valAx>
      <c:valAx>
        <c:axId val="6315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Strecke</a:t>
                </a:r>
                <a:r>
                  <a:rPr lang="de-CH" baseline="0"/>
                  <a:t> s [m]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Fourierreihe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5689214731536877E-2"/>
          <c:y val="5.5460561318852915E-2"/>
          <c:w val="0.87486611239984313"/>
          <c:h val="0.905121812433320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Fourierreihe!$J$14</c:f>
              <c:strCache>
                <c:ptCount val="1"/>
                <c:pt idx="0">
                  <c:v>y0 =  sin(x ) =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Fourierreihe!$M$14:$AY$14</c:f>
              <c:numCache>
                <c:formatCode>0.00</c:formatCode>
                <c:ptCount val="39"/>
                <c:pt idx="0">
                  <c:v>0</c:v>
                </c:pt>
                <c:pt idx="1">
                  <c:v>0.25881904510252074</c:v>
                </c:pt>
                <c:pt idx="2">
                  <c:v>0.49999999999999994</c:v>
                </c:pt>
                <c:pt idx="3">
                  <c:v>0.70710678118654746</c:v>
                </c:pt>
                <c:pt idx="4">
                  <c:v>0.8660254037844386</c:v>
                </c:pt>
                <c:pt idx="5">
                  <c:v>0.96592582628906831</c:v>
                </c:pt>
                <c:pt idx="6">
                  <c:v>1</c:v>
                </c:pt>
                <c:pt idx="7">
                  <c:v>0.96592582628906831</c:v>
                </c:pt>
                <c:pt idx="8">
                  <c:v>0.86602540378443871</c:v>
                </c:pt>
                <c:pt idx="9">
                  <c:v>0.70710678118654757</c:v>
                </c:pt>
                <c:pt idx="10">
                  <c:v>0.49999999999999994</c:v>
                </c:pt>
                <c:pt idx="11">
                  <c:v>0.25881904510252102</c:v>
                </c:pt>
                <c:pt idx="12">
                  <c:v>1.22514845490862E-16</c:v>
                </c:pt>
                <c:pt idx="13">
                  <c:v>-0.25881904510252035</c:v>
                </c:pt>
                <c:pt idx="14">
                  <c:v>-0.50000000000000011</c:v>
                </c:pt>
                <c:pt idx="15">
                  <c:v>-0.70710678118654746</c:v>
                </c:pt>
                <c:pt idx="16">
                  <c:v>-0.86602540378443837</c:v>
                </c:pt>
                <c:pt idx="17">
                  <c:v>-0.96592582628906831</c:v>
                </c:pt>
                <c:pt idx="18">
                  <c:v>-1</c:v>
                </c:pt>
                <c:pt idx="19">
                  <c:v>-0.9659258262890682</c:v>
                </c:pt>
                <c:pt idx="20">
                  <c:v>-0.8660254037844386</c:v>
                </c:pt>
                <c:pt idx="21">
                  <c:v>-0.70710678118654768</c:v>
                </c:pt>
                <c:pt idx="22">
                  <c:v>-0.50000000000000044</c:v>
                </c:pt>
                <c:pt idx="23">
                  <c:v>-0.25881904510252068</c:v>
                </c:pt>
                <c:pt idx="24">
                  <c:v>-2.45029690981724E-16</c:v>
                </c:pt>
                <c:pt idx="25">
                  <c:v>0.25881904510252024</c:v>
                </c:pt>
                <c:pt idx="26">
                  <c:v>0.49999999999999928</c:v>
                </c:pt>
                <c:pt idx="27">
                  <c:v>0.70710678118654668</c:v>
                </c:pt>
                <c:pt idx="28">
                  <c:v>0.86602540378443882</c:v>
                </c:pt>
                <c:pt idx="29">
                  <c:v>0.96592582628906831</c:v>
                </c:pt>
                <c:pt idx="30">
                  <c:v>1</c:v>
                </c:pt>
                <c:pt idx="31">
                  <c:v>0.96592582628906842</c:v>
                </c:pt>
                <c:pt idx="32">
                  <c:v>0.86602540378443915</c:v>
                </c:pt>
                <c:pt idx="33">
                  <c:v>0.70710678118654713</c:v>
                </c:pt>
                <c:pt idx="34">
                  <c:v>0.49999999999999978</c:v>
                </c:pt>
                <c:pt idx="35">
                  <c:v>0.25881904510252079</c:v>
                </c:pt>
                <c:pt idx="36">
                  <c:v>3.67544536472586E-16</c:v>
                </c:pt>
                <c:pt idx="37">
                  <c:v>-0.25881904510252185</c:v>
                </c:pt>
                <c:pt idx="38">
                  <c:v>-0.50000000000000067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7-4BF7-A82C-D744D19A61BA}"/>
            </c:ext>
          </c:extLst>
        </c:ser>
        <c:ser>
          <c:idx val="1"/>
          <c:order val="1"/>
          <c:tx>
            <c:strRef>
              <c:f>Fourierreihe!$J$15</c:f>
              <c:strCache>
                <c:ptCount val="1"/>
                <c:pt idx="0">
                  <c:v>y0 = 0.33 * sin(3*x ) = 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Fourierreihe!$M$15:$AY$15</c:f>
              <c:numCache>
                <c:formatCode>0.00</c:formatCode>
                <c:ptCount val="39"/>
                <c:pt idx="0">
                  <c:v>0</c:v>
                </c:pt>
                <c:pt idx="1">
                  <c:v>0.23570226039551581</c:v>
                </c:pt>
                <c:pt idx="2">
                  <c:v>0.33333333333333331</c:v>
                </c:pt>
                <c:pt idx="3">
                  <c:v>0.23570226039551584</c:v>
                </c:pt>
                <c:pt idx="4">
                  <c:v>4.083828183028733E-17</c:v>
                </c:pt>
                <c:pt idx="5">
                  <c:v>-0.23570226039551581</c:v>
                </c:pt>
                <c:pt idx="6">
                  <c:v>-0.33333333333333331</c:v>
                </c:pt>
                <c:pt idx="7">
                  <c:v>-0.23570226039551567</c:v>
                </c:pt>
                <c:pt idx="8">
                  <c:v>-8.1676563660574659E-17</c:v>
                </c:pt>
                <c:pt idx="9">
                  <c:v>0.23570226039551578</c:v>
                </c:pt>
                <c:pt idx="10">
                  <c:v>0.33333333333333331</c:v>
                </c:pt>
                <c:pt idx="11">
                  <c:v>0.23570226039551612</c:v>
                </c:pt>
                <c:pt idx="12">
                  <c:v>1.22514845490862E-16</c:v>
                </c:pt>
                <c:pt idx="13">
                  <c:v>-0.23570226039551551</c:v>
                </c:pt>
                <c:pt idx="14">
                  <c:v>-0.33333333333333331</c:v>
                </c:pt>
                <c:pt idx="15">
                  <c:v>-0.23570226039551614</c:v>
                </c:pt>
                <c:pt idx="16">
                  <c:v>-1.6335312732114932E-16</c:v>
                </c:pt>
                <c:pt idx="17">
                  <c:v>0.23570226039551592</c:v>
                </c:pt>
                <c:pt idx="18">
                  <c:v>0.33333333333333331</c:v>
                </c:pt>
                <c:pt idx="19">
                  <c:v>0.23570226039551534</c:v>
                </c:pt>
                <c:pt idx="20">
                  <c:v>2.0419140915143666E-16</c:v>
                </c:pt>
                <c:pt idx="21">
                  <c:v>-0.23570226039551589</c:v>
                </c:pt>
                <c:pt idx="22">
                  <c:v>-0.33333333333333331</c:v>
                </c:pt>
                <c:pt idx="23">
                  <c:v>-0.23570226039551537</c:v>
                </c:pt>
                <c:pt idx="24">
                  <c:v>-2.45029690981724E-16</c:v>
                </c:pt>
                <c:pt idx="25">
                  <c:v>0.23570226039551503</c:v>
                </c:pt>
                <c:pt idx="26">
                  <c:v>0.33333333333333331</c:v>
                </c:pt>
                <c:pt idx="27">
                  <c:v>0.23570226039551623</c:v>
                </c:pt>
                <c:pt idx="28">
                  <c:v>-8.9836992012148897E-16</c:v>
                </c:pt>
                <c:pt idx="29">
                  <c:v>-0.23570226039551584</c:v>
                </c:pt>
                <c:pt idx="30">
                  <c:v>-0.33333333333333331</c:v>
                </c:pt>
                <c:pt idx="31">
                  <c:v>-0.23570226039551626</c:v>
                </c:pt>
                <c:pt idx="32">
                  <c:v>-3.2670625464229864E-16</c:v>
                </c:pt>
                <c:pt idx="33">
                  <c:v>0.23570226039551662</c:v>
                </c:pt>
                <c:pt idx="34">
                  <c:v>0.33333333333333331</c:v>
                </c:pt>
                <c:pt idx="35">
                  <c:v>0.23570226039551628</c:v>
                </c:pt>
                <c:pt idx="36">
                  <c:v>3.67544536472586E-16</c:v>
                </c:pt>
                <c:pt idx="37">
                  <c:v>-0.23570226039551662</c:v>
                </c:pt>
                <c:pt idx="38">
                  <c:v>-0.33333333333333331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7-4BF7-A82C-D744D19A61BA}"/>
            </c:ext>
          </c:extLst>
        </c:ser>
        <c:ser>
          <c:idx val="2"/>
          <c:order val="2"/>
          <c:tx>
            <c:strRef>
              <c:f>Fourierreihe!$J$16</c:f>
              <c:strCache>
                <c:ptCount val="1"/>
                <c:pt idx="0">
                  <c:v>y0 = 0.2 * sin(5*x ) =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Fourierreihe!$M$16:$AY$16</c:f>
              <c:numCache>
                <c:formatCode>0.00</c:formatCode>
                <c:ptCount val="39"/>
                <c:pt idx="0">
                  <c:v>0</c:v>
                </c:pt>
                <c:pt idx="1">
                  <c:v>0.19318516525781365</c:v>
                </c:pt>
                <c:pt idx="2">
                  <c:v>0.10000000000000007</c:v>
                </c:pt>
                <c:pt idx="3">
                  <c:v>-0.1414213562373095</c:v>
                </c:pt>
                <c:pt idx="4">
                  <c:v>-0.17320508075688781</c:v>
                </c:pt>
                <c:pt idx="5">
                  <c:v>5.1763809020504217E-2</c:v>
                </c:pt>
                <c:pt idx="6">
                  <c:v>0.2</c:v>
                </c:pt>
                <c:pt idx="7">
                  <c:v>5.1763809020504162E-2</c:v>
                </c:pt>
                <c:pt idx="8">
                  <c:v>-0.17320508075688756</c:v>
                </c:pt>
                <c:pt idx="9">
                  <c:v>-0.1414213562373097</c:v>
                </c:pt>
                <c:pt idx="10">
                  <c:v>0.10000000000000012</c:v>
                </c:pt>
                <c:pt idx="11">
                  <c:v>0.19318516525781371</c:v>
                </c:pt>
                <c:pt idx="12">
                  <c:v>1.22514845490862E-16</c:v>
                </c:pt>
                <c:pt idx="13">
                  <c:v>-0.19318516525781348</c:v>
                </c:pt>
                <c:pt idx="14">
                  <c:v>-0.10000000000000003</c:v>
                </c:pt>
                <c:pt idx="15">
                  <c:v>0.14142135623730953</c:v>
                </c:pt>
                <c:pt idx="16">
                  <c:v>0.17320508075688806</c:v>
                </c:pt>
                <c:pt idx="17">
                  <c:v>-5.1763809020504273E-2</c:v>
                </c:pt>
                <c:pt idx="18">
                  <c:v>-0.2</c:v>
                </c:pt>
                <c:pt idx="19">
                  <c:v>-5.176380902050394E-2</c:v>
                </c:pt>
                <c:pt idx="20">
                  <c:v>0.1732050807568879</c:v>
                </c:pt>
                <c:pt idx="21">
                  <c:v>0.14142135623730978</c:v>
                </c:pt>
                <c:pt idx="22">
                  <c:v>-9.99999999999997E-2</c:v>
                </c:pt>
                <c:pt idx="23">
                  <c:v>-0.19318516525781373</c:v>
                </c:pt>
                <c:pt idx="24">
                  <c:v>-2.45029690981724E-16</c:v>
                </c:pt>
                <c:pt idx="25">
                  <c:v>0.1931851652578136</c:v>
                </c:pt>
                <c:pt idx="26">
                  <c:v>0.10000000000000137</c:v>
                </c:pt>
                <c:pt idx="27">
                  <c:v>-0.14142135623730842</c:v>
                </c:pt>
                <c:pt idx="28">
                  <c:v>-0.17320508075688779</c:v>
                </c:pt>
                <c:pt idx="29">
                  <c:v>5.1763809020504148E-2</c:v>
                </c:pt>
                <c:pt idx="30">
                  <c:v>0.2</c:v>
                </c:pt>
                <c:pt idx="31">
                  <c:v>5.1763809020505439E-2</c:v>
                </c:pt>
                <c:pt idx="32">
                  <c:v>-0.17320508075688712</c:v>
                </c:pt>
                <c:pt idx="33">
                  <c:v>-0.14142135623730936</c:v>
                </c:pt>
                <c:pt idx="34">
                  <c:v>0.10000000000000023</c:v>
                </c:pt>
                <c:pt idx="35">
                  <c:v>0.1931851652578136</c:v>
                </c:pt>
                <c:pt idx="36">
                  <c:v>1.0780872722326862E-15</c:v>
                </c:pt>
                <c:pt idx="37">
                  <c:v>-0.19318516525781415</c:v>
                </c:pt>
                <c:pt idx="38">
                  <c:v>-9.9999999999999631E-2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17-4BF7-A82C-D744D19A61BA}"/>
            </c:ext>
          </c:extLst>
        </c:ser>
        <c:ser>
          <c:idx val="3"/>
          <c:order val="3"/>
          <c:tx>
            <c:strRef>
              <c:f>Fourierreihe!$J$17</c:f>
              <c:strCache>
                <c:ptCount val="1"/>
                <c:pt idx="0">
                  <c:v>y0 = 0.14 * sin(7*x ) =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Fourierreihe!$M$17:$AY$17</c:f>
              <c:numCache>
                <c:formatCode>0.00</c:formatCode>
                <c:ptCount val="39"/>
                <c:pt idx="0">
                  <c:v>0</c:v>
                </c:pt>
                <c:pt idx="1">
                  <c:v>0.13798940375558119</c:v>
                </c:pt>
                <c:pt idx="2">
                  <c:v>-7.1428571428571383E-2</c:v>
                </c:pt>
                <c:pt idx="3">
                  <c:v>-0.1010152544552211</c:v>
                </c:pt>
                <c:pt idx="4">
                  <c:v>0.12371791482634834</c:v>
                </c:pt>
                <c:pt idx="5">
                  <c:v>3.697414930036011E-2</c:v>
                </c:pt>
                <c:pt idx="6">
                  <c:v>-0.14285714285714285</c:v>
                </c:pt>
                <c:pt idx="7">
                  <c:v>3.6974149300360241E-2</c:v>
                </c:pt>
                <c:pt idx="8">
                  <c:v>0.12371791482634846</c:v>
                </c:pt>
                <c:pt idx="9">
                  <c:v>-0.1010152544552211</c:v>
                </c:pt>
                <c:pt idx="10">
                  <c:v>-7.1428571428571438E-2</c:v>
                </c:pt>
                <c:pt idx="11">
                  <c:v>0.13798940375558116</c:v>
                </c:pt>
                <c:pt idx="12">
                  <c:v>1.22514845490862E-16</c:v>
                </c:pt>
                <c:pt idx="13">
                  <c:v>-0.13798940375558122</c:v>
                </c:pt>
                <c:pt idx="14">
                  <c:v>7.1428571428571661E-2</c:v>
                </c:pt>
                <c:pt idx="15">
                  <c:v>0.10101525445522126</c:v>
                </c:pt>
                <c:pt idx="16">
                  <c:v>-0.12371791482634821</c:v>
                </c:pt>
                <c:pt idx="17">
                  <c:v>-3.6974149300359985E-2</c:v>
                </c:pt>
                <c:pt idx="18">
                  <c:v>0.14285714285714285</c:v>
                </c:pt>
                <c:pt idx="19">
                  <c:v>-3.6974149300360609E-2</c:v>
                </c:pt>
                <c:pt idx="20">
                  <c:v>-0.12371791482634839</c:v>
                </c:pt>
                <c:pt idx="21">
                  <c:v>0.10101525445522065</c:v>
                </c:pt>
                <c:pt idx="22">
                  <c:v>7.142857142857155E-2</c:v>
                </c:pt>
                <c:pt idx="23">
                  <c:v>-0.13798940375558125</c:v>
                </c:pt>
                <c:pt idx="24">
                  <c:v>-2.45029690981724E-16</c:v>
                </c:pt>
                <c:pt idx="25">
                  <c:v>0.13798940375558139</c:v>
                </c:pt>
                <c:pt idx="26">
                  <c:v>-7.1428571428571119E-2</c:v>
                </c:pt>
                <c:pt idx="27">
                  <c:v>-0.10101525445522171</c:v>
                </c:pt>
                <c:pt idx="28">
                  <c:v>0.12371791482634865</c:v>
                </c:pt>
                <c:pt idx="29">
                  <c:v>3.6974149300360103E-2</c:v>
                </c:pt>
                <c:pt idx="30">
                  <c:v>-0.14285714285714285</c:v>
                </c:pt>
                <c:pt idx="31">
                  <c:v>3.6974149300360006E-2</c:v>
                </c:pt>
                <c:pt idx="32">
                  <c:v>0.1237179148263487</c:v>
                </c:pt>
                <c:pt idx="33">
                  <c:v>-0.10101525445522164</c:v>
                </c:pt>
                <c:pt idx="34">
                  <c:v>-7.1428571428571216E-2</c:v>
                </c:pt>
                <c:pt idx="35">
                  <c:v>0.13798940375558111</c:v>
                </c:pt>
                <c:pt idx="36">
                  <c:v>-1.399859890703427E-16</c:v>
                </c:pt>
                <c:pt idx="37">
                  <c:v>-0.13798940375558102</c:v>
                </c:pt>
                <c:pt idx="38">
                  <c:v>7.1428571428572327E-2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17-4BF7-A82C-D744D19A61BA}"/>
            </c:ext>
          </c:extLst>
        </c:ser>
        <c:ser>
          <c:idx val="4"/>
          <c:order val="4"/>
          <c:tx>
            <c:strRef>
              <c:f>Fourierreihe!$J$20</c:f>
              <c:strCache>
                <c:ptCount val="1"/>
                <c:pt idx="0">
                  <c:v>yResultierend = y0 + y1 + y2 + y3 = 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Fourierreihe!$M$20:$AY$20</c:f>
              <c:numCache>
                <c:formatCode>0.00</c:formatCode>
                <c:ptCount val="39"/>
                <c:pt idx="0">
                  <c:v>0</c:v>
                </c:pt>
                <c:pt idx="1">
                  <c:v>0.82569587451143145</c:v>
                </c:pt>
                <c:pt idx="2">
                  <c:v>0.86190476190476195</c:v>
                </c:pt>
                <c:pt idx="3">
                  <c:v>0.70037243088953283</c:v>
                </c:pt>
                <c:pt idx="4">
                  <c:v>0.81653823785389912</c:v>
                </c:pt>
                <c:pt idx="5">
                  <c:v>0.81896152421441692</c:v>
                </c:pt>
                <c:pt idx="6">
                  <c:v>0.7238095238095239</c:v>
                </c:pt>
                <c:pt idx="7">
                  <c:v>0.81896152421441704</c:v>
                </c:pt>
                <c:pt idx="8">
                  <c:v>0.81653823785389945</c:v>
                </c:pt>
                <c:pt idx="9">
                  <c:v>0.7003724308895326</c:v>
                </c:pt>
                <c:pt idx="10">
                  <c:v>0.86190476190476195</c:v>
                </c:pt>
                <c:pt idx="11">
                  <c:v>0.825695874511432</c:v>
                </c:pt>
                <c:pt idx="12">
                  <c:v>4.90059381963448E-16</c:v>
                </c:pt>
                <c:pt idx="13">
                  <c:v>-0.82569587451143056</c:v>
                </c:pt>
                <c:pt idx="14">
                  <c:v>-0.86190476190476195</c:v>
                </c:pt>
                <c:pt idx="15">
                  <c:v>-0.70037243088953272</c:v>
                </c:pt>
                <c:pt idx="16">
                  <c:v>-0.81653823785389867</c:v>
                </c:pt>
                <c:pt idx="17">
                  <c:v>-0.8189615242144167</c:v>
                </c:pt>
                <c:pt idx="18">
                  <c:v>-0.7238095238095239</c:v>
                </c:pt>
                <c:pt idx="19">
                  <c:v>-0.81896152421441737</c:v>
                </c:pt>
                <c:pt idx="20">
                  <c:v>-0.8165382378538989</c:v>
                </c:pt>
                <c:pt idx="21">
                  <c:v>-0.70037243088953316</c:v>
                </c:pt>
                <c:pt idx="22">
                  <c:v>-0.86190476190476184</c:v>
                </c:pt>
                <c:pt idx="23">
                  <c:v>-0.825695874511431</c:v>
                </c:pt>
                <c:pt idx="24">
                  <c:v>-9.8011876392689601E-16</c:v>
                </c:pt>
                <c:pt idx="25">
                  <c:v>0.82569587451143023</c:v>
                </c:pt>
                <c:pt idx="26">
                  <c:v>0.86190476190476284</c:v>
                </c:pt>
                <c:pt idx="27">
                  <c:v>0.70037243088953272</c:v>
                </c:pt>
                <c:pt idx="28">
                  <c:v>0.81653823785389879</c:v>
                </c:pt>
                <c:pt idx="29">
                  <c:v>0.81896152421441681</c:v>
                </c:pt>
                <c:pt idx="30">
                  <c:v>0.7238095238095239</c:v>
                </c:pt>
                <c:pt idx="31">
                  <c:v>0.8189615242144177</c:v>
                </c:pt>
                <c:pt idx="32">
                  <c:v>0.81653823785390034</c:v>
                </c:pt>
                <c:pt idx="33">
                  <c:v>0.70037243088953283</c:v>
                </c:pt>
                <c:pt idx="34">
                  <c:v>0.86190476190476206</c:v>
                </c:pt>
                <c:pt idx="35">
                  <c:v>0.82569587451143178</c:v>
                </c:pt>
                <c:pt idx="36">
                  <c:v>1.6731903561075154E-15</c:v>
                </c:pt>
                <c:pt idx="37">
                  <c:v>-0.82569587451143367</c:v>
                </c:pt>
                <c:pt idx="38">
                  <c:v>-0.86190476190476129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17-4BF7-A82C-D744D19A61BA}"/>
            </c:ext>
          </c:extLst>
        </c:ser>
        <c:ser>
          <c:idx val="5"/>
          <c:order val="5"/>
          <c:tx>
            <c:strRef>
              <c:f>Fourierreihe!$S$4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/>
              <a:tailEnd type="triangle"/>
            </a:ln>
            <a:effectLst/>
          </c:spPr>
          <c:marker>
            <c:symbol val="none"/>
          </c:marker>
          <c:xVal>
            <c:numRef>
              <c:f>Fourierreihe!$W$5:$X$5</c:f>
              <c:numCache>
                <c:formatCode>General</c:formatCode>
                <c:ptCount val="2"/>
                <c:pt idx="0">
                  <c:v>270</c:v>
                </c:pt>
                <c:pt idx="1">
                  <c:v>270</c:v>
                </c:pt>
              </c:numCache>
            </c:numRef>
          </c:xVal>
          <c:yVal>
            <c:numRef>
              <c:f>Fourierreihe!$W$6:$X$6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B1-4989-AFCF-57F354435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4943"/>
        <c:axId val="192078783"/>
      </c:scatterChart>
      <c:valAx>
        <c:axId val="19207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Winkel phi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8783"/>
        <c:crosses val="autoZero"/>
        <c:crossBetween val="midCat"/>
      </c:valAx>
      <c:valAx>
        <c:axId val="1920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Amplitude</a:t>
                </a:r>
              </a:p>
              <a:p>
                <a:pPr>
                  <a:defRPr/>
                </a:pP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05293305049966E-2"/>
          <c:y val="2.429473953674088E-2"/>
          <c:w val="0.90193554992787428"/>
          <c:h val="0.758808364764036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Scheinleistung!$J$14</c:f>
              <c:strCache>
                <c:ptCount val="1"/>
                <c:pt idx="0">
                  <c:v>U = 20 * sin(50*x  + 1.57) =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Scheinleistung!$M$14:$AY$14</c:f>
              <c:numCache>
                <c:formatCode>0.00</c:formatCode>
                <c:ptCount val="39"/>
                <c:pt idx="0">
                  <c:v>20</c:v>
                </c:pt>
                <c:pt idx="1">
                  <c:v>17.320508075688785</c:v>
                </c:pt>
                <c:pt idx="2">
                  <c:v>10.000000000000009</c:v>
                </c:pt>
                <c:pt idx="3">
                  <c:v>-3.9200413748385898E-14</c:v>
                </c:pt>
                <c:pt idx="4">
                  <c:v>-9.9999999999999538</c:v>
                </c:pt>
                <c:pt idx="5">
                  <c:v>-17.3205080756887</c:v>
                </c:pt>
                <c:pt idx="6">
                  <c:v>-20</c:v>
                </c:pt>
                <c:pt idx="7">
                  <c:v>-17.320508075688796</c:v>
                </c:pt>
                <c:pt idx="8">
                  <c:v>-10.000000000000247</c:v>
                </c:pt>
                <c:pt idx="9">
                  <c:v>-2.3521982972507516E-13</c:v>
                </c:pt>
                <c:pt idx="10">
                  <c:v>9.9999999999998384</c:v>
                </c:pt>
                <c:pt idx="11">
                  <c:v>17.320508075688707</c:v>
                </c:pt>
                <c:pt idx="12">
                  <c:v>20</c:v>
                </c:pt>
                <c:pt idx="13">
                  <c:v>17.320508075689077</c:v>
                </c:pt>
                <c:pt idx="14">
                  <c:v>9.9999999999999911</c:v>
                </c:pt>
                <c:pt idx="15">
                  <c:v>5.0964007319853621E-13</c:v>
                </c:pt>
                <c:pt idx="16">
                  <c:v>-9.9999999999996021</c:v>
                </c:pt>
                <c:pt idx="17">
                  <c:v>-17.320508075688853</c:v>
                </c:pt>
                <c:pt idx="18">
                  <c:v>-20</c:v>
                </c:pt>
                <c:pt idx="19">
                  <c:v>-17.320508075688647</c:v>
                </c:pt>
                <c:pt idx="20">
                  <c:v>-10.000000000000229</c:v>
                </c:pt>
                <c:pt idx="21">
                  <c:v>-7.8406031667199727E-13</c:v>
                </c:pt>
                <c:pt idx="22">
                  <c:v>9.9999999999998561</c:v>
                </c:pt>
                <c:pt idx="23">
                  <c:v>17.320508075688998</c:v>
                </c:pt>
                <c:pt idx="24">
                  <c:v>20</c:v>
                </c:pt>
                <c:pt idx="25">
                  <c:v>17.320508075689066</c:v>
                </c:pt>
                <c:pt idx="26">
                  <c:v>10.000000000000959</c:v>
                </c:pt>
                <c:pt idx="27">
                  <c:v>1.6269147487535385E-12</c:v>
                </c:pt>
                <c:pt idx="28">
                  <c:v>-10.00000000000011</c:v>
                </c:pt>
                <c:pt idx="29">
                  <c:v>-17.320508075688576</c:v>
                </c:pt>
                <c:pt idx="30">
                  <c:v>-20</c:v>
                </c:pt>
                <c:pt idx="31">
                  <c:v>-17.32050807568892</c:v>
                </c:pt>
                <c:pt idx="32">
                  <c:v>-10.000000000000703</c:v>
                </c:pt>
                <c:pt idx="33">
                  <c:v>9.4083595081340121E-13</c:v>
                </c:pt>
                <c:pt idx="34">
                  <c:v>10.000000000000364</c:v>
                </c:pt>
                <c:pt idx="35">
                  <c:v>17.320508075688721</c:v>
                </c:pt>
                <c:pt idx="36">
                  <c:v>20</c:v>
                </c:pt>
                <c:pt idx="37">
                  <c:v>17.320508075688203</c:v>
                </c:pt>
                <c:pt idx="38">
                  <c:v>9.9999999999994653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D5-4B17-87D9-4BBF3EBE3CE3}"/>
            </c:ext>
          </c:extLst>
        </c:ser>
        <c:ser>
          <c:idx val="1"/>
          <c:order val="1"/>
          <c:tx>
            <c:strRef>
              <c:f>Scheinleistung!$J$15</c:f>
              <c:strCache>
                <c:ptCount val="1"/>
                <c:pt idx="0">
                  <c:v>I =  sin(50*x ) = 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Scheinleistung!$M$15:$AY$15</c:f>
              <c:numCache>
                <c:formatCode>0.00</c:formatCode>
                <c:ptCount val="39"/>
                <c:pt idx="0">
                  <c:v>0</c:v>
                </c:pt>
                <c:pt idx="1">
                  <c:v>0.49999999999999906</c:v>
                </c:pt>
                <c:pt idx="2">
                  <c:v>0.8660254037844376</c:v>
                </c:pt>
                <c:pt idx="3">
                  <c:v>1</c:v>
                </c:pt>
                <c:pt idx="4">
                  <c:v>0.86602540378444082</c:v>
                </c:pt>
                <c:pt idx="5">
                  <c:v>0.50000000000000167</c:v>
                </c:pt>
                <c:pt idx="6">
                  <c:v>-4.898425415289509E-16</c:v>
                </c:pt>
                <c:pt idx="7">
                  <c:v>-0.50000000000000255</c:v>
                </c:pt>
                <c:pt idx="8">
                  <c:v>-0.86602540378443427</c:v>
                </c:pt>
                <c:pt idx="9">
                  <c:v>-1</c:v>
                </c:pt>
                <c:pt idx="10">
                  <c:v>-0.86602540378444059</c:v>
                </c:pt>
                <c:pt idx="11">
                  <c:v>-0.50000000000000122</c:v>
                </c:pt>
                <c:pt idx="12">
                  <c:v>9.7968508305790181E-16</c:v>
                </c:pt>
                <c:pt idx="13">
                  <c:v>0.49999999999997835</c:v>
                </c:pt>
                <c:pt idx="14">
                  <c:v>0.86602540378444159</c:v>
                </c:pt>
                <c:pt idx="15">
                  <c:v>1</c:v>
                </c:pt>
                <c:pt idx="16">
                  <c:v>0.86602540378444748</c:v>
                </c:pt>
                <c:pt idx="17">
                  <c:v>0.49999999999998856</c:v>
                </c:pt>
                <c:pt idx="18">
                  <c:v>1.2741327090615151E-14</c:v>
                </c:pt>
                <c:pt idx="19">
                  <c:v>-0.50000000000001565</c:v>
                </c:pt>
                <c:pt idx="20">
                  <c:v>-0.86602540378443471</c:v>
                </c:pt>
                <c:pt idx="21">
                  <c:v>-1</c:v>
                </c:pt>
                <c:pt idx="22">
                  <c:v>-0.86602540378444015</c:v>
                </c:pt>
                <c:pt idx="23">
                  <c:v>-0.4999999999999758</c:v>
                </c:pt>
                <c:pt idx="24">
                  <c:v>1.9593701661158036E-15</c:v>
                </c:pt>
                <c:pt idx="25">
                  <c:v>0.49999999999997918</c:v>
                </c:pt>
                <c:pt idx="26">
                  <c:v>0.86602540378441362</c:v>
                </c:pt>
                <c:pt idx="27">
                  <c:v>1</c:v>
                </c:pt>
                <c:pt idx="28">
                  <c:v>0.86602540378443271</c:v>
                </c:pt>
                <c:pt idx="29">
                  <c:v>0.50000000000001232</c:v>
                </c:pt>
                <c:pt idx="30">
                  <c:v>4.0183351437961257E-14</c:v>
                </c:pt>
                <c:pt idx="31">
                  <c:v>-0.49999999999999195</c:v>
                </c:pt>
                <c:pt idx="32">
                  <c:v>-0.86602540378442106</c:v>
                </c:pt>
                <c:pt idx="33">
                  <c:v>-1</c:v>
                </c:pt>
                <c:pt idx="34">
                  <c:v>-0.86602540378442538</c:v>
                </c:pt>
                <c:pt idx="35">
                  <c:v>-0.49999999999999956</c:v>
                </c:pt>
                <c:pt idx="36">
                  <c:v>-2.5482654181230302E-14</c:v>
                </c:pt>
                <c:pt idx="37">
                  <c:v>0.50000000000005385</c:v>
                </c:pt>
                <c:pt idx="38">
                  <c:v>0.8660254037844568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D5-4B17-87D9-4BBF3EBE3CE3}"/>
            </c:ext>
          </c:extLst>
        </c:ser>
        <c:ser>
          <c:idx val="2"/>
          <c:order val="2"/>
          <c:tx>
            <c:strRef>
              <c:f>Scheinleistung!$J$18</c:f>
              <c:strCache>
                <c:ptCount val="1"/>
                <c:pt idx="0">
                  <c:v>Leistung P = U *I = 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Scheinleistung!$M$18:$AY$18</c:f>
              <c:numCache>
                <c:formatCode>0.00</c:formatCode>
                <c:ptCount val="39"/>
                <c:pt idx="0">
                  <c:v>0</c:v>
                </c:pt>
                <c:pt idx="1">
                  <c:v>8.6602540378443766</c:v>
                </c:pt>
                <c:pt idx="2">
                  <c:v>8.6602540378443837</c:v>
                </c:pt>
                <c:pt idx="3">
                  <c:v>-3.9200413748385898E-14</c:v>
                </c:pt>
                <c:pt idx="4">
                  <c:v>-8.6602540378443678</c:v>
                </c:pt>
                <c:pt idx="5">
                  <c:v>-8.6602540378443784</c:v>
                </c:pt>
                <c:pt idx="6">
                  <c:v>9.7968508305790181E-15</c:v>
                </c:pt>
                <c:pt idx="7">
                  <c:v>8.6602540378444424</c:v>
                </c:pt>
                <c:pt idx="8">
                  <c:v>8.6602540378445561</c:v>
                </c:pt>
                <c:pt idx="9">
                  <c:v>2.3521982972507516E-13</c:v>
                </c:pt>
                <c:pt idx="10">
                  <c:v>-8.6602540378442665</c:v>
                </c:pt>
                <c:pt idx="11">
                  <c:v>-8.6602540378443749</c:v>
                </c:pt>
                <c:pt idx="12">
                  <c:v>1.9593701661158036E-14</c:v>
                </c:pt>
                <c:pt idx="13">
                  <c:v>8.6602540378441635</c:v>
                </c:pt>
                <c:pt idx="14">
                  <c:v>8.6602540378444086</c:v>
                </c:pt>
                <c:pt idx="15">
                  <c:v>5.0964007319853621E-13</c:v>
                </c:pt>
                <c:pt idx="16">
                  <c:v>-8.6602540378441297</c:v>
                </c:pt>
                <c:pt idx="17">
                  <c:v>-8.6602540378442274</c:v>
                </c:pt>
                <c:pt idx="18">
                  <c:v>-2.5482654181230302E-13</c:v>
                </c:pt>
                <c:pt idx="19">
                  <c:v>8.6602540378445951</c:v>
                </c:pt>
                <c:pt idx="20">
                  <c:v>8.6602540378445454</c:v>
                </c:pt>
                <c:pt idx="21">
                  <c:v>7.8406031667199727E-13</c:v>
                </c:pt>
                <c:pt idx="22">
                  <c:v>-8.6602540378442772</c:v>
                </c:pt>
                <c:pt idx="23">
                  <c:v>-8.66025403784408</c:v>
                </c:pt>
                <c:pt idx="24">
                  <c:v>3.9187403322316072E-14</c:v>
                </c:pt>
                <c:pt idx="25">
                  <c:v>8.6602540378441724</c:v>
                </c:pt>
                <c:pt idx="26">
                  <c:v>8.6602540378449664</c:v>
                </c:pt>
                <c:pt idx="27">
                  <c:v>1.6269147487535385E-12</c:v>
                </c:pt>
                <c:pt idx="28">
                  <c:v>-8.6602540378444228</c:v>
                </c:pt>
                <c:pt idx="29">
                  <c:v>-8.660254037844501</c:v>
                </c:pt>
                <c:pt idx="30">
                  <c:v>-8.0366702875922513E-13</c:v>
                </c:pt>
                <c:pt idx="31">
                  <c:v>8.6602540378443216</c:v>
                </c:pt>
                <c:pt idx="32">
                  <c:v>8.660254037844819</c:v>
                </c:pt>
                <c:pt idx="33">
                  <c:v>-9.4083595081340121E-13</c:v>
                </c:pt>
                <c:pt idx="34">
                  <c:v>-8.6602540378445685</c:v>
                </c:pt>
                <c:pt idx="35">
                  <c:v>-8.6602540378443535</c:v>
                </c:pt>
                <c:pt idx="36">
                  <c:v>-5.0965308362460604E-13</c:v>
                </c:pt>
                <c:pt idx="37">
                  <c:v>8.6602540378450339</c:v>
                </c:pt>
                <c:pt idx="38">
                  <c:v>8.6602540378441049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D5-4B17-87D9-4BBF3EBE3CE3}"/>
            </c:ext>
          </c:extLst>
        </c:ser>
        <c:ser>
          <c:idx val="3"/>
          <c:order val="3"/>
          <c:tx>
            <c:strRef>
              <c:f>Scheinleistung!$S$4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triangl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Scheinleistung!$W$5:$X$5</c:f>
              <c:numCache>
                <c:formatCode>General</c:formatCode>
                <c:ptCount val="2"/>
                <c:pt idx="0">
                  <c:v>210</c:v>
                </c:pt>
                <c:pt idx="1">
                  <c:v>210</c:v>
                </c:pt>
              </c:numCache>
            </c:numRef>
          </c:xVal>
          <c:yVal>
            <c:numRef>
              <c:f>Scheinleistung!$W$6:$X$6</c:f>
              <c:numCache>
                <c:formatCode>0.00</c:formatCode>
                <c:ptCount val="2"/>
                <c:pt idx="0">
                  <c:v>0.86602540378444159</c:v>
                </c:pt>
                <c:pt idx="1">
                  <c:v>9.9999999999999911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D5-4B17-87D9-4BBF3EBE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486639"/>
        <c:axId val="970485199"/>
      </c:scatterChart>
      <c:valAx>
        <c:axId val="97048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Phasenwinkel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5199"/>
        <c:crosses val="autoZero"/>
        <c:crossBetween val="midCat"/>
      </c:valAx>
      <c:valAx>
        <c:axId val="97048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Spannung / Stromstärke / Leistung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6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898518426161177E-2"/>
          <c:y val="0.84164438344576964"/>
          <c:w val="0.74177067188956602"/>
          <c:h val="0.1118117997654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TOC!A1"/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hyperlink" Target="#TOC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52F81A-BC63-406A-A4EA-7EF30F633A1C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5DE7D7-4C50-4CCA-912A-904DFE9D8373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950056-721B-4F9A-9EA1-A278A399BB35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739774</xdr:colOff>
      <xdr:row>14</xdr:row>
      <xdr:rowOff>139700</xdr:rowOff>
    </xdr:from>
    <xdr:to>
      <xdr:col>6</xdr:col>
      <xdr:colOff>501649</xdr:colOff>
      <xdr:row>31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F97F07-73D1-15B4-87F8-2A3B55E84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8</xdr:col>
      <xdr:colOff>598715</xdr:colOff>
      <xdr:row>65</xdr:row>
      <xdr:rowOff>21772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DF3D2F2-E6F0-470D-9EC9-4EE547F41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616857</xdr:colOff>
      <xdr:row>1</xdr:row>
      <xdr:rowOff>117929</xdr:rowOff>
    </xdr:from>
    <xdr:to>
      <xdr:col>1</xdr:col>
      <xdr:colOff>544285</xdr:colOff>
      <xdr:row>1</xdr:row>
      <xdr:rowOff>598715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FB6FBCA-4115-F363-0C1F-9B2DC4BB546F}"/>
            </a:ext>
          </a:extLst>
        </xdr:cNvPr>
        <xdr:cNvSpPr/>
      </xdr:nvSpPr>
      <xdr:spPr>
        <a:xfrm rot="10800000">
          <a:off x="616857" y="299358"/>
          <a:ext cx="689428" cy="48078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511175</xdr:colOff>
      <xdr:row>12</xdr:row>
      <xdr:rowOff>69850</xdr:rowOff>
    </xdr:from>
    <xdr:to>
      <xdr:col>7</xdr:col>
      <xdr:colOff>511175</xdr:colOff>
      <xdr:row>27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97BD5F5-5D28-16D2-1DF8-B5ADC62C9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12</xdr:row>
      <xdr:rowOff>76200</xdr:rowOff>
    </xdr:from>
    <xdr:to>
      <xdr:col>14</xdr:col>
      <xdr:colOff>28575</xdr:colOff>
      <xdr:row>27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34ACAE9-11DB-399B-D450-179027AD2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173181</xdr:colOff>
      <xdr:row>1</xdr:row>
      <xdr:rowOff>184727</xdr:rowOff>
    </xdr:from>
    <xdr:to>
      <xdr:col>1</xdr:col>
      <xdr:colOff>323272</xdr:colOff>
      <xdr:row>4</xdr:row>
      <xdr:rowOff>92363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0019828-5EEF-7C3C-87FD-5A5686701A01}"/>
            </a:ext>
          </a:extLst>
        </xdr:cNvPr>
        <xdr:cNvSpPr/>
      </xdr:nvSpPr>
      <xdr:spPr>
        <a:xfrm rot="10800000">
          <a:off x="173181" y="369454"/>
          <a:ext cx="912091" cy="65809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196273</xdr:colOff>
      <xdr:row>2</xdr:row>
      <xdr:rowOff>0</xdr:rowOff>
    </xdr:from>
    <xdr:to>
      <xdr:col>1</xdr:col>
      <xdr:colOff>496455</xdr:colOff>
      <xdr:row>5</xdr:row>
      <xdr:rowOff>230909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CE7423-1C55-19F3-001E-0A8DDA35D507}"/>
            </a:ext>
          </a:extLst>
        </xdr:cNvPr>
        <xdr:cNvSpPr/>
      </xdr:nvSpPr>
      <xdr:spPr>
        <a:xfrm rot="10800000">
          <a:off x="196273" y="484909"/>
          <a:ext cx="1062182" cy="79663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35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19C7CDC-79FA-429A-985A-B51FE475AB30}"/>
            </a:ext>
          </a:extLst>
        </xdr:cNvPr>
        <xdr:cNvSpPr txBox="1"/>
      </xdr:nvSpPr>
      <xdr:spPr>
        <a:xfrm>
          <a:off x="18059400" y="628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1</xdr:col>
      <xdr:colOff>721001</xdr:colOff>
      <xdr:row>22</xdr:row>
      <xdr:rowOff>183792</xdr:rowOff>
    </xdr:from>
    <xdr:to>
      <xdr:col>50</xdr:col>
      <xdr:colOff>412749</xdr:colOff>
      <xdr:row>68</xdr:row>
      <xdr:rowOff>158749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0B33054-7231-4A97-A9F8-31B56B694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5" name="Pfeil: nach recht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62F0F8-E53B-58D8-0CBE-DC173F63560B}"/>
            </a:ext>
          </a:extLst>
        </xdr:cNvPr>
        <xdr:cNvSpPr/>
      </xdr:nvSpPr>
      <xdr:spPr>
        <a:xfrm rot="10800000">
          <a:off x="619125" y="650875"/>
          <a:ext cx="1682750" cy="106362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33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74F87DA-4D2B-484E-BB10-4B019F14C5F8}"/>
            </a:ext>
          </a:extLst>
        </xdr:cNvPr>
        <xdr:cNvSpPr txBox="1"/>
      </xdr:nvSpPr>
      <xdr:spPr>
        <a:xfrm>
          <a:off x="17468850" y="723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4" name="Pfeil: nach recht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03CD9-A559-4E04-9AFB-A307E4DE1344}"/>
            </a:ext>
          </a:extLst>
        </xdr:cNvPr>
        <xdr:cNvSpPr/>
      </xdr:nvSpPr>
      <xdr:spPr>
        <a:xfrm rot="10800000">
          <a:off x="619125" y="650875"/>
          <a:ext cx="1670050" cy="10318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127001</xdr:colOff>
      <xdr:row>20</xdr:row>
      <xdr:rowOff>57148</xdr:rowOff>
    </xdr:from>
    <xdr:to>
      <xdr:col>35</xdr:col>
      <xdr:colOff>381000</xdr:colOff>
      <xdr:row>51</xdr:row>
      <xdr:rowOff>80818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82D249E-353E-F6B6-8638-4DD3F5B79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6683-FE2E-404D-B380-566552D5F12F}">
  <sheetPr>
    <tabColor rgb="FFFF0000"/>
  </sheetPr>
  <dimension ref="B2:D12"/>
  <sheetViews>
    <sheetView workbookViewId="0">
      <selection activeCell="C12" sqref="C12"/>
    </sheetView>
  </sheetViews>
  <sheetFormatPr baseColWidth="10" defaultRowHeight="14.5" x14ac:dyDescent="0.35"/>
  <cols>
    <col min="2" max="2" width="12.6328125" customWidth="1"/>
    <col min="3" max="3" width="23.26953125" customWidth="1"/>
  </cols>
  <sheetData>
    <row r="2" spans="2:4" ht="21" x14ac:dyDescent="0.5">
      <c r="B2" s="88" t="s">
        <v>106</v>
      </c>
    </row>
    <row r="5" spans="2:4" x14ac:dyDescent="0.35">
      <c r="B5" s="89">
        <v>45695</v>
      </c>
      <c r="C5" s="90" t="s">
        <v>107</v>
      </c>
    </row>
    <row r="6" spans="2:4" x14ac:dyDescent="0.35">
      <c r="B6" s="89">
        <v>45701</v>
      </c>
      <c r="C6" s="90" t="s">
        <v>108</v>
      </c>
    </row>
    <row r="7" spans="2:4" x14ac:dyDescent="0.35">
      <c r="B7" s="89">
        <v>45701</v>
      </c>
      <c r="C7" s="90" t="s">
        <v>109</v>
      </c>
    </row>
    <row r="8" spans="2:4" x14ac:dyDescent="0.35">
      <c r="B8" s="89">
        <v>45701</v>
      </c>
      <c r="C8" s="90" t="s">
        <v>110</v>
      </c>
    </row>
    <row r="9" spans="2:4" x14ac:dyDescent="0.35">
      <c r="B9" s="89">
        <v>45730</v>
      </c>
      <c r="C9" s="90" t="s">
        <v>111</v>
      </c>
      <c r="D9" s="89"/>
    </row>
    <row r="10" spans="2:4" x14ac:dyDescent="0.35">
      <c r="B10" s="89">
        <v>45737</v>
      </c>
      <c r="C10" s="90" t="s">
        <v>129</v>
      </c>
      <c r="D10" s="89"/>
    </row>
    <row r="11" spans="2:4" x14ac:dyDescent="0.35">
      <c r="B11" s="89">
        <v>45750</v>
      </c>
      <c r="C11" s="109" t="s">
        <v>138</v>
      </c>
    </row>
    <row r="12" spans="2:4" x14ac:dyDescent="0.35">
      <c r="B12" s="89">
        <v>45758</v>
      </c>
      <c r="C12" s="90" t="s">
        <v>198</v>
      </c>
    </row>
  </sheetData>
  <hyperlinks>
    <hyperlink ref="C5" location="Kinematik_1!A1" display="Kinematik 1" xr:uid="{9BFDC351-688D-4CF1-A81C-1D2AC11060FA}"/>
    <hyperlink ref="C6" location="Kinematik_2!E4" display="Kinematik_2" xr:uid="{0ED973E2-EF1D-49F0-BD37-E2FB8C64272F}"/>
    <hyperlink ref="C7" location="Kinematik_2_Berechnungen!A1" display="Kinematik 2 Berechnungen" xr:uid="{DB60A9A6-3C9B-4444-9F00-AC60502D68B3}"/>
    <hyperlink ref="C8" location="Fourierreihe!A1" display="Fouirierreihe" xr:uid="{CA7D746B-B699-4E02-BE38-0C7F996F76BD}"/>
    <hyperlink ref="C9" location="Flächenberechnungen!A1" display="Flächenberechnungen" xr:uid="{D5743AC9-A34F-4B3C-B139-43A4B498D6F8}"/>
    <hyperlink ref="C10" location="Scheinleistung!A1" display="Scheinleistung" xr:uid="{CAAE3E9B-0504-4F22-BE6A-F3547C6DB238}"/>
    <hyperlink ref="C11" location="'Einheiten umrechnen'!A1" display="Einheiten umrechnen" xr:uid="{63CF0BE5-46CF-4488-897E-89B66FF0D916}"/>
    <hyperlink ref="C12" location="Geburtstagsliste!A1" display="Geburtstagsliste" xr:uid="{951CF648-09E0-4733-A935-D9691C8D79E9}"/>
  </hyperlinks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1BF1A-9A03-4CA3-9AB4-14BC2465827D}">
  <dimension ref="A1:K34"/>
  <sheetViews>
    <sheetView tabSelected="1" zoomScale="55" zoomScaleNormal="55" workbookViewId="0">
      <selection activeCell="Q18" sqref="Q18"/>
    </sheetView>
  </sheetViews>
  <sheetFormatPr baseColWidth="10" defaultRowHeight="14.5" x14ac:dyDescent="0.35"/>
  <cols>
    <col min="2" max="2" width="14.6328125" customWidth="1"/>
    <col min="3" max="3" width="19.90625" customWidth="1"/>
    <col min="4" max="4" width="22.453125" customWidth="1"/>
    <col min="5" max="6" width="13.81640625" customWidth="1"/>
    <col min="7" max="7" width="16" customWidth="1"/>
    <col min="8" max="8" width="12.36328125" customWidth="1"/>
    <col min="10" max="10" width="23.1796875" customWidth="1"/>
    <col min="11" max="11" width="34.7265625" customWidth="1"/>
  </cols>
  <sheetData>
    <row r="1" spans="1:11" ht="40" customHeight="1" x14ac:dyDescent="0.35"/>
    <row r="2" spans="1:11" ht="26" x14ac:dyDescent="0.6">
      <c r="C2" s="44" t="str">
        <f ca="1">_xlfn.CONCAT("Geburtstagsliste für ",YEAR(J2))</f>
        <v>Geburtstagsliste für 2025</v>
      </c>
      <c r="D2" s="44"/>
      <c r="I2" s="41" t="s">
        <v>204</v>
      </c>
      <c r="J2" s="111">
        <f ca="1">NOW()</f>
        <v>45764.651424305557</v>
      </c>
    </row>
    <row r="3" spans="1:11" ht="26" x14ac:dyDescent="0.6">
      <c r="C3" s="44"/>
      <c r="D3" s="44"/>
      <c r="I3" s="41"/>
      <c r="J3" s="111"/>
    </row>
    <row r="4" spans="1:11" ht="28.5" customHeight="1" x14ac:dyDescent="0.35">
      <c r="A4" s="112" t="s">
        <v>205</v>
      </c>
      <c r="B4" s="112" t="s">
        <v>199</v>
      </c>
      <c r="C4" s="112" t="str">
        <f ca="1">_xlfn.CONCAT("Geburtstag im ",YEAR(J2))</f>
        <v>Geburtstag im 2025</v>
      </c>
      <c r="D4" s="112" t="s">
        <v>208</v>
      </c>
      <c r="E4" s="118" t="s">
        <v>206</v>
      </c>
      <c r="F4" s="118" t="s">
        <v>207</v>
      </c>
      <c r="G4" s="112" t="s">
        <v>199</v>
      </c>
      <c r="H4" s="112" t="s">
        <v>200</v>
      </c>
      <c r="I4" s="112" t="s">
        <v>201</v>
      </c>
      <c r="J4" s="112" t="s">
        <v>202</v>
      </c>
      <c r="K4" s="112" t="s">
        <v>203</v>
      </c>
    </row>
    <row r="5" spans="1:11" ht="14.5" customHeight="1" x14ac:dyDescent="0.35">
      <c r="A5" s="5" t="str">
        <f>_xlfn.CONCAT(TEXT(MONTH(G5),"00"),"_",TEXT(DAY(G5),"00"))</f>
        <v>01_01</v>
      </c>
      <c r="B5" s="113" t="str">
        <f>_xlfn.CONCAT(TEXT(DAY(G5),"00"),".",TEXT(G5,"MMMM"))</f>
        <v>01.Januar</v>
      </c>
      <c r="C5" s="117">
        <f ca="1">DATE(YEAR($J$2),MONTH(G5),DAY(G5))</f>
        <v>45658</v>
      </c>
      <c r="D5" s="117">
        <f ca="1">IF(C5&lt;$J$2,DATE(YEAR($J$2)+1,MONTH(G5),DAY(G5)),DATE(YEAR($J$2),MONTH(G5),DAY(G5)))</f>
        <v>46023</v>
      </c>
      <c r="E5" s="114">
        <f ca="1">YEAR($J$2) - YEAR(G5) - IF(C5&gt;$J$2,1,0)</f>
        <v>62</v>
      </c>
      <c r="F5" s="115">
        <f ca="1">YEAR($J$2) - YEAR(G5)</f>
        <v>62</v>
      </c>
      <c r="G5" s="116">
        <v>23012</v>
      </c>
      <c r="H5" s="5" t="s">
        <v>140</v>
      </c>
      <c r="I5" s="5" t="s">
        <v>141</v>
      </c>
      <c r="J5" s="5" t="s">
        <v>180</v>
      </c>
      <c r="K5" s="96" t="str">
        <f ca="1">IF($J$2&lt;C5,"Noch kein Geburtstag gehabt","Schon Geburtstag gehabt")</f>
        <v>Schon Geburtstag gehabt</v>
      </c>
    </row>
    <row r="6" spans="1:11" ht="14.5" customHeight="1" x14ac:dyDescent="0.35">
      <c r="A6" s="5" t="str">
        <f>_xlfn.CONCAT(TEXT(MONTH(G6),"00"),"_",TEXT(DAY(G6),"00"))</f>
        <v>01_02</v>
      </c>
      <c r="B6" s="113" t="str">
        <f>_xlfn.CONCAT(TEXT(DAY(G6),"00"),".",TEXT(G6,"MMMM"))</f>
        <v>02.Januar</v>
      </c>
      <c r="C6" s="117">
        <f ca="1">DATE(YEAR($J$2),MONTH(G6),DAY(G6))</f>
        <v>45659</v>
      </c>
      <c r="D6" s="117">
        <f ca="1">IF(C6&lt;$J$2,DATE(YEAR($J$2)+1,MONTH(G6),DAY(G6)),DATE(YEAR($J$2),MONTH(G6),DAY(G6)))</f>
        <v>46024</v>
      </c>
      <c r="E6" s="114">
        <f ca="1">YEAR($J$2) - YEAR(G6) - IF(C6&gt;$J$2,1,0)</f>
        <v>38</v>
      </c>
      <c r="F6" s="115">
        <f ca="1">YEAR($J$2) - YEAR(G6)</f>
        <v>38</v>
      </c>
      <c r="G6" s="116" t="s">
        <v>145</v>
      </c>
      <c r="H6" s="5" t="s">
        <v>142</v>
      </c>
      <c r="I6" s="5" t="s">
        <v>146</v>
      </c>
      <c r="J6" s="5" t="s">
        <v>147</v>
      </c>
      <c r="K6" s="96" t="str">
        <f ca="1">IF($J$2&lt;C6,"Noch kein Geburtstag gehabt","Schon Geburtstag gehabt")</f>
        <v>Schon Geburtstag gehabt</v>
      </c>
    </row>
    <row r="7" spans="1:11" ht="14.5" customHeight="1" x14ac:dyDescent="0.35">
      <c r="A7" s="5" t="str">
        <f>_xlfn.CONCAT(TEXT(MONTH(G7),"00"),"_",TEXT(DAY(G7),"00"))</f>
        <v>01_02</v>
      </c>
      <c r="B7" s="113" t="str">
        <f>_xlfn.CONCAT(TEXT(DAY(G7),"00"),".",TEXT(G7,"MMMM"))</f>
        <v>02.Januar</v>
      </c>
      <c r="C7" s="117">
        <f ca="1">DATE(YEAR($J$2),MONTH(G7),DAY(G7))</f>
        <v>45659</v>
      </c>
      <c r="D7" s="117">
        <f ca="1">IF(C7&lt;$J$2,DATE(YEAR($J$2)+1,MONTH(G7),DAY(G7)),DATE(YEAR($J$2),MONTH(G7),DAY(G7)))</f>
        <v>46024</v>
      </c>
      <c r="E7" s="114">
        <f ca="1">YEAR($J$2) - YEAR(G7) - IF(C7&gt;$J$2,1,0)</f>
        <v>33</v>
      </c>
      <c r="F7" s="115">
        <f ca="1">YEAR($J$2) - YEAR(G7)</f>
        <v>33</v>
      </c>
      <c r="G7" s="116" t="s">
        <v>150</v>
      </c>
      <c r="H7" s="5" t="s">
        <v>142</v>
      </c>
      <c r="I7" s="5" t="s">
        <v>151</v>
      </c>
      <c r="J7" s="5" t="s">
        <v>144</v>
      </c>
      <c r="K7" s="96" t="str">
        <f ca="1">IF($J$2&lt;C7,"Noch kein Geburtstag gehabt","Schon Geburtstag gehabt")</f>
        <v>Schon Geburtstag gehabt</v>
      </c>
    </row>
    <row r="8" spans="1:11" x14ac:dyDescent="0.35">
      <c r="A8" s="5" t="str">
        <f>_xlfn.CONCAT(TEXT(MONTH(G8),"00"),"_",TEXT(DAY(G8),"00"))</f>
        <v>01_06</v>
      </c>
      <c r="B8" s="113" t="str">
        <f>_xlfn.CONCAT(TEXT(DAY(G8),"00"),".",TEXT(G8,"MMMM"))</f>
        <v>06.Januar</v>
      </c>
      <c r="C8" s="117">
        <f ca="1">DATE(YEAR($J$2),MONTH(G8),DAY(G8))</f>
        <v>45663</v>
      </c>
      <c r="D8" s="117">
        <f ca="1">IF(C8&lt;$J$2,DATE(YEAR($J$2)+1,MONTH(G8),DAY(G8)),DATE(YEAR($J$2),MONTH(G8),DAY(G8)))</f>
        <v>46028</v>
      </c>
      <c r="E8" s="114">
        <f ca="1">YEAR($J$2) - YEAR(G8) - IF(C8&gt;$J$2,1,0)</f>
        <v>37</v>
      </c>
      <c r="F8" s="115">
        <f ca="1">YEAR($J$2) - YEAR(G8)</f>
        <v>37</v>
      </c>
      <c r="G8" s="116" t="s">
        <v>152</v>
      </c>
      <c r="H8" s="5" t="s">
        <v>142</v>
      </c>
      <c r="I8" s="5" t="s">
        <v>153</v>
      </c>
      <c r="J8" s="5" t="s">
        <v>185</v>
      </c>
      <c r="K8" s="96" t="str">
        <f ca="1">IF($J$2&lt;C8,"Noch kein Geburtstag gehabt","Schon Geburtstag gehabt")</f>
        <v>Schon Geburtstag gehabt</v>
      </c>
    </row>
    <row r="9" spans="1:11" x14ac:dyDescent="0.35">
      <c r="A9" s="5" t="str">
        <f>_xlfn.CONCAT(TEXT(MONTH(G9),"00"),"_",TEXT(DAY(G9),"00"))</f>
        <v>01_07</v>
      </c>
      <c r="B9" s="113" t="str">
        <f>_xlfn.CONCAT(TEXT(DAY(G9),"00"),".",TEXT(G9,"MMMM"))</f>
        <v>07.Januar</v>
      </c>
      <c r="C9" s="117">
        <f ca="1">DATE(YEAR($J$2),MONTH(G9),DAY(G9))</f>
        <v>45664</v>
      </c>
      <c r="D9" s="117">
        <f ca="1">IF(C9&lt;$J$2,DATE(YEAR($J$2)+1,MONTH(G9),DAY(G9)),DATE(YEAR($J$2),MONTH(G9),DAY(G9)))</f>
        <v>46029</v>
      </c>
      <c r="E9" s="114">
        <f ca="1">YEAR($J$2) - YEAR(G9) - IF(C9&gt;$J$2,1,0)</f>
        <v>49</v>
      </c>
      <c r="F9" s="115">
        <f ca="1">YEAR($J$2) - YEAR(G9)</f>
        <v>49</v>
      </c>
      <c r="G9" s="116" t="s">
        <v>155</v>
      </c>
      <c r="H9" s="5" t="s">
        <v>140</v>
      </c>
      <c r="I9" s="5" t="s">
        <v>156</v>
      </c>
      <c r="J9" s="5" t="s">
        <v>154</v>
      </c>
      <c r="K9" s="96" t="str">
        <f ca="1">IF($J$2&lt;C9,"Noch kein Geburtstag gehabt","Schon Geburtstag gehabt")</f>
        <v>Schon Geburtstag gehabt</v>
      </c>
    </row>
    <row r="10" spans="1:11" x14ac:dyDescent="0.35">
      <c r="A10" s="5" t="str">
        <f>_xlfn.CONCAT(TEXT(MONTH(G10),"00"),"_",TEXT(DAY(G10),"00"))</f>
        <v>01_09</v>
      </c>
      <c r="B10" s="113" t="str">
        <f>_xlfn.CONCAT(TEXT(DAY(G10),"00"),".",TEXT(G10,"MMMM"))</f>
        <v>09.Januar</v>
      </c>
      <c r="C10" s="117">
        <f ca="1">DATE(YEAR($J$2),MONTH(G10),DAY(G10))</f>
        <v>45666</v>
      </c>
      <c r="D10" s="117">
        <f ca="1">IF(C10&lt;$J$2,DATE(YEAR($J$2)+1,MONTH(G10),DAY(G10)),DATE(YEAR($J$2),MONTH(G10),DAY(G10)))</f>
        <v>46031</v>
      </c>
      <c r="E10" s="114">
        <f ca="1">YEAR($J$2) - YEAR(G10) - IF(C10&gt;$J$2,1,0)</f>
        <v>60</v>
      </c>
      <c r="F10" s="115">
        <f ca="1">YEAR($J$2) - YEAR(G10)</f>
        <v>60</v>
      </c>
      <c r="G10" s="116" t="s">
        <v>157</v>
      </c>
      <c r="H10" s="5" t="s">
        <v>140</v>
      </c>
      <c r="I10" s="5" t="s">
        <v>158</v>
      </c>
      <c r="J10" s="5" t="s">
        <v>186</v>
      </c>
      <c r="K10" s="96" t="str">
        <f ca="1">IF($J$2&lt;C10,"Noch kein Geburtstag gehabt","Schon Geburtstag gehabt")</f>
        <v>Schon Geburtstag gehabt</v>
      </c>
    </row>
    <row r="11" spans="1:11" x14ac:dyDescent="0.35">
      <c r="A11" s="5" t="str">
        <f>_xlfn.CONCAT(TEXT(MONTH(G11),"00"),"_",TEXT(DAY(G11),"00"))</f>
        <v>01_09</v>
      </c>
      <c r="B11" s="113" t="str">
        <f>_xlfn.CONCAT(TEXT(DAY(G11),"00"),".",TEXT(G11,"MMMM"))</f>
        <v>09.Januar</v>
      </c>
      <c r="C11" s="117">
        <f ca="1">DATE(YEAR($J$2),MONTH(G11),DAY(G11))</f>
        <v>45666</v>
      </c>
      <c r="D11" s="117">
        <f ca="1">IF(C11&lt;$J$2,DATE(YEAR($J$2)+1,MONTH(G11),DAY(G11)),DATE(YEAR($J$2),MONTH(G11),DAY(G11)))</f>
        <v>46031</v>
      </c>
      <c r="E11" s="114">
        <f ca="1">YEAR($J$2) - YEAR(G11) - IF(C11&gt;$J$2,1,0)</f>
        <v>67</v>
      </c>
      <c r="F11" s="115">
        <f ca="1">YEAR($J$2) - YEAR(G11)</f>
        <v>67</v>
      </c>
      <c r="G11" s="116" t="s">
        <v>160</v>
      </c>
      <c r="H11" s="5" t="s">
        <v>142</v>
      </c>
      <c r="I11" s="5" t="s">
        <v>161</v>
      </c>
      <c r="J11" s="5" t="s">
        <v>154</v>
      </c>
      <c r="K11" s="96" t="str">
        <f ca="1">IF($J$2&lt;C11,"Noch kein Geburtstag gehabt","Schon Geburtstag gehabt")</f>
        <v>Schon Geburtstag gehabt</v>
      </c>
    </row>
    <row r="12" spans="1:11" x14ac:dyDescent="0.35">
      <c r="A12" s="5" t="str">
        <f>_xlfn.CONCAT(TEXT(MONTH(G12),"00"),"_",TEXT(DAY(G12),"00"))</f>
        <v>01_10</v>
      </c>
      <c r="B12" s="113" t="str">
        <f>_xlfn.CONCAT(TEXT(DAY(G12),"00"),".",TEXT(G12,"MMMM"))</f>
        <v>10.Januar</v>
      </c>
      <c r="C12" s="117">
        <f ca="1">DATE(YEAR($J$2),MONTH(G12),DAY(G12))</f>
        <v>45667</v>
      </c>
      <c r="D12" s="117">
        <f ca="1">IF(C12&lt;$J$2,DATE(YEAR($J$2)+1,MONTH(G12),DAY(G12)),DATE(YEAR($J$2),MONTH(G12),DAY(G12)))</f>
        <v>46032</v>
      </c>
      <c r="E12" s="114">
        <f ca="1">YEAR($J$2) - YEAR(G12) - IF(C12&gt;$J$2,1,0)</f>
        <v>28</v>
      </c>
      <c r="F12" s="115">
        <f ca="1">YEAR($J$2) - YEAR(G12)</f>
        <v>28</v>
      </c>
      <c r="G12" s="116" t="s">
        <v>162</v>
      </c>
      <c r="H12" s="5" t="s">
        <v>142</v>
      </c>
      <c r="I12" s="5" t="s">
        <v>153</v>
      </c>
      <c r="J12" s="5" t="s">
        <v>188</v>
      </c>
      <c r="K12" s="96" t="str">
        <f ca="1">IF($J$2&lt;C12,"Noch kein Geburtstag gehabt","Schon Geburtstag gehabt")</f>
        <v>Schon Geburtstag gehabt</v>
      </c>
    </row>
    <row r="13" spans="1:11" x14ac:dyDescent="0.35">
      <c r="A13" s="5" t="str">
        <f>_xlfn.CONCAT(TEXT(MONTH(G13),"00"),"_",TEXT(DAY(G13),"00"))</f>
        <v>01_11</v>
      </c>
      <c r="B13" s="113" t="str">
        <f>_xlfn.CONCAT(TEXT(DAY(G13),"00"),".",TEXT(G13,"MMMM"))</f>
        <v>11.Januar</v>
      </c>
      <c r="C13" s="117">
        <f ca="1">DATE(YEAR($J$2),MONTH(G13),DAY(G13))</f>
        <v>45668</v>
      </c>
      <c r="D13" s="117">
        <f ca="1">IF(C13&lt;$J$2,DATE(YEAR($J$2)+1,MONTH(G13),DAY(G13)),DATE(YEAR($J$2),MONTH(G13),DAY(G13)))</f>
        <v>46033</v>
      </c>
      <c r="E13" s="114">
        <f ca="1">YEAR($J$2) - YEAR(G13) - IF(C13&gt;$J$2,1,0)</f>
        <v>61</v>
      </c>
      <c r="F13" s="115">
        <f ca="1">YEAR($J$2) - YEAR(G13)</f>
        <v>61</v>
      </c>
      <c r="G13" s="116" t="s">
        <v>166</v>
      </c>
      <c r="H13" s="5" t="s">
        <v>140</v>
      </c>
      <c r="I13" s="5" t="s">
        <v>167</v>
      </c>
      <c r="J13" s="5" t="s">
        <v>191</v>
      </c>
      <c r="K13" s="96" t="str">
        <f ca="1">IF($J$2&lt;C13,"Noch kein Geburtstag gehabt","Schon Geburtstag gehabt")</f>
        <v>Schon Geburtstag gehabt</v>
      </c>
    </row>
    <row r="14" spans="1:11" x14ac:dyDescent="0.35">
      <c r="A14" s="5" t="str">
        <f>_xlfn.CONCAT(TEXT(MONTH(G14),"00"),"_",TEXT(DAY(G14),"00"))</f>
        <v>01_11</v>
      </c>
      <c r="B14" s="113" t="str">
        <f>_xlfn.CONCAT(TEXT(DAY(G14),"00"),".",TEXT(G14,"MMMM"))</f>
        <v>11.Januar</v>
      </c>
      <c r="C14" s="117">
        <f ca="1">DATE(YEAR($J$2),MONTH(G14),DAY(G14))</f>
        <v>45668</v>
      </c>
      <c r="D14" s="117">
        <f ca="1">IF(C14&lt;$J$2,DATE(YEAR($J$2)+1,MONTH(G14),DAY(G14)),DATE(YEAR($J$2),MONTH(G14),DAY(G14)))</f>
        <v>46033</v>
      </c>
      <c r="E14" s="114">
        <f ca="1">YEAR($J$2) - YEAR(G14) - IF(C14&gt;$J$2,1,0)</f>
        <v>42</v>
      </c>
      <c r="F14" s="115">
        <f ca="1">YEAR($J$2) - YEAR(G14)</f>
        <v>42</v>
      </c>
      <c r="G14" s="116" t="s">
        <v>169</v>
      </c>
      <c r="H14" s="5" t="s">
        <v>142</v>
      </c>
      <c r="I14" s="5" t="s">
        <v>170</v>
      </c>
      <c r="J14" s="5" t="s">
        <v>193</v>
      </c>
      <c r="K14" s="96" t="str">
        <f ca="1">IF($J$2&lt;C14,"Noch kein Geburtstag gehabt","Schon Geburtstag gehabt")</f>
        <v>Schon Geburtstag gehabt</v>
      </c>
    </row>
    <row r="15" spans="1:11" x14ac:dyDescent="0.35">
      <c r="A15" s="5" t="str">
        <f>_xlfn.CONCAT(TEXT(MONTH(G15),"00"),"_",TEXT(DAY(G15),"00"))</f>
        <v>01_14</v>
      </c>
      <c r="B15" s="113" t="str">
        <f>_xlfn.CONCAT(TEXT(DAY(G15),"00"),".",TEXT(G15,"MMMM"))</f>
        <v>14.Januar</v>
      </c>
      <c r="C15" s="117">
        <f ca="1">DATE(YEAR($J$2),MONTH(G15),DAY(G15))</f>
        <v>45671</v>
      </c>
      <c r="D15" s="117">
        <f ca="1">IF(C15&lt;$J$2,DATE(YEAR($J$2)+1,MONTH(G15),DAY(G15)),DATE(YEAR($J$2),MONTH(G15),DAY(G15)))</f>
        <v>46036</v>
      </c>
      <c r="E15" s="114">
        <f ca="1">YEAR($J$2) - YEAR(G15) - IF(C15&gt;$J$2,1,0)</f>
        <v>65</v>
      </c>
      <c r="F15" s="115">
        <f ca="1">YEAR($J$2) - YEAR(G15)</f>
        <v>65</v>
      </c>
      <c r="G15" s="116" t="s">
        <v>175</v>
      </c>
      <c r="H15" s="5" t="s">
        <v>142</v>
      </c>
      <c r="I15" s="5" t="s">
        <v>176</v>
      </c>
      <c r="J15" s="5" t="s">
        <v>196</v>
      </c>
      <c r="K15" s="96" t="str">
        <f ca="1">IF($J$2&lt;C15,"Noch kein Geburtstag gehabt","Schon Geburtstag gehabt")</f>
        <v>Schon Geburtstag gehabt</v>
      </c>
    </row>
    <row r="16" spans="1:11" x14ac:dyDescent="0.35">
      <c r="A16" s="5" t="str">
        <f>_xlfn.CONCAT(TEXT(MONTH(G16),"00"),"_",TEXT(DAY(G16),"00"))</f>
        <v>01_15</v>
      </c>
      <c r="B16" s="113" t="str">
        <f>_xlfn.CONCAT(TEXT(DAY(G16),"00"),".",TEXT(G16,"MMMM"))</f>
        <v>15.Januar</v>
      </c>
      <c r="C16" s="117">
        <f ca="1">DATE(YEAR($J$2),MONTH(G16),DAY(G16))</f>
        <v>45672</v>
      </c>
      <c r="D16" s="117">
        <f ca="1">IF(C16&lt;$J$2,DATE(YEAR($J$2)+1,MONTH(G16),DAY(G16)),DATE(YEAR($J$2),MONTH(G16),DAY(G16)))</f>
        <v>46037</v>
      </c>
      <c r="E16" s="114">
        <f ca="1">YEAR($J$2) - YEAR(G16) - IF(C16&gt;$J$2,1,0)</f>
        <v>45</v>
      </c>
      <c r="F16" s="115">
        <f ca="1">YEAR($J$2) - YEAR(G16)</f>
        <v>45</v>
      </c>
      <c r="G16" s="116" t="s">
        <v>178</v>
      </c>
      <c r="H16" s="5" t="s">
        <v>142</v>
      </c>
      <c r="I16" s="5" t="s">
        <v>179</v>
      </c>
      <c r="J16" s="5" t="s">
        <v>154</v>
      </c>
      <c r="K16" s="96" t="str">
        <f ca="1">IF($J$2&lt;C16,"Noch kein Geburtstag gehabt","Schon Geburtstag gehabt")</f>
        <v>Schon Geburtstag gehabt</v>
      </c>
    </row>
    <row r="17" spans="1:11" x14ac:dyDescent="0.35">
      <c r="A17" s="5" t="str">
        <f>_xlfn.CONCAT(TEXT(MONTH(G17),"00"),"_",TEXT(DAY(G17),"00"))</f>
        <v>02_09</v>
      </c>
      <c r="B17" s="113" t="str">
        <f>_xlfn.CONCAT(TEXT(DAY(G17),"00"),".",TEXT(G17,"MMMM"))</f>
        <v>09.Februar</v>
      </c>
      <c r="C17" s="117">
        <f ca="1">DATE(YEAR($J$2),MONTH(G17),DAY(G17))</f>
        <v>45697</v>
      </c>
      <c r="D17" s="117">
        <f ca="1">IF(C17&lt;$J$2,DATE(YEAR($J$2)+1,MONTH(G17),DAY(G17)),DATE(YEAR($J$2),MONTH(G17),DAY(G17)))</f>
        <v>46062</v>
      </c>
      <c r="E17" s="114">
        <f ca="1">YEAR($J$2) - YEAR(G17) - IF(C17&gt;$J$2,1,0)</f>
        <v>80</v>
      </c>
      <c r="F17" s="115">
        <f ca="1">YEAR($J$2) - YEAR(G17)</f>
        <v>80</v>
      </c>
      <c r="G17" s="116">
        <v>16477</v>
      </c>
      <c r="H17" s="5" t="s">
        <v>140</v>
      </c>
      <c r="I17" s="5" t="s">
        <v>159</v>
      </c>
      <c r="J17" s="5" t="s">
        <v>187</v>
      </c>
      <c r="K17" s="96" t="str">
        <f ca="1">IF($J$2&lt;C17,"Noch kein Geburtstag gehabt","Schon Geburtstag gehabt")</f>
        <v>Schon Geburtstag gehabt</v>
      </c>
    </row>
    <row r="18" spans="1:11" x14ac:dyDescent="0.35">
      <c r="A18" s="5" t="str">
        <f>_xlfn.CONCAT(TEXT(MONTH(G18),"00"),"_",TEXT(DAY(G18),"00"))</f>
        <v>02_14</v>
      </c>
      <c r="B18" s="113" t="str">
        <f>_xlfn.CONCAT(TEXT(DAY(G18),"00"),".",TEXT(G18,"MMMM"))</f>
        <v>14.Februar</v>
      </c>
      <c r="C18" s="117">
        <f ca="1">DATE(YEAR($J$2),MONTH(G18),DAY(G18))</f>
        <v>45702</v>
      </c>
      <c r="D18" s="117">
        <f ca="1">IF(C18&lt;$J$2,DATE(YEAR($J$2)+1,MONTH(G18),DAY(G18)),DATE(YEAR($J$2),MONTH(G18),DAY(G18)))</f>
        <v>46067</v>
      </c>
      <c r="E18" s="114">
        <f ca="1">YEAR($J$2) - YEAR(G18) - IF(C18&gt;$J$2,1,0)</f>
        <v>52</v>
      </c>
      <c r="F18" s="115">
        <f ca="1">YEAR($J$2) - YEAR(G18)</f>
        <v>52</v>
      </c>
      <c r="G18" s="116">
        <v>26709</v>
      </c>
      <c r="H18" s="5" t="s">
        <v>142</v>
      </c>
      <c r="I18" s="5" t="s">
        <v>174</v>
      </c>
      <c r="J18" s="5" t="s">
        <v>195</v>
      </c>
      <c r="K18" s="96" t="str">
        <f ca="1">IF($J$2&lt;C18,"Noch kein Geburtstag gehabt","Schon Geburtstag gehabt")</f>
        <v>Schon Geburtstag gehabt</v>
      </c>
    </row>
    <row r="19" spans="1:11" x14ac:dyDescent="0.35">
      <c r="A19" s="5" t="str">
        <f>_xlfn.CONCAT(TEXT(MONTH(G19),"00"),"_",TEXT(DAY(G19),"00"))</f>
        <v>03_02</v>
      </c>
      <c r="B19" s="113" t="str">
        <f>_xlfn.CONCAT(TEXT(DAY(G19),"00"),".",TEXT(G19,"MMMM"))</f>
        <v>02.März</v>
      </c>
      <c r="C19" s="117">
        <f ca="1">DATE(YEAR($J$2),MONTH(G19),DAY(G19))</f>
        <v>45718</v>
      </c>
      <c r="D19" s="117">
        <f ca="1">IF(C19&lt;$J$2,DATE(YEAR($J$2)+1,MONTH(G19),DAY(G19)),DATE(YEAR($J$2),MONTH(G19),DAY(G19)))</f>
        <v>46083</v>
      </c>
      <c r="E19" s="114">
        <f ca="1">YEAR($J$2) - YEAR(G19) - IF(C19&gt;$J$2,1,0)</f>
        <v>66</v>
      </c>
      <c r="F19" s="115">
        <f ca="1">YEAR($J$2) - YEAR(G19)</f>
        <v>66</v>
      </c>
      <c r="G19" s="116">
        <v>21611</v>
      </c>
      <c r="H19" s="5" t="s">
        <v>142</v>
      </c>
      <c r="I19" s="5" t="s">
        <v>148</v>
      </c>
      <c r="J19" s="5" t="s">
        <v>144</v>
      </c>
      <c r="K19" s="96" t="str">
        <f ca="1">IF($J$2&lt;C19,"Noch kein Geburtstag gehabt","Schon Geburtstag gehabt")</f>
        <v>Schon Geburtstag gehabt</v>
      </c>
    </row>
    <row r="20" spans="1:11" x14ac:dyDescent="0.35">
      <c r="A20" s="5" t="str">
        <f>_xlfn.CONCAT(TEXT(MONTH(G20),"00"),"_",TEXT(DAY(G20),"00"))</f>
        <v>03_02</v>
      </c>
      <c r="B20" s="113" t="str">
        <f>_xlfn.CONCAT(TEXT(DAY(G20),"00"),".",TEXT(G20,"MMMM"))</f>
        <v>02.März</v>
      </c>
      <c r="C20" s="117">
        <f ca="1">DATE(YEAR($J$2),MONTH(G20),DAY(G20))</f>
        <v>45718</v>
      </c>
      <c r="D20" s="117">
        <f ca="1">IF(C20&lt;$J$2,DATE(YEAR($J$2)+1,MONTH(G20),DAY(G20)),DATE(YEAR($J$2),MONTH(G20),DAY(G20)))</f>
        <v>46083</v>
      </c>
      <c r="E20" s="114">
        <f ca="1">YEAR($J$2) - YEAR(G20) - IF(C20&gt;$J$2,1,0)</f>
        <v>31</v>
      </c>
      <c r="F20" s="115">
        <f ca="1">YEAR($J$2) - YEAR(G20)</f>
        <v>31</v>
      </c>
      <c r="G20" s="116">
        <v>34395</v>
      </c>
      <c r="H20" s="5" t="s">
        <v>140</v>
      </c>
      <c r="I20" s="5" t="s">
        <v>149</v>
      </c>
      <c r="J20" s="5" t="s">
        <v>144</v>
      </c>
      <c r="K20" s="96" t="str">
        <f ca="1">IF($J$2&lt;C20,"Noch kein Geburtstag gehabt","Schon Geburtstag gehabt")</f>
        <v>Schon Geburtstag gehabt</v>
      </c>
    </row>
    <row r="21" spans="1:11" x14ac:dyDescent="0.35">
      <c r="A21" s="5" t="str">
        <f>_xlfn.CONCAT(TEXT(MONTH(G21),"00"),"_",TEXT(DAY(G21),"00"))</f>
        <v>04_10</v>
      </c>
      <c r="B21" s="113" t="str">
        <f>_xlfn.CONCAT(TEXT(DAY(G21),"00"),".",TEXT(G21,"MMMM"))</f>
        <v>10.April</v>
      </c>
      <c r="C21" s="117">
        <f ca="1">DATE(YEAR($J$2),MONTH(G21),DAY(G21))</f>
        <v>45757</v>
      </c>
      <c r="D21" s="117">
        <f ca="1">IF(C21&lt;$J$2,DATE(YEAR($J$2)+1,MONTH(G21),DAY(G21)),DATE(YEAR($J$2),MONTH(G21),DAY(G21)))</f>
        <v>46122</v>
      </c>
      <c r="E21" s="114">
        <f ca="1">YEAR($J$2) - YEAR(G21) - IF(C21&gt;$J$2,1,0)</f>
        <v>25</v>
      </c>
      <c r="F21" s="115">
        <f ca="1">YEAR($J$2) - YEAR(G21)</f>
        <v>25</v>
      </c>
      <c r="G21" s="116">
        <v>36626</v>
      </c>
      <c r="H21" s="5" t="s">
        <v>142</v>
      </c>
      <c r="I21" s="5" t="s">
        <v>143</v>
      </c>
      <c r="J21" s="5" t="s">
        <v>184</v>
      </c>
      <c r="K21" s="96" t="str">
        <f ca="1">IF($J$2&lt;C21,"Noch kein Geburtstag gehabt","Schon Geburtstag gehabt")</f>
        <v>Schon Geburtstag gehabt</v>
      </c>
    </row>
    <row r="22" spans="1:11" x14ac:dyDescent="0.35">
      <c r="A22" s="5" t="str">
        <f>_xlfn.CONCAT(TEXT(MONTH(G22),"00"),"_",TEXT(DAY(G22),"00"))</f>
        <v>07_12</v>
      </c>
      <c r="B22" s="113" t="str">
        <f>_xlfn.CONCAT(TEXT(DAY(G22),"00"),".",TEXT(G22,"MMMM"))</f>
        <v>12.Juli</v>
      </c>
      <c r="C22" s="117">
        <f ca="1">DATE(YEAR($J$2),MONTH(G22),DAY(G22))</f>
        <v>45850</v>
      </c>
      <c r="D22" s="117">
        <f ca="1">IF(C22&lt;$J$2,DATE(YEAR($J$2)+1,MONTH(G22),DAY(G22)),DATE(YEAR($J$2),MONTH(G22),DAY(G22)))</f>
        <v>45850</v>
      </c>
      <c r="E22" s="114">
        <f ca="1">YEAR($J$2) - YEAR(G22) - IF(C22&gt;$J$2,1,0)</f>
        <v>50</v>
      </c>
      <c r="F22" s="115">
        <f ca="1">YEAR($J$2) - YEAR(G22)</f>
        <v>51</v>
      </c>
      <c r="G22" s="116">
        <v>27222</v>
      </c>
      <c r="H22" s="5" t="s">
        <v>142</v>
      </c>
      <c r="I22" s="5" t="s">
        <v>153</v>
      </c>
      <c r="J22" s="5" t="s">
        <v>194</v>
      </c>
      <c r="K22" s="96" t="str">
        <f ca="1">IF($J$2&lt;C22,"Noch kein Geburtstag gehabt","Schon Geburtstag gehabt")</f>
        <v>Noch kein Geburtstag gehabt</v>
      </c>
    </row>
    <row r="23" spans="1:11" x14ac:dyDescent="0.35">
      <c r="A23" s="5" t="str">
        <f>_xlfn.CONCAT(TEXT(MONTH(G23),"00"),"_",TEXT(DAY(G23),"00"))</f>
        <v>08_05</v>
      </c>
      <c r="B23" s="113" t="str">
        <f>_xlfn.CONCAT(TEXT(DAY(G23),"00"),".",TEXT(G23,"MMMM"))</f>
        <v>05.August</v>
      </c>
      <c r="C23" s="117">
        <f ca="1">DATE(YEAR($J$2),MONTH(G23),DAY(G23))</f>
        <v>45874</v>
      </c>
      <c r="D23" s="117">
        <f ca="1">IF(C23&lt;$J$2,DATE(YEAR($J$2)+1,MONTH(G23),DAY(G23)),DATE(YEAR($J$2),MONTH(G23),DAY(G23)))</f>
        <v>45874</v>
      </c>
      <c r="E23" s="114">
        <f ca="1">YEAR($J$2) - YEAR(G23) - IF(C23&gt;$J$2,1,0)</f>
        <v>64</v>
      </c>
      <c r="F23" s="115">
        <f ca="1">YEAR($J$2) - YEAR(G23)</f>
        <v>65</v>
      </c>
      <c r="G23" s="116">
        <v>22133</v>
      </c>
      <c r="H23" s="5" t="s">
        <v>140</v>
      </c>
      <c r="I23" s="5" t="s">
        <v>168</v>
      </c>
      <c r="J23" s="5" t="s">
        <v>192</v>
      </c>
      <c r="K23" s="96" t="str">
        <f ca="1">IF($J$2&lt;C23,"Noch kein Geburtstag gehabt","Schon Geburtstag gehabt")</f>
        <v>Noch kein Geburtstag gehabt</v>
      </c>
    </row>
    <row r="24" spans="1:11" x14ac:dyDescent="0.35">
      <c r="A24" s="5" t="str">
        <f>_xlfn.CONCAT(TEXT(MONTH(G24),"00"),"_",TEXT(DAY(G24),"00"))</f>
        <v>08_12</v>
      </c>
      <c r="B24" s="113" t="str">
        <f>_xlfn.CONCAT(TEXT(DAY(G24),"00"),".",TEXT(G24,"MMMM"))</f>
        <v>12.August</v>
      </c>
      <c r="C24" s="117">
        <f ca="1">DATE(YEAR($J$2),MONTH(G24),DAY(G24))</f>
        <v>45881</v>
      </c>
      <c r="D24" s="117">
        <f ca="1">IF(C24&lt;$J$2,DATE(YEAR($J$2)+1,MONTH(G24),DAY(G24)),DATE(YEAR($J$2),MONTH(G24),DAY(G24)))</f>
        <v>45881</v>
      </c>
      <c r="E24" s="114">
        <f ca="1">YEAR($J$2) - YEAR(G24) - IF(C24&gt;$J$2,1,0)</f>
        <v>55</v>
      </c>
      <c r="F24" s="115">
        <f ca="1">YEAR($J$2) - YEAR(G24)</f>
        <v>56</v>
      </c>
      <c r="G24" s="116">
        <v>25427</v>
      </c>
      <c r="H24" s="5" t="s">
        <v>142</v>
      </c>
      <c r="I24" s="5" t="s">
        <v>172</v>
      </c>
      <c r="J24" s="5" t="s">
        <v>147</v>
      </c>
      <c r="K24" s="96" t="str">
        <f ca="1">IF($J$2&lt;C24,"Noch kein Geburtstag gehabt","Schon Geburtstag gehabt")</f>
        <v>Noch kein Geburtstag gehabt</v>
      </c>
    </row>
    <row r="25" spans="1:11" x14ac:dyDescent="0.35">
      <c r="A25" s="5" t="str">
        <f>_xlfn.CONCAT(TEXT(MONTH(G25),"00"),"_",TEXT(DAY(G25),"00"))</f>
        <v>08_13</v>
      </c>
      <c r="B25" s="113" t="str">
        <f>_xlfn.CONCAT(TEXT(DAY(G25),"00"),".",TEXT(G25,"MMMM"))</f>
        <v>13.August</v>
      </c>
      <c r="C25" s="117">
        <f ca="1">DATE(YEAR($J$2),MONTH(G25),DAY(G25))</f>
        <v>45882</v>
      </c>
      <c r="D25" s="117">
        <f ca="1">IF(C25&lt;$J$2,DATE(YEAR($J$2)+1,MONTH(G25),DAY(G25)),DATE(YEAR($J$2),MONTH(G25),DAY(G25)))</f>
        <v>45882</v>
      </c>
      <c r="E25" s="114">
        <f ca="1">YEAR($J$2) - YEAR(G25) - IF(C25&gt;$J$2,1,0)</f>
        <v>82</v>
      </c>
      <c r="F25" s="115">
        <f ca="1">YEAR($J$2) - YEAR(G25)</f>
        <v>83</v>
      </c>
      <c r="G25" s="116">
        <v>15566</v>
      </c>
      <c r="H25" s="5" t="s">
        <v>142</v>
      </c>
      <c r="I25" s="5" t="s">
        <v>173</v>
      </c>
      <c r="J25" s="5" t="s">
        <v>180</v>
      </c>
      <c r="K25" s="96" t="str">
        <f ca="1">IF($J$2&lt;C25,"Noch kein Geburtstag gehabt","Schon Geburtstag gehabt")</f>
        <v>Noch kein Geburtstag gehabt</v>
      </c>
    </row>
    <row r="26" spans="1:11" x14ac:dyDescent="0.35">
      <c r="A26" s="5" t="str">
        <f>_xlfn.CONCAT(TEXT(MONTH(G26),"00"),"_",TEXT(DAY(G26),"00"))</f>
        <v>09_12</v>
      </c>
      <c r="B26" s="113" t="str">
        <f>_xlfn.CONCAT(TEXT(DAY(G26),"00"),".",TEXT(G26,"MMMM"))</f>
        <v>12.September</v>
      </c>
      <c r="C26" s="117">
        <f ca="1">DATE(YEAR($J$2),MONTH(G26),DAY(G26))</f>
        <v>45912</v>
      </c>
      <c r="D26" s="117">
        <f ca="1">IF(C26&lt;$J$2,DATE(YEAR($J$2)+1,MONTH(G26),DAY(G26)),DATE(YEAR($J$2),MONTH(G26),DAY(G26)))</f>
        <v>45912</v>
      </c>
      <c r="E26" s="114">
        <f ca="1">YEAR($J$2) - YEAR(G26) - IF(C26&gt;$J$2,1,0)</f>
        <v>55</v>
      </c>
      <c r="F26" s="115">
        <f ca="1">YEAR($J$2) - YEAR(G26)</f>
        <v>56</v>
      </c>
      <c r="G26" s="116">
        <v>25458</v>
      </c>
      <c r="H26" s="5" t="s">
        <v>140</v>
      </c>
      <c r="I26" s="5" t="s">
        <v>171</v>
      </c>
      <c r="J26" s="5" t="s">
        <v>147</v>
      </c>
      <c r="K26" s="96" t="str">
        <f ca="1">IF($J$2&lt;C26,"Noch kein Geburtstag gehabt","Schon Geburtstag gehabt")</f>
        <v>Noch kein Geburtstag gehabt</v>
      </c>
    </row>
    <row r="27" spans="1:11" x14ac:dyDescent="0.35">
      <c r="A27" s="5" t="str">
        <f>_xlfn.CONCAT(TEXT(MONTH(G27),"00"),"_",TEXT(DAY(G27),"00"))</f>
        <v>09_16</v>
      </c>
      <c r="B27" s="113" t="str">
        <f>_xlfn.CONCAT(TEXT(DAY(G27),"00"),".",TEXT(G27,"MMMM"))</f>
        <v>16.September</v>
      </c>
      <c r="C27" s="117">
        <f ca="1">DATE(YEAR($J$2),MONTH(G27),DAY(G27))</f>
        <v>45916</v>
      </c>
      <c r="D27" s="117">
        <f ca="1">IF(C27&lt;$J$2,DATE(YEAR($J$2)+1,MONTH(G27),DAY(G27)),DATE(YEAR($J$2),MONTH(G27),DAY(G27)))</f>
        <v>45916</v>
      </c>
      <c r="E27" s="114">
        <f ca="1">YEAR($J$2) - YEAR(G27) - IF(C27&gt;$J$2,1,0)</f>
        <v>63</v>
      </c>
      <c r="F27" s="115">
        <f ca="1">YEAR($J$2) - YEAR(G27)</f>
        <v>64</v>
      </c>
      <c r="G27" s="116">
        <v>22540</v>
      </c>
      <c r="H27" s="5" t="s">
        <v>140</v>
      </c>
      <c r="I27" s="5" t="s">
        <v>182</v>
      </c>
      <c r="J27" s="5" t="s">
        <v>147</v>
      </c>
      <c r="K27" s="96" t="str">
        <f ca="1">IF($J$2&lt;C27,"Noch kein Geburtstag gehabt","Schon Geburtstag gehabt")</f>
        <v>Noch kein Geburtstag gehabt</v>
      </c>
    </row>
    <row r="28" spans="1:11" x14ac:dyDescent="0.35">
      <c r="A28" s="5" t="str">
        <f>_xlfn.CONCAT(TEXT(MONTH(G28),"00"),"_",TEXT(DAY(G28),"00"))</f>
        <v>10_10</v>
      </c>
      <c r="B28" s="113" t="str">
        <f>_xlfn.CONCAT(TEXT(DAY(G28),"00"),".",TEXT(G28,"MMMM"))</f>
        <v>10.Oktober</v>
      </c>
      <c r="C28" s="117">
        <f ca="1">DATE(YEAR($J$2),MONTH(G28),DAY(G28))</f>
        <v>45940</v>
      </c>
      <c r="D28" s="117">
        <f ca="1">IF(C28&lt;$J$2,DATE(YEAR($J$2)+1,MONTH(G28),DAY(G28)),DATE(YEAR($J$2),MONTH(G28),DAY(G28)))</f>
        <v>45940</v>
      </c>
      <c r="E28" s="114">
        <f ca="1">YEAR($J$2) - YEAR(G28) - IF(C28&gt;$J$2,1,0)</f>
        <v>84</v>
      </c>
      <c r="F28" s="115">
        <f ca="1">YEAR($J$2) - YEAR(G28)</f>
        <v>85</v>
      </c>
      <c r="G28" s="116">
        <v>14894</v>
      </c>
      <c r="H28" s="5" t="s">
        <v>142</v>
      </c>
      <c r="I28" s="5" t="s">
        <v>163</v>
      </c>
      <c r="J28" s="5" t="s">
        <v>189</v>
      </c>
      <c r="K28" s="96" t="str">
        <f ca="1">IF($J$2&lt;C28,"Noch kein Geburtstag gehabt","Schon Geburtstag gehabt")</f>
        <v>Noch kein Geburtstag gehabt</v>
      </c>
    </row>
    <row r="29" spans="1:11" x14ac:dyDescent="0.35">
      <c r="A29" s="5" t="str">
        <f>_xlfn.CONCAT(TEXT(MONTH(G29),"00"),"_",TEXT(DAY(G29),"00"))</f>
        <v>10_12</v>
      </c>
      <c r="B29" s="113" t="str">
        <f>_xlfn.CONCAT(TEXT(DAY(G29),"00"),".",TEXT(G29,"MMMM"))</f>
        <v>12.Oktober</v>
      </c>
      <c r="C29" s="117">
        <f ca="1">DATE(YEAR($J$2),MONTH(G29),DAY(G29))</f>
        <v>45942</v>
      </c>
      <c r="D29" s="117">
        <f ca="1">IF(C29&lt;$J$2,DATE(YEAR($J$2)+1,MONTH(G29),DAY(G29)),DATE(YEAR($J$2),MONTH(G29),DAY(G29)))</f>
        <v>45942</v>
      </c>
      <c r="E29" s="114">
        <f ca="1">YEAR($J$2) - YEAR(G29) - IF(C29&gt;$J$2,1,0)</f>
        <v>82</v>
      </c>
      <c r="F29" s="115">
        <f ca="1">YEAR($J$2) - YEAR(G29)</f>
        <v>83</v>
      </c>
      <c r="G29" s="116">
        <v>15626</v>
      </c>
      <c r="H29" s="5" t="s">
        <v>142</v>
      </c>
      <c r="I29" s="5" t="s">
        <v>164</v>
      </c>
      <c r="J29" s="5" t="s">
        <v>180</v>
      </c>
      <c r="K29" s="96" t="str">
        <f ca="1">IF($J$2&lt;C29,"Noch kein Geburtstag gehabt","Schon Geburtstag gehabt")</f>
        <v>Noch kein Geburtstag gehabt</v>
      </c>
    </row>
    <row r="30" spans="1:11" x14ac:dyDescent="0.35">
      <c r="A30" s="5" t="str">
        <f>_xlfn.CONCAT(TEXT(MONTH(G30),"00"),"_",TEXT(DAY(G30),"00"))</f>
        <v>10_14</v>
      </c>
      <c r="B30" s="113" t="str">
        <f>_xlfn.CONCAT(TEXT(DAY(G30),"00"),".",TEXT(G30,"MMMM"))</f>
        <v>14.Oktober</v>
      </c>
      <c r="C30" s="117">
        <f ca="1">DATE(YEAR($J$2),MONTH(G30),DAY(G30))</f>
        <v>45944</v>
      </c>
      <c r="D30" s="117">
        <f ca="1">IF(C30&lt;$J$2,DATE(YEAR($J$2)+1,MONTH(G30),DAY(G30)),DATE(YEAR($J$2),MONTH(G30),DAY(G30)))</f>
        <v>45944</v>
      </c>
      <c r="E30" s="114">
        <f ca="1">YEAR($J$2) - YEAR(G30) - IF(C30&gt;$J$2,1,0)</f>
        <v>40</v>
      </c>
      <c r="F30" s="115">
        <f ca="1">YEAR($J$2) - YEAR(G30)</f>
        <v>41</v>
      </c>
      <c r="G30" s="116">
        <v>30969</v>
      </c>
      <c r="H30" s="5" t="s">
        <v>140</v>
      </c>
      <c r="I30" s="5" t="s">
        <v>177</v>
      </c>
      <c r="J30" s="5" t="s">
        <v>147</v>
      </c>
      <c r="K30" s="96" t="str">
        <f ca="1">IF($J$2&lt;C30,"Noch kein Geburtstag gehabt","Schon Geburtstag gehabt")</f>
        <v>Noch kein Geburtstag gehabt</v>
      </c>
    </row>
    <row r="31" spans="1:11" x14ac:dyDescent="0.35">
      <c r="A31" s="5" t="str">
        <f>_xlfn.CONCAT(TEXT(MONTH(G31),"00"),"_",TEXT(DAY(G31),"00"))</f>
        <v>10_15</v>
      </c>
      <c r="B31" s="113" t="str">
        <f>_xlfn.CONCAT(TEXT(DAY(G31),"00"),".",TEXT(G31,"MMMM"))</f>
        <v>15.Oktober</v>
      </c>
      <c r="C31" s="117">
        <f ca="1">DATE(YEAR($J$2),MONTH(G31),DAY(G31))</f>
        <v>45945</v>
      </c>
      <c r="D31" s="117">
        <f ca="1">IF(C31&lt;$J$2,DATE(YEAR($J$2)+1,MONTH(G31),DAY(G31)),DATE(YEAR($J$2),MONTH(G31),DAY(G31)))</f>
        <v>45945</v>
      </c>
      <c r="E31" s="114">
        <f ca="1">YEAR($J$2) - YEAR(G31) - IF(C31&gt;$J$2,1,0)</f>
        <v>63</v>
      </c>
      <c r="F31" s="115">
        <f ca="1">YEAR($J$2) - YEAR(G31)</f>
        <v>64</v>
      </c>
      <c r="G31" s="116">
        <v>22569</v>
      </c>
      <c r="H31" s="5" t="s">
        <v>142</v>
      </c>
      <c r="I31" s="5" t="s">
        <v>181</v>
      </c>
      <c r="J31" s="5" t="s">
        <v>197</v>
      </c>
      <c r="K31" s="96" t="str">
        <f ca="1">IF($J$2&lt;C31,"Noch kein Geburtstag gehabt","Schon Geburtstag gehabt")</f>
        <v>Noch kein Geburtstag gehabt</v>
      </c>
    </row>
    <row r="32" spans="1:11" x14ac:dyDescent="0.35">
      <c r="A32" s="5" t="str">
        <f>_xlfn.CONCAT(TEXT(MONTH(G32),"00"),"_",TEXT(DAY(G32),"00"))</f>
        <v>11_10</v>
      </c>
      <c r="B32" s="113" t="str">
        <f>_xlfn.CONCAT(TEXT(DAY(G32),"00"),".",TEXT(G32,"MMMM"))</f>
        <v>10.November</v>
      </c>
      <c r="C32" s="117">
        <f ca="1">DATE(YEAR($J$2),MONTH(G32),DAY(G32))</f>
        <v>45971</v>
      </c>
      <c r="D32" s="117">
        <f ca="1">IF(C32&lt;$J$2,DATE(YEAR($J$2)+1,MONTH(G32),DAY(G32)),DATE(YEAR($J$2),MONTH(G32),DAY(G32)))</f>
        <v>45971</v>
      </c>
      <c r="E32" s="114">
        <f ca="1">YEAR($J$2) - YEAR(G32) - IF(C32&gt;$J$2,1,0)</f>
        <v>83</v>
      </c>
      <c r="F32" s="115">
        <f ca="1">YEAR($J$2) - YEAR(G32)</f>
        <v>84</v>
      </c>
      <c r="G32" s="116">
        <v>15290</v>
      </c>
      <c r="H32" s="5" t="s">
        <v>142</v>
      </c>
      <c r="I32" s="5" t="s">
        <v>164</v>
      </c>
      <c r="J32" s="5" t="s">
        <v>190</v>
      </c>
      <c r="K32" s="96" t="str">
        <f ca="1">IF($J$2&lt;C32,"Noch kein Geburtstag gehabt","Schon Geburtstag gehabt")</f>
        <v>Noch kein Geburtstag gehabt</v>
      </c>
    </row>
    <row r="33" spans="1:11" x14ac:dyDescent="0.35">
      <c r="A33" s="5" t="str">
        <f>_xlfn.CONCAT(TEXT(MONTH(G33),"00"),"_",TEXT(DAY(G33),"00"))</f>
        <v>12_10</v>
      </c>
      <c r="B33" s="113" t="str">
        <f>_xlfn.CONCAT(TEXT(DAY(G33),"00"),".",TEXT(G33,"MMMM"))</f>
        <v>10.Dezember</v>
      </c>
      <c r="C33" s="117">
        <f ca="1">DATE(YEAR($J$2),MONTH(G33),DAY(G33))</f>
        <v>46001</v>
      </c>
      <c r="D33" s="117">
        <f ca="1">IF(C33&lt;$J$2,DATE(YEAR($J$2)+1,MONTH(G33),DAY(G33)),DATE(YEAR($J$2),MONTH(G33),DAY(G33)))</f>
        <v>46001</v>
      </c>
      <c r="E33" s="114">
        <f ca="1">YEAR($J$2) - YEAR(G33) - IF(C33&gt;$J$2,1,0)</f>
        <v>56</v>
      </c>
      <c r="F33" s="115">
        <f ca="1">YEAR($J$2) - YEAR(G33)</f>
        <v>57</v>
      </c>
      <c r="G33" s="116">
        <v>25182</v>
      </c>
      <c r="H33" s="5" t="s">
        <v>142</v>
      </c>
      <c r="I33" s="5" t="s">
        <v>165</v>
      </c>
      <c r="J33" s="5" t="s">
        <v>144</v>
      </c>
      <c r="K33" s="96" t="str">
        <f ca="1">IF($J$2&lt;C33,"Noch kein Geburtstag gehabt","Schon Geburtstag gehabt")</f>
        <v>Noch kein Geburtstag gehabt</v>
      </c>
    </row>
    <row r="34" spans="1:11" x14ac:dyDescent="0.35">
      <c r="A34" s="5" t="str">
        <f>_xlfn.CONCAT(TEXT(MONTH(G34),"00"),"_",TEXT(DAY(G34),"00"))</f>
        <v>12_16</v>
      </c>
      <c r="B34" s="113" t="str">
        <f>_xlfn.CONCAT(TEXT(DAY(G34),"00"),".",TEXT(G34,"MMMM"))</f>
        <v>16.Dezember</v>
      </c>
      <c r="C34" s="117">
        <f ca="1">DATE(YEAR($J$2),MONTH(G34),DAY(G34))</f>
        <v>46007</v>
      </c>
      <c r="D34" s="117">
        <f ca="1">IF(C34&lt;$J$2,DATE(YEAR($J$2)+1,MONTH(G34),DAY(G34)),DATE(YEAR($J$2),MONTH(G34),DAY(G34)))</f>
        <v>46007</v>
      </c>
      <c r="E34" s="114">
        <f ca="1">YEAR($J$2) - YEAR(G34) - IF(C34&gt;$J$2,1,0)</f>
        <v>30</v>
      </c>
      <c r="F34" s="115">
        <f ca="1">YEAR($J$2) - YEAR(G34)</f>
        <v>31</v>
      </c>
      <c r="G34" s="116">
        <v>34684</v>
      </c>
      <c r="H34" s="5" t="s">
        <v>142</v>
      </c>
      <c r="I34" s="5" t="s">
        <v>183</v>
      </c>
      <c r="J34" s="5" t="s">
        <v>144</v>
      </c>
      <c r="K34" s="96" t="str">
        <f ca="1">IF($J$2&lt;C34,"Noch kein Geburtstag gehabt","Schon Geburtstag gehabt")</f>
        <v>Noch kein Geburtstag gehabt</v>
      </c>
    </row>
  </sheetData>
  <autoFilter ref="A4:K4" xr:uid="{1841BF1A-9A03-4CA3-9AB4-14BC2465827D}">
    <sortState xmlns:xlrd2="http://schemas.microsoft.com/office/spreadsheetml/2017/richdata2" ref="A5:K34">
      <sortCondition ref="A4"/>
    </sortState>
  </autoFilter>
  <sortState xmlns:xlrd2="http://schemas.microsoft.com/office/spreadsheetml/2017/richdata2" ref="A5:K34">
    <sortCondition ref="A5:A34"/>
  </sortState>
  <conditionalFormatting sqref="B5:B34">
    <cfRule type="expression" dxfId="0" priority="1">
      <formula>IF(K5="Noch kein Geburtstag gehabt",TRUE,FALSE)</formula>
    </cfRule>
  </conditionalFormatting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22FC2-F1DD-4976-B11D-F41AF79BE2D1}">
  <dimension ref="B1:C5"/>
  <sheetViews>
    <sheetView zoomScaleNormal="100" workbookViewId="0">
      <selection sqref="A1:XFD2"/>
    </sheetView>
  </sheetViews>
  <sheetFormatPr baseColWidth="10" defaultRowHeight="14.5" x14ac:dyDescent="0.35"/>
  <cols>
    <col min="2" max="4" width="19.0898437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3" ht="40" customHeight="1" x14ac:dyDescent="0.35"/>
    <row r="2" spans="2:3" ht="26" x14ac:dyDescent="0.6">
      <c r="B2" s="44" t="s">
        <v>138</v>
      </c>
      <c r="C2" s="44"/>
    </row>
    <row r="5" spans="2:3" x14ac:dyDescent="0.35">
      <c r="B5" s="110" t="s">
        <v>139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57830-AC00-4F43-A73A-16FD420D323A}">
  <dimension ref="B1:K45"/>
  <sheetViews>
    <sheetView topLeftCell="A10" zoomScale="55" zoomScaleNormal="55" workbookViewId="0">
      <selection activeCell="J38" sqref="J37:J38"/>
    </sheetView>
  </sheetViews>
  <sheetFormatPr baseColWidth="10" defaultRowHeight="14.5" x14ac:dyDescent="0.35"/>
  <cols>
    <col min="2" max="4" width="19.0898437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11" ht="40" customHeight="1" x14ac:dyDescent="0.35"/>
    <row r="2" spans="2:11" ht="26" x14ac:dyDescent="0.6">
      <c r="B2" s="44" t="s">
        <v>111</v>
      </c>
      <c r="C2" s="44"/>
    </row>
    <row r="5" spans="2:11" ht="18.5" x14ac:dyDescent="0.45">
      <c r="B5" s="91" t="s">
        <v>112</v>
      </c>
      <c r="C5" s="91"/>
      <c r="G5" s="91" t="s">
        <v>113</v>
      </c>
      <c r="H5" s="91"/>
      <c r="I5" s="91"/>
    </row>
    <row r="6" spans="2:11" ht="16.5" x14ac:dyDescent="0.35">
      <c r="B6" s="92" t="s">
        <v>114</v>
      </c>
      <c r="C6" s="92" t="s">
        <v>115</v>
      </c>
      <c r="D6" s="92" t="s">
        <v>116</v>
      </c>
      <c r="E6" s="92" t="s">
        <v>117</v>
      </c>
      <c r="G6" s="92" t="s">
        <v>118</v>
      </c>
      <c r="H6" s="92" t="s">
        <v>119</v>
      </c>
      <c r="I6" s="92" t="s">
        <v>115</v>
      </c>
      <c r="J6" s="92" t="s">
        <v>116</v>
      </c>
      <c r="K6" s="92" t="s">
        <v>117</v>
      </c>
    </row>
    <row r="7" spans="2:11" x14ac:dyDescent="0.35">
      <c r="B7" s="94">
        <v>10</v>
      </c>
      <c r="C7" s="104">
        <f>SQRT(2) * B7</f>
        <v>14.142135623730951</v>
      </c>
      <c r="D7" s="93">
        <f>B7^2</f>
        <v>100</v>
      </c>
      <c r="E7" s="93">
        <f>4*B7</f>
        <v>40</v>
      </c>
      <c r="G7" s="94">
        <v>2</v>
      </c>
      <c r="H7" s="94">
        <v>3</v>
      </c>
      <c r="I7" s="95">
        <f>SQRT(G7^2 + H7^2)</f>
        <v>3.6055512754639891</v>
      </c>
      <c r="J7" s="93">
        <f>G7*H7</f>
        <v>6</v>
      </c>
      <c r="K7" s="93">
        <f>2*(G7+H7)</f>
        <v>10</v>
      </c>
    </row>
    <row r="8" spans="2:11" x14ac:dyDescent="0.35">
      <c r="B8" s="93">
        <f>C8/SQRT(2)</f>
        <v>10.000000000190246</v>
      </c>
      <c r="C8" s="94">
        <v>14.142135624</v>
      </c>
      <c r="D8" s="93">
        <f>C8^2 / 2</f>
        <v>100.00000000380493</v>
      </c>
      <c r="E8" s="93">
        <f>4*B8</f>
        <v>40.000000000760984</v>
      </c>
      <c r="G8" s="94">
        <v>2</v>
      </c>
      <c r="H8" s="93">
        <f>SQRT(I8^2-G8^2)</f>
        <v>3.0000000054516063</v>
      </c>
      <c r="I8" s="94">
        <v>3.6055512799999998</v>
      </c>
      <c r="J8" s="93">
        <f>G8*H8</f>
        <v>6.0000000109032126</v>
      </c>
      <c r="K8" s="93">
        <f t="shared" ref="K8:K11" si="0">2*(G8+H8)</f>
        <v>10.000000010903213</v>
      </c>
    </row>
    <row r="9" spans="2:11" x14ac:dyDescent="0.35">
      <c r="B9" s="93">
        <f>SQRT(D9)</f>
        <v>10</v>
      </c>
      <c r="C9" s="93">
        <f>SQRT(2) * B9</f>
        <v>14.142135623730951</v>
      </c>
      <c r="D9" s="94">
        <v>100</v>
      </c>
      <c r="E9" s="93">
        <f>4*B9</f>
        <v>40</v>
      </c>
      <c r="G9" s="94">
        <v>2</v>
      </c>
      <c r="H9" s="93">
        <f>J9/G9</f>
        <v>3</v>
      </c>
      <c r="I9" s="93">
        <f>SQRT(G9^2 + H9^2)</f>
        <v>3.6055512754639891</v>
      </c>
      <c r="J9" s="94">
        <v>6</v>
      </c>
      <c r="K9" s="93">
        <f t="shared" si="0"/>
        <v>10</v>
      </c>
    </row>
    <row r="10" spans="2:11" x14ac:dyDescent="0.35">
      <c r="B10" s="93">
        <f>E10/4</f>
        <v>10</v>
      </c>
      <c r="C10" s="93">
        <f>SQRT(2) * B10</f>
        <v>14.142135623730951</v>
      </c>
      <c r="D10" s="93">
        <f>B10^2</f>
        <v>100</v>
      </c>
      <c r="E10" s="94">
        <v>40</v>
      </c>
      <c r="G10" s="94">
        <v>2</v>
      </c>
      <c r="H10" s="93">
        <f>(K10/2)-G10</f>
        <v>3</v>
      </c>
      <c r="I10" s="93">
        <f>SQRT(G10^2 + H10^2)</f>
        <v>3.6055512754639891</v>
      </c>
      <c r="J10" s="93">
        <f>G10*H10</f>
        <v>6</v>
      </c>
      <c r="K10" s="94">
        <v>10</v>
      </c>
    </row>
    <row r="11" spans="2:11" x14ac:dyDescent="0.35">
      <c r="G11" s="93">
        <f>SQRT((I11^2 - SQRT(I11^4 - 4*J11^2))/2)</f>
        <v>1.9936428724026451</v>
      </c>
      <c r="H11" s="93">
        <f>J11/G11</f>
        <v>3.0095660978483476</v>
      </c>
      <c r="I11" s="94">
        <v>3.61</v>
      </c>
      <c r="J11" s="94">
        <v>6</v>
      </c>
      <c r="K11" s="93">
        <f t="shared" si="0"/>
        <v>10.006417940501986</v>
      </c>
    </row>
    <row r="12" spans="2:11" x14ac:dyDescent="0.35">
      <c r="G12" s="93">
        <f>SQRT(I12^2 - H12^2)</f>
        <v>1.9841996510276481</v>
      </c>
      <c r="H12" s="93">
        <f>(K12+SQRT(8*I12^2 - K12^2))/4</f>
        <v>3.0158003489723519</v>
      </c>
      <c r="I12" s="94">
        <v>3.61</v>
      </c>
      <c r="J12" s="93">
        <f>G12*H12</f>
        <v>5.9839500000000001</v>
      </c>
      <c r="K12" s="94">
        <v>10</v>
      </c>
    </row>
    <row r="16" spans="2:11" ht="18.5" x14ac:dyDescent="0.45">
      <c r="B16" s="91" t="s">
        <v>120</v>
      </c>
    </row>
    <row r="17" spans="2:8" ht="16.5" x14ac:dyDescent="0.45">
      <c r="B17" s="92" t="s">
        <v>121</v>
      </c>
      <c r="C17" s="92" t="s">
        <v>122</v>
      </c>
      <c r="D17" s="92" t="s">
        <v>123</v>
      </c>
      <c r="E17" s="92" t="s">
        <v>125</v>
      </c>
      <c r="F17" s="92" t="s">
        <v>126</v>
      </c>
      <c r="G17" s="92" t="s">
        <v>127</v>
      </c>
      <c r="H17" s="92" t="s">
        <v>124</v>
      </c>
    </row>
    <row r="18" spans="2:8" x14ac:dyDescent="0.35">
      <c r="B18" s="94">
        <v>10</v>
      </c>
      <c r="C18" s="94">
        <v>180</v>
      </c>
      <c r="D18" s="93">
        <f>2*B18</f>
        <v>20</v>
      </c>
      <c r="E18" s="96">
        <f>B18^2*PI()</f>
        <v>314.15926535897933</v>
      </c>
      <c r="F18" s="96">
        <f>2*B18*PI()</f>
        <v>62.831853071795862</v>
      </c>
      <c r="G18" s="96">
        <f>E18*C18/360</f>
        <v>157.07963267948966</v>
      </c>
      <c r="H18" s="96">
        <f>F18*C18/360</f>
        <v>31.415926535897931</v>
      </c>
    </row>
    <row r="19" spans="2:8" x14ac:dyDescent="0.35">
      <c r="B19" s="93">
        <f>D19/2</f>
        <v>10</v>
      </c>
      <c r="C19" s="94">
        <v>180</v>
      </c>
      <c r="D19" s="94">
        <v>20</v>
      </c>
      <c r="E19" s="93">
        <f>B19^2*PI()</f>
        <v>314.15926535897933</v>
      </c>
      <c r="F19" s="93">
        <f>2*B19*PI()</f>
        <v>62.831853071795862</v>
      </c>
      <c r="G19" s="93">
        <f>E19*C19/360</f>
        <v>157.07963267948966</v>
      </c>
      <c r="H19" s="93">
        <f>F19*C19/360</f>
        <v>31.415926535897931</v>
      </c>
    </row>
    <row r="20" spans="2:8" x14ac:dyDescent="0.35">
      <c r="B20" s="93">
        <f>SQRT(E20/PI())</f>
        <v>10.000000000652864</v>
      </c>
      <c r="C20" s="94">
        <v>180</v>
      </c>
      <c r="D20" s="93">
        <f>2*B20</f>
        <v>20.000000001305729</v>
      </c>
      <c r="E20" s="94">
        <v>314.15926539999998</v>
      </c>
      <c r="F20" s="93">
        <f>2*B20*PI()</f>
        <v>62.831853075897932</v>
      </c>
      <c r="G20" s="93">
        <f>E20*C20/360</f>
        <v>157.07963269999999</v>
      </c>
      <c r="H20" s="93">
        <f>F20*C20/360</f>
        <v>31.415926537948966</v>
      </c>
    </row>
    <row r="21" spans="2:8" x14ac:dyDescent="0.35">
      <c r="B21" s="93">
        <f>D21/2</f>
        <v>9.9999999997141806</v>
      </c>
      <c r="C21" s="94">
        <v>180</v>
      </c>
      <c r="D21" s="93">
        <f>F21/PI()</f>
        <v>19.999999999428361</v>
      </c>
      <c r="E21" s="93">
        <f>B21^2*PI()</f>
        <v>314.15926534102073</v>
      </c>
      <c r="F21" s="94">
        <v>62.831853070000001</v>
      </c>
      <c r="G21" s="93">
        <f>E21*C21/360</f>
        <v>157.07963267051036</v>
      </c>
      <c r="H21" s="93">
        <f>F21*C21/360</f>
        <v>31.415926535000001</v>
      </c>
    </row>
    <row r="22" spans="2:8" x14ac:dyDescent="0.35">
      <c r="B22" s="94">
        <v>10</v>
      </c>
      <c r="C22" s="93">
        <f>360/(F22/H22)</f>
        <v>179.99999999485524</v>
      </c>
      <c r="D22" s="93">
        <f>2*B22</f>
        <v>20</v>
      </c>
      <c r="E22" s="93">
        <f t="shared" ref="E22:E25" si="1">B22^2*PI()</f>
        <v>314.15926535897933</v>
      </c>
      <c r="F22" s="93">
        <f t="shared" ref="F22:F25" si="2">2*B22*PI()</f>
        <v>62.831853071795862</v>
      </c>
      <c r="G22" s="93">
        <f t="shared" ref="G22:G23" si="3">E22*C22/360</f>
        <v>157.07963267500003</v>
      </c>
      <c r="H22" s="94">
        <v>31.415926535000001</v>
      </c>
    </row>
    <row r="23" spans="2:8" x14ac:dyDescent="0.35">
      <c r="B23" s="93">
        <f>D23/2</f>
        <v>10</v>
      </c>
      <c r="C23" s="93">
        <f>360/(F23/H23)</f>
        <v>179.99999999485524</v>
      </c>
      <c r="D23" s="94">
        <v>20</v>
      </c>
      <c r="E23" s="93">
        <f t="shared" si="1"/>
        <v>314.15926535897933</v>
      </c>
      <c r="F23" s="93">
        <f t="shared" si="2"/>
        <v>62.831853071795862</v>
      </c>
      <c r="G23" s="93">
        <f t="shared" si="3"/>
        <v>157.07963267500003</v>
      </c>
      <c r="H23" s="94">
        <v>31.415926535000001</v>
      </c>
    </row>
    <row r="24" spans="2:8" x14ac:dyDescent="0.35">
      <c r="B24" s="94">
        <v>10</v>
      </c>
      <c r="C24" s="93">
        <f>360/(E24/G24)</f>
        <v>179.99999999485527</v>
      </c>
      <c r="D24" s="93">
        <f>2*B24</f>
        <v>20</v>
      </c>
      <c r="E24" s="93">
        <f t="shared" si="1"/>
        <v>314.15926535897933</v>
      </c>
      <c r="F24" s="93">
        <f t="shared" si="2"/>
        <v>62.831853071795862</v>
      </c>
      <c r="G24" s="94">
        <v>157.07963267500003</v>
      </c>
      <c r="H24" s="93">
        <f t="shared" ref="H24:H25" si="4">F24*C24/360</f>
        <v>31.415926535000008</v>
      </c>
    </row>
    <row r="25" spans="2:8" x14ac:dyDescent="0.35">
      <c r="B25" s="93">
        <f>D25/2</f>
        <v>10</v>
      </c>
      <c r="C25" s="93">
        <f>360/(E25/G25)</f>
        <v>179.99999999485527</v>
      </c>
      <c r="D25" s="94">
        <v>20</v>
      </c>
      <c r="E25" s="93">
        <f t="shared" si="1"/>
        <v>314.15926535897933</v>
      </c>
      <c r="F25" s="93">
        <f t="shared" si="2"/>
        <v>62.831853071795862</v>
      </c>
      <c r="G25" s="94">
        <v>157.07963267500003</v>
      </c>
      <c r="H25" s="93">
        <f t="shared" si="4"/>
        <v>31.415926535000008</v>
      </c>
    </row>
    <row r="29" spans="2:8" ht="18.5" x14ac:dyDescent="0.45">
      <c r="B29" s="91" t="s">
        <v>131</v>
      </c>
    </row>
    <row r="30" spans="2:8" x14ac:dyDescent="0.35">
      <c r="B30" s="92" t="s">
        <v>136</v>
      </c>
      <c r="C30" s="92" t="s">
        <v>135</v>
      </c>
      <c r="D30" s="92" t="s">
        <v>132</v>
      </c>
      <c r="E30" s="105" t="s">
        <v>133</v>
      </c>
      <c r="F30" s="106" t="s">
        <v>134</v>
      </c>
      <c r="G30" s="105" t="s">
        <v>137</v>
      </c>
    </row>
    <row r="31" spans="2:8" x14ac:dyDescent="0.35">
      <c r="B31" s="94"/>
      <c r="C31" s="94"/>
      <c r="D31" s="107"/>
      <c r="E31" s="107"/>
      <c r="F31" s="107"/>
      <c r="G31" s="107"/>
    </row>
    <row r="32" spans="2:8" x14ac:dyDescent="0.35">
      <c r="B32" s="94"/>
      <c r="C32" s="93"/>
      <c r="D32" s="94"/>
      <c r="E32" s="93"/>
      <c r="F32" s="93"/>
      <c r="G32" s="93"/>
    </row>
    <row r="33" spans="2:7" x14ac:dyDescent="0.35">
      <c r="B33" s="94"/>
      <c r="C33" s="93"/>
      <c r="D33" s="93"/>
      <c r="E33" s="94"/>
      <c r="F33" s="93"/>
      <c r="G33" s="93"/>
    </row>
    <row r="34" spans="2:7" x14ac:dyDescent="0.35">
      <c r="B34" s="94"/>
      <c r="C34" s="93"/>
      <c r="D34" s="93"/>
      <c r="E34" s="93"/>
      <c r="F34" s="94"/>
      <c r="G34" s="93"/>
    </row>
    <row r="35" spans="2:7" x14ac:dyDescent="0.35">
      <c r="B35" s="94"/>
      <c r="C35" s="93"/>
      <c r="D35" s="93"/>
      <c r="E35" s="93"/>
      <c r="F35" s="93"/>
      <c r="G35" s="94"/>
    </row>
    <row r="36" spans="2:7" x14ac:dyDescent="0.35">
      <c r="B36" s="93"/>
      <c r="C36" s="94"/>
      <c r="D36" s="94"/>
      <c r="E36" s="93"/>
      <c r="F36" s="93"/>
      <c r="G36" s="93"/>
    </row>
    <row r="37" spans="2:7" x14ac:dyDescent="0.35">
      <c r="B37" s="93"/>
      <c r="C37" s="94"/>
      <c r="D37" s="93"/>
      <c r="E37" s="94"/>
      <c r="F37" s="93"/>
      <c r="G37" s="93"/>
    </row>
    <row r="38" spans="2:7" x14ac:dyDescent="0.35">
      <c r="B38" s="93"/>
      <c r="C38" s="94"/>
      <c r="D38" s="93"/>
      <c r="E38" s="93"/>
      <c r="F38" s="94"/>
      <c r="G38" s="93"/>
    </row>
    <row r="39" spans="2:7" x14ac:dyDescent="0.35">
      <c r="B39" s="93"/>
      <c r="C39" s="94"/>
      <c r="D39" s="93"/>
      <c r="E39" s="93"/>
      <c r="F39" s="93"/>
      <c r="G39" s="94"/>
    </row>
    <row r="40" spans="2:7" x14ac:dyDescent="0.35">
      <c r="B40" s="93"/>
      <c r="C40" s="93"/>
      <c r="D40" s="94"/>
      <c r="E40" s="94"/>
      <c r="F40" s="93"/>
      <c r="G40" s="93"/>
    </row>
    <row r="41" spans="2:7" x14ac:dyDescent="0.35">
      <c r="B41" s="93"/>
      <c r="C41" s="93"/>
      <c r="D41" s="94"/>
      <c r="E41" s="93"/>
      <c r="F41" s="94"/>
      <c r="G41" s="93"/>
    </row>
    <row r="42" spans="2:7" x14ac:dyDescent="0.35">
      <c r="B42" s="93"/>
      <c r="C42" s="93"/>
      <c r="D42" s="94"/>
      <c r="E42" s="93"/>
      <c r="F42" s="93"/>
      <c r="G42" s="94"/>
    </row>
    <row r="43" spans="2:7" x14ac:dyDescent="0.35">
      <c r="B43" s="108"/>
      <c r="C43" s="108"/>
      <c r="D43" s="108"/>
      <c r="E43" s="94"/>
      <c r="F43" s="94"/>
      <c r="G43" s="108"/>
    </row>
    <row r="44" spans="2:7" x14ac:dyDescent="0.35">
      <c r="B44" s="93"/>
      <c r="C44" s="93"/>
      <c r="D44" s="93"/>
      <c r="E44" s="94"/>
      <c r="F44" s="93"/>
      <c r="G44" s="94"/>
    </row>
    <row r="45" spans="2:7" x14ac:dyDescent="0.35">
      <c r="B45" s="93"/>
      <c r="C45" s="93"/>
      <c r="D45" s="93"/>
      <c r="E45" s="93"/>
      <c r="F45" s="94"/>
      <c r="G45" s="94"/>
    </row>
  </sheetData>
  <pageMargins left="0.7" right="0.7" top="0.78740157499999996" bottom="0.78740157499999996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5A17-1A1D-465A-AB11-E83075F9A2A8}">
  <dimension ref="B2:AO45"/>
  <sheetViews>
    <sheetView zoomScale="70" zoomScaleNormal="70" workbookViewId="0">
      <selection activeCell="B2" sqref="B2"/>
    </sheetView>
  </sheetViews>
  <sheetFormatPr baseColWidth="10" defaultRowHeight="14.5" x14ac:dyDescent="0.35"/>
  <cols>
    <col min="2" max="2" width="26.90625" customWidth="1"/>
    <col min="8" max="8" width="13.1796875" customWidth="1"/>
  </cols>
  <sheetData>
    <row r="2" spans="2:14" ht="64.5" customHeight="1" x14ac:dyDescent="0.35"/>
    <row r="3" spans="2:14" x14ac:dyDescent="0.35">
      <c r="B3" t="s">
        <v>5</v>
      </c>
    </row>
    <row r="4" spans="2:14" x14ac:dyDescent="0.35">
      <c r="B4" s="5" t="s">
        <v>2</v>
      </c>
      <c r="C4" s="4">
        <v>1</v>
      </c>
      <c r="D4" s="4">
        <v>2</v>
      </c>
      <c r="E4" s="4">
        <v>3</v>
      </c>
      <c r="F4" s="4">
        <v>4</v>
      </c>
    </row>
    <row r="5" spans="2:14" x14ac:dyDescent="0.35">
      <c r="B5" s="5" t="s">
        <v>4</v>
      </c>
      <c r="C5" s="4">
        <v>10</v>
      </c>
      <c r="D5" s="4">
        <v>19.899999999999999</v>
      </c>
      <c r="E5" s="4">
        <v>30.05</v>
      </c>
      <c r="F5" s="4">
        <v>40.5</v>
      </c>
    </row>
    <row r="7" spans="2:14" x14ac:dyDescent="0.35">
      <c r="B7" t="s">
        <v>6</v>
      </c>
      <c r="C7" s="3">
        <f>C5/C4</f>
        <v>10</v>
      </c>
      <c r="D7" s="3">
        <f t="shared" ref="D7:F7" si="0">D5/D4</f>
        <v>9.9499999999999993</v>
      </c>
      <c r="E7" s="3">
        <f t="shared" si="0"/>
        <v>10.016666666666667</v>
      </c>
      <c r="F7" s="3">
        <f t="shared" si="0"/>
        <v>10.125</v>
      </c>
      <c r="H7" t="s">
        <v>3</v>
      </c>
      <c r="I7" s="3">
        <f>AVERAGE(C7:F7)</f>
        <v>10.022916666666667</v>
      </c>
    </row>
    <row r="8" spans="2:14" x14ac:dyDescent="0.35">
      <c r="B8" t="s">
        <v>7</v>
      </c>
      <c r="C8">
        <f>$I$7*C4</f>
        <v>10.022916666666667</v>
      </c>
      <c r="D8">
        <f t="shared" ref="D8:F8" si="1">$I$7*D4</f>
        <v>20.045833333333334</v>
      </c>
      <c r="E8">
        <f t="shared" si="1"/>
        <v>30.068750000000001</v>
      </c>
      <c r="F8">
        <f t="shared" si="1"/>
        <v>40.091666666666669</v>
      </c>
    </row>
    <row r="10" spans="2:14" ht="15" thickBot="1" x14ac:dyDescent="0.4"/>
    <row r="11" spans="2:14" ht="26" x14ac:dyDescent="0.6">
      <c r="I11" s="6"/>
      <c r="J11" s="7" t="s">
        <v>9</v>
      </c>
      <c r="K11" s="8"/>
      <c r="L11" s="8"/>
      <c r="M11" s="9" t="s">
        <v>12</v>
      </c>
      <c r="N11" s="10"/>
    </row>
    <row r="12" spans="2:14" x14ac:dyDescent="0.35">
      <c r="I12" s="11"/>
      <c r="N12" s="12"/>
    </row>
    <row r="13" spans="2:14" x14ac:dyDescent="0.35">
      <c r="I13" s="11"/>
      <c r="J13" s="13" t="s">
        <v>10</v>
      </c>
      <c r="K13" s="13" t="s">
        <v>13</v>
      </c>
      <c r="L13" s="2">
        <v>-5</v>
      </c>
      <c r="N13" s="12"/>
    </row>
    <row r="14" spans="2:14" ht="15" thickBot="1" x14ac:dyDescent="0.4">
      <c r="I14" s="14"/>
      <c r="J14" s="15" t="s">
        <v>11</v>
      </c>
      <c r="K14" s="15" t="s">
        <v>14</v>
      </c>
      <c r="L14" s="16">
        <v>10</v>
      </c>
      <c r="M14" s="17"/>
      <c r="N14" s="18"/>
    </row>
    <row r="16" spans="2:14" x14ac:dyDescent="0.35">
      <c r="I16" s="1" t="s">
        <v>16</v>
      </c>
      <c r="J16" s="2">
        <v>0.5</v>
      </c>
    </row>
    <row r="17" spans="9:41" x14ac:dyDescent="0.35">
      <c r="I17" s="1" t="s">
        <v>0</v>
      </c>
      <c r="J17" s="2">
        <v>0</v>
      </c>
      <c r="K17">
        <f>$J$16+J17</f>
        <v>0.5</v>
      </c>
      <c r="L17">
        <f t="shared" ref="L17:AO17" si="2">$J$16+K17</f>
        <v>1</v>
      </c>
      <c r="M17">
        <f t="shared" si="2"/>
        <v>1.5</v>
      </c>
      <c r="N17">
        <f t="shared" si="2"/>
        <v>2</v>
      </c>
      <c r="O17">
        <f t="shared" si="2"/>
        <v>2.5</v>
      </c>
      <c r="P17">
        <f t="shared" si="2"/>
        <v>3</v>
      </c>
      <c r="Q17">
        <f t="shared" si="2"/>
        <v>3.5</v>
      </c>
      <c r="R17">
        <f t="shared" si="2"/>
        <v>4</v>
      </c>
      <c r="S17">
        <f t="shared" si="2"/>
        <v>4.5</v>
      </c>
      <c r="T17">
        <f t="shared" si="2"/>
        <v>5</v>
      </c>
      <c r="U17">
        <f t="shared" si="2"/>
        <v>5.5</v>
      </c>
      <c r="V17">
        <f t="shared" si="2"/>
        <v>6</v>
      </c>
      <c r="W17">
        <f t="shared" si="2"/>
        <v>6.5</v>
      </c>
      <c r="X17">
        <f t="shared" si="2"/>
        <v>7</v>
      </c>
      <c r="Y17">
        <f t="shared" si="2"/>
        <v>7.5</v>
      </c>
      <c r="Z17">
        <f t="shared" si="2"/>
        <v>8</v>
      </c>
      <c r="AA17">
        <f t="shared" si="2"/>
        <v>8.5</v>
      </c>
      <c r="AB17">
        <f t="shared" si="2"/>
        <v>9</v>
      </c>
      <c r="AC17">
        <f t="shared" si="2"/>
        <v>9.5</v>
      </c>
      <c r="AD17">
        <f t="shared" si="2"/>
        <v>10</v>
      </c>
      <c r="AE17">
        <f t="shared" si="2"/>
        <v>10.5</v>
      </c>
      <c r="AF17">
        <f t="shared" si="2"/>
        <v>11</v>
      </c>
      <c r="AG17">
        <f t="shared" si="2"/>
        <v>11.5</v>
      </c>
      <c r="AH17">
        <f t="shared" si="2"/>
        <v>12</v>
      </c>
      <c r="AI17">
        <f t="shared" si="2"/>
        <v>12.5</v>
      </c>
      <c r="AJ17">
        <f t="shared" si="2"/>
        <v>13</v>
      </c>
      <c r="AK17">
        <f t="shared" si="2"/>
        <v>13.5</v>
      </c>
      <c r="AL17">
        <f t="shared" si="2"/>
        <v>14</v>
      </c>
      <c r="AM17">
        <f t="shared" si="2"/>
        <v>14.5</v>
      </c>
      <c r="AN17">
        <f t="shared" si="2"/>
        <v>15</v>
      </c>
      <c r="AO17">
        <f t="shared" si="2"/>
        <v>15.5</v>
      </c>
    </row>
    <row r="18" spans="9:41" x14ac:dyDescent="0.35">
      <c r="I18" s="1" t="s">
        <v>15</v>
      </c>
      <c r="J18">
        <f>$L$13*J17+$L$14</f>
        <v>10</v>
      </c>
      <c r="K18">
        <f t="shared" ref="K18:AO18" si="3">$L$13*K17+$L$14</f>
        <v>7.5</v>
      </c>
      <c r="L18">
        <f t="shared" si="3"/>
        <v>5</v>
      </c>
      <c r="M18">
        <f t="shared" si="3"/>
        <v>2.5</v>
      </c>
      <c r="N18">
        <f t="shared" si="3"/>
        <v>0</v>
      </c>
      <c r="O18">
        <f t="shared" si="3"/>
        <v>-2.5</v>
      </c>
      <c r="P18">
        <f t="shared" si="3"/>
        <v>-5</v>
      </c>
      <c r="Q18">
        <f t="shared" si="3"/>
        <v>-7.5</v>
      </c>
      <c r="R18">
        <f t="shared" si="3"/>
        <v>-10</v>
      </c>
      <c r="S18">
        <f t="shared" si="3"/>
        <v>-12.5</v>
      </c>
      <c r="T18">
        <f t="shared" si="3"/>
        <v>-15</v>
      </c>
      <c r="U18">
        <f t="shared" si="3"/>
        <v>-17.5</v>
      </c>
      <c r="V18">
        <f t="shared" si="3"/>
        <v>-20</v>
      </c>
      <c r="W18">
        <f t="shared" si="3"/>
        <v>-22.5</v>
      </c>
      <c r="X18">
        <f t="shared" si="3"/>
        <v>-25</v>
      </c>
      <c r="Y18">
        <f t="shared" si="3"/>
        <v>-27.5</v>
      </c>
      <c r="Z18">
        <f t="shared" si="3"/>
        <v>-30</v>
      </c>
      <c r="AA18">
        <f t="shared" si="3"/>
        <v>-32.5</v>
      </c>
      <c r="AB18">
        <f t="shared" si="3"/>
        <v>-35</v>
      </c>
      <c r="AC18">
        <f t="shared" si="3"/>
        <v>-37.5</v>
      </c>
      <c r="AD18">
        <f t="shared" si="3"/>
        <v>-40</v>
      </c>
      <c r="AE18">
        <f t="shared" si="3"/>
        <v>-42.5</v>
      </c>
      <c r="AF18">
        <f t="shared" si="3"/>
        <v>-45</v>
      </c>
      <c r="AG18">
        <f t="shared" si="3"/>
        <v>-47.5</v>
      </c>
      <c r="AH18">
        <f t="shared" si="3"/>
        <v>-50</v>
      </c>
      <c r="AI18">
        <f t="shared" si="3"/>
        <v>-52.5</v>
      </c>
      <c r="AJ18">
        <f t="shared" si="3"/>
        <v>-55</v>
      </c>
      <c r="AK18">
        <f t="shared" si="3"/>
        <v>-57.5</v>
      </c>
      <c r="AL18">
        <f t="shared" si="3"/>
        <v>-60</v>
      </c>
      <c r="AM18">
        <f t="shared" si="3"/>
        <v>-62.5</v>
      </c>
      <c r="AN18">
        <f t="shared" si="3"/>
        <v>-65</v>
      </c>
      <c r="AO18">
        <f t="shared" si="3"/>
        <v>-67.5</v>
      </c>
    </row>
    <row r="40" spans="2:25" x14ac:dyDescent="0.35">
      <c r="E40" s="2">
        <v>0.1</v>
      </c>
    </row>
    <row r="41" spans="2:25" x14ac:dyDescent="0.35">
      <c r="C41" t="s">
        <v>17</v>
      </c>
      <c r="E41" s="2">
        <v>0</v>
      </c>
      <c r="F41">
        <f>E41+$E$40</f>
        <v>0.1</v>
      </c>
      <c r="G41">
        <f t="shared" ref="G41:Y41" si="4">F41+$E$40</f>
        <v>0.2</v>
      </c>
      <c r="H41">
        <f t="shared" si="4"/>
        <v>0.30000000000000004</v>
      </c>
      <c r="I41">
        <f t="shared" si="4"/>
        <v>0.4</v>
      </c>
      <c r="J41">
        <f t="shared" si="4"/>
        <v>0.5</v>
      </c>
      <c r="K41">
        <f t="shared" si="4"/>
        <v>0.6</v>
      </c>
      <c r="L41">
        <f t="shared" si="4"/>
        <v>0.7</v>
      </c>
      <c r="M41">
        <f t="shared" si="4"/>
        <v>0.79999999999999993</v>
      </c>
      <c r="N41">
        <f t="shared" si="4"/>
        <v>0.89999999999999991</v>
      </c>
      <c r="O41">
        <f t="shared" si="4"/>
        <v>0.99999999999999989</v>
      </c>
      <c r="P41">
        <f t="shared" si="4"/>
        <v>1.0999999999999999</v>
      </c>
      <c r="Q41">
        <f t="shared" si="4"/>
        <v>1.2</v>
      </c>
      <c r="R41">
        <f t="shared" si="4"/>
        <v>1.3</v>
      </c>
      <c r="S41">
        <f t="shared" si="4"/>
        <v>1.4000000000000001</v>
      </c>
      <c r="T41">
        <f t="shared" si="4"/>
        <v>1.5000000000000002</v>
      </c>
      <c r="U41">
        <f t="shared" si="4"/>
        <v>1.6000000000000003</v>
      </c>
      <c r="V41">
        <f t="shared" si="4"/>
        <v>1.7000000000000004</v>
      </c>
      <c r="W41">
        <f t="shared" si="4"/>
        <v>1.8000000000000005</v>
      </c>
      <c r="X41">
        <f t="shared" si="4"/>
        <v>1.9000000000000006</v>
      </c>
      <c r="Y41">
        <f t="shared" si="4"/>
        <v>2.0000000000000004</v>
      </c>
    </row>
    <row r="42" spans="2:25" ht="16.5" x14ac:dyDescent="0.45">
      <c r="B42" s="1" t="s">
        <v>18</v>
      </c>
      <c r="C42" t="s">
        <v>19</v>
      </c>
      <c r="D42" s="2">
        <v>35</v>
      </c>
      <c r="E42">
        <f>$D$42*E41</f>
        <v>0</v>
      </c>
      <c r="F42">
        <f t="shared" ref="F42:Y42" si="5">$D$42*F41</f>
        <v>3.5</v>
      </c>
      <c r="G42">
        <f t="shared" si="5"/>
        <v>7</v>
      </c>
      <c r="H42">
        <f t="shared" si="5"/>
        <v>10.500000000000002</v>
      </c>
      <c r="I42">
        <f t="shared" si="5"/>
        <v>14</v>
      </c>
      <c r="J42">
        <f t="shared" si="5"/>
        <v>17.5</v>
      </c>
      <c r="K42">
        <f t="shared" si="5"/>
        <v>21</v>
      </c>
      <c r="L42">
        <f t="shared" si="5"/>
        <v>24.5</v>
      </c>
      <c r="M42">
        <f t="shared" si="5"/>
        <v>27.999999999999996</v>
      </c>
      <c r="N42">
        <f t="shared" si="5"/>
        <v>31.499999999999996</v>
      </c>
      <c r="O42">
        <f t="shared" si="5"/>
        <v>34.999999999999993</v>
      </c>
      <c r="P42">
        <f t="shared" si="5"/>
        <v>38.499999999999993</v>
      </c>
      <c r="Q42">
        <f t="shared" si="5"/>
        <v>42</v>
      </c>
      <c r="R42">
        <f t="shared" si="5"/>
        <v>45.5</v>
      </c>
      <c r="S42">
        <f t="shared" si="5"/>
        <v>49.000000000000007</v>
      </c>
      <c r="T42">
        <f t="shared" si="5"/>
        <v>52.500000000000007</v>
      </c>
      <c r="U42">
        <f t="shared" si="5"/>
        <v>56.000000000000014</v>
      </c>
      <c r="V42">
        <f t="shared" si="5"/>
        <v>59.500000000000014</v>
      </c>
      <c r="W42">
        <f t="shared" si="5"/>
        <v>63.000000000000014</v>
      </c>
      <c r="X42">
        <f t="shared" si="5"/>
        <v>66.500000000000014</v>
      </c>
      <c r="Y42">
        <f t="shared" si="5"/>
        <v>70.000000000000014</v>
      </c>
    </row>
    <row r="44" spans="2:25" ht="16.5" x14ac:dyDescent="0.45">
      <c r="B44" s="1" t="s">
        <v>21</v>
      </c>
      <c r="C44" t="s">
        <v>20</v>
      </c>
      <c r="D44" s="2">
        <v>-20</v>
      </c>
      <c r="E44">
        <f>$D$44*E41+$D$45</f>
        <v>100</v>
      </c>
      <c r="F44">
        <f t="shared" ref="F44:Y44" si="6">$D$44*F41+$D$45</f>
        <v>98</v>
      </c>
      <c r="G44">
        <f t="shared" si="6"/>
        <v>96</v>
      </c>
      <c r="H44">
        <f t="shared" si="6"/>
        <v>94</v>
      </c>
      <c r="I44">
        <f t="shared" si="6"/>
        <v>92</v>
      </c>
      <c r="J44">
        <f t="shared" si="6"/>
        <v>90</v>
      </c>
      <c r="K44">
        <f t="shared" si="6"/>
        <v>88</v>
      </c>
      <c r="L44">
        <f t="shared" si="6"/>
        <v>86</v>
      </c>
      <c r="M44">
        <f t="shared" si="6"/>
        <v>84</v>
      </c>
      <c r="N44">
        <f t="shared" si="6"/>
        <v>82</v>
      </c>
      <c r="O44">
        <f t="shared" si="6"/>
        <v>80</v>
      </c>
      <c r="P44">
        <f t="shared" si="6"/>
        <v>78</v>
      </c>
      <c r="Q44">
        <f t="shared" si="6"/>
        <v>76</v>
      </c>
      <c r="R44">
        <f t="shared" si="6"/>
        <v>74</v>
      </c>
      <c r="S44">
        <f t="shared" si="6"/>
        <v>72</v>
      </c>
      <c r="T44">
        <f t="shared" si="6"/>
        <v>70</v>
      </c>
      <c r="U44">
        <f t="shared" si="6"/>
        <v>68</v>
      </c>
      <c r="V44">
        <f t="shared" si="6"/>
        <v>66</v>
      </c>
      <c r="W44">
        <f t="shared" si="6"/>
        <v>63.999999999999993</v>
      </c>
      <c r="X44">
        <f t="shared" si="6"/>
        <v>61.999999999999986</v>
      </c>
      <c r="Y44">
        <f t="shared" si="6"/>
        <v>59.999999999999993</v>
      </c>
    </row>
    <row r="45" spans="2:25" x14ac:dyDescent="0.35">
      <c r="C45" t="s">
        <v>22</v>
      </c>
      <c r="D45" s="2">
        <v>100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44B65-9415-4C8E-AE7F-C0B8FA4247A3}">
  <dimension ref="B2:AA11"/>
  <sheetViews>
    <sheetView showGridLines="0" zoomScale="55" zoomScaleNormal="55" workbookViewId="0">
      <selection activeCell="E4" sqref="E4"/>
    </sheetView>
  </sheetViews>
  <sheetFormatPr baseColWidth="10" defaultRowHeight="14.5" x14ac:dyDescent="0.35"/>
  <cols>
    <col min="4" max="4" width="17.54296875" customWidth="1"/>
    <col min="7" max="7" width="14" customWidth="1"/>
  </cols>
  <sheetData>
    <row r="2" spans="2:27" ht="24" thickBot="1" x14ac:dyDescent="0.6">
      <c r="B2" s="22" t="s">
        <v>36</v>
      </c>
      <c r="M2" s="5" t="s">
        <v>32</v>
      </c>
      <c r="N2" s="5"/>
      <c r="P2" s="5" t="s">
        <v>30</v>
      </c>
      <c r="Q2" s="5"/>
      <c r="S2" s="5" t="s">
        <v>31</v>
      </c>
      <c r="T2" s="5"/>
      <c r="W2" s="5" t="s">
        <v>33</v>
      </c>
      <c r="X2" s="5"/>
      <c r="Z2" s="5" t="s">
        <v>34</v>
      </c>
      <c r="AA2" s="5"/>
    </row>
    <row r="3" spans="2:27" ht="20" customHeight="1" thickBot="1" x14ac:dyDescent="0.6">
      <c r="B3" s="22"/>
      <c r="J3" s="20" t="s">
        <v>35</v>
      </c>
      <c r="K3" s="21">
        <v>7</v>
      </c>
      <c r="M3" s="5">
        <f>K3</f>
        <v>7</v>
      </c>
      <c r="N3" s="5">
        <f>M3</f>
        <v>7</v>
      </c>
      <c r="P3" s="5">
        <v>0</v>
      </c>
      <c r="Q3" s="5">
        <f>K3</f>
        <v>7</v>
      </c>
      <c r="S3" s="5">
        <v>0</v>
      </c>
      <c r="T3" s="5">
        <f>N3</f>
        <v>7</v>
      </c>
      <c r="W3" s="5">
        <f>Q3</f>
        <v>7</v>
      </c>
      <c r="X3" s="5">
        <f>W3</f>
        <v>7</v>
      </c>
      <c r="Z3" s="5">
        <v>0</v>
      </c>
      <c r="AA3" s="5">
        <f>X3</f>
        <v>7</v>
      </c>
    </row>
    <row r="4" spans="2:27" ht="15.5" customHeight="1" x14ac:dyDescent="0.55000000000000004">
      <c r="B4" s="22"/>
      <c r="C4" s="123" t="s">
        <v>26</v>
      </c>
      <c r="D4" s="124"/>
      <c r="E4" s="23">
        <v>2</v>
      </c>
      <c r="F4" s="24" t="s">
        <v>25</v>
      </c>
      <c r="M4" s="5">
        <v>0</v>
      </c>
      <c r="N4" s="5">
        <f>E4*K3+E5</f>
        <v>24</v>
      </c>
      <c r="P4" s="5">
        <f>E5</f>
        <v>10</v>
      </c>
      <c r="Q4" s="5">
        <f>E5</f>
        <v>10</v>
      </c>
      <c r="S4" s="5">
        <f>N4</f>
        <v>24</v>
      </c>
      <c r="T4" s="5">
        <f>S4</f>
        <v>24</v>
      </c>
      <c r="W4" s="5">
        <v>0</v>
      </c>
      <c r="X4" s="5">
        <f>$E$4/2 * $K$3^2 + $E$5*$K$3</f>
        <v>119</v>
      </c>
      <c r="Z4" s="5">
        <f>X4</f>
        <v>119</v>
      </c>
      <c r="AA4" s="5">
        <f>$E$4/2 * $K$3^2 + $E$5*$K$3</f>
        <v>119</v>
      </c>
    </row>
    <row r="5" spans="2:27" ht="15.5" customHeight="1" thickBot="1" x14ac:dyDescent="0.6">
      <c r="B5" s="22"/>
      <c r="C5" s="125" t="s">
        <v>27</v>
      </c>
      <c r="D5" s="126"/>
      <c r="E5" s="25">
        <v>10</v>
      </c>
      <c r="F5" s="26" t="s">
        <v>28</v>
      </c>
    </row>
    <row r="6" spans="2:27" ht="15.5" customHeight="1" x14ac:dyDescent="0.35"/>
    <row r="7" spans="2:27" ht="15.5" customHeight="1" x14ac:dyDescent="0.35"/>
    <row r="8" spans="2:27" ht="15.5" customHeight="1" x14ac:dyDescent="0.35">
      <c r="C8" s="121" t="s">
        <v>1</v>
      </c>
      <c r="D8" s="122"/>
      <c r="E8" s="4">
        <v>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2:27" x14ac:dyDescent="0.35">
      <c r="C9" s="119" t="s">
        <v>24</v>
      </c>
      <c r="D9" s="119"/>
      <c r="E9" s="4">
        <v>0</v>
      </c>
      <c r="F9" s="27">
        <f>E9+$E$8</f>
        <v>1</v>
      </c>
      <c r="G9" s="27">
        <f t="shared" ref="G9:Y9" si="0">F9+$E$8</f>
        <v>2</v>
      </c>
      <c r="H9" s="27">
        <f t="shared" si="0"/>
        <v>3</v>
      </c>
      <c r="I9" s="27">
        <f t="shared" si="0"/>
        <v>4</v>
      </c>
      <c r="J9" s="27">
        <f t="shared" si="0"/>
        <v>5</v>
      </c>
      <c r="K9" s="27">
        <f t="shared" si="0"/>
        <v>6</v>
      </c>
      <c r="L9" s="27">
        <f t="shared" si="0"/>
        <v>7</v>
      </c>
      <c r="M9" s="27">
        <f t="shared" si="0"/>
        <v>8</v>
      </c>
      <c r="N9" s="27">
        <f t="shared" si="0"/>
        <v>9</v>
      </c>
      <c r="O9" s="27">
        <f t="shared" si="0"/>
        <v>10</v>
      </c>
      <c r="P9" s="27">
        <f t="shared" si="0"/>
        <v>11</v>
      </c>
      <c r="Q9" s="27">
        <f t="shared" si="0"/>
        <v>12</v>
      </c>
      <c r="R9" s="27">
        <f t="shared" si="0"/>
        <v>13</v>
      </c>
      <c r="S9" s="27">
        <f t="shared" si="0"/>
        <v>14</v>
      </c>
      <c r="T9" s="27">
        <f t="shared" si="0"/>
        <v>15</v>
      </c>
      <c r="U9" s="27">
        <f t="shared" si="0"/>
        <v>16</v>
      </c>
      <c r="V9" s="27">
        <f t="shared" si="0"/>
        <v>17</v>
      </c>
      <c r="W9" s="27">
        <f t="shared" si="0"/>
        <v>18</v>
      </c>
      <c r="X9" s="27">
        <f>W9+$E$8</f>
        <v>19</v>
      </c>
      <c r="Y9" s="27">
        <f t="shared" si="0"/>
        <v>20</v>
      </c>
      <c r="Z9" s="27">
        <f t="shared" ref="Z9" si="1">Y9+$E$8</f>
        <v>21</v>
      </c>
      <c r="AA9" s="27">
        <f t="shared" ref="AA9" si="2">Z9+$E$8</f>
        <v>22</v>
      </c>
    </row>
    <row r="10" spans="2:27" x14ac:dyDescent="0.35">
      <c r="C10" s="120" t="s">
        <v>29</v>
      </c>
      <c r="D10" s="120"/>
      <c r="E10" s="5">
        <f t="shared" ref="E10:Y10" si="3">$E$4*E9+$E$5</f>
        <v>10</v>
      </c>
      <c r="F10" s="5">
        <f t="shared" si="3"/>
        <v>12</v>
      </c>
      <c r="G10" s="5">
        <f t="shared" si="3"/>
        <v>14</v>
      </c>
      <c r="H10" s="5">
        <f t="shared" si="3"/>
        <v>16</v>
      </c>
      <c r="I10" s="5">
        <f t="shared" si="3"/>
        <v>18</v>
      </c>
      <c r="J10" s="5">
        <f t="shared" si="3"/>
        <v>20</v>
      </c>
      <c r="K10" s="5">
        <f t="shared" si="3"/>
        <v>22</v>
      </c>
      <c r="L10" s="5">
        <f t="shared" si="3"/>
        <v>24</v>
      </c>
      <c r="M10" s="5">
        <f t="shared" si="3"/>
        <v>26</v>
      </c>
      <c r="N10" s="5">
        <f t="shared" si="3"/>
        <v>28</v>
      </c>
      <c r="O10" s="5">
        <f t="shared" si="3"/>
        <v>30</v>
      </c>
      <c r="P10" s="5">
        <f t="shared" si="3"/>
        <v>32</v>
      </c>
      <c r="Q10" s="5">
        <f t="shared" si="3"/>
        <v>34</v>
      </c>
      <c r="R10" s="5">
        <f t="shared" si="3"/>
        <v>36</v>
      </c>
      <c r="S10" s="5">
        <f t="shared" si="3"/>
        <v>38</v>
      </c>
      <c r="T10" s="5">
        <f t="shared" si="3"/>
        <v>40</v>
      </c>
      <c r="U10" s="5">
        <f t="shared" si="3"/>
        <v>42</v>
      </c>
      <c r="V10" s="5">
        <f t="shared" si="3"/>
        <v>44</v>
      </c>
      <c r="W10" s="5">
        <f t="shared" si="3"/>
        <v>46</v>
      </c>
      <c r="X10" s="5">
        <f t="shared" si="3"/>
        <v>48</v>
      </c>
      <c r="Y10" s="5">
        <f t="shared" si="3"/>
        <v>50</v>
      </c>
      <c r="Z10" s="5">
        <f t="shared" ref="Z10:AA10" si="4">$E$4*Z9+$E$5</f>
        <v>52</v>
      </c>
      <c r="AA10" s="5">
        <f t="shared" si="4"/>
        <v>54</v>
      </c>
    </row>
    <row r="11" spans="2:27" ht="16.5" x14ac:dyDescent="0.35">
      <c r="C11" s="120" t="s">
        <v>56</v>
      </c>
      <c r="D11" s="120"/>
      <c r="E11" s="5">
        <f t="shared" ref="E11:Y11" si="5">$E$4/2 * E9^2 + $E$5*E9</f>
        <v>0</v>
      </c>
      <c r="F11" s="5">
        <f t="shared" si="5"/>
        <v>11</v>
      </c>
      <c r="G11" s="5">
        <f t="shared" si="5"/>
        <v>24</v>
      </c>
      <c r="H11" s="5">
        <f t="shared" si="5"/>
        <v>39</v>
      </c>
      <c r="I11" s="5">
        <f t="shared" si="5"/>
        <v>56</v>
      </c>
      <c r="J11" s="5">
        <f t="shared" si="5"/>
        <v>75</v>
      </c>
      <c r="K11" s="5">
        <f t="shared" si="5"/>
        <v>96</v>
      </c>
      <c r="L11" s="5">
        <f t="shared" si="5"/>
        <v>119</v>
      </c>
      <c r="M11" s="5">
        <f t="shared" si="5"/>
        <v>144</v>
      </c>
      <c r="N11" s="5">
        <f t="shared" si="5"/>
        <v>171</v>
      </c>
      <c r="O11" s="5">
        <f t="shared" si="5"/>
        <v>200</v>
      </c>
      <c r="P11" s="5">
        <f t="shared" si="5"/>
        <v>231</v>
      </c>
      <c r="Q11" s="5">
        <f t="shared" si="5"/>
        <v>264</v>
      </c>
      <c r="R11" s="5">
        <f t="shared" si="5"/>
        <v>299</v>
      </c>
      <c r="S11" s="5">
        <f t="shared" si="5"/>
        <v>336</v>
      </c>
      <c r="T11" s="5">
        <f t="shared" si="5"/>
        <v>375</v>
      </c>
      <c r="U11" s="5">
        <f t="shared" si="5"/>
        <v>416</v>
      </c>
      <c r="V11" s="5">
        <f t="shared" si="5"/>
        <v>459</v>
      </c>
      <c r="W11" s="5">
        <f t="shared" si="5"/>
        <v>504</v>
      </c>
      <c r="X11" s="5">
        <f t="shared" si="5"/>
        <v>551</v>
      </c>
      <c r="Y11" s="5">
        <f t="shared" si="5"/>
        <v>600</v>
      </c>
      <c r="Z11" s="5">
        <f t="shared" ref="Z11:AA11" si="6">$E$4/2 * Z9^2 + $E$5*Z9</f>
        <v>651</v>
      </c>
      <c r="AA11" s="5">
        <f t="shared" si="6"/>
        <v>704</v>
      </c>
    </row>
  </sheetData>
  <mergeCells count="6">
    <mergeCell ref="C9:D9"/>
    <mergeCell ref="C10:D10"/>
    <mergeCell ref="C11:D11"/>
    <mergeCell ref="C8:D8"/>
    <mergeCell ref="C4:D4"/>
    <mergeCell ref="C5:D5"/>
  </mergeCells>
  <pageMargins left="0.7" right="0.7" top="0.78740157499999996" bottom="0.78740157499999996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67A4D-486D-4722-8BC0-28E89D3D0FE7}">
  <sheetPr>
    <pageSetUpPr fitToPage="1"/>
  </sheetPr>
  <dimension ref="A2:S19"/>
  <sheetViews>
    <sheetView topLeftCell="B1" zoomScale="115" zoomScaleNormal="115" workbookViewId="0">
      <selection activeCell="G12" sqref="G12"/>
    </sheetView>
  </sheetViews>
  <sheetFormatPr baseColWidth="10" defaultRowHeight="14.5" x14ac:dyDescent="0.35"/>
  <cols>
    <col min="3" max="3" width="23" customWidth="1"/>
    <col min="4" max="4" width="13" customWidth="1"/>
    <col min="5" max="5" width="23" customWidth="1"/>
    <col min="6" max="6" width="13" customWidth="1"/>
    <col min="7" max="7" width="23" customWidth="1"/>
    <col min="8" max="8" width="13" customWidth="1"/>
    <col min="9" max="9" width="26.1796875" customWidth="1"/>
    <col min="10" max="10" width="13" customWidth="1"/>
    <col min="11" max="11" width="23" customWidth="1"/>
    <col min="12" max="12" width="13" customWidth="1"/>
    <col min="14" max="14" width="15.54296875" customWidth="1"/>
    <col min="15" max="15" width="35.1796875" customWidth="1"/>
    <col min="18" max="18" width="5.6328125" customWidth="1"/>
  </cols>
  <sheetData>
    <row r="2" spans="1:19" ht="23.5" x14ac:dyDescent="0.55000000000000004">
      <c r="B2" s="22" t="s">
        <v>23</v>
      </c>
    </row>
    <row r="3" spans="1:19" x14ac:dyDescent="0.35">
      <c r="Q3" t="s">
        <v>104</v>
      </c>
    </row>
    <row r="4" spans="1:19" x14ac:dyDescent="0.35">
      <c r="J4" t="s">
        <v>55</v>
      </c>
      <c r="K4" t="s">
        <v>54</v>
      </c>
      <c r="Q4" s="85" t="s">
        <v>105</v>
      </c>
    </row>
    <row r="5" spans="1:19" ht="15" thickBot="1" x14ac:dyDescent="0.4"/>
    <row r="6" spans="1:19" ht="29" customHeight="1" thickBot="1" x14ac:dyDescent="0.4">
      <c r="C6" s="135" t="str">
        <f>$O$8</f>
        <v>Anfangs-Geschwindigkeit</v>
      </c>
      <c r="D6" s="136"/>
      <c r="E6" s="139" t="str">
        <f>$O$9</f>
        <v>Geschwindigkeit</v>
      </c>
      <c r="F6" s="136"/>
      <c r="G6" s="139" t="str">
        <f>$O$10</f>
        <v>Strecke</v>
      </c>
      <c r="H6" s="136"/>
      <c r="I6" s="139" t="str">
        <f>$O$11</f>
        <v>Zeit</v>
      </c>
      <c r="J6" s="136"/>
      <c r="K6" s="139" t="str">
        <f>$O$12</f>
        <v>Beschleunigung</v>
      </c>
      <c r="L6" s="140"/>
    </row>
    <row r="7" spans="1:19" ht="15" thickBot="1" x14ac:dyDescent="0.4">
      <c r="B7" s="28" t="s">
        <v>43</v>
      </c>
      <c r="C7" s="137" t="str">
        <f>$P$8</f>
        <v>v0 [m/s]</v>
      </c>
      <c r="D7" s="138"/>
      <c r="E7" s="141" t="str">
        <f>$P$9</f>
        <v>v [m/s]</v>
      </c>
      <c r="F7" s="138"/>
      <c r="G7" s="141" t="str">
        <f>$P$10</f>
        <v>s [m]</v>
      </c>
      <c r="H7" s="138"/>
      <c r="I7" s="141" t="str">
        <f>$P$11</f>
        <v>t [s]</v>
      </c>
      <c r="J7" s="138"/>
      <c r="K7" s="141" t="str">
        <f>$P$12</f>
        <v>a [m/s2]</v>
      </c>
      <c r="L7" s="142"/>
      <c r="O7" s="80"/>
      <c r="S7" s="63"/>
    </row>
    <row r="8" spans="1:19" s="34" customFormat="1" ht="38" customHeight="1" x14ac:dyDescent="0.35">
      <c r="A8" s="34">
        <v>28</v>
      </c>
      <c r="B8" s="36" t="s">
        <v>44</v>
      </c>
      <c r="C8" s="35" t="s">
        <v>64</v>
      </c>
      <c r="D8" s="29">
        <f>(G8-(K8/2)*I8^2)/I8</f>
        <v>10</v>
      </c>
      <c r="E8" s="29" t="s">
        <v>82</v>
      </c>
      <c r="F8" s="29">
        <f xml:space="preserve"> G8/I8 + K8*I8/2</f>
        <v>24</v>
      </c>
      <c r="G8" s="143">
        <v>119</v>
      </c>
      <c r="H8" s="148"/>
      <c r="I8" s="143">
        <v>7</v>
      </c>
      <c r="J8" s="148"/>
      <c r="K8" s="143">
        <v>2</v>
      </c>
      <c r="L8" s="144"/>
      <c r="N8" s="86" t="s">
        <v>104</v>
      </c>
      <c r="O8" s="80" t="s">
        <v>94</v>
      </c>
      <c r="P8" s="80" t="s">
        <v>95</v>
      </c>
      <c r="Q8" s="52">
        <f>IF(N8=$Q$3,1,0)</f>
        <v>1</v>
      </c>
      <c r="R8" s="52"/>
      <c r="S8" s="52"/>
    </row>
    <row r="9" spans="1:19" ht="38" customHeight="1" x14ac:dyDescent="0.35">
      <c r="A9">
        <v>26</v>
      </c>
      <c r="B9" s="30" t="s">
        <v>45</v>
      </c>
      <c r="C9" s="76" t="s">
        <v>57</v>
      </c>
      <c r="D9" s="31">
        <f>E9-K9*I9</f>
        <v>10</v>
      </c>
      <c r="E9" s="145">
        <v>24</v>
      </c>
      <c r="F9" s="149"/>
      <c r="G9" s="31" t="s">
        <v>83</v>
      </c>
      <c r="H9" s="31">
        <f>E9*I9 - K9*I9^2/2</f>
        <v>119</v>
      </c>
      <c r="I9" s="145">
        <v>7</v>
      </c>
      <c r="J9" s="149"/>
      <c r="K9" s="145">
        <v>2</v>
      </c>
      <c r="L9" s="146"/>
      <c r="N9" s="86" t="s">
        <v>104</v>
      </c>
      <c r="O9" s="80" t="s">
        <v>37</v>
      </c>
      <c r="P9" s="80" t="s">
        <v>41</v>
      </c>
      <c r="Q9" s="52">
        <f>IF(N9=$Q$3,2,0)</f>
        <v>2</v>
      </c>
      <c r="R9" s="52"/>
      <c r="S9" s="74"/>
    </row>
    <row r="10" spans="1:19" ht="38" customHeight="1" x14ac:dyDescent="0.35">
      <c r="A10">
        <v>22</v>
      </c>
      <c r="B10" s="30" t="s">
        <v>46</v>
      </c>
      <c r="C10" s="77" t="s">
        <v>86</v>
      </c>
      <c r="D10" s="31">
        <f>SQRT(E10^2 - 2*K10*G10)</f>
        <v>10</v>
      </c>
      <c r="E10" s="145">
        <v>24</v>
      </c>
      <c r="F10" s="149"/>
      <c r="G10" s="145">
        <v>119</v>
      </c>
      <c r="H10" s="149"/>
      <c r="I10" s="31" t="s">
        <v>84</v>
      </c>
      <c r="J10" s="31">
        <f>(E10 - SQRT(E10^2 - 2*K10*G10))/K10</f>
        <v>7</v>
      </c>
      <c r="K10" s="145">
        <v>2</v>
      </c>
      <c r="L10" s="146"/>
      <c r="N10" s="86" t="s">
        <v>104</v>
      </c>
      <c r="O10" s="80" t="s">
        <v>38</v>
      </c>
      <c r="P10" s="80" t="s">
        <v>42</v>
      </c>
      <c r="Q10" s="52">
        <f>IF(N10=$Q$3,4,0)</f>
        <v>4</v>
      </c>
      <c r="R10" s="74"/>
      <c r="S10" s="74"/>
    </row>
    <row r="11" spans="1:19" ht="38" customHeight="1" x14ac:dyDescent="0.35">
      <c r="A11">
        <v>14</v>
      </c>
      <c r="B11" s="30" t="s">
        <v>47</v>
      </c>
      <c r="C11" s="77" t="s">
        <v>87</v>
      </c>
      <c r="D11" s="31">
        <f>2*G11/I11 - E11</f>
        <v>10</v>
      </c>
      <c r="E11" s="145">
        <v>24</v>
      </c>
      <c r="F11" s="149"/>
      <c r="G11" s="145">
        <v>119</v>
      </c>
      <c r="H11" s="149"/>
      <c r="I11" s="145">
        <v>7</v>
      </c>
      <c r="J11" s="149"/>
      <c r="K11" s="31" t="s">
        <v>85</v>
      </c>
      <c r="L11" s="45">
        <f xml:space="preserve"> 2/I11 * (E11 - G11/I11)</f>
        <v>2</v>
      </c>
      <c r="N11" s="86" t="s">
        <v>105</v>
      </c>
      <c r="O11" s="80" t="s">
        <v>39</v>
      </c>
      <c r="P11" s="80" t="s">
        <v>24</v>
      </c>
      <c r="Q11" s="52">
        <f>IF(N11=$Q$3,8,0)</f>
        <v>0</v>
      </c>
      <c r="R11" s="74"/>
      <c r="S11" s="74"/>
    </row>
    <row r="12" spans="1:19" s="34" customFormat="1" ht="38" customHeight="1" x14ac:dyDescent="0.35">
      <c r="A12" s="34">
        <v>25</v>
      </c>
      <c r="B12" s="30" t="s">
        <v>48</v>
      </c>
      <c r="C12" s="151">
        <v>10</v>
      </c>
      <c r="D12" s="149"/>
      <c r="E12" s="32" t="s">
        <v>60</v>
      </c>
      <c r="F12" s="31">
        <f>K12*I12+C12</f>
        <v>24</v>
      </c>
      <c r="G12" s="33" t="s">
        <v>63</v>
      </c>
      <c r="H12" s="31">
        <f>K12/2 * I12^2 + C12*I12</f>
        <v>119</v>
      </c>
      <c r="I12" s="145">
        <v>7</v>
      </c>
      <c r="J12" s="149"/>
      <c r="K12" s="145">
        <v>2</v>
      </c>
      <c r="L12" s="146"/>
      <c r="N12" s="86" t="s">
        <v>105</v>
      </c>
      <c r="O12" s="80" t="s">
        <v>40</v>
      </c>
      <c r="P12" s="80" t="s">
        <v>65</v>
      </c>
      <c r="Q12" s="52">
        <f>IF(N12=$Q$3,16,0)</f>
        <v>0</v>
      </c>
      <c r="R12" s="74"/>
      <c r="S12" s="52">
        <f>SUM(Q8:Q12)</f>
        <v>7</v>
      </c>
    </row>
    <row r="13" spans="1:19" ht="38" customHeight="1" x14ac:dyDescent="0.35">
      <c r="A13">
        <v>21</v>
      </c>
      <c r="B13" s="30" t="s">
        <v>50</v>
      </c>
      <c r="C13" s="151">
        <v>10</v>
      </c>
      <c r="D13" s="149"/>
      <c r="E13" s="31" t="s">
        <v>88</v>
      </c>
      <c r="F13" s="31">
        <f>SQRT(C13^2 + 2*K13*G13)</f>
        <v>24</v>
      </c>
      <c r="G13" s="145">
        <v>119</v>
      </c>
      <c r="H13" s="149"/>
      <c r="I13" s="37" t="s">
        <v>62</v>
      </c>
      <c r="J13" s="31">
        <f xml:space="preserve"> (-C13 + SQRT(C13^2 + 2*K13*G13))/K13</f>
        <v>7</v>
      </c>
      <c r="K13" s="147">
        <v>2</v>
      </c>
      <c r="L13" s="146"/>
      <c r="O13" s="80" t="s">
        <v>97</v>
      </c>
      <c r="P13" s="81" t="s">
        <v>103</v>
      </c>
    </row>
    <row r="14" spans="1:19" ht="38" customHeight="1" x14ac:dyDescent="0.35">
      <c r="A14">
        <v>13</v>
      </c>
      <c r="B14" s="30" t="s">
        <v>49</v>
      </c>
      <c r="C14" s="151">
        <v>10</v>
      </c>
      <c r="D14" s="149"/>
      <c r="E14" s="31" t="s">
        <v>89</v>
      </c>
      <c r="F14" s="31">
        <f>2*G14/I14 - C14</f>
        <v>24</v>
      </c>
      <c r="G14" s="145">
        <v>119</v>
      </c>
      <c r="H14" s="149"/>
      <c r="I14" s="145">
        <v>7</v>
      </c>
      <c r="J14" s="150"/>
      <c r="K14" s="87" t="s">
        <v>61</v>
      </c>
      <c r="L14" s="45">
        <f>2*((G14-C14*I14)/I14^2)</f>
        <v>2</v>
      </c>
      <c r="O14" s="80" t="s">
        <v>98</v>
      </c>
      <c r="P14" s="81" t="s">
        <v>102</v>
      </c>
    </row>
    <row r="15" spans="1:19" ht="38" customHeight="1" x14ac:dyDescent="0.35">
      <c r="A15">
        <v>19</v>
      </c>
      <c r="B15" s="30" t="s">
        <v>51</v>
      </c>
      <c r="C15" s="151">
        <v>10</v>
      </c>
      <c r="D15" s="149"/>
      <c r="E15" s="145">
        <v>24</v>
      </c>
      <c r="F15" s="149"/>
      <c r="G15" s="31" t="s">
        <v>90</v>
      </c>
      <c r="H15" s="31">
        <f>(E15^2 - C15^2)/(2*K15)</f>
        <v>119</v>
      </c>
      <c r="I15" s="78" t="s">
        <v>59</v>
      </c>
      <c r="J15" s="31">
        <f>(E15-C15)/K15</f>
        <v>7</v>
      </c>
      <c r="K15" s="145">
        <v>2</v>
      </c>
      <c r="L15" s="146"/>
      <c r="O15" s="80" t="s">
        <v>99</v>
      </c>
      <c r="P15" s="81" t="s">
        <v>100</v>
      </c>
    </row>
    <row r="16" spans="1:19" ht="38" customHeight="1" x14ac:dyDescent="0.35">
      <c r="A16">
        <v>11</v>
      </c>
      <c r="B16" s="30" t="s">
        <v>52</v>
      </c>
      <c r="C16" s="151">
        <v>10</v>
      </c>
      <c r="D16" s="149"/>
      <c r="E16" s="145">
        <v>24</v>
      </c>
      <c r="F16" s="149"/>
      <c r="G16" s="31" t="s">
        <v>91</v>
      </c>
      <c r="H16" s="31">
        <f>(C16+E16)*I16/2</f>
        <v>119</v>
      </c>
      <c r="I16" s="145">
        <v>7</v>
      </c>
      <c r="J16" s="149"/>
      <c r="K16" s="78" t="s">
        <v>58</v>
      </c>
      <c r="L16" s="45">
        <f>(E16-C16)/I16</f>
        <v>2</v>
      </c>
      <c r="O16" s="80" t="s">
        <v>39</v>
      </c>
      <c r="P16" s="81" t="s">
        <v>24</v>
      </c>
    </row>
    <row r="17" spans="1:16" ht="38" customHeight="1" thickBot="1" x14ac:dyDescent="0.4">
      <c r="A17">
        <v>7</v>
      </c>
      <c r="B17" s="79" t="s">
        <v>53</v>
      </c>
      <c r="C17" s="153">
        <v>10</v>
      </c>
      <c r="D17" s="152"/>
      <c r="E17" s="147">
        <v>24</v>
      </c>
      <c r="F17" s="152"/>
      <c r="G17" s="147">
        <v>119</v>
      </c>
      <c r="H17" s="152"/>
      <c r="I17" s="83" t="s">
        <v>92</v>
      </c>
      <c r="J17" s="83">
        <f>2*G17/(C17+E17)</f>
        <v>7</v>
      </c>
      <c r="K17" s="83" t="s">
        <v>93</v>
      </c>
      <c r="L17" s="84">
        <f>(E17^2 - C17^2)/(2*G17)</f>
        <v>2</v>
      </c>
      <c r="O17" s="80" t="s">
        <v>96</v>
      </c>
      <c r="P17" s="81" t="s">
        <v>101</v>
      </c>
    </row>
    <row r="18" spans="1:16" ht="15" thickBot="1" x14ac:dyDescent="0.4">
      <c r="B18" s="82" t="s">
        <v>43</v>
      </c>
      <c r="C18" s="131" t="str">
        <f>P13</f>
        <v>ω0 [rad/s]</v>
      </c>
      <c r="D18" s="132"/>
      <c r="E18" s="133" t="str">
        <f>P14</f>
        <v>ω [rad/s]</v>
      </c>
      <c r="F18" s="132"/>
      <c r="G18" s="133" t="str">
        <f>P15</f>
        <v>φ [rad]</v>
      </c>
      <c r="H18" s="132"/>
      <c r="I18" s="133" t="str">
        <f>P16</f>
        <v>t [s]</v>
      </c>
      <c r="J18" s="132"/>
      <c r="K18" s="133" t="str">
        <f>P17</f>
        <v>α [rad/s2]</v>
      </c>
      <c r="L18" s="134"/>
    </row>
    <row r="19" spans="1:16" ht="29" customHeight="1" thickBot="1" x14ac:dyDescent="0.4">
      <c r="C19" s="127" t="str">
        <f>O13</f>
        <v>Anfangs-Winkelgeschwindigkeit</v>
      </c>
      <c r="D19" s="128"/>
      <c r="E19" s="129" t="str">
        <f>O14</f>
        <v>Winkelgeschwindigkeit</v>
      </c>
      <c r="F19" s="128"/>
      <c r="G19" s="129" t="str">
        <f>O15</f>
        <v>Winkel</v>
      </c>
      <c r="H19" s="128"/>
      <c r="I19" s="129" t="str">
        <f>O16</f>
        <v>Zeit</v>
      </c>
      <c r="J19" s="128"/>
      <c r="K19" s="129" t="str">
        <f>O17</f>
        <v>Winkelbeschleunigung</v>
      </c>
      <c r="L19" s="130"/>
    </row>
  </sheetData>
  <mergeCells count="50">
    <mergeCell ref="G17:H17"/>
    <mergeCell ref="E16:F16"/>
    <mergeCell ref="E17:F17"/>
    <mergeCell ref="C17:D17"/>
    <mergeCell ref="I16:J16"/>
    <mergeCell ref="G8:H8"/>
    <mergeCell ref="G10:H10"/>
    <mergeCell ref="G11:H11"/>
    <mergeCell ref="G13:H13"/>
    <mergeCell ref="G14:H14"/>
    <mergeCell ref="C12:D12"/>
    <mergeCell ref="C13:D13"/>
    <mergeCell ref="C14:D14"/>
    <mergeCell ref="C15:D15"/>
    <mergeCell ref="C16:D16"/>
    <mergeCell ref="E9:F9"/>
    <mergeCell ref="E10:F10"/>
    <mergeCell ref="E11:F11"/>
    <mergeCell ref="E15:F15"/>
    <mergeCell ref="K15:L15"/>
    <mergeCell ref="I8:J8"/>
    <mergeCell ref="I9:J9"/>
    <mergeCell ref="I11:J11"/>
    <mergeCell ref="I12:J12"/>
    <mergeCell ref="I14:J14"/>
    <mergeCell ref="K8:L8"/>
    <mergeCell ref="K9:L9"/>
    <mergeCell ref="K10:L10"/>
    <mergeCell ref="K12:L12"/>
    <mergeCell ref="K13:L13"/>
    <mergeCell ref="C6:D6"/>
    <mergeCell ref="C7:D7"/>
    <mergeCell ref="K6:L6"/>
    <mergeCell ref="K7:L7"/>
    <mergeCell ref="I6:J6"/>
    <mergeCell ref="I7:J7"/>
    <mergeCell ref="G6:H6"/>
    <mergeCell ref="G7:H7"/>
    <mergeCell ref="E6:F6"/>
    <mergeCell ref="E7:F7"/>
    <mergeCell ref="C18:D18"/>
    <mergeCell ref="E18:F18"/>
    <mergeCell ref="G18:H18"/>
    <mergeCell ref="I18:J18"/>
    <mergeCell ref="K18:L18"/>
    <mergeCell ref="C19:D19"/>
    <mergeCell ref="E19:F19"/>
    <mergeCell ref="G19:H19"/>
    <mergeCell ref="I19:J19"/>
    <mergeCell ref="K19:L19"/>
  </mergeCells>
  <dataValidations count="2">
    <dataValidation type="list" allowBlank="1" showInputMessage="1" showErrorMessage="1" sqref="E24" xr:uid="{F0227B52-6C3F-4B29-A45C-B261C0C0E4F1}">
      <formula1>$C$7:$L$7</formula1>
    </dataValidation>
    <dataValidation type="list" allowBlank="1" showInputMessage="1" showErrorMessage="1" sqref="N8:N12" xr:uid="{DCF60D17-7633-456A-A407-CB000447DE9C}">
      <formula1>$Q$3:$Q$4</formula1>
    </dataValidation>
  </dataValidations>
  <pageMargins left="0.7" right="0.7" top="0.78740157499999996" bottom="0.78740157499999996" header="0.3" footer="0.3"/>
  <pageSetup scale="40" orientation="landscape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38E5-43C1-41D2-ADA5-A29109FD68B0}">
  <sheetPr codeName="Tabelle15">
    <pageSetUpPr fitToPage="1"/>
  </sheetPr>
  <dimension ref="C1:AY21"/>
  <sheetViews>
    <sheetView showGridLines="0" zoomScale="40" zoomScaleNormal="40" workbookViewId="0"/>
  </sheetViews>
  <sheetFormatPr baseColWidth="10" defaultColWidth="10.81640625" defaultRowHeight="14.5" x14ac:dyDescent="0.35"/>
  <cols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3:51" ht="21.75" customHeight="1" x14ac:dyDescent="0.35"/>
    <row r="2" spans="3:51" ht="26" x14ac:dyDescent="0.6">
      <c r="C2" s="44" t="s">
        <v>68</v>
      </c>
    </row>
    <row r="4" spans="3:51" x14ac:dyDescent="0.35">
      <c r="R4" s="5"/>
      <c r="S4" s="5" t="s">
        <v>76</v>
      </c>
      <c r="T4" s="5"/>
      <c r="U4" s="5"/>
      <c r="V4" s="5"/>
      <c r="W4" s="5"/>
      <c r="X4" s="5"/>
    </row>
    <row r="5" spans="3:51" x14ac:dyDescent="0.35">
      <c r="R5" s="5"/>
      <c r="S5" s="19" t="s">
        <v>80</v>
      </c>
      <c r="T5" s="55">
        <f>MAX(K14:K20)</f>
        <v>0.33333333333333331</v>
      </c>
      <c r="U5" s="5"/>
      <c r="V5" s="5"/>
      <c r="W5" s="5">
        <f>K12</f>
        <v>270</v>
      </c>
      <c r="X5" s="5">
        <f>W5</f>
        <v>270</v>
      </c>
    </row>
    <row r="6" spans="3:51" x14ac:dyDescent="0.35">
      <c r="R6" s="5"/>
      <c r="S6" s="19" t="s">
        <v>79</v>
      </c>
      <c r="T6" s="55">
        <f>MIN(K14:K20)</f>
        <v>-1</v>
      </c>
      <c r="U6" s="5"/>
      <c r="V6" s="5"/>
      <c r="W6" s="5">
        <v>0</v>
      </c>
      <c r="X6" s="5">
        <f>T7</f>
        <v>-1</v>
      </c>
    </row>
    <row r="7" spans="3:51" x14ac:dyDescent="0.35">
      <c r="R7" s="120" t="s">
        <v>81</v>
      </c>
      <c r="S7" s="120"/>
      <c r="T7" s="5">
        <f>IF(ABS(T5)&gt;ABS(T6),T5,T6)</f>
        <v>-1</v>
      </c>
      <c r="U7" s="5"/>
      <c r="V7" s="5"/>
      <c r="W7" s="5"/>
      <c r="X7" s="5"/>
      <c r="AI7" s="5" t="s">
        <v>72</v>
      </c>
    </row>
    <row r="8" spans="3:51" ht="16" customHeight="1" x14ac:dyDescent="0.35">
      <c r="R8" s="1"/>
      <c r="S8" s="39"/>
      <c r="AI8" s="5" t="s">
        <v>73</v>
      </c>
    </row>
    <row r="11" spans="3:51" ht="21" x14ac:dyDescent="0.35">
      <c r="C11" s="154"/>
      <c r="D11" s="154"/>
      <c r="E11" s="154"/>
      <c r="F11" s="154"/>
      <c r="G11" s="47"/>
      <c r="H11" s="47"/>
      <c r="L11" s="43" t="s">
        <v>8</v>
      </c>
      <c r="M11" s="46">
        <v>15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</row>
    <row r="12" spans="3:51" s="34" customFormat="1" ht="21" x14ac:dyDescent="0.35">
      <c r="C12" s="155" t="s">
        <v>67</v>
      </c>
      <c r="D12" s="155"/>
      <c r="E12" s="155"/>
      <c r="F12" s="155"/>
      <c r="G12" s="47"/>
      <c r="H12" s="47"/>
      <c r="J12" s="57" t="s">
        <v>70</v>
      </c>
      <c r="K12" s="38">
        <v>270</v>
      </c>
      <c r="L12" s="156" t="s">
        <v>71</v>
      </c>
      <c r="M12" s="38">
        <v>0</v>
      </c>
      <c r="N12" s="75">
        <f>M12+$M$11</f>
        <v>15</v>
      </c>
      <c r="O12" s="75">
        <f t="shared" ref="O12:AY12" si="0">N12+$M$11</f>
        <v>30</v>
      </c>
      <c r="P12" s="75">
        <f t="shared" si="0"/>
        <v>45</v>
      </c>
      <c r="Q12" s="75">
        <f t="shared" si="0"/>
        <v>60</v>
      </c>
      <c r="R12" s="75">
        <f t="shared" si="0"/>
        <v>75</v>
      </c>
      <c r="S12" s="75">
        <f t="shared" si="0"/>
        <v>90</v>
      </c>
      <c r="T12" s="75">
        <f t="shared" si="0"/>
        <v>105</v>
      </c>
      <c r="U12" s="75">
        <f t="shared" si="0"/>
        <v>120</v>
      </c>
      <c r="V12" s="75">
        <f t="shared" si="0"/>
        <v>135</v>
      </c>
      <c r="W12" s="75">
        <f t="shared" si="0"/>
        <v>150</v>
      </c>
      <c r="X12" s="75">
        <f t="shared" si="0"/>
        <v>165</v>
      </c>
      <c r="Y12" s="75">
        <f t="shared" si="0"/>
        <v>180</v>
      </c>
      <c r="Z12" s="75">
        <f t="shared" si="0"/>
        <v>195</v>
      </c>
      <c r="AA12" s="75">
        <f t="shared" si="0"/>
        <v>210</v>
      </c>
      <c r="AB12" s="75">
        <f t="shared" si="0"/>
        <v>225</v>
      </c>
      <c r="AC12" s="75">
        <f t="shared" si="0"/>
        <v>240</v>
      </c>
      <c r="AD12" s="75">
        <f t="shared" si="0"/>
        <v>255</v>
      </c>
      <c r="AE12" s="75">
        <f t="shared" si="0"/>
        <v>270</v>
      </c>
      <c r="AF12" s="75">
        <f t="shared" si="0"/>
        <v>285</v>
      </c>
      <c r="AG12" s="75">
        <f t="shared" si="0"/>
        <v>300</v>
      </c>
      <c r="AH12" s="75">
        <f t="shared" si="0"/>
        <v>315</v>
      </c>
      <c r="AI12" s="75">
        <f t="shared" si="0"/>
        <v>330</v>
      </c>
      <c r="AJ12" s="75">
        <f t="shared" si="0"/>
        <v>345</v>
      </c>
      <c r="AK12" s="75">
        <f t="shared" si="0"/>
        <v>360</v>
      </c>
      <c r="AL12" s="75">
        <f t="shared" si="0"/>
        <v>375</v>
      </c>
      <c r="AM12" s="75">
        <f t="shared" si="0"/>
        <v>390</v>
      </c>
      <c r="AN12" s="75">
        <f t="shared" si="0"/>
        <v>405</v>
      </c>
      <c r="AO12" s="75">
        <f t="shared" si="0"/>
        <v>420</v>
      </c>
      <c r="AP12" s="75">
        <f t="shared" si="0"/>
        <v>435</v>
      </c>
      <c r="AQ12" s="75">
        <f t="shared" si="0"/>
        <v>450</v>
      </c>
      <c r="AR12" s="75">
        <f t="shared" si="0"/>
        <v>465</v>
      </c>
      <c r="AS12" s="75">
        <f t="shared" si="0"/>
        <v>480</v>
      </c>
      <c r="AT12" s="75">
        <f t="shared" si="0"/>
        <v>495</v>
      </c>
      <c r="AU12" s="75">
        <f t="shared" si="0"/>
        <v>510</v>
      </c>
      <c r="AV12" s="75">
        <f t="shared" si="0"/>
        <v>525</v>
      </c>
      <c r="AW12" s="75">
        <f t="shared" si="0"/>
        <v>540</v>
      </c>
      <c r="AX12" s="75">
        <f t="shared" si="0"/>
        <v>555</v>
      </c>
      <c r="AY12" s="75">
        <f t="shared" si="0"/>
        <v>570</v>
      </c>
    </row>
    <row r="13" spans="3:51" s="34" customFormat="1" ht="43.5" x14ac:dyDescent="0.35">
      <c r="C13" s="62" t="s">
        <v>74</v>
      </c>
      <c r="D13" s="62" t="s">
        <v>75</v>
      </c>
      <c r="E13" s="62" t="s">
        <v>78</v>
      </c>
      <c r="F13" s="62" t="s">
        <v>77</v>
      </c>
      <c r="G13" s="63"/>
      <c r="H13" s="63"/>
      <c r="J13" s="72" t="s">
        <v>69</v>
      </c>
      <c r="K13" s="65">
        <f t="shared" ref="K13" si="1">PI()*K12/180</f>
        <v>4.7123889803846897</v>
      </c>
      <c r="L13" s="157"/>
      <c r="M13" s="64">
        <f>PI()*M12/180</f>
        <v>0</v>
      </c>
      <c r="N13" s="64">
        <f t="shared" ref="N13:AY13" si="2">PI()*N12/180</f>
        <v>0.26179938779914941</v>
      </c>
      <c r="O13" s="64">
        <f t="shared" si="2"/>
        <v>0.52359877559829882</v>
      </c>
      <c r="P13" s="64">
        <f t="shared" si="2"/>
        <v>0.78539816339744828</v>
      </c>
      <c r="Q13" s="64">
        <f t="shared" si="2"/>
        <v>1.0471975511965976</v>
      </c>
      <c r="R13" s="64">
        <f t="shared" si="2"/>
        <v>1.3089969389957472</v>
      </c>
      <c r="S13" s="64">
        <f t="shared" si="2"/>
        <v>1.5707963267948966</v>
      </c>
      <c r="T13" s="64">
        <f t="shared" si="2"/>
        <v>1.8325957145940461</v>
      </c>
      <c r="U13" s="64">
        <f t="shared" si="2"/>
        <v>2.0943951023931953</v>
      </c>
      <c r="V13" s="64">
        <f t="shared" si="2"/>
        <v>2.3561944901923448</v>
      </c>
      <c r="W13" s="64">
        <f t="shared" si="2"/>
        <v>2.6179938779914944</v>
      </c>
      <c r="X13" s="64">
        <f t="shared" si="2"/>
        <v>2.8797932657906435</v>
      </c>
      <c r="Y13" s="64">
        <f t="shared" si="2"/>
        <v>3.1415926535897931</v>
      </c>
      <c r="Z13" s="64">
        <f t="shared" si="2"/>
        <v>3.4033920413889422</v>
      </c>
      <c r="AA13" s="64">
        <f t="shared" si="2"/>
        <v>3.6651914291880923</v>
      </c>
      <c r="AB13" s="64">
        <f t="shared" si="2"/>
        <v>3.9269908169872414</v>
      </c>
      <c r="AC13" s="64">
        <f t="shared" si="2"/>
        <v>4.1887902047863905</v>
      </c>
      <c r="AD13" s="64">
        <f t="shared" si="2"/>
        <v>4.4505895925855405</v>
      </c>
      <c r="AE13" s="64">
        <f t="shared" si="2"/>
        <v>4.7123889803846897</v>
      </c>
      <c r="AF13" s="64">
        <f t="shared" si="2"/>
        <v>4.9741883681838397</v>
      </c>
      <c r="AG13" s="64">
        <f t="shared" si="2"/>
        <v>5.2359877559829888</v>
      </c>
      <c r="AH13" s="64">
        <f t="shared" si="2"/>
        <v>5.497787143782138</v>
      </c>
      <c r="AI13" s="64">
        <f t="shared" si="2"/>
        <v>5.7595865315812871</v>
      </c>
      <c r="AJ13" s="64">
        <f t="shared" si="2"/>
        <v>6.0213859193804371</v>
      </c>
      <c r="AK13" s="64">
        <f t="shared" si="2"/>
        <v>6.2831853071795862</v>
      </c>
      <c r="AL13" s="64">
        <f t="shared" si="2"/>
        <v>6.5449846949787354</v>
      </c>
      <c r="AM13" s="64">
        <f t="shared" si="2"/>
        <v>6.8067840827778845</v>
      </c>
      <c r="AN13" s="64">
        <f t="shared" si="2"/>
        <v>7.0685834705770336</v>
      </c>
      <c r="AO13" s="64">
        <f t="shared" si="2"/>
        <v>7.3303828583761845</v>
      </c>
      <c r="AP13" s="64">
        <f t="shared" si="2"/>
        <v>7.5921822461753337</v>
      </c>
      <c r="AQ13" s="64">
        <f t="shared" si="2"/>
        <v>7.8539816339744828</v>
      </c>
      <c r="AR13" s="64">
        <f t="shared" si="2"/>
        <v>8.1157810217736319</v>
      </c>
      <c r="AS13" s="64">
        <f t="shared" si="2"/>
        <v>8.3775804095727811</v>
      </c>
      <c r="AT13" s="64">
        <f t="shared" si="2"/>
        <v>8.639379797371932</v>
      </c>
      <c r="AU13" s="64">
        <f t="shared" si="2"/>
        <v>8.9011791851710811</v>
      </c>
      <c r="AV13" s="64">
        <f t="shared" si="2"/>
        <v>9.1629785729702302</v>
      </c>
      <c r="AW13" s="64">
        <f t="shared" si="2"/>
        <v>9.4247779607693793</v>
      </c>
      <c r="AX13" s="64">
        <f t="shared" si="2"/>
        <v>9.6865773485685303</v>
      </c>
      <c r="AY13" s="64">
        <f t="shared" si="2"/>
        <v>9.9483767363676794</v>
      </c>
    </row>
    <row r="14" spans="3:51" x14ac:dyDescent="0.35">
      <c r="C14" s="42">
        <v>1</v>
      </c>
      <c r="D14" s="42">
        <v>1</v>
      </c>
      <c r="E14" s="42">
        <v>0</v>
      </c>
      <c r="F14" s="73">
        <f>PI()*E14/180</f>
        <v>0</v>
      </c>
      <c r="G14" s="56"/>
      <c r="H14" s="56"/>
      <c r="J14" s="58" t="str">
        <f>_xlfn.CONCAT("y0 = ",IF(C14&lt;&gt;1,_xlfn.CONCAT(ROUND(C14,2)," *"),"")," sin(",IF(D14&lt;&gt;1,_xlfn.CONCAT(ROUND(D14,2),"*"),""),"x ",IF(F14&lt;&gt;0,_xlfn.CONCAT(" + ",ROUND(F14,2),""),""),") = ")</f>
        <v xml:space="preserve">y0 =  sin(x ) = </v>
      </c>
      <c r="K14" s="66">
        <f>IF($L$14=$AI$7,$C$14*SIN($D$14*K13 + $F$14),"")</f>
        <v>-1</v>
      </c>
      <c r="L14" s="48" t="s">
        <v>72</v>
      </c>
      <c r="M14" s="54">
        <f>IF($L$14=$AI$7,$C$14*SIN($D$14*M13 + $F$14),"")</f>
        <v>0</v>
      </c>
      <c r="N14" s="54">
        <f t="shared" ref="N14:AY14" si="3">IF($L$14=$AI$7,$C$14*SIN($D$14*N13 + $F$14),"")</f>
        <v>0.25881904510252074</v>
      </c>
      <c r="O14" s="54">
        <f t="shared" si="3"/>
        <v>0.49999999999999994</v>
      </c>
      <c r="P14" s="54">
        <f t="shared" si="3"/>
        <v>0.70710678118654746</v>
      </c>
      <c r="Q14" s="54">
        <f t="shared" si="3"/>
        <v>0.8660254037844386</v>
      </c>
      <c r="R14" s="54">
        <f t="shared" si="3"/>
        <v>0.96592582628906831</v>
      </c>
      <c r="S14" s="54">
        <f t="shared" si="3"/>
        <v>1</v>
      </c>
      <c r="T14" s="54">
        <f t="shared" si="3"/>
        <v>0.96592582628906831</v>
      </c>
      <c r="U14" s="54">
        <f t="shared" si="3"/>
        <v>0.86602540378443871</v>
      </c>
      <c r="V14" s="54">
        <f t="shared" si="3"/>
        <v>0.70710678118654757</v>
      </c>
      <c r="W14" s="54">
        <f t="shared" si="3"/>
        <v>0.49999999999999994</v>
      </c>
      <c r="X14" s="54">
        <f t="shared" si="3"/>
        <v>0.25881904510252102</v>
      </c>
      <c r="Y14" s="54">
        <f t="shared" si="3"/>
        <v>1.22514845490862E-16</v>
      </c>
      <c r="Z14" s="54">
        <f t="shared" si="3"/>
        <v>-0.25881904510252035</v>
      </c>
      <c r="AA14" s="54">
        <f t="shared" si="3"/>
        <v>-0.50000000000000011</v>
      </c>
      <c r="AB14" s="54">
        <f t="shared" si="3"/>
        <v>-0.70710678118654746</v>
      </c>
      <c r="AC14" s="54">
        <f t="shared" si="3"/>
        <v>-0.86602540378443837</v>
      </c>
      <c r="AD14" s="54">
        <f t="shared" si="3"/>
        <v>-0.96592582628906831</v>
      </c>
      <c r="AE14" s="54">
        <f t="shared" si="3"/>
        <v>-1</v>
      </c>
      <c r="AF14" s="54">
        <f t="shared" si="3"/>
        <v>-0.9659258262890682</v>
      </c>
      <c r="AG14" s="54">
        <f t="shared" si="3"/>
        <v>-0.8660254037844386</v>
      </c>
      <c r="AH14" s="54">
        <f t="shared" si="3"/>
        <v>-0.70710678118654768</v>
      </c>
      <c r="AI14" s="54">
        <f t="shared" si="3"/>
        <v>-0.50000000000000044</v>
      </c>
      <c r="AJ14" s="54">
        <f t="shared" si="3"/>
        <v>-0.25881904510252068</v>
      </c>
      <c r="AK14" s="54">
        <f t="shared" si="3"/>
        <v>-2.45029690981724E-16</v>
      </c>
      <c r="AL14" s="54">
        <f t="shared" si="3"/>
        <v>0.25881904510252024</v>
      </c>
      <c r="AM14" s="54">
        <f t="shared" si="3"/>
        <v>0.49999999999999928</v>
      </c>
      <c r="AN14" s="54">
        <f t="shared" si="3"/>
        <v>0.70710678118654668</v>
      </c>
      <c r="AO14" s="54">
        <f t="shared" si="3"/>
        <v>0.86602540378443882</v>
      </c>
      <c r="AP14" s="54">
        <f t="shared" si="3"/>
        <v>0.96592582628906831</v>
      </c>
      <c r="AQ14" s="54">
        <f t="shared" si="3"/>
        <v>1</v>
      </c>
      <c r="AR14" s="54">
        <f t="shared" si="3"/>
        <v>0.96592582628906842</v>
      </c>
      <c r="AS14" s="54">
        <f t="shared" si="3"/>
        <v>0.86602540378443915</v>
      </c>
      <c r="AT14" s="54">
        <f t="shared" si="3"/>
        <v>0.70710678118654713</v>
      </c>
      <c r="AU14" s="54">
        <f t="shared" si="3"/>
        <v>0.49999999999999978</v>
      </c>
      <c r="AV14" s="54">
        <f t="shared" si="3"/>
        <v>0.25881904510252079</v>
      </c>
      <c r="AW14" s="54">
        <f t="shared" si="3"/>
        <v>3.67544536472586E-16</v>
      </c>
      <c r="AX14" s="54">
        <f t="shared" si="3"/>
        <v>-0.25881904510252185</v>
      </c>
      <c r="AY14" s="54">
        <f t="shared" si="3"/>
        <v>-0.50000000000000067</v>
      </c>
    </row>
    <row r="15" spans="3:51" x14ac:dyDescent="0.35">
      <c r="C15" s="42">
        <f>1/3</f>
        <v>0.33333333333333331</v>
      </c>
      <c r="D15" s="42">
        <v>3</v>
      </c>
      <c r="E15" s="42">
        <v>0</v>
      </c>
      <c r="F15" s="73">
        <f t="shared" ref="F15:F17" si="4">PI()*E15/180</f>
        <v>0</v>
      </c>
      <c r="G15" s="56"/>
      <c r="H15" s="56"/>
      <c r="J15" s="59" t="str">
        <f t="shared" ref="J15:J17" si="5">_xlfn.CONCAT("y0 = ",IF(C15&lt;&gt;1,_xlfn.CONCAT(ROUND(C15,2)," *"),"")," sin(",IF(D15&lt;&gt;1,_xlfn.CONCAT(ROUND(D15,2),"*"),""),"x ",IF(F15&lt;&gt;0,_xlfn.CONCAT(" + ",ROUND(F15,2),""),""),") = ")</f>
        <v xml:space="preserve">y0 = 0.33 * sin(3*x ) = </v>
      </c>
      <c r="K15" s="67">
        <f>IF($L$15=$AI$7,$C$15*SIN($D$15*K13 + $F$15),"")</f>
        <v>0.33333333333333331</v>
      </c>
      <c r="L15" s="49" t="s">
        <v>72</v>
      </c>
      <c r="M15" s="55">
        <f t="shared" ref="M15:AY15" si="6">IF($L$15=$AI$7,$C$15*SIN($D$15*M13 + $F$15),"")</f>
        <v>0</v>
      </c>
      <c r="N15" s="55">
        <f t="shared" si="6"/>
        <v>0.23570226039551581</v>
      </c>
      <c r="O15" s="55">
        <f t="shared" si="6"/>
        <v>0.33333333333333331</v>
      </c>
      <c r="P15" s="55">
        <f t="shared" si="6"/>
        <v>0.23570226039551584</v>
      </c>
      <c r="Q15" s="55">
        <f t="shared" si="6"/>
        <v>4.083828183028733E-17</v>
      </c>
      <c r="R15" s="55">
        <f t="shared" si="6"/>
        <v>-0.23570226039551581</v>
      </c>
      <c r="S15" s="55">
        <f t="shared" si="6"/>
        <v>-0.33333333333333331</v>
      </c>
      <c r="T15" s="55">
        <f t="shared" si="6"/>
        <v>-0.23570226039551567</v>
      </c>
      <c r="U15" s="55">
        <f t="shared" si="6"/>
        <v>-8.1676563660574659E-17</v>
      </c>
      <c r="V15" s="55">
        <f t="shared" si="6"/>
        <v>0.23570226039551578</v>
      </c>
      <c r="W15" s="55">
        <f t="shared" si="6"/>
        <v>0.33333333333333331</v>
      </c>
      <c r="X15" s="55">
        <f t="shared" si="6"/>
        <v>0.23570226039551612</v>
      </c>
      <c r="Y15" s="55">
        <f t="shared" si="6"/>
        <v>1.22514845490862E-16</v>
      </c>
      <c r="Z15" s="55">
        <f t="shared" si="6"/>
        <v>-0.23570226039551551</v>
      </c>
      <c r="AA15" s="55">
        <f t="shared" si="6"/>
        <v>-0.33333333333333331</v>
      </c>
      <c r="AB15" s="55">
        <f t="shared" si="6"/>
        <v>-0.23570226039551614</v>
      </c>
      <c r="AC15" s="55">
        <f t="shared" si="6"/>
        <v>-1.6335312732114932E-16</v>
      </c>
      <c r="AD15" s="55">
        <f t="shared" si="6"/>
        <v>0.23570226039551592</v>
      </c>
      <c r="AE15" s="55">
        <f t="shared" si="6"/>
        <v>0.33333333333333331</v>
      </c>
      <c r="AF15" s="55">
        <f t="shared" si="6"/>
        <v>0.23570226039551534</v>
      </c>
      <c r="AG15" s="55">
        <f t="shared" si="6"/>
        <v>2.0419140915143666E-16</v>
      </c>
      <c r="AH15" s="55">
        <f t="shared" si="6"/>
        <v>-0.23570226039551589</v>
      </c>
      <c r="AI15" s="55">
        <f t="shared" si="6"/>
        <v>-0.33333333333333331</v>
      </c>
      <c r="AJ15" s="55">
        <f t="shared" si="6"/>
        <v>-0.23570226039551537</v>
      </c>
      <c r="AK15" s="55">
        <f t="shared" si="6"/>
        <v>-2.45029690981724E-16</v>
      </c>
      <c r="AL15" s="55">
        <f t="shared" si="6"/>
        <v>0.23570226039551503</v>
      </c>
      <c r="AM15" s="55">
        <f t="shared" si="6"/>
        <v>0.33333333333333331</v>
      </c>
      <c r="AN15" s="55">
        <f t="shared" si="6"/>
        <v>0.23570226039551623</v>
      </c>
      <c r="AO15" s="55">
        <f t="shared" si="6"/>
        <v>-8.9836992012148897E-16</v>
      </c>
      <c r="AP15" s="55">
        <f t="shared" si="6"/>
        <v>-0.23570226039551584</v>
      </c>
      <c r="AQ15" s="55">
        <f t="shared" si="6"/>
        <v>-0.33333333333333331</v>
      </c>
      <c r="AR15" s="55">
        <f t="shared" si="6"/>
        <v>-0.23570226039551626</v>
      </c>
      <c r="AS15" s="55">
        <f t="shared" si="6"/>
        <v>-3.2670625464229864E-16</v>
      </c>
      <c r="AT15" s="55">
        <f t="shared" si="6"/>
        <v>0.23570226039551662</v>
      </c>
      <c r="AU15" s="55">
        <f t="shared" si="6"/>
        <v>0.33333333333333331</v>
      </c>
      <c r="AV15" s="55">
        <f t="shared" si="6"/>
        <v>0.23570226039551628</v>
      </c>
      <c r="AW15" s="55">
        <f t="shared" si="6"/>
        <v>3.67544536472586E-16</v>
      </c>
      <c r="AX15" s="55">
        <f t="shared" si="6"/>
        <v>-0.23570226039551662</v>
      </c>
      <c r="AY15" s="55">
        <f t="shared" si="6"/>
        <v>-0.33333333333333331</v>
      </c>
    </row>
    <row r="16" spans="3:51" x14ac:dyDescent="0.35">
      <c r="C16" s="42">
        <f>1/5</f>
        <v>0.2</v>
      </c>
      <c r="D16" s="42">
        <v>5</v>
      </c>
      <c r="E16" s="42">
        <v>0</v>
      </c>
      <c r="F16" s="73">
        <f t="shared" si="4"/>
        <v>0</v>
      </c>
      <c r="G16" s="56"/>
      <c r="H16" s="56"/>
      <c r="J16" s="60" t="str">
        <f t="shared" si="5"/>
        <v xml:space="preserve">y0 = 0.2 * sin(5*x ) = </v>
      </c>
      <c r="K16" s="68">
        <f>IF($L$16=$AI$7,$C$16*SIN($D$16*K13 + $F$16),"")</f>
        <v>-0.2</v>
      </c>
      <c r="L16" s="50" t="s">
        <v>72</v>
      </c>
      <c r="M16" s="55">
        <f t="shared" ref="M16:AY16" si="7">IF($L$16=$AI$7,$C$16*SIN($D$16*M13 + $F$16),"")</f>
        <v>0</v>
      </c>
      <c r="N16" s="55">
        <f t="shared" si="7"/>
        <v>0.19318516525781365</v>
      </c>
      <c r="O16" s="55">
        <f t="shared" si="7"/>
        <v>0.10000000000000007</v>
      </c>
      <c r="P16" s="55">
        <f t="shared" si="7"/>
        <v>-0.1414213562373095</v>
      </c>
      <c r="Q16" s="55">
        <f t="shared" si="7"/>
        <v>-0.17320508075688781</v>
      </c>
      <c r="R16" s="55">
        <f t="shared" si="7"/>
        <v>5.1763809020504217E-2</v>
      </c>
      <c r="S16" s="55">
        <f t="shared" si="7"/>
        <v>0.2</v>
      </c>
      <c r="T16" s="55">
        <f t="shared" si="7"/>
        <v>5.1763809020504162E-2</v>
      </c>
      <c r="U16" s="55">
        <f t="shared" si="7"/>
        <v>-0.17320508075688756</v>
      </c>
      <c r="V16" s="55">
        <f t="shared" si="7"/>
        <v>-0.1414213562373097</v>
      </c>
      <c r="W16" s="55">
        <f t="shared" si="7"/>
        <v>0.10000000000000012</v>
      </c>
      <c r="X16" s="55">
        <f t="shared" si="7"/>
        <v>0.19318516525781371</v>
      </c>
      <c r="Y16" s="55">
        <f t="shared" si="7"/>
        <v>1.22514845490862E-16</v>
      </c>
      <c r="Z16" s="55">
        <f t="shared" si="7"/>
        <v>-0.19318516525781348</v>
      </c>
      <c r="AA16" s="55">
        <f t="shared" si="7"/>
        <v>-0.10000000000000003</v>
      </c>
      <c r="AB16" s="55">
        <f t="shared" si="7"/>
        <v>0.14142135623730953</v>
      </c>
      <c r="AC16" s="55">
        <f t="shared" si="7"/>
        <v>0.17320508075688806</v>
      </c>
      <c r="AD16" s="55">
        <f t="shared" si="7"/>
        <v>-5.1763809020504273E-2</v>
      </c>
      <c r="AE16" s="55">
        <f t="shared" si="7"/>
        <v>-0.2</v>
      </c>
      <c r="AF16" s="55">
        <f t="shared" si="7"/>
        <v>-5.176380902050394E-2</v>
      </c>
      <c r="AG16" s="55">
        <f t="shared" si="7"/>
        <v>0.1732050807568879</v>
      </c>
      <c r="AH16" s="55">
        <f t="shared" si="7"/>
        <v>0.14142135623730978</v>
      </c>
      <c r="AI16" s="55">
        <f t="shared" si="7"/>
        <v>-9.99999999999997E-2</v>
      </c>
      <c r="AJ16" s="55">
        <f t="shared" si="7"/>
        <v>-0.19318516525781373</v>
      </c>
      <c r="AK16" s="55">
        <f t="shared" si="7"/>
        <v>-2.45029690981724E-16</v>
      </c>
      <c r="AL16" s="55">
        <f t="shared" si="7"/>
        <v>0.1931851652578136</v>
      </c>
      <c r="AM16" s="55">
        <f t="shared" si="7"/>
        <v>0.10000000000000137</v>
      </c>
      <c r="AN16" s="55">
        <f t="shared" si="7"/>
        <v>-0.14142135623730842</v>
      </c>
      <c r="AO16" s="55">
        <f t="shared" si="7"/>
        <v>-0.17320508075688779</v>
      </c>
      <c r="AP16" s="55">
        <f t="shared" si="7"/>
        <v>5.1763809020504148E-2</v>
      </c>
      <c r="AQ16" s="55">
        <f t="shared" si="7"/>
        <v>0.2</v>
      </c>
      <c r="AR16" s="55">
        <f t="shared" si="7"/>
        <v>5.1763809020505439E-2</v>
      </c>
      <c r="AS16" s="55">
        <f t="shared" si="7"/>
        <v>-0.17320508075688712</v>
      </c>
      <c r="AT16" s="55">
        <f t="shared" si="7"/>
        <v>-0.14142135623730936</v>
      </c>
      <c r="AU16" s="55">
        <f t="shared" si="7"/>
        <v>0.10000000000000023</v>
      </c>
      <c r="AV16" s="55">
        <f t="shared" si="7"/>
        <v>0.1931851652578136</v>
      </c>
      <c r="AW16" s="55">
        <f t="shared" si="7"/>
        <v>1.0780872722326862E-15</v>
      </c>
      <c r="AX16" s="55">
        <f t="shared" si="7"/>
        <v>-0.19318516525781415</v>
      </c>
      <c r="AY16" s="55">
        <f t="shared" si="7"/>
        <v>-9.9999999999999631E-2</v>
      </c>
    </row>
    <row r="17" spans="3:51" x14ac:dyDescent="0.35">
      <c r="C17" s="42">
        <f>1/7</f>
        <v>0.14285714285714285</v>
      </c>
      <c r="D17" s="42">
        <v>7</v>
      </c>
      <c r="E17" s="42">
        <v>0</v>
      </c>
      <c r="F17" s="73">
        <f t="shared" si="4"/>
        <v>0</v>
      </c>
      <c r="G17" s="56"/>
      <c r="H17" s="56"/>
      <c r="J17" s="61" t="str">
        <f t="shared" si="5"/>
        <v xml:space="preserve">y0 = 0.14 * sin(7*x ) = </v>
      </c>
      <c r="K17" s="69">
        <f>IF($L$17=$AI$7,$C$17*SIN($D$17*K13 + $F$17),"")</f>
        <v>0.14285714285714285</v>
      </c>
      <c r="L17" s="51" t="s">
        <v>72</v>
      </c>
      <c r="M17" s="55">
        <f t="shared" ref="M17:AY17" si="8">IF($L$17=$AI$7,$C$17*SIN($D$17*M13 + $F$17),"")</f>
        <v>0</v>
      </c>
      <c r="N17" s="55">
        <f t="shared" si="8"/>
        <v>0.13798940375558119</v>
      </c>
      <c r="O17" s="55">
        <f t="shared" si="8"/>
        <v>-7.1428571428571383E-2</v>
      </c>
      <c r="P17" s="55">
        <f t="shared" si="8"/>
        <v>-0.1010152544552211</v>
      </c>
      <c r="Q17" s="55">
        <f t="shared" si="8"/>
        <v>0.12371791482634834</v>
      </c>
      <c r="R17" s="55">
        <f t="shared" si="8"/>
        <v>3.697414930036011E-2</v>
      </c>
      <c r="S17" s="55">
        <f t="shared" si="8"/>
        <v>-0.14285714285714285</v>
      </c>
      <c r="T17" s="55">
        <f t="shared" si="8"/>
        <v>3.6974149300360241E-2</v>
      </c>
      <c r="U17" s="55">
        <f t="shared" si="8"/>
        <v>0.12371791482634846</v>
      </c>
      <c r="V17" s="55">
        <f t="shared" si="8"/>
        <v>-0.1010152544552211</v>
      </c>
      <c r="W17" s="55">
        <f t="shared" si="8"/>
        <v>-7.1428571428571438E-2</v>
      </c>
      <c r="X17" s="55">
        <f t="shared" si="8"/>
        <v>0.13798940375558116</v>
      </c>
      <c r="Y17" s="55">
        <f t="shared" si="8"/>
        <v>1.22514845490862E-16</v>
      </c>
      <c r="Z17" s="55">
        <f t="shared" si="8"/>
        <v>-0.13798940375558122</v>
      </c>
      <c r="AA17" s="55">
        <f t="shared" si="8"/>
        <v>7.1428571428571661E-2</v>
      </c>
      <c r="AB17" s="55">
        <f t="shared" si="8"/>
        <v>0.10101525445522126</v>
      </c>
      <c r="AC17" s="55">
        <f t="shared" si="8"/>
        <v>-0.12371791482634821</v>
      </c>
      <c r="AD17" s="55">
        <f t="shared" si="8"/>
        <v>-3.6974149300359985E-2</v>
      </c>
      <c r="AE17" s="55">
        <f t="shared" si="8"/>
        <v>0.14285714285714285</v>
      </c>
      <c r="AF17" s="55">
        <f t="shared" si="8"/>
        <v>-3.6974149300360609E-2</v>
      </c>
      <c r="AG17" s="55">
        <f t="shared" si="8"/>
        <v>-0.12371791482634839</v>
      </c>
      <c r="AH17" s="55">
        <f t="shared" si="8"/>
        <v>0.10101525445522065</v>
      </c>
      <c r="AI17" s="55">
        <f t="shared" si="8"/>
        <v>7.142857142857155E-2</v>
      </c>
      <c r="AJ17" s="55">
        <f t="shared" si="8"/>
        <v>-0.13798940375558125</v>
      </c>
      <c r="AK17" s="55">
        <f t="shared" si="8"/>
        <v>-2.45029690981724E-16</v>
      </c>
      <c r="AL17" s="55">
        <f t="shared" si="8"/>
        <v>0.13798940375558139</v>
      </c>
      <c r="AM17" s="55">
        <f t="shared" si="8"/>
        <v>-7.1428571428571119E-2</v>
      </c>
      <c r="AN17" s="55">
        <f t="shared" si="8"/>
        <v>-0.10101525445522171</v>
      </c>
      <c r="AO17" s="55">
        <f t="shared" si="8"/>
        <v>0.12371791482634865</v>
      </c>
      <c r="AP17" s="55">
        <f t="shared" si="8"/>
        <v>3.6974149300360103E-2</v>
      </c>
      <c r="AQ17" s="55">
        <f t="shared" si="8"/>
        <v>-0.14285714285714285</v>
      </c>
      <c r="AR17" s="55">
        <f t="shared" si="8"/>
        <v>3.6974149300360006E-2</v>
      </c>
      <c r="AS17" s="55">
        <f t="shared" si="8"/>
        <v>0.1237179148263487</v>
      </c>
      <c r="AT17" s="55">
        <f t="shared" si="8"/>
        <v>-0.10101525445522164</v>
      </c>
      <c r="AU17" s="55">
        <f t="shared" si="8"/>
        <v>-7.1428571428571216E-2</v>
      </c>
      <c r="AV17" s="55">
        <f t="shared" si="8"/>
        <v>0.13798940375558111</v>
      </c>
      <c r="AW17" s="55">
        <f t="shared" si="8"/>
        <v>-1.399859890703427E-16</v>
      </c>
      <c r="AX17" s="55">
        <f t="shared" si="8"/>
        <v>-0.13798940375558102</v>
      </c>
      <c r="AY17" s="55">
        <f t="shared" si="8"/>
        <v>7.1428571428572327E-2</v>
      </c>
    </row>
    <row r="18" spans="3:51" ht="8.5" customHeight="1" x14ac:dyDescent="0.35">
      <c r="J18" s="41"/>
      <c r="K18" s="70"/>
      <c r="L18" s="52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</row>
    <row r="19" spans="3:51" ht="8.5" customHeight="1" x14ac:dyDescent="0.35">
      <c r="J19" s="41"/>
      <c r="K19" s="70"/>
      <c r="L19" s="52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</row>
    <row r="20" spans="3:51" ht="16.5" x14ac:dyDescent="0.35">
      <c r="J20" s="40" t="s">
        <v>66</v>
      </c>
      <c r="K20" s="71">
        <f>IF($L$20=$AI$7,SUM(K14:K17),"")</f>
        <v>-0.7238095238095239</v>
      </c>
      <c r="L20" s="53" t="s">
        <v>72</v>
      </c>
      <c r="M20" s="55">
        <f>IF($L$20=$AI$7,SUM(M14:M17),0)</f>
        <v>0</v>
      </c>
      <c r="N20" s="55">
        <f t="shared" ref="N20:AY20" si="9">IF($L$20=$AI$7,SUM(N14:N17),0)</f>
        <v>0.82569587451143145</v>
      </c>
      <c r="O20" s="55">
        <f t="shared" si="9"/>
        <v>0.86190476190476195</v>
      </c>
      <c r="P20" s="55">
        <f t="shared" si="9"/>
        <v>0.70037243088953283</v>
      </c>
      <c r="Q20" s="55">
        <f t="shared" si="9"/>
        <v>0.81653823785389912</v>
      </c>
      <c r="R20" s="55">
        <f t="shared" si="9"/>
        <v>0.81896152421441692</v>
      </c>
      <c r="S20" s="55">
        <f t="shared" si="9"/>
        <v>0.7238095238095239</v>
      </c>
      <c r="T20" s="55">
        <f t="shared" si="9"/>
        <v>0.81896152421441704</v>
      </c>
      <c r="U20" s="55">
        <f t="shared" si="9"/>
        <v>0.81653823785389945</v>
      </c>
      <c r="V20" s="55">
        <f t="shared" si="9"/>
        <v>0.7003724308895326</v>
      </c>
      <c r="W20" s="55">
        <f t="shared" si="9"/>
        <v>0.86190476190476195</v>
      </c>
      <c r="X20" s="55">
        <f t="shared" si="9"/>
        <v>0.825695874511432</v>
      </c>
      <c r="Y20" s="55">
        <f t="shared" si="9"/>
        <v>4.90059381963448E-16</v>
      </c>
      <c r="Z20" s="55">
        <f t="shared" si="9"/>
        <v>-0.82569587451143056</v>
      </c>
      <c r="AA20" s="55">
        <f t="shared" si="9"/>
        <v>-0.86190476190476195</v>
      </c>
      <c r="AB20" s="55">
        <f t="shared" si="9"/>
        <v>-0.70037243088953272</v>
      </c>
      <c r="AC20" s="55">
        <f t="shared" si="9"/>
        <v>-0.81653823785389867</v>
      </c>
      <c r="AD20" s="55">
        <f t="shared" si="9"/>
        <v>-0.8189615242144167</v>
      </c>
      <c r="AE20" s="55">
        <f t="shared" si="9"/>
        <v>-0.7238095238095239</v>
      </c>
      <c r="AF20" s="55">
        <f t="shared" si="9"/>
        <v>-0.81896152421441737</v>
      </c>
      <c r="AG20" s="55">
        <f t="shared" si="9"/>
        <v>-0.8165382378538989</v>
      </c>
      <c r="AH20" s="55">
        <f t="shared" si="9"/>
        <v>-0.70037243088953316</v>
      </c>
      <c r="AI20" s="55">
        <f t="shared" si="9"/>
        <v>-0.86190476190476184</v>
      </c>
      <c r="AJ20" s="55">
        <f t="shared" si="9"/>
        <v>-0.825695874511431</v>
      </c>
      <c r="AK20" s="55">
        <f t="shared" si="9"/>
        <v>-9.8011876392689601E-16</v>
      </c>
      <c r="AL20" s="55">
        <f t="shared" si="9"/>
        <v>0.82569587451143023</v>
      </c>
      <c r="AM20" s="55">
        <f t="shared" si="9"/>
        <v>0.86190476190476284</v>
      </c>
      <c r="AN20" s="55">
        <f t="shared" si="9"/>
        <v>0.70037243088953272</v>
      </c>
      <c r="AO20" s="55">
        <f t="shared" si="9"/>
        <v>0.81653823785389879</v>
      </c>
      <c r="AP20" s="55">
        <f t="shared" si="9"/>
        <v>0.81896152421441681</v>
      </c>
      <c r="AQ20" s="55">
        <f t="shared" si="9"/>
        <v>0.7238095238095239</v>
      </c>
      <c r="AR20" s="55">
        <f t="shared" si="9"/>
        <v>0.8189615242144177</v>
      </c>
      <c r="AS20" s="55">
        <f t="shared" si="9"/>
        <v>0.81653823785390034</v>
      </c>
      <c r="AT20" s="55">
        <f t="shared" si="9"/>
        <v>0.70037243088953283</v>
      </c>
      <c r="AU20" s="55">
        <f t="shared" si="9"/>
        <v>0.86190476190476206</v>
      </c>
      <c r="AV20" s="55">
        <f t="shared" si="9"/>
        <v>0.82569587451143178</v>
      </c>
      <c r="AW20" s="55">
        <f t="shared" si="9"/>
        <v>1.6731903561075154E-15</v>
      </c>
      <c r="AX20" s="55">
        <f t="shared" si="9"/>
        <v>-0.82569587451143367</v>
      </c>
      <c r="AY20" s="55">
        <f t="shared" si="9"/>
        <v>-0.86190476190476129</v>
      </c>
    </row>
    <row r="21" spans="3:51" x14ac:dyDescent="0.35">
      <c r="J21" s="39"/>
      <c r="K21" s="39"/>
      <c r="L21" s="39"/>
    </row>
  </sheetData>
  <mergeCells count="4">
    <mergeCell ref="C11:F11"/>
    <mergeCell ref="C12:F12"/>
    <mergeCell ref="L12:L13"/>
    <mergeCell ref="R7:S7"/>
  </mergeCells>
  <dataValidations count="1">
    <dataValidation type="list" allowBlank="1" showInputMessage="1" showErrorMessage="1" sqref="L14:L17 L20" xr:uid="{14030FAE-C205-4F99-A125-F98CBE2B09BD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F7D5C-D0F8-40D0-BDC5-363CB671BB60}">
  <sheetPr>
    <pageSetUpPr fitToPage="1"/>
  </sheetPr>
  <dimension ref="C1:AY19"/>
  <sheetViews>
    <sheetView showGridLines="0" zoomScale="40" zoomScaleNormal="40" workbookViewId="0">
      <selection activeCell="E15" sqref="E15"/>
    </sheetView>
  </sheetViews>
  <sheetFormatPr baseColWidth="10" defaultColWidth="10.81640625" defaultRowHeight="14.5" x14ac:dyDescent="0.35"/>
  <cols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3:51" ht="21.75" customHeight="1" x14ac:dyDescent="0.35"/>
    <row r="2" spans="3:51" ht="26" x14ac:dyDescent="0.6">
      <c r="C2" s="44" t="s">
        <v>128</v>
      </c>
    </row>
    <row r="4" spans="3:51" x14ac:dyDescent="0.35">
      <c r="R4" s="5"/>
      <c r="S4" s="5" t="s">
        <v>76</v>
      </c>
      <c r="T4" s="5"/>
      <c r="U4" s="5"/>
      <c r="V4" s="5"/>
      <c r="W4" s="5"/>
      <c r="X4" s="5"/>
    </row>
    <row r="5" spans="3:51" x14ac:dyDescent="0.35">
      <c r="R5" s="5"/>
      <c r="S5" s="19" t="s">
        <v>80</v>
      </c>
      <c r="T5" s="55">
        <f>MAX(K14:K18)</f>
        <v>9.9999999999999911</v>
      </c>
      <c r="U5" s="5"/>
      <c r="V5" s="5"/>
      <c r="W5" s="5">
        <f>K12</f>
        <v>210</v>
      </c>
      <c r="X5" s="5">
        <f>W5</f>
        <v>210</v>
      </c>
    </row>
    <row r="6" spans="3:51" x14ac:dyDescent="0.35">
      <c r="R6" s="5"/>
      <c r="S6" s="19" t="s">
        <v>79</v>
      </c>
      <c r="T6" s="55">
        <f>MIN(K14:K18)</f>
        <v>0.86602540378444159</v>
      </c>
      <c r="U6" s="5"/>
      <c r="V6" s="5"/>
      <c r="W6" s="55">
        <f>T6</f>
        <v>0.86602540378444159</v>
      </c>
      <c r="X6" s="55">
        <f>T5</f>
        <v>9.9999999999999911</v>
      </c>
    </row>
    <row r="7" spans="3:51" x14ac:dyDescent="0.35">
      <c r="R7" s="120" t="s">
        <v>81</v>
      </c>
      <c r="S7" s="120"/>
      <c r="T7" s="5">
        <f>IF(ABS(T5)&gt;ABS(T6),T5,T6)</f>
        <v>9.9999999999999911</v>
      </c>
      <c r="U7" s="5"/>
      <c r="V7" s="5"/>
      <c r="W7" s="5"/>
      <c r="X7" s="5"/>
      <c r="AI7" s="5" t="s">
        <v>72</v>
      </c>
      <c r="AP7" s="103"/>
    </row>
    <row r="8" spans="3:51" ht="16" customHeight="1" x14ac:dyDescent="0.35">
      <c r="R8" s="1"/>
      <c r="S8" s="39"/>
      <c r="AI8" s="5" t="s">
        <v>73</v>
      </c>
    </row>
    <row r="11" spans="3:51" ht="21" x14ac:dyDescent="0.35">
      <c r="C11" s="154"/>
      <c r="D11" s="154"/>
      <c r="E11" s="154"/>
      <c r="F11" s="154"/>
      <c r="G11" s="47"/>
      <c r="H11" s="47"/>
      <c r="L11" s="43" t="s">
        <v>8</v>
      </c>
      <c r="M11" s="46">
        <v>15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</row>
    <row r="12" spans="3:51" s="34" customFormat="1" ht="21" x14ac:dyDescent="0.35">
      <c r="C12" s="155" t="s">
        <v>67</v>
      </c>
      <c r="D12" s="155"/>
      <c r="E12" s="155"/>
      <c r="F12" s="155"/>
      <c r="G12" s="47"/>
      <c r="H12" s="47"/>
      <c r="J12" s="57" t="s">
        <v>70</v>
      </c>
      <c r="K12" s="38">
        <v>210</v>
      </c>
      <c r="L12" s="156" t="s">
        <v>71</v>
      </c>
      <c r="M12" s="38">
        <v>0</v>
      </c>
      <c r="N12" s="75">
        <f>M12+$M$11</f>
        <v>15</v>
      </c>
      <c r="O12" s="75">
        <f t="shared" ref="O12:AY12" si="0">N12+$M$11</f>
        <v>30</v>
      </c>
      <c r="P12" s="75">
        <f t="shared" si="0"/>
        <v>45</v>
      </c>
      <c r="Q12" s="75">
        <f t="shared" si="0"/>
        <v>60</v>
      </c>
      <c r="R12" s="75">
        <f t="shared" si="0"/>
        <v>75</v>
      </c>
      <c r="S12" s="75">
        <f t="shared" si="0"/>
        <v>90</v>
      </c>
      <c r="T12" s="75">
        <f t="shared" si="0"/>
        <v>105</v>
      </c>
      <c r="U12" s="75">
        <f t="shared" si="0"/>
        <v>120</v>
      </c>
      <c r="V12" s="75">
        <f t="shared" si="0"/>
        <v>135</v>
      </c>
      <c r="W12" s="75">
        <f t="shared" si="0"/>
        <v>150</v>
      </c>
      <c r="X12" s="75">
        <f t="shared" si="0"/>
        <v>165</v>
      </c>
      <c r="Y12" s="75">
        <f t="shared" si="0"/>
        <v>180</v>
      </c>
      <c r="Z12" s="75">
        <f t="shared" si="0"/>
        <v>195</v>
      </c>
      <c r="AA12" s="75">
        <f t="shared" si="0"/>
        <v>210</v>
      </c>
      <c r="AB12" s="75">
        <f t="shared" si="0"/>
        <v>225</v>
      </c>
      <c r="AC12" s="75">
        <f t="shared" si="0"/>
        <v>240</v>
      </c>
      <c r="AD12" s="75">
        <f t="shared" si="0"/>
        <v>255</v>
      </c>
      <c r="AE12" s="75">
        <f t="shared" si="0"/>
        <v>270</v>
      </c>
      <c r="AF12" s="75">
        <f t="shared" si="0"/>
        <v>285</v>
      </c>
      <c r="AG12" s="75">
        <f t="shared" si="0"/>
        <v>300</v>
      </c>
      <c r="AH12" s="75">
        <f t="shared" si="0"/>
        <v>315</v>
      </c>
      <c r="AI12" s="75">
        <f t="shared" si="0"/>
        <v>330</v>
      </c>
      <c r="AJ12" s="75">
        <f t="shared" si="0"/>
        <v>345</v>
      </c>
      <c r="AK12" s="75">
        <f t="shared" si="0"/>
        <v>360</v>
      </c>
      <c r="AL12" s="75">
        <f t="shared" si="0"/>
        <v>375</v>
      </c>
      <c r="AM12" s="75">
        <f t="shared" si="0"/>
        <v>390</v>
      </c>
      <c r="AN12" s="75">
        <f t="shared" si="0"/>
        <v>405</v>
      </c>
      <c r="AO12" s="75">
        <f t="shared" si="0"/>
        <v>420</v>
      </c>
      <c r="AP12" s="75">
        <f t="shared" si="0"/>
        <v>435</v>
      </c>
      <c r="AQ12" s="75">
        <f t="shared" si="0"/>
        <v>450</v>
      </c>
      <c r="AR12" s="75">
        <f t="shared" si="0"/>
        <v>465</v>
      </c>
      <c r="AS12" s="75">
        <f t="shared" si="0"/>
        <v>480</v>
      </c>
      <c r="AT12" s="75">
        <f t="shared" si="0"/>
        <v>495</v>
      </c>
      <c r="AU12" s="75">
        <f t="shared" si="0"/>
        <v>510</v>
      </c>
      <c r="AV12" s="75">
        <f t="shared" si="0"/>
        <v>525</v>
      </c>
      <c r="AW12" s="75">
        <f t="shared" si="0"/>
        <v>540</v>
      </c>
      <c r="AX12" s="75">
        <f t="shared" si="0"/>
        <v>555</v>
      </c>
      <c r="AY12" s="75">
        <f t="shared" si="0"/>
        <v>570</v>
      </c>
    </row>
    <row r="13" spans="3:51" s="34" customFormat="1" ht="43.5" x14ac:dyDescent="0.35">
      <c r="C13" s="62" t="s">
        <v>74</v>
      </c>
      <c r="D13" s="62" t="s">
        <v>75</v>
      </c>
      <c r="E13" s="62" t="s">
        <v>78</v>
      </c>
      <c r="F13" s="62" t="s">
        <v>77</v>
      </c>
      <c r="G13" s="63"/>
      <c r="H13" s="63"/>
      <c r="J13" s="72" t="s">
        <v>69</v>
      </c>
      <c r="K13" s="65">
        <f t="shared" ref="K13" si="1">PI()*K12/180</f>
        <v>3.6651914291880923</v>
      </c>
      <c r="L13" s="157"/>
      <c r="M13" s="64">
        <f>PI()*M12/180</f>
        <v>0</v>
      </c>
      <c r="N13" s="64">
        <f>PI()*N12/180</f>
        <v>0.26179938779914941</v>
      </c>
      <c r="O13" s="64">
        <f t="shared" ref="O13:AY13" si="2">PI()*O12/180</f>
        <v>0.52359877559829882</v>
      </c>
      <c r="P13" s="64">
        <f t="shared" si="2"/>
        <v>0.78539816339744828</v>
      </c>
      <c r="Q13" s="64">
        <f t="shared" si="2"/>
        <v>1.0471975511965976</v>
      </c>
      <c r="R13" s="64">
        <f t="shared" si="2"/>
        <v>1.3089969389957472</v>
      </c>
      <c r="S13" s="64">
        <f t="shared" si="2"/>
        <v>1.5707963267948966</v>
      </c>
      <c r="T13" s="64">
        <f t="shared" si="2"/>
        <v>1.8325957145940461</v>
      </c>
      <c r="U13" s="64">
        <f t="shared" si="2"/>
        <v>2.0943951023931953</v>
      </c>
      <c r="V13" s="64">
        <f t="shared" si="2"/>
        <v>2.3561944901923448</v>
      </c>
      <c r="W13" s="64">
        <f t="shared" si="2"/>
        <v>2.6179938779914944</v>
      </c>
      <c r="X13" s="64">
        <f t="shared" si="2"/>
        <v>2.8797932657906435</v>
      </c>
      <c r="Y13" s="64">
        <f t="shared" si="2"/>
        <v>3.1415926535897931</v>
      </c>
      <c r="Z13" s="64">
        <f t="shared" si="2"/>
        <v>3.4033920413889422</v>
      </c>
      <c r="AA13" s="64">
        <f t="shared" si="2"/>
        <v>3.6651914291880923</v>
      </c>
      <c r="AB13" s="64">
        <f t="shared" si="2"/>
        <v>3.9269908169872414</v>
      </c>
      <c r="AC13" s="64">
        <f t="shared" si="2"/>
        <v>4.1887902047863905</v>
      </c>
      <c r="AD13" s="64">
        <f t="shared" si="2"/>
        <v>4.4505895925855405</v>
      </c>
      <c r="AE13" s="64">
        <f t="shared" si="2"/>
        <v>4.7123889803846897</v>
      </c>
      <c r="AF13" s="64">
        <f t="shared" si="2"/>
        <v>4.9741883681838397</v>
      </c>
      <c r="AG13" s="64">
        <f t="shared" si="2"/>
        <v>5.2359877559829888</v>
      </c>
      <c r="AH13" s="64">
        <f t="shared" si="2"/>
        <v>5.497787143782138</v>
      </c>
      <c r="AI13" s="64">
        <f t="shared" si="2"/>
        <v>5.7595865315812871</v>
      </c>
      <c r="AJ13" s="64">
        <f t="shared" si="2"/>
        <v>6.0213859193804371</v>
      </c>
      <c r="AK13" s="64">
        <f t="shared" si="2"/>
        <v>6.2831853071795862</v>
      </c>
      <c r="AL13" s="64">
        <f t="shared" si="2"/>
        <v>6.5449846949787354</v>
      </c>
      <c r="AM13" s="64">
        <f t="shared" si="2"/>
        <v>6.8067840827778845</v>
      </c>
      <c r="AN13" s="64">
        <f t="shared" si="2"/>
        <v>7.0685834705770336</v>
      </c>
      <c r="AO13" s="64">
        <f t="shared" si="2"/>
        <v>7.3303828583761845</v>
      </c>
      <c r="AP13" s="64">
        <f t="shared" si="2"/>
        <v>7.5921822461753337</v>
      </c>
      <c r="AQ13" s="64">
        <f t="shared" si="2"/>
        <v>7.8539816339744828</v>
      </c>
      <c r="AR13" s="64">
        <f t="shared" si="2"/>
        <v>8.1157810217736319</v>
      </c>
      <c r="AS13" s="64">
        <f t="shared" si="2"/>
        <v>8.3775804095727811</v>
      </c>
      <c r="AT13" s="64">
        <f t="shared" si="2"/>
        <v>8.639379797371932</v>
      </c>
      <c r="AU13" s="64">
        <f t="shared" si="2"/>
        <v>8.9011791851710811</v>
      </c>
      <c r="AV13" s="64">
        <f t="shared" si="2"/>
        <v>9.1629785729702302</v>
      </c>
      <c r="AW13" s="64">
        <f t="shared" si="2"/>
        <v>9.4247779607693793</v>
      </c>
      <c r="AX13" s="64">
        <f t="shared" si="2"/>
        <v>9.6865773485685303</v>
      </c>
      <c r="AY13" s="64">
        <f t="shared" si="2"/>
        <v>9.9483767363676794</v>
      </c>
    </row>
    <row r="14" spans="3:51" x14ac:dyDescent="0.35">
      <c r="C14" s="42">
        <v>20</v>
      </c>
      <c r="D14" s="42">
        <v>50</v>
      </c>
      <c r="E14" s="42">
        <v>90</v>
      </c>
      <c r="F14" s="73">
        <f>PI()*E14/180</f>
        <v>1.5707963267948966</v>
      </c>
      <c r="G14" s="56"/>
      <c r="H14" s="56"/>
      <c r="J14" s="58" t="str">
        <f>_xlfn.CONCAT("U = ",IF(C14&lt;&gt;1,_xlfn.CONCAT(ROUND(C14,2)," *"),"")," sin(",IF(D14&lt;&gt;1,_xlfn.CONCAT(ROUND(D14,2),"*"),""),"x ",IF(F14&lt;&gt;0,_xlfn.CONCAT(" + ",ROUND(F14,2),""),""),") = ")</f>
        <v xml:space="preserve">U = 20 * sin(50*x  + 1.57) = </v>
      </c>
      <c r="K14" s="66">
        <f>IF($L$14=$AI$7,$C$14*SIN($D$14*K13 + $F$14),0)</f>
        <v>9.9999999999999911</v>
      </c>
      <c r="L14" s="48" t="s">
        <v>72</v>
      </c>
      <c r="M14" s="54">
        <f>IF($L$14=$AI$7,$C$14*SIN($D$14*M13 + $F$14),0)</f>
        <v>20</v>
      </c>
      <c r="N14" s="54">
        <f t="shared" ref="N14:AY14" si="3">IF($L$14=$AI$7,$C$14*SIN($D$14*N13 + $F$14),0)</f>
        <v>17.320508075688785</v>
      </c>
      <c r="O14" s="54">
        <f t="shared" si="3"/>
        <v>10.000000000000009</v>
      </c>
      <c r="P14" s="54">
        <f t="shared" si="3"/>
        <v>-3.9200413748385898E-14</v>
      </c>
      <c r="Q14" s="54">
        <f t="shared" si="3"/>
        <v>-9.9999999999999538</v>
      </c>
      <c r="R14" s="54">
        <f t="shared" si="3"/>
        <v>-17.3205080756887</v>
      </c>
      <c r="S14" s="54">
        <f t="shared" si="3"/>
        <v>-20</v>
      </c>
      <c r="T14" s="54">
        <f t="shared" si="3"/>
        <v>-17.320508075688796</v>
      </c>
      <c r="U14" s="54">
        <f t="shared" si="3"/>
        <v>-10.000000000000247</v>
      </c>
      <c r="V14" s="54">
        <f t="shared" si="3"/>
        <v>-2.3521982972507516E-13</v>
      </c>
      <c r="W14" s="54">
        <f t="shared" si="3"/>
        <v>9.9999999999998384</v>
      </c>
      <c r="X14" s="54">
        <f t="shared" si="3"/>
        <v>17.320508075688707</v>
      </c>
      <c r="Y14" s="54">
        <f t="shared" si="3"/>
        <v>20</v>
      </c>
      <c r="Z14" s="54">
        <f t="shared" si="3"/>
        <v>17.320508075689077</v>
      </c>
      <c r="AA14" s="54">
        <f t="shared" si="3"/>
        <v>9.9999999999999911</v>
      </c>
      <c r="AB14" s="54">
        <f t="shared" si="3"/>
        <v>5.0964007319853621E-13</v>
      </c>
      <c r="AC14" s="54">
        <f t="shared" si="3"/>
        <v>-9.9999999999996021</v>
      </c>
      <c r="AD14" s="54">
        <f t="shared" si="3"/>
        <v>-17.320508075688853</v>
      </c>
      <c r="AE14" s="54">
        <f t="shared" si="3"/>
        <v>-20</v>
      </c>
      <c r="AF14" s="54">
        <f t="shared" si="3"/>
        <v>-17.320508075688647</v>
      </c>
      <c r="AG14" s="54">
        <f t="shared" si="3"/>
        <v>-10.000000000000229</v>
      </c>
      <c r="AH14" s="54">
        <f t="shared" si="3"/>
        <v>-7.8406031667199727E-13</v>
      </c>
      <c r="AI14" s="54">
        <f t="shared" si="3"/>
        <v>9.9999999999998561</v>
      </c>
      <c r="AJ14" s="54">
        <f t="shared" si="3"/>
        <v>17.320508075688998</v>
      </c>
      <c r="AK14" s="54">
        <f t="shared" si="3"/>
        <v>20</v>
      </c>
      <c r="AL14" s="54">
        <f t="shared" si="3"/>
        <v>17.320508075689066</v>
      </c>
      <c r="AM14" s="54">
        <f t="shared" si="3"/>
        <v>10.000000000000959</v>
      </c>
      <c r="AN14" s="54">
        <f t="shared" si="3"/>
        <v>1.6269147487535385E-12</v>
      </c>
      <c r="AO14" s="54">
        <f t="shared" si="3"/>
        <v>-10.00000000000011</v>
      </c>
      <c r="AP14" s="54">
        <f t="shared" si="3"/>
        <v>-17.320508075688576</v>
      </c>
      <c r="AQ14" s="54">
        <f t="shared" si="3"/>
        <v>-20</v>
      </c>
      <c r="AR14" s="54">
        <f t="shared" si="3"/>
        <v>-17.32050807568892</v>
      </c>
      <c r="AS14" s="54">
        <f t="shared" si="3"/>
        <v>-10.000000000000703</v>
      </c>
      <c r="AT14" s="54">
        <f t="shared" si="3"/>
        <v>9.4083595081340121E-13</v>
      </c>
      <c r="AU14" s="54">
        <f t="shared" si="3"/>
        <v>10.000000000000364</v>
      </c>
      <c r="AV14" s="54">
        <f t="shared" si="3"/>
        <v>17.320508075688721</v>
      </c>
      <c r="AW14" s="54">
        <f t="shared" si="3"/>
        <v>20</v>
      </c>
      <c r="AX14" s="54">
        <f t="shared" si="3"/>
        <v>17.320508075688203</v>
      </c>
      <c r="AY14" s="54">
        <f t="shared" si="3"/>
        <v>9.9999999999994653</v>
      </c>
    </row>
    <row r="15" spans="3:51" x14ac:dyDescent="0.35">
      <c r="C15" s="42">
        <v>1</v>
      </c>
      <c r="D15" s="42">
        <v>50</v>
      </c>
      <c r="E15" s="42">
        <v>0</v>
      </c>
      <c r="F15" s="73">
        <f t="shared" ref="F15" si="4">PI()*E15/180</f>
        <v>0</v>
      </c>
      <c r="G15" s="56"/>
      <c r="H15" s="56"/>
      <c r="J15" s="97" t="str">
        <f>_xlfn.CONCAT("I = ",IF(C15&lt;&gt;1,_xlfn.CONCAT(ROUND(C15,2)," *"),"")," sin(",IF(D15&lt;&gt;1,_xlfn.CONCAT(ROUND(D15,2),"*"),""),"x ",IF(F15&lt;&gt;0,_xlfn.CONCAT(" + ",ROUND(F15,2),""),""),") = ")</f>
        <v xml:space="preserve">I =  sin(50*x ) = </v>
      </c>
      <c r="K15" s="98">
        <f>IF($L$15=$AI$7,$C$15*SIN($D$15*K13 + $F$15),"")</f>
        <v>0.86602540378444159</v>
      </c>
      <c r="L15" s="99" t="s">
        <v>72</v>
      </c>
      <c r="M15" s="55">
        <f>IF($L$15=$AI$7,$C$15*SIN($D$15*M13 + $F$15),0)</f>
        <v>0</v>
      </c>
      <c r="N15" s="55">
        <f t="shared" ref="N15:AY15" si="5">IF($L$15=$AI$7,$C$15*SIN($D$15*N13 + $F$15),0)</f>
        <v>0.49999999999999906</v>
      </c>
      <c r="O15" s="55">
        <f t="shared" si="5"/>
        <v>0.8660254037844376</v>
      </c>
      <c r="P15" s="55">
        <f t="shared" si="5"/>
        <v>1</v>
      </c>
      <c r="Q15" s="55">
        <f t="shared" si="5"/>
        <v>0.86602540378444082</v>
      </c>
      <c r="R15" s="55">
        <f t="shared" si="5"/>
        <v>0.50000000000000167</v>
      </c>
      <c r="S15" s="55">
        <f t="shared" si="5"/>
        <v>-4.898425415289509E-16</v>
      </c>
      <c r="T15" s="55">
        <f t="shared" si="5"/>
        <v>-0.50000000000000255</v>
      </c>
      <c r="U15" s="55">
        <f t="shared" si="5"/>
        <v>-0.86602540378443427</v>
      </c>
      <c r="V15" s="55">
        <f t="shared" si="5"/>
        <v>-1</v>
      </c>
      <c r="W15" s="55">
        <f t="shared" si="5"/>
        <v>-0.86602540378444059</v>
      </c>
      <c r="X15" s="55">
        <f t="shared" si="5"/>
        <v>-0.50000000000000122</v>
      </c>
      <c r="Y15" s="55">
        <f t="shared" si="5"/>
        <v>9.7968508305790181E-16</v>
      </c>
      <c r="Z15" s="55">
        <f t="shared" si="5"/>
        <v>0.49999999999997835</v>
      </c>
      <c r="AA15" s="55">
        <f t="shared" si="5"/>
        <v>0.86602540378444159</v>
      </c>
      <c r="AB15" s="55">
        <f t="shared" si="5"/>
        <v>1</v>
      </c>
      <c r="AC15" s="55">
        <f t="shared" si="5"/>
        <v>0.86602540378444748</v>
      </c>
      <c r="AD15" s="55">
        <f t="shared" si="5"/>
        <v>0.49999999999998856</v>
      </c>
      <c r="AE15" s="55">
        <f t="shared" si="5"/>
        <v>1.2741327090615151E-14</v>
      </c>
      <c r="AF15" s="55">
        <f t="shared" si="5"/>
        <v>-0.50000000000001565</v>
      </c>
      <c r="AG15" s="55">
        <f t="shared" si="5"/>
        <v>-0.86602540378443471</v>
      </c>
      <c r="AH15" s="55">
        <f t="shared" si="5"/>
        <v>-1</v>
      </c>
      <c r="AI15" s="55">
        <f t="shared" si="5"/>
        <v>-0.86602540378444015</v>
      </c>
      <c r="AJ15" s="55">
        <f t="shared" si="5"/>
        <v>-0.4999999999999758</v>
      </c>
      <c r="AK15" s="55">
        <f t="shared" si="5"/>
        <v>1.9593701661158036E-15</v>
      </c>
      <c r="AL15" s="55">
        <f t="shared" si="5"/>
        <v>0.49999999999997918</v>
      </c>
      <c r="AM15" s="55">
        <f t="shared" si="5"/>
        <v>0.86602540378441362</v>
      </c>
      <c r="AN15" s="55">
        <f t="shared" si="5"/>
        <v>1</v>
      </c>
      <c r="AO15" s="55">
        <f t="shared" si="5"/>
        <v>0.86602540378443271</v>
      </c>
      <c r="AP15" s="55">
        <f t="shared" si="5"/>
        <v>0.50000000000001232</v>
      </c>
      <c r="AQ15" s="55">
        <f t="shared" si="5"/>
        <v>4.0183351437961257E-14</v>
      </c>
      <c r="AR15" s="55">
        <f t="shared" si="5"/>
        <v>-0.49999999999999195</v>
      </c>
      <c r="AS15" s="55">
        <f t="shared" si="5"/>
        <v>-0.86602540378442106</v>
      </c>
      <c r="AT15" s="55">
        <f t="shared" si="5"/>
        <v>-1</v>
      </c>
      <c r="AU15" s="55">
        <f t="shared" si="5"/>
        <v>-0.86602540378442538</v>
      </c>
      <c r="AV15" s="55">
        <f t="shared" si="5"/>
        <v>-0.49999999999999956</v>
      </c>
      <c r="AW15" s="55">
        <f t="shared" si="5"/>
        <v>-2.5482654181230302E-14</v>
      </c>
      <c r="AX15" s="55">
        <f t="shared" si="5"/>
        <v>0.50000000000005385</v>
      </c>
      <c r="AY15" s="55">
        <f t="shared" si="5"/>
        <v>0.8660254037844568</v>
      </c>
    </row>
    <row r="16" spans="3:51" ht="8.5" customHeight="1" x14ac:dyDescent="0.35">
      <c r="J16" s="41"/>
      <c r="K16" s="70"/>
      <c r="L16" s="52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</row>
    <row r="17" spans="10:51" ht="8.5" customHeight="1" x14ac:dyDescent="0.35">
      <c r="J17" s="41"/>
      <c r="K17" s="70"/>
      <c r="L17" s="52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</row>
    <row r="18" spans="10:51" ht="16.5" x14ac:dyDescent="0.35">
      <c r="J18" s="100" t="s">
        <v>130</v>
      </c>
      <c r="K18" s="101">
        <f>IF($L$18=$AI$7,K14*K15,"")</f>
        <v>8.6602540378444086</v>
      </c>
      <c r="L18" s="102" t="s">
        <v>72</v>
      </c>
      <c r="M18" s="55">
        <f>IF($L$18=$AI$7,M14*M15,0)</f>
        <v>0</v>
      </c>
      <c r="N18" s="55">
        <f t="shared" ref="N18:AY18" si="6">IF($L$18=$AI$7,N14*N15,0)</f>
        <v>8.6602540378443766</v>
      </c>
      <c r="O18" s="55">
        <f t="shared" si="6"/>
        <v>8.6602540378443837</v>
      </c>
      <c r="P18" s="55">
        <f t="shared" si="6"/>
        <v>-3.9200413748385898E-14</v>
      </c>
      <c r="Q18" s="55">
        <f t="shared" si="6"/>
        <v>-8.6602540378443678</v>
      </c>
      <c r="R18" s="55">
        <f t="shared" si="6"/>
        <v>-8.6602540378443784</v>
      </c>
      <c r="S18" s="55">
        <f t="shared" si="6"/>
        <v>9.7968508305790181E-15</v>
      </c>
      <c r="T18" s="55">
        <f t="shared" si="6"/>
        <v>8.6602540378444424</v>
      </c>
      <c r="U18" s="55">
        <f t="shared" si="6"/>
        <v>8.6602540378445561</v>
      </c>
      <c r="V18" s="55">
        <f t="shared" si="6"/>
        <v>2.3521982972507516E-13</v>
      </c>
      <c r="W18" s="55">
        <f t="shared" si="6"/>
        <v>-8.6602540378442665</v>
      </c>
      <c r="X18" s="55">
        <f t="shared" si="6"/>
        <v>-8.6602540378443749</v>
      </c>
      <c r="Y18" s="55">
        <f t="shared" si="6"/>
        <v>1.9593701661158036E-14</v>
      </c>
      <c r="Z18" s="55">
        <f t="shared" si="6"/>
        <v>8.6602540378441635</v>
      </c>
      <c r="AA18" s="55">
        <f t="shared" si="6"/>
        <v>8.6602540378444086</v>
      </c>
      <c r="AB18" s="55">
        <f t="shared" si="6"/>
        <v>5.0964007319853621E-13</v>
      </c>
      <c r="AC18" s="55">
        <f t="shared" si="6"/>
        <v>-8.6602540378441297</v>
      </c>
      <c r="AD18" s="55">
        <f t="shared" si="6"/>
        <v>-8.6602540378442274</v>
      </c>
      <c r="AE18" s="55">
        <f t="shared" si="6"/>
        <v>-2.5482654181230302E-13</v>
      </c>
      <c r="AF18" s="55">
        <f t="shared" si="6"/>
        <v>8.6602540378445951</v>
      </c>
      <c r="AG18" s="55">
        <f t="shared" si="6"/>
        <v>8.6602540378445454</v>
      </c>
      <c r="AH18" s="55">
        <f t="shared" si="6"/>
        <v>7.8406031667199727E-13</v>
      </c>
      <c r="AI18" s="55">
        <f t="shared" si="6"/>
        <v>-8.6602540378442772</v>
      </c>
      <c r="AJ18" s="55">
        <f t="shared" si="6"/>
        <v>-8.66025403784408</v>
      </c>
      <c r="AK18" s="55">
        <f t="shared" si="6"/>
        <v>3.9187403322316072E-14</v>
      </c>
      <c r="AL18" s="55">
        <f t="shared" si="6"/>
        <v>8.6602540378441724</v>
      </c>
      <c r="AM18" s="55">
        <f t="shared" si="6"/>
        <v>8.6602540378449664</v>
      </c>
      <c r="AN18" s="55">
        <f t="shared" si="6"/>
        <v>1.6269147487535385E-12</v>
      </c>
      <c r="AO18" s="55">
        <f t="shared" si="6"/>
        <v>-8.6602540378444228</v>
      </c>
      <c r="AP18" s="55">
        <f t="shared" si="6"/>
        <v>-8.660254037844501</v>
      </c>
      <c r="AQ18" s="55">
        <f t="shared" si="6"/>
        <v>-8.0366702875922513E-13</v>
      </c>
      <c r="AR18" s="55">
        <f t="shared" si="6"/>
        <v>8.6602540378443216</v>
      </c>
      <c r="AS18" s="55">
        <f t="shared" si="6"/>
        <v>8.660254037844819</v>
      </c>
      <c r="AT18" s="55">
        <f t="shared" si="6"/>
        <v>-9.4083595081340121E-13</v>
      </c>
      <c r="AU18" s="55">
        <f t="shared" si="6"/>
        <v>-8.6602540378445685</v>
      </c>
      <c r="AV18" s="55">
        <f t="shared" si="6"/>
        <v>-8.6602540378443535</v>
      </c>
      <c r="AW18" s="55">
        <f t="shared" si="6"/>
        <v>-5.0965308362460604E-13</v>
      </c>
      <c r="AX18" s="55">
        <f t="shared" si="6"/>
        <v>8.6602540378450339</v>
      </c>
      <c r="AY18" s="55">
        <f t="shared" si="6"/>
        <v>8.6602540378441049</v>
      </c>
    </row>
    <row r="19" spans="10:51" x14ac:dyDescent="0.35">
      <c r="J19" s="39"/>
      <c r="K19" s="39"/>
      <c r="L19" s="39"/>
    </row>
  </sheetData>
  <mergeCells count="4">
    <mergeCell ref="R7:S7"/>
    <mergeCell ref="C11:F11"/>
    <mergeCell ref="C12:F12"/>
    <mergeCell ref="L12:L13"/>
  </mergeCells>
  <dataValidations count="1">
    <dataValidation type="list" allowBlank="1" showInputMessage="1" showErrorMessage="1" sqref="L14:L15 L18 AP7" xr:uid="{C8E29193-96AE-404C-87B8-B84194F32E1C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TOC</vt:lpstr>
      <vt:lpstr>Geburtstagsliste</vt:lpstr>
      <vt:lpstr>Einheiten umrechnen</vt:lpstr>
      <vt:lpstr>Flächenberechnungen</vt:lpstr>
      <vt:lpstr>Kinematik_1</vt:lpstr>
      <vt:lpstr>Kinematik_2</vt:lpstr>
      <vt:lpstr>Kinematik_2_Berechnungen</vt:lpstr>
      <vt:lpstr>Fourierreihe</vt:lpstr>
      <vt:lpstr>Scheinleistung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cp:lastPrinted>2025-01-16T10:01:35Z</cp:lastPrinted>
  <dcterms:created xsi:type="dcterms:W3CDTF">2015-06-05T18:19:34Z</dcterms:created>
  <dcterms:modified xsi:type="dcterms:W3CDTF">2025-04-17T13:38:09Z</dcterms:modified>
</cp:coreProperties>
</file>