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D093A758-46CC-445E-9EC4-B39BD2F0B6F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OC" sheetId="13" r:id="rId1"/>
    <sheet name="Schiefeebene" sheetId="19" r:id="rId2"/>
    <sheet name="Vektoren" sheetId="18" r:id="rId3"/>
    <sheet name="Geburtstagsliste" sheetId="17" r:id="rId4"/>
    <sheet name="Einheiten umrechnen" sheetId="16" r:id="rId5"/>
    <sheet name="Flächenberechnungen" sheetId="14" r:id="rId6"/>
    <sheet name="Kinematik_1" sheetId="4" r:id="rId7"/>
    <sheet name="Kinematik_2" sheetId="9" r:id="rId8"/>
    <sheet name="Kinematik_2_Berechnungen" sheetId="11" r:id="rId9"/>
    <sheet name="Fourierreihe" sheetId="12" r:id="rId10"/>
    <sheet name="Scheinleistung" sheetId="15" r:id="rId11"/>
  </sheets>
  <definedNames>
    <definedName name="_xlnm._FilterDatabase" localSheetId="3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1" i="19" l="1"/>
  <c r="L24" i="19"/>
  <c r="O24" i="19" s="1"/>
  <c r="L23" i="19"/>
  <c r="AJ41" i="19" s="1"/>
  <c r="Q33" i="19"/>
  <c r="Q36" i="19" s="1"/>
  <c r="R32" i="19"/>
  <c r="S32" i="19" s="1"/>
  <c r="O31" i="19"/>
  <c r="V15" i="18"/>
  <c r="W15" i="18"/>
  <c r="P16" i="18"/>
  <c r="P15" i="18"/>
  <c r="S15" i="18"/>
  <c r="R15" i="18"/>
  <c r="Q15" i="18"/>
  <c r="H26" i="19"/>
  <c r="H27" i="19" s="1"/>
  <c r="H28" i="19" s="1"/>
  <c r="H30" i="19" s="1"/>
  <c r="H31" i="19" s="1"/>
  <c r="H32" i="19" s="1"/>
  <c r="H33" i="19" s="1"/>
  <c r="G26" i="19"/>
  <c r="G23" i="19"/>
  <c r="F23" i="19" s="1"/>
  <c r="G28" i="19" s="1"/>
  <c r="G32" i="19" s="1"/>
  <c r="G22" i="19"/>
  <c r="F22" i="19" s="1"/>
  <c r="E23" i="19"/>
  <c r="E22" i="19"/>
  <c r="I15" i="18"/>
  <c r="J15" i="18" s="1"/>
  <c r="I16" i="18"/>
  <c r="I17" i="18"/>
  <c r="K17" i="18" s="1"/>
  <c r="I18" i="18"/>
  <c r="I19" i="18"/>
  <c r="I20" i="18"/>
  <c r="I14" i="18"/>
  <c r="J14" i="18" s="1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5" i="17"/>
  <c r="B5" i="17"/>
  <c r="A6" i="17"/>
  <c r="B6" i="17"/>
  <c r="A7" i="17"/>
  <c r="B7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0" i="17"/>
  <c r="B20" i="17"/>
  <c r="A21" i="17"/>
  <c r="B21" i="17"/>
  <c r="B22" i="17"/>
  <c r="A22" i="17"/>
  <c r="J2" i="17"/>
  <c r="C24" i="17" s="1"/>
  <c r="D24" i="17" s="1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M15" i="15"/>
  <c r="N12" i="15"/>
  <c r="N13" i="15" s="1"/>
  <c r="J15" i="15"/>
  <c r="J14" i="15"/>
  <c r="F15" i="15"/>
  <c r="F14" i="15"/>
  <c r="R14" i="15" s="1"/>
  <c r="M13" i="15"/>
  <c r="K13" i="15"/>
  <c r="W5" i="15"/>
  <c r="X5" i="15" s="1"/>
  <c r="G11" i="14"/>
  <c r="H11" i="14" s="1"/>
  <c r="F24" i="14"/>
  <c r="F22" i="14"/>
  <c r="C22" i="14" s="1"/>
  <c r="E22" i="14"/>
  <c r="E24" i="14"/>
  <c r="C24" i="14" s="1"/>
  <c r="H21" i="14"/>
  <c r="B25" i="14"/>
  <c r="E25" i="14" s="1"/>
  <c r="C25" i="14" s="1"/>
  <c r="B23" i="14"/>
  <c r="F23" i="14" s="1"/>
  <c r="C23" i="14" s="1"/>
  <c r="D24" i="14"/>
  <c r="D22" i="14"/>
  <c r="D21" i="14"/>
  <c r="B21" i="14" s="1"/>
  <c r="E21" i="14" s="1"/>
  <c r="G21" i="14" s="1"/>
  <c r="G20" i="14"/>
  <c r="B20" i="14"/>
  <c r="D20" i="14" s="1"/>
  <c r="B19" i="14"/>
  <c r="F19" i="14" s="1"/>
  <c r="H19" i="14" s="1"/>
  <c r="E18" i="14"/>
  <c r="G18" i="14" s="1"/>
  <c r="F18" i="14"/>
  <c r="H18" i="14" s="1"/>
  <c r="D18" i="14"/>
  <c r="H12" i="14"/>
  <c r="G12" i="14" s="1"/>
  <c r="H10" i="14"/>
  <c r="J10" i="14" s="1"/>
  <c r="H9" i="14"/>
  <c r="I9" i="14" s="1"/>
  <c r="H8" i="14"/>
  <c r="J8" i="14" s="1"/>
  <c r="K7" i="14"/>
  <c r="J7" i="14"/>
  <c r="D8" i="14"/>
  <c r="I7" i="14"/>
  <c r="E7" i="14"/>
  <c r="D7" i="14"/>
  <c r="B10" i="14"/>
  <c r="D10" i="14" s="1"/>
  <c r="B9" i="14"/>
  <c r="E9" i="14" s="1"/>
  <c r="B8" i="14"/>
  <c r="E8" i="14" s="1"/>
  <c r="C7" i="14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N20" i="12"/>
  <c r="O20" i="12"/>
  <c r="M20" i="12"/>
  <c r="Q12" i="1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W5" i="12"/>
  <c r="X5" i="12" s="1"/>
  <c r="F15" i="12"/>
  <c r="F16" i="12"/>
  <c r="F17" i="12"/>
  <c r="F14" i="12"/>
  <c r="M13" i="12"/>
  <c r="M14" i="12" s="1"/>
  <c r="K13" i="12"/>
  <c r="K15" i="12" s="1"/>
  <c r="N12" i="12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Y13" i="12" s="1"/>
  <c r="Q34" i="19" l="1"/>
  <c r="P34" i="19"/>
  <c r="P35" i="19" s="1"/>
  <c r="P36" i="19" s="1"/>
  <c r="P37" i="19" s="1"/>
  <c r="P38" i="19" s="1"/>
  <c r="O23" i="19"/>
  <c r="AK42" i="19" s="1"/>
  <c r="Q38" i="19"/>
  <c r="Q35" i="19"/>
  <c r="Q37" i="19" s="1"/>
  <c r="G30" i="19"/>
  <c r="G27" i="19"/>
  <c r="G33" i="19" s="1"/>
  <c r="T32" i="19"/>
  <c r="S33" i="19"/>
  <c r="R33" i="19"/>
  <c r="R16" i="18"/>
  <c r="L17" i="18"/>
  <c r="K14" i="18"/>
  <c r="L16" i="18"/>
  <c r="S16" i="18" s="1"/>
  <c r="L14" i="18"/>
  <c r="S14" i="18" s="1"/>
  <c r="K16" i="18"/>
  <c r="Q16" i="18" s="1"/>
  <c r="V16" i="18" s="1"/>
  <c r="L15" i="18"/>
  <c r="K15" i="18"/>
  <c r="J16" i="18"/>
  <c r="J17" i="18"/>
  <c r="J19" i="18"/>
  <c r="J20" i="18"/>
  <c r="J18" i="18"/>
  <c r="K18" i="18" s="1"/>
  <c r="K24" i="17"/>
  <c r="F20" i="17"/>
  <c r="F16" i="17"/>
  <c r="F19" i="17"/>
  <c r="F12" i="17"/>
  <c r="F8" i="17"/>
  <c r="F34" i="17"/>
  <c r="F30" i="17"/>
  <c r="F26" i="17"/>
  <c r="C19" i="17"/>
  <c r="D19" i="17" s="1"/>
  <c r="C15" i="17"/>
  <c r="C11" i="17"/>
  <c r="D11" i="17" s="1"/>
  <c r="C7" i="17"/>
  <c r="D7" i="17" s="1"/>
  <c r="C33" i="17"/>
  <c r="D33" i="17" s="1"/>
  <c r="C29" i="17"/>
  <c r="D29" i="17" s="1"/>
  <c r="C25" i="17"/>
  <c r="D25" i="17" s="1"/>
  <c r="F21" i="17"/>
  <c r="F17" i="17"/>
  <c r="F13" i="17"/>
  <c r="F9" i="17"/>
  <c r="F5" i="17"/>
  <c r="F31" i="17"/>
  <c r="F27" i="17"/>
  <c r="F23" i="17"/>
  <c r="C20" i="17"/>
  <c r="D20" i="17" s="1"/>
  <c r="C16" i="17"/>
  <c r="D16" i="17" s="1"/>
  <c r="C12" i="17"/>
  <c r="D12" i="17" s="1"/>
  <c r="C8" i="17"/>
  <c r="D8" i="17" s="1"/>
  <c r="C34" i="17"/>
  <c r="D34" i="17" s="1"/>
  <c r="C30" i="17"/>
  <c r="D30" i="17" s="1"/>
  <c r="C26" i="17"/>
  <c r="D26" i="17" s="1"/>
  <c r="F18" i="17"/>
  <c r="F14" i="17"/>
  <c r="F10" i="17"/>
  <c r="F6" i="17"/>
  <c r="F32" i="17"/>
  <c r="F28" i="17"/>
  <c r="F24" i="17"/>
  <c r="C21" i="17"/>
  <c r="D21" i="17" s="1"/>
  <c r="C17" i="17"/>
  <c r="D17" i="17" s="1"/>
  <c r="C13" i="17"/>
  <c r="D13" i="17" s="1"/>
  <c r="C9" i="17"/>
  <c r="D9" i="17" s="1"/>
  <c r="C5" i="17"/>
  <c r="D5" i="17" s="1"/>
  <c r="C31" i="17"/>
  <c r="D31" i="17" s="1"/>
  <c r="C27" i="17"/>
  <c r="D27" i="17" s="1"/>
  <c r="E24" i="17"/>
  <c r="C23" i="17"/>
  <c r="D23" i="17" s="1"/>
  <c r="F15" i="17"/>
  <c r="F11" i="17"/>
  <c r="F7" i="17"/>
  <c r="F33" i="17"/>
  <c r="F29" i="17"/>
  <c r="F25" i="17"/>
  <c r="C18" i="17"/>
  <c r="D18" i="17" s="1"/>
  <c r="C14" i="17"/>
  <c r="D14" i="17" s="1"/>
  <c r="C10" i="17"/>
  <c r="D10" i="17" s="1"/>
  <c r="C6" i="17"/>
  <c r="D6" i="17" s="1"/>
  <c r="C32" i="17"/>
  <c r="D32" i="17" s="1"/>
  <c r="C28" i="17"/>
  <c r="D28" i="17" s="1"/>
  <c r="F22" i="17"/>
  <c r="C22" i="17"/>
  <c r="D22" i="17" s="1"/>
  <c r="C4" i="17"/>
  <c r="C2" i="17"/>
  <c r="AV14" i="15"/>
  <c r="AF14" i="15"/>
  <c r="AU14" i="15"/>
  <c r="AE14" i="15"/>
  <c r="AP14" i="15"/>
  <c r="AP18" i="15" s="1"/>
  <c r="Z14" i="15"/>
  <c r="Z18" i="15" s="1"/>
  <c r="AO14" i="15"/>
  <c r="Y14" i="15"/>
  <c r="AN14" i="15"/>
  <c r="X14" i="15"/>
  <c r="AM14" i="15"/>
  <c r="W14" i="15"/>
  <c r="W18" i="15" s="1"/>
  <c r="M14" i="15"/>
  <c r="AX14" i="15"/>
  <c r="AX18" i="15" s="1"/>
  <c r="AH14" i="15"/>
  <c r="AH18" i="15" s="1"/>
  <c r="Q14" i="15"/>
  <c r="K14" i="15"/>
  <c r="AW14" i="15"/>
  <c r="AG14" i="15"/>
  <c r="P14" i="15"/>
  <c r="I10" i="14"/>
  <c r="E23" i="14"/>
  <c r="G23" i="14" s="1"/>
  <c r="R18" i="15"/>
  <c r="AO18" i="15"/>
  <c r="Y18" i="15"/>
  <c r="Q18" i="15"/>
  <c r="AW18" i="15"/>
  <c r="AG18" i="15"/>
  <c r="AV18" i="15"/>
  <c r="AN18" i="15"/>
  <c r="AF18" i="15"/>
  <c r="X18" i="15"/>
  <c r="P18" i="15"/>
  <c r="AT14" i="15"/>
  <c r="AT18" i="15" s="1"/>
  <c r="AL14" i="15"/>
  <c r="AL18" i="15" s="1"/>
  <c r="AD14" i="15"/>
  <c r="AD18" i="15" s="1"/>
  <c r="V14" i="15"/>
  <c r="V18" i="15" s="1"/>
  <c r="N14" i="15"/>
  <c r="N18" i="15" s="1"/>
  <c r="AU18" i="15"/>
  <c r="AM18" i="15"/>
  <c r="AE18" i="15"/>
  <c r="AS14" i="15"/>
  <c r="AS18" i="15" s="1"/>
  <c r="AK14" i="15"/>
  <c r="AK18" i="15" s="1"/>
  <c r="AC14" i="15"/>
  <c r="AC18" i="15" s="1"/>
  <c r="U14" i="15"/>
  <c r="U18" i="15" s="1"/>
  <c r="AR14" i="15"/>
  <c r="AR18" i="15" s="1"/>
  <c r="AJ14" i="15"/>
  <c r="AJ18" i="15" s="1"/>
  <c r="AB14" i="15"/>
  <c r="AB18" i="15" s="1"/>
  <c r="T14" i="15"/>
  <c r="T18" i="15" s="1"/>
  <c r="O14" i="15"/>
  <c r="O18" i="15" s="1"/>
  <c r="AY14" i="15"/>
  <c r="AY18" i="15" s="1"/>
  <c r="AQ14" i="15"/>
  <c r="AQ18" i="15" s="1"/>
  <c r="AI14" i="15"/>
  <c r="AI18" i="15" s="1"/>
  <c r="AA14" i="15"/>
  <c r="AA18" i="15" s="1"/>
  <c r="S14" i="15"/>
  <c r="S18" i="15" s="1"/>
  <c r="O12" i="15"/>
  <c r="M18" i="15"/>
  <c r="K15" i="15"/>
  <c r="G22" i="14"/>
  <c r="H24" i="14"/>
  <c r="E19" i="14"/>
  <c r="G19" i="14" s="1"/>
  <c r="C9" i="14"/>
  <c r="F20" i="14"/>
  <c r="H20" i="14" s="1"/>
  <c r="F25" i="14"/>
  <c r="H25" i="14" s="1"/>
  <c r="K9" i="14"/>
  <c r="K8" i="14"/>
  <c r="J12" i="14"/>
  <c r="C10" i="14"/>
  <c r="S12" i="11"/>
  <c r="K14" i="12"/>
  <c r="AY14" i="12"/>
  <c r="W13" i="12"/>
  <c r="W14" i="12" s="1"/>
  <c r="AT13" i="12"/>
  <c r="AT14" i="12" s="1"/>
  <c r="V13" i="12"/>
  <c r="V14" i="12" s="1"/>
  <c r="Q13" i="12"/>
  <c r="Q14" i="12" s="1"/>
  <c r="AD13" i="12"/>
  <c r="AD14" i="12" s="1"/>
  <c r="AM13" i="12"/>
  <c r="AM14" i="12" s="1"/>
  <c r="AL13" i="12"/>
  <c r="AL14" i="12" s="1"/>
  <c r="O13" i="12"/>
  <c r="O14" i="12" s="1"/>
  <c r="Y13" i="12"/>
  <c r="Y14" i="12" s="1"/>
  <c r="AG13" i="12"/>
  <c r="AG14" i="12" s="1"/>
  <c r="N13" i="12"/>
  <c r="N14" i="12" s="1"/>
  <c r="AU13" i="12"/>
  <c r="AU14" i="12" s="1"/>
  <c r="AE13" i="12"/>
  <c r="AE14" i="12" s="1"/>
  <c r="AO13" i="12"/>
  <c r="AO14" i="12" s="1"/>
  <c r="AV13" i="12"/>
  <c r="AV14" i="12" s="1"/>
  <c r="AN13" i="12"/>
  <c r="AN14" i="12" s="1"/>
  <c r="AF13" i="12"/>
  <c r="AF14" i="12" s="1"/>
  <c r="X13" i="12"/>
  <c r="X14" i="12" s="1"/>
  <c r="P13" i="12"/>
  <c r="P14" i="12" s="1"/>
  <c r="AC13" i="12"/>
  <c r="AC14" i="12" s="1"/>
  <c r="AR13" i="12"/>
  <c r="AR14" i="12" s="1"/>
  <c r="AJ13" i="12"/>
  <c r="AJ14" i="12" s="1"/>
  <c r="AB13" i="12"/>
  <c r="AB14" i="12" s="1"/>
  <c r="T13" i="12"/>
  <c r="T14" i="12" s="1"/>
  <c r="AS13" i="12"/>
  <c r="AS14" i="12" s="1"/>
  <c r="U13" i="12"/>
  <c r="U14" i="12" s="1"/>
  <c r="AQ13" i="12"/>
  <c r="AQ14" i="12" s="1"/>
  <c r="AI13" i="12"/>
  <c r="AI14" i="12" s="1"/>
  <c r="AA13" i="12"/>
  <c r="AA14" i="12" s="1"/>
  <c r="S13" i="12"/>
  <c r="S14" i="12" s="1"/>
  <c r="AK13" i="12"/>
  <c r="AK14" i="12" s="1"/>
  <c r="AX13" i="12"/>
  <c r="AX14" i="12" s="1"/>
  <c r="AP13" i="12"/>
  <c r="AP14" i="12" s="1"/>
  <c r="AH13" i="12"/>
  <c r="AH14" i="12" s="1"/>
  <c r="Z13" i="12"/>
  <c r="Z14" i="12" s="1"/>
  <c r="R13" i="12"/>
  <c r="R14" i="12" s="1"/>
  <c r="AW13" i="12"/>
  <c r="AW14" i="12" s="1"/>
  <c r="J14" i="12"/>
  <c r="C15" i="12"/>
  <c r="C16" i="12"/>
  <c r="K16" i="12" s="1"/>
  <c r="C17" i="12"/>
  <c r="K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Q40" i="19" l="1"/>
  <c r="Q39" i="19"/>
  <c r="S34" i="19"/>
  <c r="S35" i="19"/>
  <c r="S36" i="19"/>
  <c r="R35" i="19"/>
  <c r="R34" i="19"/>
  <c r="R36" i="19"/>
  <c r="G31" i="19"/>
  <c r="I31" i="19" s="1"/>
  <c r="T33" i="19"/>
  <c r="U32" i="19"/>
  <c r="W16" i="18"/>
  <c r="S17" i="18"/>
  <c r="R17" i="18"/>
  <c r="W17" i="18" s="1"/>
  <c r="Q17" i="18"/>
  <c r="P17" i="18"/>
  <c r="V17" i="18" s="1"/>
  <c r="M16" i="18"/>
  <c r="L19" i="18"/>
  <c r="L18" i="18"/>
  <c r="K19" i="18"/>
  <c r="K20" i="18"/>
  <c r="L20" i="18"/>
  <c r="O16" i="18"/>
  <c r="N16" i="18"/>
  <c r="O15" i="18"/>
  <c r="M15" i="18"/>
  <c r="Q14" i="18"/>
  <c r="M14" i="18"/>
  <c r="N14" i="18"/>
  <c r="O14" i="18"/>
  <c r="O18" i="18"/>
  <c r="N15" i="18"/>
  <c r="E29" i="17"/>
  <c r="E7" i="17"/>
  <c r="K7" i="17"/>
  <c r="E11" i="17"/>
  <c r="K11" i="17"/>
  <c r="K14" i="17"/>
  <c r="D15" i="17"/>
  <c r="K15" i="17"/>
  <c r="K19" i="17"/>
  <c r="K27" i="17"/>
  <c r="K32" i="17"/>
  <c r="K6" i="17"/>
  <c r="K5" i="17"/>
  <c r="K10" i="17"/>
  <c r="K29" i="17"/>
  <c r="K13" i="17"/>
  <c r="K23" i="17"/>
  <c r="K18" i="17"/>
  <c r="K26" i="17"/>
  <c r="K21" i="17"/>
  <c r="K31" i="17"/>
  <c r="K28" i="17"/>
  <c r="K34" i="17"/>
  <c r="K30" i="17"/>
  <c r="K9" i="17"/>
  <c r="K25" i="17"/>
  <c r="K12" i="17"/>
  <c r="K8" i="17"/>
  <c r="K17" i="17"/>
  <c r="K33" i="17"/>
  <c r="K20" i="17"/>
  <c r="K16" i="17"/>
  <c r="K22" i="17"/>
  <c r="E33" i="17"/>
  <c r="E20" i="17"/>
  <c r="E30" i="17"/>
  <c r="E19" i="17"/>
  <c r="E13" i="17"/>
  <c r="E28" i="17"/>
  <c r="E27" i="17"/>
  <c r="E8" i="17"/>
  <c r="E14" i="17"/>
  <c r="E34" i="17"/>
  <c r="E25" i="17"/>
  <c r="E21" i="17"/>
  <c r="E15" i="17"/>
  <c r="E10" i="17"/>
  <c r="E5" i="17"/>
  <c r="E16" i="17"/>
  <c r="E31" i="17"/>
  <c r="E17" i="17"/>
  <c r="E32" i="17"/>
  <c r="E18" i="17"/>
  <c r="E23" i="17"/>
  <c r="E9" i="17"/>
  <c r="E26" i="17"/>
  <c r="E12" i="17"/>
  <c r="E6" i="17"/>
  <c r="E22" i="17"/>
  <c r="K18" i="15"/>
  <c r="T6" i="15" s="1"/>
  <c r="W6" i="15" s="1"/>
  <c r="P12" i="15"/>
  <c r="O13" i="15"/>
  <c r="K20" i="12"/>
  <c r="T5" i="12" s="1"/>
  <c r="M16" i="12"/>
  <c r="M15" i="12"/>
  <c r="M17" i="12"/>
  <c r="J16" i="12"/>
  <c r="N16" i="12"/>
  <c r="AT16" i="12"/>
  <c r="AJ16" i="12"/>
  <c r="O16" i="12"/>
  <c r="W16" i="12"/>
  <c r="AE16" i="12"/>
  <c r="AM16" i="12"/>
  <c r="AU16" i="12"/>
  <c r="AH16" i="12"/>
  <c r="S16" i="12"/>
  <c r="AQ16" i="12"/>
  <c r="T16" i="12"/>
  <c r="P16" i="12"/>
  <c r="X16" i="12"/>
  <c r="AF16" i="12"/>
  <c r="AN16" i="12"/>
  <c r="AV16" i="12"/>
  <c r="Z16" i="12"/>
  <c r="AX16" i="12"/>
  <c r="AA16" i="12"/>
  <c r="AY16" i="12"/>
  <c r="AR16" i="12"/>
  <c r="Q16" i="12"/>
  <c r="Y16" i="12"/>
  <c r="AG16" i="12"/>
  <c r="AO16" i="12"/>
  <c r="AW16" i="12"/>
  <c r="R16" i="12"/>
  <c r="AP16" i="12"/>
  <c r="AI16" i="12"/>
  <c r="U16" i="12"/>
  <c r="AC16" i="12"/>
  <c r="AK16" i="12"/>
  <c r="AS16" i="12"/>
  <c r="V16" i="12"/>
  <c r="AD16" i="12"/>
  <c r="AL16" i="12"/>
  <c r="AB16" i="12"/>
  <c r="J17" i="12"/>
  <c r="X17" i="12"/>
  <c r="AN17" i="12"/>
  <c r="V17" i="12"/>
  <c r="Q17" i="12"/>
  <c r="Y17" i="12"/>
  <c r="AG17" i="12"/>
  <c r="AO17" i="12"/>
  <c r="AW17" i="12"/>
  <c r="T17" i="12"/>
  <c r="AC17" i="12"/>
  <c r="N17" i="12"/>
  <c r="AT17" i="12"/>
  <c r="R17" i="12"/>
  <c r="Z17" i="12"/>
  <c r="AH17" i="12"/>
  <c r="AP17" i="12"/>
  <c r="AX17" i="12"/>
  <c r="AB17" i="12"/>
  <c r="AR17" i="12"/>
  <c r="U17" i="12"/>
  <c r="AS17" i="12"/>
  <c r="AL17" i="12"/>
  <c r="S17" i="12"/>
  <c r="AA17" i="12"/>
  <c r="AI17" i="12"/>
  <c r="AQ17" i="12"/>
  <c r="AY17" i="12"/>
  <c r="AJ17" i="12"/>
  <c r="AK17" i="12"/>
  <c r="O17" i="12"/>
  <c r="W17" i="12"/>
  <c r="AE17" i="12"/>
  <c r="AM17" i="12"/>
  <c r="AU17" i="12"/>
  <c r="P17" i="12"/>
  <c r="AF17" i="12"/>
  <c r="AV17" i="12"/>
  <c r="AD17" i="12"/>
  <c r="J15" i="12"/>
  <c r="R15" i="12"/>
  <c r="AX15" i="12"/>
  <c r="U15" i="12"/>
  <c r="AC15" i="12"/>
  <c r="AK15" i="12"/>
  <c r="AS15" i="12"/>
  <c r="X15" i="12"/>
  <c r="AV15" i="12"/>
  <c r="Y15" i="12"/>
  <c r="AO15" i="12"/>
  <c r="AH15" i="12"/>
  <c r="N15" i="12"/>
  <c r="V15" i="12"/>
  <c r="AD15" i="12"/>
  <c r="AL15" i="12"/>
  <c r="AT15" i="12"/>
  <c r="AF15" i="12"/>
  <c r="Q15" i="12"/>
  <c r="AW15" i="12"/>
  <c r="AP15" i="12"/>
  <c r="O15" i="12"/>
  <c r="W15" i="12"/>
  <c r="AE15" i="12"/>
  <c r="AM15" i="12"/>
  <c r="AU15" i="12"/>
  <c r="AN15" i="12"/>
  <c r="P15" i="12"/>
  <c r="AG15" i="12"/>
  <c r="S15" i="12"/>
  <c r="AA15" i="12"/>
  <c r="AI15" i="12"/>
  <c r="AQ15" i="12"/>
  <c r="AY15" i="12"/>
  <c r="T15" i="12"/>
  <c r="AB15" i="12"/>
  <c r="AJ15" i="12"/>
  <c r="AR15" i="12"/>
  <c r="Z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T34" i="19" l="1"/>
  <c r="T36" i="19"/>
  <c r="T35" i="19"/>
  <c r="R38" i="19"/>
  <c r="R37" i="19"/>
  <c r="S38" i="19"/>
  <c r="S37" i="19"/>
  <c r="V32" i="19"/>
  <c r="U33" i="19"/>
  <c r="P18" i="18"/>
  <c r="V18" i="18" s="1"/>
  <c r="Q18" i="18"/>
  <c r="S18" i="18"/>
  <c r="R18" i="18"/>
  <c r="W18" i="18" s="1"/>
  <c r="M19" i="18"/>
  <c r="V3" i="18"/>
  <c r="V4" i="18" s="1"/>
  <c r="W3" i="18"/>
  <c r="W4" i="18" s="1"/>
  <c r="O19" i="18"/>
  <c r="N18" i="18"/>
  <c r="M18" i="18"/>
  <c r="N19" i="18"/>
  <c r="M20" i="18"/>
  <c r="M17" i="18"/>
  <c r="N17" i="18"/>
  <c r="O17" i="18"/>
  <c r="N20" i="18"/>
  <c r="O20" i="18"/>
  <c r="T5" i="15"/>
  <c r="X6" i="15" s="1"/>
  <c r="Q12" i="15"/>
  <c r="P13" i="15"/>
  <c r="T6" i="12"/>
  <c r="T7" i="12" s="1"/>
  <c r="X6" i="12" s="1"/>
  <c r="Z10" i="9"/>
  <c r="AA9" i="9"/>
  <c r="G42" i="4"/>
  <c r="G44" i="4"/>
  <c r="H41" i="4"/>
  <c r="M17" i="4"/>
  <c r="L18" i="4"/>
  <c r="S39" i="19" l="1"/>
  <c r="S40" i="19"/>
  <c r="R39" i="19"/>
  <c r="R40" i="19"/>
  <c r="U34" i="19"/>
  <c r="U36" i="19"/>
  <c r="U35" i="19"/>
  <c r="T37" i="19"/>
  <c r="T38" i="19"/>
  <c r="W32" i="19"/>
  <c r="V33" i="19"/>
  <c r="S19" i="18"/>
  <c r="R19" i="18"/>
  <c r="W19" i="18" s="1"/>
  <c r="Q19" i="18"/>
  <c r="P19" i="18"/>
  <c r="V19" i="18" s="1"/>
  <c r="V5" i="18"/>
  <c r="W5" i="18" s="1"/>
  <c r="AA3" i="18" s="1"/>
  <c r="AC4" i="18" s="1"/>
  <c r="T7" i="15"/>
  <c r="R12" i="15"/>
  <c r="Q13" i="15"/>
  <c r="AA10" i="9"/>
  <c r="AA11" i="9"/>
  <c r="H44" i="4"/>
  <c r="H42" i="4"/>
  <c r="I41" i="4"/>
  <c r="N17" i="4"/>
  <c r="M18" i="4"/>
  <c r="T39" i="19" l="1"/>
  <c r="T40" i="19"/>
  <c r="V35" i="19"/>
  <c r="V34" i="19"/>
  <c r="V36" i="19"/>
  <c r="U38" i="19"/>
  <c r="U37" i="19"/>
  <c r="X32" i="19"/>
  <c r="W33" i="19"/>
  <c r="Q20" i="18"/>
  <c r="P20" i="18"/>
  <c r="V20" i="18" s="1"/>
  <c r="S20" i="18"/>
  <c r="R20" i="18"/>
  <c r="W20" i="18" s="1"/>
  <c r="R13" i="15"/>
  <c r="S12" i="15"/>
  <c r="J41" i="4"/>
  <c r="I42" i="4"/>
  <c r="I44" i="4"/>
  <c r="O17" i="4"/>
  <c r="N18" i="4"/>
  <c r="U40" i="19" l="1"/>
  <c r="U39" i="19"/>
  <c r="W36" i="19"/>
  <c r="W34" i="19"/>
  <c r="W35" i="19"/>
  <c r="V38" i="19"/>
  <c r="V37" i="19"/>
  <c r="Y32" i="19"/>
  <c r="X33" i="19"/>
  <c r="T12" i="15"/>
  <c r="S13" i="15"/>
  <c r="J42" i="4"/>
  <c r="K41" i="4"/>
  <c r="J44" i="4"/>
  <c r="P17" i="4"/>
  <c r="O18" i="4"/>
  <c r="V39" i="19" l="1"/>
  <c r="V40" i="19"/>
  <c r="X36" i="19"/>
  <c r="X34" i="19"/>
  <c r="X35" i="19"/>
  <c r="W37" i="19"/>
  <c r="W38" i="19"/>
  <c r="Y33" i="19"/>
  <c r="Z32" i="19"/>
  <c r="U12" i="15"/>
  <c r="T13" i="15"/>
  <c r="K42" i="4"/>
  <c r="L41" i="4"/>
  <c r="K44" i="4"/>
  <c r="Q17" i="4"/>
  <c r="P18" i="4"/>
  <c r="W39" i="19" l="1"/>
  <c r="W40" i="19"/>
  <c r="X37" i="19"/>
  <c r="X38" i="19"/>
  <c r="Y35" i="19"/>
  <c r="Y34" i="19"/>
  <c r="Y36" i="19"/>
  <c r="AA32" i="19"/>
  <c r="Z33" i="19"/>
  <c r="U13" i="15"/>
  <c r="V12" i="15"/>
  <c r="L42" i="4"/>
  <c r="L44" i="4"/>
  <c r="M41" i="4"/>
  <c r="R17" i="4"/>
  <c r="Q18" i="4"/>
  <c r="X39" i="19" l="1"/>
  <c r="X40" i="19"/>
  <c r="Z35" i="19"/>
  <c r="Z36" i="19"/>
  <c r="Z34" i="19"/>
  <c r="Y38" i="19"/>
  <c r="Y37" i="19"/>
  <c r="AA33" i="19"/>
  <c r="AB32" i="19"/>
  <c r="V13" i="15"/>
  <c r="W12" i="15"/>
  <c r="M42" i="4"/>
  <c r="M44" i="4"/>
  <c r="N41" i="4"/>
  <c r="S17" i="4"/>
  <c r="R18" i="4"/>
  <c r="Y39" i="19" l="1"/>
  <c r="Y40" i="19"/>
  <c r="AA34" i="19"/>
  <c r="AA36" i="19"/>
  <c r="AA35" i="19"/>
  <c r="Z37" i="19"/>
  <c r="Z38" i="19"/>
  <c r="AB33" i="19"/>
  <c r="AC32" i="19"/>
  <c r="X12" i="15"/>
  <c r="W13" i="15"/>
  <c r="O41" i="4"/>
  <c r="N42" i="4"/>
  <c r="N44" i="4"/>
  <c r="T17" i="4"/>
  <c r="S18" i="4"/>
  <c r="Z39" i="19" l="1"/>
  <c r="Z40" i="19"/>
  <c r="AB34" i="19"/>
  <c r="AB36" i="19"/>
  <c r="AB35" i="19"/>
  <c r="AA37" i="19"/>
  <c r="AA38" i="19"/>
  <c r="AD32" i="19"/>
  <c r="AC33" i="19"/>
  <c r="Y12" i="15"/>
  <c r="X13" i="15"/>
  <c r="P41" i="4"/>
  <c r="O44" i="4"/>
  <c r="O42" i="4"/>
  <c r="U17" i="4"/>
  <c r="T18" i="4"/>
  <c r="AA39" i="19" l="1"/>
  <c r="AA40" i="19"/>
  <c r="AC35" i="19"/>
  <c r="AC34" i="19"/>
  <c r="AC36" i="19"/>
  <c r="AB37" i="19"/>
  <c r="AB38" i="19"/>
  <c r="AD33" i="19"/>
  <c r="AE32" i="19"/>
  <c r="Z12" i="15"/>
  <c r="Y13" i="15"/>
  <c r="P44" i="4"/>
  <c r="Q41" i="4"/>
  <c r="P42" i="4"/>
  <c r="V17" i="4"/>
  <c r="U18" i="4"/>
  <c r="AB39" i="19" l="1"/>
  <c r="AB40" i="19"/>
  <c r="AD35" i="19"/>
  <c r="AD34" i="19"/>
  <c r="AD36" i="19"/>
  <c r="AC38" i="19"/>
  <c r="AC37" i="19"/>
  <c r="AE33" i="19"/>
  <c r="AF32" i="19"/>
  <c r="AA12" i="15"/>
  <c r="Z13" i="15"/>
  <c r="R41" i="4"/>
  <c r="Q44" i="4"/>
  <c r="Q42" i="4"/>
  <c r="W17" i="4"/>
  <c r="V18" i="4"/>
  <c r="AC39" i="19" l="1"/>
  <c r="AC40" i="19"/>
  <c r="AE36" i="19"/>
  <c r="AE34" i="19"/>
  <c r="AE35" i="19"/>
  <c r="AD38" i="19"/>
  <c r="AD37" i="19"/>
  <c r="AG32" i="19"/>
  <c r="AF33" i="19"/>
  <c r="AB12" i="15"/>
  <c r="AA13" i="15"/>
  <c r="R42" i="4"/>
  <c r="R44" i="4"/>
  <c r="S41" i="4"/>
  <c r="X17" i="4"/>
  <c r="W18" i="4"/>
  <c r="AD39" i="19" l="1"/>
  <c r="AD40" i="19"/>
  <c r="AF36" i="19"/>
  <c r="AF34" i="19"/>
  <c r="AF35" i="19"/>
  <c r="AE37" i="19"/>
  <c r="AE38" i="19"/>
  <c r="AG33" i="19"/>
  <c r="AH32" i="19"/>
  <c r="AC12" i="15"/>
  <c r="AB13" i="15"/>
  <c r="S44" i="4"/>
  <c r="S42" i="4"/>
  <c r="T41" i="4"/>
  <c r="Y17" i="4"/>
  <c r="X18" i="4"/>
  <c r="AE39" i="19" l="1"/>
  <c r="AE40" i="19"/>
  <c r="AG35" i="19"/>
  <c r="AG36" i="19"/>
  <c r="AG34" i="19"/>
  <c r="AF37" i="19"/>
  <c r="AF38" i="19"/>
  <c r="AI32" i="19"/>
  <c r="AI33" i="19" s="1"/>
  <c r="AH33" i="19"/>
  <c r="AC13" i="15"/>
  <c r="AD12" i="15"/>
  <c r="T44" i="4"/>
  <c r="U41" i="4"/>
  <c r="T42" i="4"/>
  <c r="Z17" i="4"/>
  <c r="Y18" i="4"/>
  <c r="AF39" i="19" l="1"/>
  <c r="AF40" i="19"/>
  <c r="AH35" i="19"/>
  <c r="AH36" i="19"/>
  <c r="AH34" i="19"/>
  <c r="AG38" i="19"/>
  <c r="AG37" i="19"/>
  <c r="AI34" i="19"/>
  <c r="AI35" i="19"/>
  <c r="AI36" i="19"/>
  <c r="AD13" i="15"/>
  <c r="AE12" i="15"/>
  <c r="U42" i="4"/>
  <c r="U44" i="4"/>
  <c r="V41" i="4"/>
  <c r="AA17" i="4"/>
  <c r="Z18" i="4"/>
  <c r="AG39" i="19" l="1"/>
  <c r="AG40" i="19"/>
  <c r="AI37" i="19"/>
  <c r="AI38" i="19"/>
  <c r="AH38" i="19"/>
  <c r="AH37" i="19"/>
  <c r="AF12" i="15"/>
  <c r="AE13" i="15"/>
  <c r="V44" i="4"/>
  <c r="W41" i="4"/>
  <c r="V42" i="4"/>
  <c r="AB17" i="4"/>
  <c r="AA18" i="4"/>
  <c r="AH39" i="19" l="1"/>
  <c r="AH40" i="19"/>
  <c r="AI39" i="19"/>
  <c r="AI40" i="19"/>
  <c r="AG12" i="15"/>
  <c r="AF13" i="15"/>
  <c r="W42" i="4"/>
  <c r="W44" i="4"/>
  <c r="X41" i="4"/>
  <c r="AC17" i="4"/>
  <c r="AB18" i="4"/>
  <c r="AH12" i="15" l="1"/>
  <c r="AG13" i="15"/>
  <c r="X44" i="4"/>
  <c r="X42" i="4"/>
  <c r="Y41" i="4"/>
  <c r="AD17" i="4"/>
  <c r="AC18" i="4"/>
  <c r="AH13" i="15" l="1"/>
  <c r="AI12" i="15"/>
  <c r="Y44" i="4"/>
  <c r="Y42" i="4"/>
  <c r="AE17" i="4"/>
  <c r="AD18" i="4"/>
  <c r="AJ12" i="15" l="1"/>
  <c r="AI13" i="15"/>
  <c r="AF17" i="4"/>
  <c r="AE18" i="4"/>
  <c r="AK12" i="15" l="1"/>
  <c r="AJ13" i="15"/>
  <c r="AG17" i="4"/>
  <c r="AF18" i="4"/>
  <c r="AK13" i="15" l="1"/>
  <c r="AL12" i="15"/>
  <c r="AH17" i="4"/>
  <c r="AG18" i="4"/>
  <c r="AM12" i="15" l="1"/>
  <c r="AL13" i="15"/>
  <c r="AI17" i="4"/>
  <c r="AH18" i="4"/>
  <c r="AN12" i="15" l="1"/>
  <c r="AM13" i="15"/>
  <c r="AJ17" i="4"/>
  <c r="AI18" i="4"/>
  <c r="AO12" i="15" l="1"/>
  <c r="AN13" i="15"/>
  <c r="AK17" i="4"/>
  <c r="AJ18" i="4"/>
  <c r="AP12" i="15" l="1"/>
  <c r="AO13" i="15"/>
  <c r="AL17" i="4"/>
  <c r="AK18" i="4"/>
  <c r="AQ12" i="15" l="1"/>
  <c r="AP13" i="15"/>
  <c r="AM17" i="4"/>
  <c r="AL18" i="4"/>
  <c r="AR12" i="15" l="1"/>
  <c r="AQ13" i="15"/>
  <c r="AN17" i="4"/>
  <c r="AM18" i="4"/>
  <c r="AS12" i="15" l="1"/>
  <c r="AR13" i="15"/>
  <c r="AO17" i="4"/>
  <c r="AO18" i="4" s="1"/>
  <c r="AN18" i="4"/>
  <c r="K11" i="14"/>
  <c r="AS13" i="15" l="1"/>
  <c r="AT12" i="15"/>
  <c r="AT13" i="15" l="1"/>
  <c r="AU12" i="15"/>
  <c r="AV12" i="15" l="1"/>
  <c r="AU13" i="15"/>
  <c r="AW12" i="15" l="1"/>
  <c r="AV13" i="15"/>
  <c r="AW13" i="15" l="1"/>
  <c r="AX12" i="15"/>
  <c r="AY12" i="15" l="1"/>
  <c r="AY13" i="15" s="1"/>
  <c r="AX1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<sst xmlns="http://schemas.openxmlformats.org/spreadsheetml/2006/main" count="445" uniqueCount="317">
  <si>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</si>
  <si>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</si>
  <si>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</si>
  <si>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</si>
  <si>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</si>
  <si>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</si>
  <si>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</si>
  <si>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</si>
  <si>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</si>
  <si>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</si>
  <si>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</si>
  <si>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</si>
  <si>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</si>
  <si>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</si>
  <si>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</si>
  <si>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</si>
  <si>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</si>
  <si>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</si>
  <si>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</si>
  <si>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</si>
  <si>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</si>
  <si>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</si>
  <si>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</si>
  <si>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</si>
  <si>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</si>
  <si>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</si>
  <si>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</si>
  <si>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</si>
  <si>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</si>
  <si>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</si>
  <si>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</si>
  <si>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</si>
  <si>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</si>
  <si>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</si>
  <si>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</si>
  <si>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</si>
  <si>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</si>
  <si>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</si>
  <si>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</si>
  <si>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</si>
  <si>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</si>
  <si>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</si>
  <si>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</si>
  <si>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</si>
  <si>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</si>
  <si>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</si>
  <si>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</si>
  <si>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</si>
  <si>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</si>
  <si>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</si>
  <si>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</si>
  <si>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</si>
  <si>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</si>
  <si>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</si>
  <si>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</si>
  <si>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</si>
  <si>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</si>
  <si>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</si>
  <si>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</si>
  <si>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</si>
  <si>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</si>
  <si>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</si>
  <si>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</si>
  <si>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</si>
  <si>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</si>
  <si>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</si>
  <si>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</si>
  <si>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</si>
  <si>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</si>
  <si>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</si>
  <si>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</si>
  <si>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</si>
  <si>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</si>
  <si>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</si>
  <si>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</si>
  <si>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</si>
  <si>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</si>
  <si>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</si>
  <si>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</si>
  <si>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</si>
  <si>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</si>
  <si>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</si>
  <si>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</si>
  <si>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</si>
  <si>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</si>
  <si>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</si>
  <si>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</si>
  <si>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</si>
  <si>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</si>
  <si>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</si>
  <si>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</si>
  <si>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</si>
  <si>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</si>
  <si>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</si>
  <si>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</si>
  <si>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</si>
  <si>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</si>
  <si>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</si>
  <si>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</si>
  <si>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</si>
  <si>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</si>
  <si>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</si>
  <si>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</si>
  <si>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</si>
  <si>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</si>
  <si>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</si>
  <si>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</si>
  <si>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</si>
  <si>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</si>
  <si>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</si>
  <si>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</si>
  <si>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</si>
  <si>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</si>
  <si>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</si>
  <si>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</si>
  <si>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</si>
  <si>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</si>
  <si>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</si>
  <si>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</si>
  <si>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</si>
  <si>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</si>
  <si>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</si>
  <si>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</si>
  <si>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</si>
  <si>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</si>
  <si>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</si>
  <si>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</si>
  <si>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</si>
  <si>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</si>
  <si>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</si>
  <si>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</si>
  <si>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</si>
  <si>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</si>
  <si>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</si>
  <si>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</si>
  <si>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</si>
  <si>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</si>
  <si>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</si>
  <si>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</si>
  <si>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</si>
  <si>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</si>
  <si>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</si>
  <si>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</si>
  <si>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</si>
  <si>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</si>
  <si>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</si>
  <si>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</si>
  <si>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</si>
  <si>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</si>
  <si>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</si>
  <si>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</si>
  <si>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</si>
  <si>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</si>
  <si>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</si>
  <si>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</si>
  <si>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</si>
  <si>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</si>
  <si>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</si>
  <si>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</si>
  <si>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</si>
  <si>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</si>
  <si>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</si>
  <si>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</si>
  <si>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</si>
  <si>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</si>
  <si>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</si>
  <si>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</si>
  <si>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</si>
  <si>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</si>
  <si>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</si>
  <si>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</si>
  <si>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</si>
  <si>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</si>
  <si>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</si>
  <si>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</si>
  <si>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</si>
  <si>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</si>
  <si>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</si>
  <si>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</si>
  <si>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</si>
  <si>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</si>
  <si>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</si>
  <si>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</si>
  <si>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</si>
  <si>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</si>
  <si>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</si>
  <si>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</si>
  <si>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</si>
  <si>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</si>
  <si>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</si>
  <si>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</si>
  <si>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</si>
  <si>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</si>
  <si>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</si>
  <si>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</si>
  <si>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</si>
  <si>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</si>
  <si>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</si>
  <si>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</si>
  <si>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</si>
  <si>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</si>
  <si>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</si>
  <si>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</si>
  <si>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</si>
  <si>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</si>
  <si>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</si>
  <si>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</si>
  <si>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</si>
  <si>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</si>
  <si>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</si>
  <si>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</si>
  <si>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</si>
  <si>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</si>
  <si>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</si>
  <si>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</si>
  <si>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</si>
  <si>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</si>
  <si>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</si>
  <si>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</si>
  <si>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</si>
  <si>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</si>
  <si>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</si>
  <si>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</si>
  <si>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</si>
  <si>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</si>
  <si>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</si>
  <si>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</si>
  <si>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</si>
  <si>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</si>
  <si>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</si>
  <si>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</si>
  <si>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</si>
  <si>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</si>
  <si>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</si>
  <si>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</si>
  <si>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</si>
  <si>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</si>
  <si>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</si>
  <si>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</si>
  <si>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</si>
  <si>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</si>
  <si>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</si>
  <si>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</si>
  <si>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</si>
  <si>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</si>
  <si>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</si>
  <si>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</si>
  <si>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</si>
  <si>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</si>
  <si>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</si>
  <si>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</si>
  <si>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</si>
  <si>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</si>
  <si>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</si>
  <si>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</si>
  <si>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</si>
  <si>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</si>
  <si>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</si>
  <si>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</si>
  <si>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</si>
  <si>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</si>
  <si>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g =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</si>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</sst>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3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0" fontId="38" fillId="0" borderId="2" xfId="0" applyFont="1" applyBorder="1" applyAlignment="1">
      <alignment horizontal="right"/>
    </xf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5</c:v>
                </c:pt>
                <c:pt idx="1">
                  <c:v>15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15</c:v>
                </c:pt>
                <c:pt idx="1">
                  <c:v>7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-7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7</c:v>
                </c:pt>
                <c:pt idx="1">
                  <c:v>-3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8</c:v>
                </c:pt>
                <c:pt idx="1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-3</c:v>
                </c:pt>
                <c:pt idx="1">
                  <c:v>-6.4729635533386061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-12</c:v>
                </c:pt>
                <c:pt idx="1">
                  <c:v>7.6961550602441591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+ 1.57)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20</c:v>
                </c:pt>
                <c:pt idx="1">
                  <c:v>17.320508075688785</c:v>
                </c:pt>
                <c:pt idx="2">
                  <c:v>10.000000000000009</c:v>
                </c:pt>
                <c:pt idx="3">
                  <c:v>-3.9200413748385898E-14</c:v>
                </c:pt>
                <c:pt idx="4">
                  <c:v>-9.9999999999999538</c:v>
                </c:pt>
                <c:pt idx="5">
                  <c:v>-17.3205080756887</c:v>
                </c:pt>
                <c:pt idx="6">
                  <c:v>-20</c:v>
                </c:pt>
                <c:pt idx="7">
                  <c:v>-17.320508075688796</c:v>
                </c:pt>
                <c:pt idx="8">
                  <c:v>-10.000000000000247</c:v>
                </c:pt>
                <c:pt idx="9">
                  <c:v>-2.3521982972507516E-13</c:v>
                </c:pt>
                <c:pt idx="10">
                  <c:v>9.9999999999998384</c:v>
                </c:pt>
                <c:pt idx="11">
                  <c:v>17.320508075688707</c:v>
                </c:pt>
                <c:pt idx="12">
                  <c:v>20</c:v>
                </c:pt>
                <c:pt idx="13">
                  <c:v>17.320508075689077</c:v>
                </c:pt>
                <c:pt idx="14">
                  <c:v>9.9999999999999911</c:v>
                </c:pt>
                <c:pt idx="15">
                  <c:v>5.0964007319853621E-13</c:v>
                </c:pt>
                <c:pt idx="16">
                  <c:v>-9.9999999999996021</c:v>
                </c:pt>
                <c:pt idx="17">
                  <c:v>-17.320508075688853</c:v>
                </c:pt>
                <c:pt idx="18">
                  <c:v>-20</c:v>
                </c:pt>
                <c:pt idx="19">
                  <c:v>-17.320508075688647</c:v>
                </c:pt>
                <c:pt idx="20">
                  <c:v>-10.000000000000229</c:v>
                </c:pt>
                <c:pt idx="21">
                  <c:v>-7.8406031667199727E-13</c:v>
                </c:pt>
                <c:pt idx="22">
                  <c:v>9.9999999999998561</c:v>
                </c:pt>
                <c:pt idx="23">
                  <c:v>17.320508075688998</c:v>
                </c:pt>
                <c:pt idx="24">
                  <c:v>20</c:v>
                </c:pt>
                <c:pt idx="25">
                  <c:v>17.320508075689066</c:v>
                </c:pt>
                <c:pt idx="26">
                  <c:v>10.000000000000959</c:v>
                </c:pt>
                <c:pt idx="27">
                  <c:v>1.6269147487535385E-12</c:v>
                </c:pt>
                <c:pt idx="28">
                  <c:v>-10.00000000000011</c:v>
                </c:pt>
                <c:pt idx="29">
                  <c:v>-17.320508075688576</c:v>
                </c:pt>
                <c:pt idx="30">
                  <c:v>-20</c:v>
                </c:pt>
                <c:pt idx="31">
                  <c:v>-17.32050807568892</c:v>
                </c:pt>
                <c:pt idx="32">
                  <c:v>-10.000000000000703</c:v>
                </c:pt>
                <c:pt idx="33">
                  <c:v>9.4083595081340121E-13</c:v>
                </c:pt>
                <c:pt idx="34">
                  <c:v>10.000000000000364</c:v>
                </c:pt>
                <c:pt idx="35">
                  <c:v>17.320508075688721</c:v>
                </c:pt>
                <c:pt idx="36">
                  <c:v>20</c:v>
                </c:pt>
                <c:pt idx="37">
                  <c:v>17.320508075688203</c:v>
                </c:pt>
                <c:pt idx="38">
                  <c:v>9.9999999999994653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8.6602540378443766</c:v>
                </c:pt>
                <c:pt idx="2">
                  <c:v>8.6602540378443837</c:v>
                </c:pt>
                <c:pt idx="3">
                  <c:v>-3.9200413748385898E-14</c:v>
                </c:pt>
                <c:pt idx="4">
                  <c:v>-8.6602540378443678</c:v>
                </c:pt>
                <c:pt idx="5">
                  <c:v>-8.6602540378443784</c:v>
                </c:pt>
                <c:pt idx="6">
                  <c:v>9.7968508305790181E-15</c:v>
                </c:pt>
                <c:pt idx="7">
                  <c:v>8.6602540378444424</c:v>
                </c:pt>
                <c:pt idx="8">
                  <c:v>8.6602540378445561</c:v>
                </c:pt>
                <c:pt idx="9">
                  <c:v>2.3521982972507516E-13</c:v>
                </c:pt>
                <c:pt idx="10">
                  <c:v>-8.6602540378442665</c:v>
                </c:pt>
                <c:pt idx="11">
                  <c:v>-8.6602540378443749</c:v>
                </c:pt>
                <c:pt idx="12">
                  <c:v>1.9593701661158036E-14</c:v>
                </c:pt>
                <c:pt idx="13">
                  <c:v>8.6602540378441635</c:v>
                </c:pt>
                <c:pt idx="14">
                  <c:v>8.6602540378444086</c:v>
                </c:pt>
                <c:pt idx="15">
                  <c:v>5.0964007319853621E-13</c:v>
                </c:pt>
                <c:pt idx="16">
                  <c:v>-8.6602540378441297</c:v>
                </c:pt>
                <c:pt idx="17">
                  <c:v>-8.6602540378442274</c:v>
                </c:pt>
                <c:pt idx="18">
                  <c:v>-2.5482654181230302E-13</c:v>
                </c:pt>
                <c:pt idx="19">
                  <c:v>8.6602540378445951</c:v>
                </c:pt>
                <c:pt idx="20">
                  <c:v>8.6602540378445454</c:v>
                </c:pt>
                <c:pt idx="21">
                  <c:v>7.8406031667199727E-13</c:v>
                </c:pt>
                <c:pt idx="22">
                  <c:v>-8.6602540378442772</c:v>
                </c:pt>
                <c:pt idx="23">
                  <c:v>-8.66025403784408</c:v>
                </c:pt>
                <c:pt idx="24">
                  <c:v>3.9187403322316072E-14</c:v>
                </c:pt>
                <c:pt idx="25">
                  <c:v>8.6602540378441724</c:v>
                </c:pt>
                <c:pt idx="26">
                  <c:v>8.6602540378449664</c:v>
                </c:pt>
                <c:pt idx="27">
                  <c:v>1.6269147487535385E-12</c:v>
                </c:pt>
                <c:pt idx="28">
                  <c:v>-8.6602540378444228</c:v>
                </c:pt>
                <c:pt idx="29">
                  <c:v>-8.660254037844501</c:v>
                </c:pt>
                <c:pt idx="30">
                  <c:v>-8.0366702875922513E-13</c:v>
                </c:pt>
                <c:pt idx="31">
                  <c:v>8.6602540378443216</c:v>
                </c:pt>
                <c:pt idx="32">
                  <c:v>8.660254037844819</c:v>
                </c:pt>
                <c:pt idx="33">
                  <c:v>-9.4083595081340121E-13</c:v>
                </c:pt>
                <c:pt idx="34">
                  <c:v>-8.6602540378445685</c:v>
                </c:pt>
                <c:pt idx="35">
                  <c:v>-8.6602540378443535</c:v>
                </c:pt>
                <c:pt idx="36">
                  <c:v>-5.0965308362460604E-13</c:v>
                </c:pt>
                <c:pt idx="37">
                  <c:v>8.6602540378450339</c:v>
                </c:pt>
                <c:pt idx="38">
                  <c:v>8.6602540378441049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9.9999999999999911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4"/>
  <sheetViews>
    <sheetView workbookViewId="0">
      <selection activeCell="I15" sqref="I15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45758</v>
      </c>
      <c r="C12" s="90" t="s">
        <v>198</v>
      </c>
    </row>
    <row r="13" spans="2:4" x14ac:dyDescent="0.35">
      <c r="B13" s="89">
        <v>45772</v>
      </c>
      <c r="C13" s="90" t="s">
        <v>209</v>
      </c>
    </row>
    <row r="14" spans="2:4" x14ac:dyDescent="0.35">
      <c r="B14" s="89">
        <v>45772</v>
      </c>
      <c r="C14" s="90" t="s">
        <v>252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4" location="Schiefeebene!A1" display="Schiefe Ebene" xr:uid="{ED253B79-5E32-4C6D-BC31-035CD76A77DC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Y21"/>
  <sheetViews>
    <sheetView showGridLines="0" zoomScale="40" zoomScaleNormal="40" workbookViewId="0"/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142" t="s">
        <v>81</v>
      </c>
      <c r="S7" s="142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76"/>
      <c r="D11" s="176"/>
      <c r="E11" s="176"/>
      <c r="F11" s="176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77" t="s">
        <v>67</v>
      </c>
      <c r="D12" s="177"/>
      <c r="E12" s="177"/>
      <c r="F12" s="177"/>
      <c r="G12" s="47"/>
      <c r="H12" s="47"/>
      <c r="J12" s="57" t="s">
        <v>70</v>
      </c>
      <c r="K12" s="38">
        <v>270</v>
      </c>
      <c r="L12" s="178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4.7123889803846897</v>
      </c>
      <c r="L13" s="179"/>
      <c r="M13" s="64">
        <f>PI()*M12/180</f>
        <v>0</v>
      </c>
      <c r="N13" s="64">
        <f t="shared" ref="N13:AY13" si="2">PI()*N12/180</f>
        <v>0.26179938779914941</v>
      </c>
      <c r="O13" s="64">
        <f t="shared" si="2"/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0.25881904510252074</v>
      </c>
      <c r="O14" s="54">
        <f t="shared" si="3"/>
        <v>0.49999999999999994</v>
      </c>
      <c r="P14" s="54">
        <f t="shared" si="3"/>
        <v>0.70710678118654746</v>
      </c>
      <c r="Q14" s="54">
        <f t="shared" si="3"/>
        <v>0.8660254037844386</v>
      </c>
      <c r="R14" s="54">
        <f t="shared" si="3"/>
        <v>0.96592582628906831</v>
      </c>
      <c r="S14" s="54">
        <f t="shared" si="3"/>
        <v>1</v>
      </c>
      <c r="T14" s="54">
        <f t="shared" si="3"/>
        <v>0.96592582628906831</v>
      </c>
      <c r="U14" s="54">
        <f t="shared" si="3"/>
        <v>0.86602540378443871</v>
      </c>
      <c r="V14" s="54">
        <f t="shared" si="3"/>
        <v>0.70710678118654757</v>
      </c>
      <c r="W14" s="54">
        <f t="shared" si="3"/>
        <v>0.49999999999999994</v>
      </c>
      <c r="X14" s="54">
        <f t="shared" si="3"/>
        <v>0.25881904510252102</v>
      </c>
      <c r="Y14" s="54">
        <f t="shared" si="3"/>
        <v>1.22514845490862E-16</v>
      </c>
      <c r="Z14" s="54">
        <f t="shared" si="3"/>
        <v>-0.25881904510252035</v>
      </c>
      <c r="AA14" s="54">
        <f t="shared" si="3"/>
        <v>-0.50000000000000011</v>
      </c>
      <c r="AB14" s="54">
        <f t="shared" si="3"/>
        <v>-0.70710678118654746</v>
      </c>
      <c r="AC14" s="54">
        <f t="shared" si="3"/>
        <v>-0.86602540378443837</v>
      </c>
      <c r="AD14" s="54">
        <f t="shared" si="3"/>
        <v>-0.96592582628906831</v>
      </c>
      <c r="AE14" s="54">
        <f t="shared" si="3"/>
        <v>-1</v>
      </c>
      <c r="AF14" s="54">
        <f t="shared" si="3"/>
        <v>-0.9659258262890682</v>
      </c>
      <c r="AG14" s="54">
        <f t="shared" si="3"/>
        <v>-0.8660254037844386</v>
      </c>
      <c r="AH14" s="54">
        <f t="shared" si="3"/>
        <v>-0.70710678118654768</v>
      </c>
      <c r="AI14" s="54">
        <f t="shared" si="3"/>
        <v>-0.50000000000000044</v>
      </c>
      <c r="AJ14" s="54">
        <f t="shared" si="3"/>
        <v>-0.25881904510252068</v>
      </c>
      <c r="AK14" s="54">
        <f t="shared" si="3"/>
        <v>-2.45029690981724E-16</v>
      </c>
      <c r="AL14" s="54">
        <f t="shared" si="3"/>
        <v>0.25881904510252024</v>
      </c>
      <c r="AM14" s="54">
        <f t="shared" si="3"/>
        <v>0.49999999999999928</v>
      </c>
      <c r="AN14" s="54">
        <f t="shared" si="3"/>
        <v>0.70710678118654668</v>
      </c>
      <c r="AO14" s="54">
        <f t="shared" si="3"/>
        <v>0.86602540378443882</v>
      </c>
      <c r="AP14" s="54">
        <f t="shared" si="3"/>
        <v>0.96592582628906831</v>
      </c>
      <c r="AQ14" s="54">
        <f t="shared" si="3"/>
        <v>1</v>
      </c>
      <c r="AR14" s="54">
        <f t="shared" si="3"/>
        <v>0.96592582628906842</v>
      </c>
      <c r="AS14" s="54">
        <f t="shared" si="3"/>
        <v>0.86602540378443915</v>
      </c>
      <c r="AT14" s="54">
        <f t="shared" si="3"/>
        <v>0.70710678118654713</v>
      </c>
      <c r="AU14" s="54">
        <f t="shared" si="3"/>
        <v>0.49999999999999978</v>
      </c>
      <c r="AV14" s="54">
        <f t="shared" si="3"/>
        <v>0.25881904510252079</v>
      </c>
      <c r="AW14" s="54">
        <f t="shared" si="3"/>
        <v>3.67544536472586E-16</v>
      </c>
      <c r="AX14" s="54">
        <f t="shared" si="3"/>
        <v>-0.25881904510252185</v>
      </c>
      <c r="AY14" s="54">
        <f t="shared" si="3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0.23570226039551581</v>
      </c>
      <c r="O15" s="55">
        <f t="shared" si="6"/>
        <v>0.33333333333333331</v>
      </c>
      <c r="P15" s="55">
        <f t="shared" si="6"/>
        <v>0.23570226039551584</v>
      </c>
      <c r="Q15" s="55">
        <f t="shared" si="6"/>
        <v>4.083828183028733E-17</v>
      </c>
      <c r="R15" s="55">
        <f t="shared" si="6"/>
        <v>-0.23570226039551581</v>
      </c>
      <c r="S15" s="55">
        <f t="shared" si="6"/>
        <v>-0.33333333333333331</v>
      </c>
      <c r="T15" s="55">
        <f t="shared" si="6"/>
        <v>-0.23570226039551567</v>
      </c>
      <c r="U15" s="55">
        <f t="shared" si="6"/>
        <v>-8.1676563660574659E-17</v>
      </c>
      <c r="V15" s="55">
        <f t="shared" si="6"/>
        <v>0.23570226039551578</v>
      </c>
      <c r="W15" s="55">
        <f t="shared" si="6"/>
        <v>0.33333333333333331</v>
      </c>
      <c r="X15" s="55">
        <f t="shared" si="6"/>
        <v>0.23570226039551612</v>
      </c>
      <c r="Y15" s="55">
        <f t="shared" si="6"/>
        <v>1.22514845490862E-16</v>
      </c>
      <c r="Z15" s="55">
        <f t="shared" si="6"/>
        <v>-0.23570226039551551</v>
      </c>
      <c r="AA15" s="55">
        <f t="shared" si="6"/>
        <v>-0.33333333333333331</v>
      </c>
      <c r="AB15" s="55">
        <f t="shared" si="6"/>
        <v>-0.23570226039551614</v>
      </c>
      <c r="AC15" s="55">
        <f t="shared" si="6"/>
        <v>-1.6335312732114932E-16</v>
      </c>
      <c r="AD15" s="55">
        <f t="shared" si="6"/>
        <v>0.23570226039551592</v>
      </c>
      <c r="AE15" s="55">
        <f t="shared" si="6"/>
        <v>0.33333333333333331</v>
      </c>
      <c r="AF15" s="55">
        <f t="shared" si="6"/>
        <v>0.23570226039551534</v>
      </c>
      <c r="AG15" s="55">
        <f t="shared" si="6"/>
        <v>2.0419140915143666E-16</v>
      </c>
      <c r="AH15" s="55">
        <f t="shared" si="6"/>
        <v>-0.23570226039551589</v>
      </c>
      <c r="AI15" s="55">
        <f t="shared" si="6"/>
        <v>-0.33333333333333331</v>
      </c>
      <c r="AJ15" s="55">
        <f t="shared" si="6"/>
        <v>-0.23570226039551537</v>
      </c>
      <c r="AK15" s="55">
        <f t="shared" si="6"/>
        <v>-2.45029690981724E-16</v>
      </c>
      <c r="AL15" s="55">
        <f t="shared" si="6"/>
        <v>0.23570226039551503</v>
      </c>
      <c r="AM15" s="55">
        <f t="shared" si="6"/>
        <v>0.33333333333333331</v>
      </c>
      <c r="AN15" s="55">
        <f t="shared" si="6"/>
        <v>0.23570226039551623</v>
      </c>
      <c r="AO15" s="55">
        <f t="shared" si="6"/>
        <v>-8.9836992012148897E-16</v>
      </c>
      <c r="AP15" s="55">
        <f t="shared" si="6"/>
        <v>-0.23570226039551584</v>
      </c>
      <c r="AQ15" s="55">
        <f t="shared" si="6"/>
        <v>-0.33333333333333331</v>
      </c>
      <c r="AR15" s="55">
        <f t="shared" si="6"/>
        <v>-0.23570226039551626</v>
      </c>
      <c r="AS15" s="55">
        <f t="shared" si="6"/>
        <v>-3.2670625464229864E-16</v>
      </c>
      <c r="AT15" s="55">
        <f t="shared" si="6"/>
        <v>0.23570226039551662</v>
      </c>
      <c r="AU15" s="55">
        <f t="shared" si="6"/>
        <v>0.33333333333333331</v>
      </c>
      <c r="AV15" s="55">
        <f t="shared" si="6"/>
        <v>0.23570226039551628</v>
      </c>
      <c r="AW15" s="55">
        <f t="shared" si="6"/>
        <v>3.67544536472586E-16</v>
      </c>
      <c r="AX15" s="55">
        <f t="shared" si="6"/>
        <v>-0.23570226039551662</v>
      </c>
      <c r="AY15" s="55">
        <f t="shared" si="6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0.19318516525781365</v>
      </c>
      <c r="O16" s="55">
        <f t="shared" si="7"/>
        <v>0.10000000000000007</v>
      </c>
      <c r="P16" s="55">
        <f t="shared" si="7"/>
        <v>-0.1414213562373095</v>
      </c>
      <c r="Q16" s="55">
        <f t="shared" si="7"/>
        <v>-0.17320508075688781</v>
      </c>
      <c r="R16" s="55">
        <f t="shared" si="7"/>
        <v>5.1763809020504217E-2</v>
      </c>
      <c r="S16" s="55">
        <f t="shared" si="7"/>
        <v>0.2</v>
      </c>
      <c r="T16" s="55">
        <f t="shared" si="7"/>
        <v>5.1763809020504162E-2</v>
      </c>
      <c r="U16" s="55">
        <f t="shared" si="7"/>
        <v>-0.17320508075688756</v>
      </c>
      <c r="V16" s="55">
        <f t="shared" si="7"/>
        <v>-0.1414213562373097</v>
      </c>
      <c r="W16" s="55">
        <f t="shared" si="7"/>
        <v>0.10000000000000012</v>
      </c>
      <c r="X16" s="55">
        <f t="shared" si="7"/>
        <v>0.19318516525781371</v>
      </c>
      <c r="Y16" s="55">
        <f t="shared" si="7"/>
        <v>1.22514845490862E-16</v>
      </c>
      <c r="Z16" s="55">
        <f t="shared" si="7"/>
        <v>-0.19318516525781348</v>
      </c>
      <c r="AA16" s="55">
        <f t="shared" si="7"/>
        <v>-0.10000000000000003</v>
      </c>
      <c r="AB16" s="55">
        <f t="shared" si="7"/>
        <v>0.14142135623730953</v>
      </c>
      <c r="AC16" s="55">
        <f t="shared" si="7"/>
        <v>0.17320508075688806</v>
      </c>
      <c r="AD16" s="55">
        <f t="shared" si="7"/>
        <v>-5.1763809020504273E-2</v>
      </c>
      <c r="AE16" s="55">
        <f t="shared" si="7"/>
        <v>-0.2</v>
      </c>
      <c r="AF16" s="55">
        <f t="shared" si="7"/>
        <v>-5.176380902050394E-2</v>
      </c>
      <c r="AG16" s="55">
        <f t="shared" si="7"/>
        <v>0.1732050807568879</v>
      </c>
      <c r="AH16" s="55">
        <f t="shared" si="7"/>
        <v>0.14142135623730978</v>
      </c>
      <c r="AI16" s="55">
        <f t="shared" si="7"/>
        <v>-9.99999999999997E-2</v>
      </c>
      <c r="AJ16" s="55">
        <f t="shared" si="7"/>
        <v>-0.19318516525781373</v>
      </c>
      <c r="AK16" s="55">
        <f t="shared" si="7"/>
        <v>-2.45029690981724E-16</v>
      </c>
      <c r="AL16" s="55">
        <f t="shared" si="7"/>
        <v>0.1931851652578136</v>
      </c>
      <c r="AM16" s="55">
        <f t="shared" si="7"/>
        <v>0.10000000000000137</v>
      </c>
      <c r="AN16" s="55">
        <f t="shared" si="7"/>
        <v>-0.14142135623730842</v>
      </c>
      <c r="AO16" s="55">
        <f t="shared" si="7"/>
        <v>-0.17320508075688779</v>
      </c>
      <c r="AP16" s="55">
        <f t="shared" si="7"/>
        <v>5.1763809020504148E-2</v>
      </c>
      <c r="AQ16" s="55">
        <f t="shared" si="7"/>
        <v>0.2</v>
      </c>
      <c r="AR16" s="55">
        <f t="shared" si="7"/>
        <v>5.1763809020505439E-2</v>
      </c>
      <c r="AS16" s="55">
        <f t="shared" si="7"/>
        <v>-0.17320508075688712</v>
      </c>
      <c r="AT16" s="55">
        <f t="shared" si="7"/>
        <v>-0.14142135623730936</v>
      </c>
      <c r="AU16" s="55">
        <f t="shared" si="7"/>
        <v>0.10000000000000023</v>
      </c>
      <c r="AV16" s="55">
        <f t="shared" si="7"/>
        <v>0.1931851652578136</v>
      </c>
      <c r="AW16" s="55">
        <f t="shared" si="7"/>
        <v>1.0780872722326862E-15</v>
      </c>
      <c r="AX16" s="55">
        <f t="shared" si="7"/>
        <v>-0.19318516525781415</v>
      </c>
      <c r="AY16" s="55">
        <f t="shared" si="7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0.13798940375558119</v>
      </c>
      <c r="O17" s="55">
        <f t="shared" si="8"/>
        <v>-7.1428571428571383E-2</v>
      </c>
      <c r="P17" s="55">
        <f t="shared" si="8"/>
        <v>-0.1010152544552211</v>
      </c>
      <c r="Q17" s="55">
        <f t="shared" si="8"/>
        <v>0.12371791482634834</v>
      </c>
      <c r="R17" s="55">
        <f t="shared" si="8"/>
        <v>3.697414930036011E-2</v>
      </c>
      <c r="S17" s="55">
        <f t="shared" si="8"/>
        <v>-0.14285714285714285</v>
      </c>
      <c r="T17" s="55">
        <f t="shared" si="8"/>
        <v>3.6974149300360241E-2</v>
      </c>
      <c r="U17" s="55">
        <f t="shared" si="8"/>
        <v>0.12371791482634846</v>
      </c>
      <c r="V17" s="55">
        <f t="shared" si="8"/>
        <v>-0.1010152544552211</v>
      </c>
      <c r="W17" s="55">
        <f t="shared" si="8"/>
        <v>-7.1428571428571438E-2</v>
      </c>
      <c r="X17" s="55">
        <f t="shared" si="8"/>
        <v>0.13798940375558116</v>
      </c>
      <c r="Y17" s="55">
        <f t="shared" si="8"/>
        <v>1.22514845490862E-16</v>
      </c>
      <c r="Z17" s="55">
        <f t="shared" si="8"/>
        <v>-0.13798940375558122</v>
      </c>
      <c r="AA17" s="55">
        <f t="shared" si="8"/>
        <v>7.1428571428571661E-2</v>
      </c>
      <c r="AB17" s="55">
        <f t="shared" si="8"/>
        <v>0.10101525445522126</v>
      </c>
      <c r="AC17" s="55">
        <f t="shared" si="8"/>
        <v>-0.12371791482634821</v>
      </c>
      <c r="AD17" s="55">
        <f t="shared" si="8"/>
        <v>-3.6974149300359985E-2</v>
      </c>
      <c r="AE17" s="55">
        <f t="shared" si="8"/>
        <v>0.14285714285714285</v>
      </c>
      <c r="AF17" s="55">
        <f t="shared" si="8"/>
        <v>-3.6974149300360609E-2</v>
      </c>
      <c r="AG17" s="55">
        <f t="shared" si="8"/>
        <v>-0.12371791482634839</v>
      </c>
      <c r="AH17" s="55">
        <f t="shared" si="8"/>
        <v>0.10101525445522065</v>
      </c>
      <c r="AI17" s="55">
        <f t="shared" si="8"/>
        <v>7.142857142857155E-2</v>
      </c>
      <c r="AJ17" s="55">
        <f t="shared" si="8"/>
        <v>-0.13798940375558125</v>
      </c>
      <c r="AK17" s="55">
        <f t="shared" si="8"/>
        <v>-2.45029690981724E-16</v>
      </c>
      <c r="AL17" s="55">
        <f t="shared" si="8"/>
        <v>0.13798940375558139</v>
      </c>
      <c r="AM17" s="55">
        <f t="shared" si="8"/>
        <v>-7.1428571428571119E-2</v>
      </c>
      <c r="AN17" s="55">
        <f t="shared" si="8"/>
        <v>-0.10101525445522171</v>
      </c>
      <c r="AO17" s="55">
        <f t="shared" si="8"/>
        <v>0.12371791482634865</v>
      </c>
      <c r="AP17" s="55">
        <f t="shared" si="8"/>
        <v>3.6974149300360103E-2</v>
      </c>
      <c r="AQ17" s="55">
        <f t="shared" si="8"/>
        <v>-0.14285714285714285</v>
      </c>
      <c r="AR17" s="55">
        <f t="shared" si="8"/>
        <v>3.6974149300360006E-2</v>
      </c>
      <c r="AS17" s="55">
        <f t="shared" si="8"/>
        <v>0.1237179148263487</v>
      </c>
      <c r="AT17" s="55">
        <f t="shared" si="8"/>
        <v>-0.10101525445522164</v>
      </c>
      <c r="AU17" s="55">
        <f t="shared" si="8"/>
        <v>-7.1428571428571216E-2</v>
      </c>
      <c r="AV17" s="55">
        <f t="shared" si="8"/>
        <v>0.13798940375558111</v>
      </c>
      <c r="AW17" s="55">
        <f t="shared" si="8"/>
        <v>-1.399859890703427E-16</v>
      </c>
      <c r="AX17" s="55">
        <f t="shared" si="8"/>
        <v>-0.13798940375558102</v>
      </c>
      <c r="AY17" s="55">
        <f t="shared" si="8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9">IF($L$20=$AI$7,SUM(N14:N17),0)</f>
        <v>0.82569587451143145</v>
      </c>
      <c r="O20" s="55">
        <f t="shared" si="9"/>
        <v>0.86190476190476195</v>
      </c>
      <c r="P20" s="55">
        <f t="shared" si="9"/>
        <v>0.70037243088953283</v>
      </c>
      <c r="Q20" s="55">
        <f t="shared" si="9"/>
        <v>0.81653823785389912</v>
      </c>
      <c r="R20" s="55">
        <f t="shared" si="9"/>
        <v>0.81896152421441692</v>
      </c>
      <c r="S20" s="55">
        <f t="shared" si="9"/>
        <v>0.7238095238095239</v>
      </c>
      <c r="T20" s="55">
        <f t="shared" si="9"/>
        <v>0.81896152421441704</v>
      </c>
      <c r="U20" s="55">
        <f t="shared" si="9"/>
        <v>0.81653823785389945</v>
      </c>
      <c r="V20" s="55">
        <f t="shared" si="9"/>
        <v>0.7003724308895326</v>
      </c>
      <c r="W20" s="55">
        <f t="shared" si="9"/>
        <v>0.86190476190476195</v>
      </c>
      <c r="X20" s="55">
        <f t="shared" si="9"/>
        <v>0.825695874511432</v>
      </c>
      <c r="Y20" s="55">
        <f t="shared" si="9"/>
        <v>4.90059381963448E-16</v>
      </c>
      <c r="Z20" s="55">
        <f t="shared" si="9"/>
        <v>-0.82569587451143056</v>
      </c>
      <c r="AA20" s="55">
        <f t="shared" si="9"/>
        <v>-0.86190476190476195</v>
      </c>
      <c r="AB20" s="55">
        <f t="shared" si="9"/>
        <v>-0.70037243088953272</v>
      </c>
      <c r="AC20" s="55">
        <f t="shared" si="9"/>
        <v>-0.81653823785389867</v>
      </c>
      <c r="AD20" s="55">
        <f t="shared" si="9"/>
        <v>-0.8189615242144167</v>
      </c>
      <c r="AE20" s="55">
        <f t="shared" si="9"/>
        <v>-0.7238095238095239</v>
      </c>
      <c r="AF20" s="55">
        <f t="shared" si="9"/>
        <v>-0.81896152421441737</v>
      </c>
      <c r="AG20" s="55">
        <f t="shared" si="9"/>
        <v>-0.8165382378538989</v>
      </c>
      <c r="AH20" s="55">
        <f t="shared" si="9"/>
        <v>-0.70037243088953316</v>
      </c>
      <c r="AI20" s="55">
        <f t="shared" si="9"/>
        <v>-0.86190476190476184</v>
      </c>
      <c r="AJ20" s="55">
        <f t="shared" si="9"/>
        <v>-0.825695874511431</v>
      </c>
      <c r="AK20" s="55">
        <f t="shared" si="9"/>
        <v>-9.8011876392689601E-16</v>
      </c>
      <c r="AL20" s="55">
        <f t="shared" si="9"/>
        <v>0.82569587451143023</v>
      </c>
      <c r="AM20" s="55">
        <f t="shared" si="9"/>
        <v>0.86190476190476284</v>
      </c>
      <c r="AN20" s="55">
        <f t="shared" si="9"/>
        <v>0.70037243088953272</v>
      </c>
      <c r="AO20" s="55">
        <f t="shared" si="9"/>
        <v>0.81653823785389879</v>
      </c>
      <c r="AP20" s="55">
        <f t="shared" si="9"/>
        <v>0.81896152421441681</v>
      </c>
      <c r="AQ20" s="55">
        <f t="shared" si="9"/>
        <v>0.7238095238095239</v>
      </c>
      <c r="AR20" s="55">
        <f t="shared" si="9"/>
        <v>0.8189615242144177</v>
      </c>
      <c r="AS20" s="55">
        <f t="shared" si="9"/>
        <v>0.81653823785390034</v>
      </c>
      <c r="AT20" s="55">
        <f t="shared" si="9"/>
        <v>0.70037243088953283</v>
      </c>
      <c r="AU20" s="55">
        <f t="shared" si="9"/>
        <v>0.86190476190476206</v>
      </c>
      <c r="AV20" s="55">
        <f t="shared" si="9"/>
        <v>0.82569587451143178</v>
      </c>
      <c r="AW20" s="55">
        <f t="shared" si="9"/>
        <v>1.6731903561075154E-15</v>
      </c>
      <c r="AX20" s="55">
        <f t="shared" si="9"/>
        <v>-0.82569587451143367</v>
      </c>
      <c r="AY20" s="55">
        <f t="shared" si="9"/>
        <v>-0.86190476190476129</v>
      </c>
    </row>
    <row r="21" spans="3:51" x14ac:dyDescent="0.35">
      <c r="J21" s="39"/>
      <c r="K21" s="39"/>
      <c r="L21" s="39"/>
    </row>
  </sheetData>
  <mergeCells count="4">
    <mergeCell ref="C11:F11"/>
    <mergeCell ref="C12:F12"/>
    <mergeCell ref="L12:L13"/>
    <mergeCell ref="R7:S7"/>
  </mergeCells>
  <dataValidations count="1">
    <dataValidation type="list" allowBlank="1" showInputMessage="1" showErrorMessage="1" sqref="L14:L17 L20" xr:uid="{14030FAE-C205-4F99-A125-F98CBE2B09BD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E15" sqref="E15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9.9999999999999911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9.9999999999999911</v>
      </c>
    </row>
    <row r="7" spans="3:51" x14ac:dyDescent="0.35">
      <c r="R7" s="142" t="s">
        <v>81</v>
      </c>
      <c r="S7" s="142"/>
      <c r="T7" s="5">
        <f>IF(ABS(T5)&gt;ABS(T6),T5,T6)</f>
        <v>9.9999999999999911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76"/>
      <c r="D11" s="176"/>
      <c r="E11" s="176"/>
      <c r="F11" s="176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77" t="s">
        <v>67</v>
      </c>
      <c r="D12" s="177"/>
      <c r="E12" s="177"/>
      <c r="F12" s="177"/>
      <c r="G12" s="47"/>
      <c r="H12" s="47"/>
      <c r="J12" s="57" t="s">
        <v>70</v>
      </c>
      <c r="K12" s="38">
        <v>210</v>
      </c>
      <c r="L12" s="178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3.6651914291880923</v>
      </c>
      <c r="L13" s="179"/>
      <c r="M13" s="64">
        <f>PI()*M12/180</f>
        <v>0</v>
      </c>
      <c r="N13" s="64">
        <f>PI()*N12/180</f>
        <v>0.26179938779914941</v>
      </c>
      <c r="O13" s="64">
        <f t="shared" ref="O13:AY13" si="2">PI()*O12/180</f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20</v>
      </c>
      <c r="D14" s="42">
        <v>50</v>
      </c>
      <c r="E14" s="42">
        <v>90</v>
      </c>
      <c r="F14" s="73">
        <f>PI()*E14/180</f>
        <v>1.5707963267948966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+ 1.57) = </v>
      </c>
      <c r="K14" s="66">
        <f>IF($L$14=$AI$7,$C$14*SIN($D$14*K13 + $F$14),0)</f>
        <v>9.9999999999999911</v>
      </c>
      <c r="L14" s="48" t="s">
        <v>72</v>
      </c>
      <c r="M14" s="54">
        <f>IF($L$14=$AI$7,$C$14*SIN($D$14*M13 + $F$14),0)</f>
        <v>20</v>
      </c>
      <c r="N14" s="54">
        <f t="shared" ref="N14:AY14" si="3">IF($L$14=$AI$7,$C$14*SIN($D$14*N13 + $F$14),0)</f>
        <v>17.320508075688785</v>
      </c>
      <c r="O14" s="54">
        <f t="shared" si="3"/>
        <v>10.000000000000009</v>
      </c>
      <c r="P14" s="54">
        <f t="shared" si="3"/>
        <v>-3.9200413748385898E-14</v>
      </c>
      <c r="Q14" s="54">
        <f t="shared" si="3"/>
        <v>-9.9999999999999538</v>
      </c>
      <c r="R14" s="54">
        <f t="shared" si="3"/>
        <v>-17.3205080756887</v>
      </c>
      <c r="S14" s="54">
        <f t="shared" si="3"/>
        <v>-20</v>
      </c>
      <c r="T14" s="54">
        <f t="shared" si="3"/>
        <v>-17.320508075688796</v>
      </c>
      <c r="U14" s="54">
        <f t="shared" si="3"/>
        <v>-10.000000000000247</v>
      </c>
      <c r="V14" s="54">
        <f t="shared" si="3"/>
        <v>-2.3521982972507516E-13</v>
      </c>
      <c r="W14" s="54">
        <f t="shared" si="3"/>
        <v>9.9999999999998384</v>
      </c>
      <c r="X14" s="54">
        <f t="shared" si="3"/>
        <v>17.320508075688707</v>
      </c>
      <c r="Y14" s="54">
        <f t="shared" si="3"/>
        <v>20</v>
      </c>
      <c r="Z14" s="54">
        <f t="shared" si="3"/>
        <v>17.320508075689077</v>
      </c>
      <c r="AA14" s="54">
        <f t="shared" si="3"/>
        <v>9.9999999999999911</v>
      </c>
      <c r="AB14" s="54">
        <f t="shared" si="3"/>
        <v>5.0964007319853621E-13</v>
      </c>
      <c r="AC14" s="54">
        <f t="shared" si="3"/>
        <v>-9.9999999999996021</v>
      </c>
      <c r="AD14" s="54">
        <f t="shared" si="3"/>
        <v>-17.320508075688853</v>
      </c>
      <c r="AE14" s="54">
        <f t="shared" si="3"/>
        <v>-20</v>
      </c>
      <c r="AF14" s="54">
        <f t="shared" si="3"/>
        <v>-17.320508075688647</v>
      </c>
      <c r="AG14" s="54">
        <f t="shared" si="3"/>
        <v>-10.000000000000229</v>
      </c>
      <c r="AH14" s="54">
        <f t="shared" si="3"/>
        <v>-7.8406031667199727E-13</v>
      </c>
      <c r="AI14" s="54">
        <f t="shared" si="3"/>
        <v>9.9999999999998561</v>
      </c>
      <c r="AJ14" s="54">
        <f t="shared" si="3"/>
        <v>17.320508075688998</v>
      </c>
      <c r="AK14" s="54">
        <f t="shared" si="3"/>
        <v>20</v>
      </c>
      <c r="AL14" s="54">
        <f t="shared" si="3"/>
        <v>17.320508075689066</v>
      </c>
      <c r="AM14" s="54">
        <f t="shared" si="3"/>
        <v>10.000000000000959</v>
      </c>
      <c r="AN14" s="54">
        <f t="shared" si="3"/>
        <v>1.6269147487535385E-12</v>
      </c>
      <c r="AO14" s="54">
        <f t="shared" si="3"/>
        <v>-10.00000000000011</v>
      </c>
      <c r="AP14" s="54">
        <f t="shared" si="3"/>
        <v>-17.320508075688576</v>
      </c>
      <c r="AQ14" s="54">
        <f t="shared" si="3"/>
        <v>-20</v>
      </c>
      <c r="AR14" s="54">
        <f t="shared" si="3"/>
        <v>-17.32050807568892</v>
      </c>
      <c r="AS14" s="54">
        <f t="shared" si="3"/>
        <v>-10.000000000000703</v>
      </c>
      <c r="AT14" s="54">
        <f t="shared" si="3"/>
        <v>9.4083595081340121E-13</v>
      </c>
      <c r="AU14" s="54">
        <f t="shared" si="3"/>
        <v>10.000000000000364</v>
      </c>
      <c r="AV14" s="54">
        <f t="shared" si="3"/>
        <v>17.320508075688721</v>
      </c>
      <c r="AW14" s="54">
        <f t="shared" si="3"/>
        <v>20</v>
      </c>
      <c r="AX14" s="54">
        <f t="shared" si="3"/>
        <v>17.320508075688203</v>
      </c>
      <c r="AY14" s="54">
        <f t="shared" si="3"/>
        <v>9.9999999999994653</v>
      </c>
    </row>
    <row r="15" spans="3:51" x14ac:dyDescent="0.35">
      <c r="C15" s="42">
        <v>1</v>
      </c>
      <c r="D15" s="42">
        <v>50</v>
      </c>
      <c r="E15" s="42">
        <v>0</v>
      </c>
      <c r="F15" s="73">
        <f t="shared" ref="F15" si="4"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5">IF($L$15=$AI$7,$C$15*SIN($D$15*N13 + $F$15),0)</f>
        <v>0.49999999999999906</v>
      </c>
      <c r="O15" s="55">
        <f t="shared" si="5"/>
        <v>0.8660254037844376</v>
      </c>
      <c r="P15" s="55">
        <f t="shared" si="5"/>
        <v>1</v>
      </c>
      <c r="Q15" s="55">
        <f t="shared" si="5"/>
        <v>0.86602540378444082</v>
      </c>
      <c r="R15" s="55">
        <f t="shared" si="5"/>
        <v>0.50000000000000167</v>
      </c>
      <c r="S15" s="55">
        <f t="shared" si="5"/>
        <v>-4.898425415289509E-16</v>
      </c>
      <c r="T15" s="55">
        <f t="shared" si="5"/>
        <v>-0.50000000000000255</v>
      </c>
      <c r="U15" s="55">
        <f t="shared" si="5"/>
        <v>-0.86602540378443427</v>
      </c>
      <c r="V15" s="55">
        <f t="shared" si="5"/>
        <v>-1</v>
      </c>
      <c r="W15" s="55">
        <f t="shared" si="5"/>
        <v>-0.86602540378444059</v>
      </c>
      <c r="X15" s="55">
        <f t="shared" si="5"/>
        <v>-0.50000000000000122</v>
      </c>
      <c r="Y15" s="55">
        <f t="shared" si="5"/>
        <v>9.7968508305790181E-16</v>
      </c>
      <c r="Z15" s="55">
        <f t="shared" si="5"/>
        <v>0.49999999999997835</v>
      </c>
      <c r="AA15" s="55">
        <f t="shared" si="5"/>
        <v>0.86602540378444159</v>
      </c>
      <c r="AB15" s="55">
        <f t="shared" si="5"/>
        <v>1</v>
      </c>
      <c r="AC15" s="55">
        <f t="shared" si="5"/>
        <v>0.86602540378444748</v>
      </c>
      <c r="AD15" s="55">
        <f t="shared" si="5"/>
        <v>0.49999999999998856</v>
      </c>
      <c r="AE15" s="55">
        <f t="shared" si="5"/>
        <v>1.2741327090615151E-14</v>
      </c>
      <c r="AF15" s="55">
        <f t="shared" si="5"/>
        <v>-0.50000000000001565</v>
      </c>
      <c r="AG15" s="55">
        <f t="shared" si="5"/>
        <v>-0.86602540378443471</v>
      </c>
      <c r="AH15" s="55">
        <f t="shared" si="5"/>
        <v>-1</v>
      </c>
      <c r="AI15" s="55">
        <f t="shared" si="5"/>
        <v>-0.86602540378444015</v>
      </c>
      <c r="AJ15" s="55">
        <f t="shared" si="5"/>
        <v>-0.4999999999999758</v>
      </c>
      <c r="AK15" s="55">
        <f t="shared" si="5"/>
        <v>1.9593701661158036E-15</v>
      </c>
      <c r="AL15" s="55">
        <f t="shared" si="5"/>
        <v>0.49999999999997918</v>
      </c>
      <c r="AM15" s="55">
        <f t="shared" si="5"/>
        <v>0.86602540378441362</v>
      </c>
      <c r="AN15" s="55">
        <f t="shared" si="5"/>
        <v>1</v>
      </c>
      <c r="AO15" s="55">
        <f t="shared" si="5"/>
        <v>0.86602540378443271</v>
      </c>
      <c r="AP15" s="55">
        <f t="shared" si="5"/>
        <v>0.50000000000001232</v>
      </c>
      <c r="AQ15" s="55">
        <f t="shared" si="5"/>
        <v>4.0183351437961257E-14</v>
      </c>
      <c r="AR15" s="55">
        <f t="shared" si="5"/>
        <v>-0.49999999999999195</v>
      </c>
      <c r="AS15" s="55">
        <f t="shared" si="5"/>
        <v>-0.86602540378442106</v>
      </c>
      <c r="AT15" s="55">
        <f t="shared" si="5"/>
        <v>-1</v>
      </c>
      <c r="AU15" s="55">
        <f t="shared" si="5"/>
        <v>-0.86602540378442538</v>
      </c>
      <c r="AV15" s="55">
        <f t="shared" si="5"/>
        <v>-0.49999999999999956</v>
      </c>
      <c r="AW15" s="55">
        <f t="shared" si="5"/>
        <v>-2.5482654181230302E-14</v>
      </c>
      <c r="AX15" s="55">
        <f t="shared" si="5"/>
        <v>0.50000000000005385</v>
      </c>
      <c r="AY15" s="55">
        <f t="shared" si="5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ht="16.5" x14ac:dyDescent="0.35">
      <c r="J18" s="100" t="s">
        <v>130</v>
      </c>
      <c r="K18" s="101">
        <f>IF($L$18=$AI$7,K14*K15,"")</f>
        <v>8.6602540378444086</v>
      </c>
      <c r="L18" s="102" t="s">
        <v>72</v>
      </c>
      <c r="M18" s="55">
        <f>IF($L$18=$AI$7,M14*M15,0)</f>
        <v>0</v>
      </c>
      <c r="N18" s="55">
        <f t="shared" ref="N18:AY18" si="6">IF($L$18=$AI$7,N14*N15,0)</f>
        <v>8.6602540378443766</v>
      </c>
      <c r="O18" s="55">
        <f t="shared" si="6"/>
        <v>8.6602540378443837</v>
      </c>
      <c r="P18" s="55">
        <f t="shared" si="6"/>
        <v>-3.9200413748385898E-14</v>
      </c>
      <c r="Q18" s="55">
        <f t="shared" si="6"/>
        <v>-8.6602540378443678</v>
      </c>
      <c r="R18" s="55">
        <f t="shared" si="6"/>
        <v>-8.6602540378443784</v>
      </c>
      <c r="S18" s="55">
        <f t="shared" si="6"/>
        <v>9.7968508305790181E-15</v>
      </c>
      <c r="T18" s="55">
        <f t="shared" si="6"/>
        <v>8.6602540378444424</v>
      </c>
      <c r="U18" s="55">
        <f t="shared" si="6"/>
        <v>8.6602540378445561</v>
      </c>
      <c r="V18" s="55">
        <f t="shared" si="6"/>
        <v>2.3521982972507516E-13</v>
      </c>
      <c r="W18" s="55">
        <f t="shared" si="6"/>
        <v>-8.6602540378442665</v>
      </c>
      <c r="X18" s="55">
        <f t="shared" si="6"/>
        <v>-8.6602540378443749</v>
      </c>
      <c r="Y18" s="55">
        <f t="shared" si="6"/>
        <v>1.9593701661158036E-14</v>
      </c>
      <c r="Z18" s="55">
        <f t="shared" si="6"/>
        <v>8.6602540378441635</v>
      </c>
      <c r="AA18" s="55">
        <f t="shared" si="6"/>
        <v>8.6602540378444086</v>
      </c>
      <c r="AB18" s="55">
        <f t="shared" si="6"/>
        <v>5.0964007319853621E-13</v>
      </c>
      <c r="AC18" s="55">
        <f t="shared" si="6"/>
        <v>-8.6602540378441297</v>
      </c>
      <c r="AD18" s="55">
        <f t="shared" si="6"/>
        <v>-8.6602540378442274</v>
      </c>
      <c r="AE18" s="55">
        <f t="shared" si="6"/>
        <v>-2.5482654181230302E-13</v>
      </c>
      <c r="AF18" s="55">
        <f t="shared" si="6"/>
        <v>8.6602540378445951</v>
      </c>
      <c r="AG18" s="55">
        <f t="shared" si="6"/>
        <v>8.6602540378445454</v>
      </c>
      <c r="AH18" s="55">
        <f t="shared" si="6"/>
        <v>7.8406031667199727E-13</v>
      </c>
      <c r="AI18" s="55">
        <f t="shared" si="6"/>
        <v>-8.6602540378442772</v>
      </c>
      <c r="AJ18" s="55">
        <f t="shared" si="6"/>
        <v>-8.66025403784408</v>
      </c>
      <c r="AK18" s="55">
        <f t="shared" si="6"/>
        <v>3.9187403322316072E-14</v>
      </c>
      <c r="AL18" s="55">
        <f t="shared" si="6"/>
        <v>8.6602540378441724</v>
      </c>
      <c r="AM18" s="55">
        <f t="shared" si="6"/>
        <v>8.6602540378449664</v>
      </c>
      <c r="AN18" s="55">
        <f t="shared" si="6"/>
        <v>1.6269147487535385E-12</v>
      </c>
      <c r="AO18" s="55">
        <f t="shared" si="6"/>
        <v>-8.6602540378444228</v>
      </c>
      <c r="AP18" s="55">
        <f t="shared" si="6"/>
        <v>-8.660254037844501</v>
      </c>
      <c r="AQ18" s="55">
        <f t="shared" si="6"/>
        <v>-8.0366702875922513E-13</v>
      </c>
      <c r="AR18" s="55">
        <f t="shared" si="6"/>
        <v>8.6602540378443216</v>
      </c>
      <c r="AS18" s="55">
        <f t="shared" si="6"/>
        <v>8.660254037844819</v>
      </c>
      <c r="AT18" s="55">
        <f t="shared" si="6"/>
        <v>-9.4083595081340121E-13</v>
      </c>
      <c r="AU18" s="55">
        <f t="shared" si="6"/>
        <v>-8.6602540378445685</v>
      </c>
      <c r="AV18" s="55">
        <f t="shared" si="6"/>
        <v>-8.6602540378443535</v>
      </c>
      <c r="AW18" s="55">
        <f t="shared" si="6"/>
        <v>-5.0965308362460604E-13</v>
      </c>
      <c r="AX18" s="55">
        <f t="shared" si="6"/>
        <v>8.6602540378450339</v>
      </c>
      <c r="AY18" s="55">
        <f t="shared" si="6"/>
        <v>8.6602540378441049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abSelected="1" zoomScale="70" zoomScaleNormal="70" workbookViewId="0">
      <selection activeCell="F22" sqref="F22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252</v>
      </c>
      <c r="D2" s="44"/>
      <c r="L2" s="125" t="s">
        <v>269</v>
      </c>
      <c r="M2" s="126" t="s">
        <v>272</v>
      </c>
      <c r="N2" s="111"/>
    </row>
    <row r="3" spans="3:25" x14ac:dyDescent="0.35">
      <c r="L3" s="115" t="s">
        <v>215</v>
      </c>
      <c r="M3" s="115" t="s">
        <v>274</v>
      </c>
      <c r="T3" s="85"/>
      <c r="X3" s="119"/>
      <c r="Y3" s="119"/>
    </row>
    <row r="4" spans="3:25" x14ac:dyDescent="0.35">
      <c r="L4" s="115" t="s">
        <v>216</v>
      </c>
      <c r="M4" s="115" t="s">
        <v>273</v>
      </c>
      <c r="T4" s="85"/>
    </row>
    <row r="5" spans="3:25" x14ac:dyDescent="0.35">
      <c r="L5" s="115"/>
      <c r="M5" s="115" t="s">
        <v>262</v>
      </c>
      <c r="T5" s="85"/>
    </row>
    <row r="6" spans="3:25" x14ac:dyDescent="0.35">
      <c r="L6" s="115"/>
      <c r="M6" s="115" t="s">
        <v>271</v>
      </c>
    </row>
    <row r="20" spans="4:35" x14ac:dyDescent="0.35">
      <c r="D20" s="5" t="s">
        <v>258</v>
      </c>
      <c r="E20" s="19" t="s">
        <v>259</v>
      </c>
      <c r="F20" s="94">
        <v>5</v>
      </c>
      <c r="G20" s="4" t="s">
        <v>271</v>
      </c>
      <c r="K20" s="5" t="s">
        <v>277</v>
      </c>
      <c r="L20" s="5"/>
    </row>
    <row r="21" spans="4:35" x14ac:dyDescent="0.35">
      <c r="D21" s="5" t="s">
        <v>267</v>
      </c>
      <c r="E21" s="19" t="s">
        <v>268</v>
      </c>
      <c r="F21" s="94">
        <v>30</v>
      </c>
      <c r="G21" s="4" t="s">
        <v>215</v>
      </c>
      <c r="K21" s="19" t="s">
        <v>280</v>
      </c>
      <c r="L21" s="134">
        <v>0.6</v>
      </c>
    </row>
    <row r="22" spans="4:35" x14ac:dyDescent="0.35">
      <c r="D22" s="127"/>
      <c r="E22" s="128" t="str">
        <f>E21</f>
        <v xml:space="preserve">α = </v>
      </c>
      <c r="F22" s="129">
        <f>IF(G21=G22,F21,F21*180/PI())</f>
        <v>30</v>
      </c>
      <c r="G22" s="127" t="str">
        <f>L3</f>
        <v>°</v>
      </c>
      <c r="K22" s="19" t="s">
        <v>281</v>
      </c>
      <c r="L22" s="136">
        <v>0.2</v>
      </c>
    </row>
    <row r="23" spans="4:35" x14ac:dyDescent="0.35">
      <c r="D23" s="127"/>
      <c r="E23" s="128" t="str">
        <f>E21</f>
        <v xml:space="preserve">α = </v>
      </c>
      <c r="F23" s="129">
        <f>IF(G21=G23,F21,F21*PI()/180)</f>
        <v>0.52359877559829882</v>
      </c>
      <c r="G23" s="127" t="str">
        <f>L4</f>
        <v>rad</v>
      </c>
      <c r="K23" s="5" t="s">
        <v>312</v>
      </c>
      <c r="L23" s="135">
        <f>DEGREES(ATAN(L21))</f>
        <v>30.963756532073521</v>
      </c>
      <c r="M23" s="5" t="s">
        <v>313</v>
      </c>
      <c r="O23" s="5">
        <f>L23*PI()/180</f>
        <v>0.54041950027058416</v>
      </c>
      <c r="P23" s="5" t="s">
        <v>315</v>
      </c>
    </row>
    <row r="24" spans="4:35" ht="16.5" x14ac:dyDescent="0.35">
      <c r="D24" s="5" t="s">
        <v>260</v>
      </c>
      <c r="E24" s="19" t="s">
        <v>261</v>
      </c>
      <c r="F24" s="93">
        <v>9.81</v>
      </c>
      <c r="G24" s="5" t="s">
        <v>263</v>
      </c>
      <c r="K24" s="5" t="s">
        <v>314</v>
      </c>
      <c r="L24" s="135">
        <f>DEGREES(ATAN(L22))</f>
        <v>11.309932474020215</v>
      </c>
      <c r="M24" s="5" t="s">
        <v>313</v>
      </c>
      <c r="O24" s="5">
        <f>L24*PI()/180</f>
        <v>0.1973955598498808</v>
      </c>
      <c r="P24" s="5" t="s">
        <v>315</v>
      </c>
    </row>
    <row r="26" spans="4:35" ht="16.5" x14ac:dyDescent="0.45">
      <c r="D26" s="5" t="s">
        <v>270</v>
      </c>
      <c r="E26" s="19" t="s">
        <v>253</v>
      </c>
      <c r="F26" s="5" t="s">
        <v>264</v>
      </c>
      <c r="G26" s="93">
        <f>$F$20*$F$24</f>
        <v>49.050000000000004</v>
      </c>
      <c r="H26" s="5" t="str">
        <f>IF($G$20=$M$5,"N",IF($G$20=$M$6,"kN",IF($G$20=$M$4,"mN",IF($G$20=$M$3,"Mikro N",""))))</f>
        <v>kN</v>
      </c>
    </row>
    <row r="27" spans="4:35" ht="16.5" x14ac:dyDescent="0.45">
      <c r="D27" s="5" t="s">
        <v>254</v>
      </c>
      <c r="E27" s="19" t="s">
        <v>256</v>
      </c>
      <c r="F27" s="5" t="s">
        <v>266</v>
      </c>
      <c r="G27" s="93">
        <f>$G$26*SIN($F$23)</f>
        <v>24.524999999999999</v>
      </c>
      <c r="H27" s="5" t="str">
        <f>H26</f>
        <v>kN</v>
      </c>
    </row>
    <row r="28" spans="4:35" ht="16.5" x14ac:dyDescent="0.45">
      <c r="D28" s="5" t="s">
        <v>255</v>
      </c>
      <c r="E28" s="19" t="s">
        <v>257</v>
      </c>
      <c r="F28" s="5" t="s">
        <v>265</v>
      </c>
      <c r="G28" s="93">
        <f>$G$26*COS($F$23)</f>
        <v>42.478546055626722</v>
      </c>
      <c r="H28" s="5" t="str">
        <f>H27</f>
        <v>kN</v>
      </c>
    </row>
    <row r="29" spans="4:35" x14ac:dyDescent="0.35">
      <c r="D29" s="5"/>
      <c r="E29" s="19"/>
      <c r="F29" s="5"/>
      <c r="G29" s="93"/>
      <c r="H29" s="5"/>
    </row>
    <row r="30" spans="4:35" ht="16.5" x14ac:dyDescent="0.45">
      <c r="D30" s="5" t="s">
        <v>297</v>
      </c>
      <c r="E30" s="19" t="s">
        <v>301</v>
      </c>
      <c r="F30" s="5" t="s">
        <v>296</v>
      </c>
      <c r="G30" s="93">
        <f>$G$28*$L$21</f>
        <v>25.487127633376033</v>
      </c>
      <c r="H30" s="5" t="str">
        <f>H28</f>
        <v>kN</v>
      </c>
    </row>
    <row r="31" spans="4:35" ht="16" customHeight="1" x14ac:dyDescent="0.45">
      <c r="D31" s="5" t="s">
        <v>298</v>
      </c>
      <c r="E31" s="19" t="s">
        <v>306</v>
      </c>
      <c r="F31" s="5" t="s">
        <v>302</v>
      </c>
      <c r="G31" s="93">
        <f>$G$27-G30</f>
        <v>-0.96212763337603491</v>
      </c>
      <c r="H31" s="5" t="str">
        <f>H30</f>
        <v>kN</v>
      </c>
      <c r="I31" t="str">
        <f>IF(G31&gt;0,"Gleiten","Haftet")</f>
        <v>Haftet</v>
      </c>
      <c r="K31" s="133" t="s">
        <v>282</v>
      </c>
      <c r="L31" s="133" t="s">
        <v>278</v>
      </c>
      <c r="M31" s="133" t="s">
        <v>279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300</v>
      </c>
      <c r="E32" s="19" t="s">
        <v>303</v>
      </c>
      <c r="F32" s="5" t="s">
        <v>299</v>
      </c>
      <c r="G32" s="93">
        <f>$G$28*$L$22</f>
        <v>8.4957092111253445</v>
      </c>
      <c r="H32" s="5" t="str">
        <f>H31</f>
        <v>kN</v>
      </c>
      <c r="K32" s="132" t="s">
        <v>283</v>
      </c>
      <c r="L32" s="132" t="s">
        <v>284</v>
      </c>
      <c r="M32" s="132" t="s">
        <v>285</v>
      </c>
      <c r="O32" s="137" t="s">
        <v>268</v>
      </c>
      <c r="P32" s="137" t="s">
        <v>309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F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ref="AG32:AI32" si="2">AF32+$S$31</f>
        <v>80</v>
      </c>
      <c r="AH32" s="5">
        <f t="shared" si="2"/>
        <v>85</v>
      </c>
      <c r="AI32" s="5">
        <f t="shared" si="2"/>
        <v>90</v>
      </c>
    </row>
    <row r="33" spans="4:37" ht="16" customHeight="1" x14ac:dyDescent="0.45">
      <c r="D33" s="5" t="s">
        <v>304</v>
      </c>
      <c r="E33" s="19" t="s">
        <v>307</v>
      </c>
      <c r="F33" s="5" t="s">
        <v>305</v>
      </c>
      <c r="G33" s="93">
        <f>$G$27-G32</f>
        <v>16.029290788874654</v>
      </c>
      <c r="H33" s="5" t="str">
        <f>H32</f>
        <v>kN</v>
      </c>
      <c r="K33" s="132" t="s">
        <v>286</v>
      </c>
      <c r="L33" s="132" t="s">
        <v>287</v>
      </c>
      <c r="M33" s="132" t="s">
        <v>288</v>
      </c>
      <c r="O33" s="137" t="s">
        <v>268</v>
      </c>
      <c r="P33" s="137" t="s">
        <v>310</v>
      </c>
      <c r="Q33" s="5">
        <f>Q32*PI()/180</f>
        <v>0</v>
      </c>
      <c r="R33" s="5">
        <f>R32*PI()/180</f>
        <v>8.7266462599716474E-2</v>
      </c>
      <c r="S33" s="5">
        <f t="shared" ref="S33:AA33" si="3">S32*PI()/180</f>
        <v>0.17453292519943295</v>
      </c>
      <c r="T33" s="5">
        <f t="shared" si="3"/>
        <v>0.26179938779914941</v>
      </c>
      <c r="U33" s="5">
        <f t="shared" si="3"/>
        <v>0.3490658503988659</v>
      </c>
      <c r="V33" s="5">
        <f t="shared" si="3"/>
        <v>0.43633231299858238</v>
      </c>
      <c r="W33" s="5">
        <f t="shared" si="3"/>
        <v>0.52359877559829882</v>
      </c>
      <c r="X33" s="5">
        <f t="shared" si="3"/>
        <v>0.6108652381980153</v>
      </c>
      <c r="Y33" s="5">
        <f t="shared" si="3"/>
        <v>0.69813170079773179</v>
      </c>
      <c r="Z33" s="5">
        <f t="shared" si="3"/>
        <v>0.78539816339744828</v>
      </c>
      <c r="AA33" s="5">
        <f t="shared" si="3"/>
        <v>0.87266462599716477</v>
      </c>
      <c r="AB33" s="5">
        <f t="shared" ref="AB33" si="4">AB32*PI()/180</f>
        <v>0.95993108859688125</v>
      </c>
      <c r="AC33" s="5">
        <f t="shared" ref="AC33" si="5">AC32*PI()/180</f>
        <v>1.0471975511965976</v>
      </c>
      <c r="AD33" s="5">
        <f t="shared" ref="AD33" si="6">AD32*PI()/180</f>
        <v>1.1344640137963142</v>
      </c>
      <c r="AE33" s="5">
        <f t="shared" ref="AE33" si="7">AE32*PI()/180</f>
        <v>1.2217304763960306</v>
      </c>
      <c r="AF33" s="5">
        <f t="shared" ref="AF33" si="8">AF32*PI()/180</f>
        <v>1.3089969389957472</v>
      </c>
      <c r="AG33" s="5">
        <f t="shared" ref="AG33" si="9">AG32*PI()/180</f>
        <v>1.3962634015954636</v>
      </c>
      <c r="AH33" s="5">
        <f t="shared" ref="AH33" si="10">AH32*PI()/180</f>
        <v>1.4835298641951802</v>
      </c>
      <c r="AI33" s="5">
        <f t="shared" ref="AI33" si="11">AI32*PI()/180</f>
        <v>1.5707963267948966</v>
      </c>
    </row>
    <row r="34" spans="4:37" ht="16" customHeight="1" x14ac:dyDescent="0.45">
      <c r="K34" s="132" t="s">
        <v>289</v>
      </c>
      <c r="L34" s="132" t="s">
        <v>288</v>
      </c>
      <c r="M34" s="132" t="s">
        <v>290</v>
      </c>
      <c r="O34" s="19" t="s">
        <v>256</v>
      </c>
      <c r="P34" s="19" t="str">
        <f>H26</f>
        <v>kN</v>
      </c>
      <c r="Q34" s="5">
        <f>$F$20*SIN(Q33)*$F$24</f>
        <v>0</v>
      </c>
      <c r="R34" s="5">
        <f t="shared" ref="R34:AI34" si="12">$F$20*SIN(R33)*$F$24</f>
        <v>4.2749891817726331</v>
      </c>
      <c r="S34" s="5">
        <f t="shared" si="12"/>
        <v>8.5174431145629335</v>
      </c>
      <c r="T34" s="5">
        <f t="shared" si="12"/>
        <v>12.695074162278642</v>
      </c>
      <c r="U34" s="5">
        <f t="shared" si="12"/>
        <v>16.77608803012405</v>
      </c>
      <c r="V34" s="5">
        <f t="shared" si="12"/>
        <v>20.729425738381309</v>
      </c>
      <c r="W34" s="5">
        <f t="shared" si="12"/>
        <v>24.524999999999999</v>
      </c>
      <c r="X34" s="5">
        <f t="shared" si="12"/>
        <v>28.133924203018811</v>
      </c>
      <c r="Y34" s="5">
        <f t="shared" si="12"/>
        <v>31.528732255124751</v>
      </c>
      <c r="Z34" s="5">
        <f t="shared" si="12"/>
        <v>34.683587617200153</v>
      </c>
      <c r="AA34" s="5">
        <f t="shared" si="12"/>
        <v>37.574479934985874</v>
      </c>
      <c r="AB34" s="5">
        <f t="shared" si="12"/>
        <v>40.179407772375043</v>
      </c>
      <c r="AC34" s="5">
        <f t="shared" si="12"/>
        <v>42.478546055626715</v>
      </c>
      <c r="AD34" s="5">
        <f t="shared" si="12"/>
        <v>44.454396954147676</v>
      </c>
      <c r="AE34" s="5">
        <f t="shared" si="12"/>
        <v>46.091923049548804</v>
      </c>
      <c r="AF34" s="5">
        <f t="shared" si="12"/>
        <v>47.378661779478804</v>
      </c>
      <c r="AG34" s="5">
        <f t="shared" si="12"/>
        <v>48.304820285248802</v>
      </c>
      <c r="AH34" s="5">
        <f t="shared" si="12"/>
        <v>48.863349941400116</v>
      </c>
      <c r="AI34" s="5">
        <f t="shared" si="12"/>
        <v>49.050000000000004</v>
      </c>
    </row>
    <row r="35" spans="4:37" ht="16" customHeight="1" x14ac:dyDescent="0.45">
      <c r="K35" s="132" t="s">
        <v>291</v>
      </c>
      <c r="L35" s="132" t="s">
        <v>292</v>
      </c>
      <c r="M35" s="132" t="s">
        <v>293</v>
      </c>
      <c r="O35" s="19" t="s">
        <v>301</v>
      </c>
      <c r="P35" s="19" t="str">
        <f>P34</f>
        <v>kN</v>
      </c>
      <c r="Q35" s="5">
        <f>$F$20*$F$24*COS(Q33)*$L$21</f>
        <v>29.43</v>
      </c>
      <c r="R35" s="5">
        <f t="shared" ref="R35:AI35" si="13">$F$20*$F$24*COS(R33)*$L$21</f>
        <v>29.318009964840073</v>
      </c>
      <c r="S35" s="5">
        <f t="shared" si="13"/>
        <v>28.982892171149285</v>
      </c>
      <c r="T35" s="5">
        <f t="shared" si="13"/>
        <v>28.427197067687281</v>
      </c>
      <c r="U35" s="5">
        <f t="shared" si="13"/>
        <v>27.655153829729286</v>
      </c>
      <c r="V35" s="5">
        <f t="shared" si="13"/>
        <v>26.672638172488607</v>
      </c>
      <c r="W35" s="5">
        <f t="shared" si="13"/>
        <v>25.487127633376033</v>
      </c>
      <c r="X35" s="5">
        <f t="shared" si="13"/>
        <v>24.107644663425031</v>
      </c>
      <c r="Y35" s="5">
        <f t="shared" si="13"/>
        <v>22.544687960991524</v>
      </c>
      <c r="Z35" s="5">
        <f t="shared" si="13"/>
        <v>20.810152570320096</v>
      </c>
      <c r="AA35" s="5">
        <f t="shared" si="13"/>
        <v>18.917239353074855</v>
      </c>
      <c r="AB35" s="5">
        <f t="shared" si="13"/>
        <v>16.880354521811292</v>
      </c>
      <c r="AC35" s="5">
        <f t="shared" si="13"/>
        <v>14.715000000000005</v>
      </c>
      <c r="AD35" s="5">
        <f t="shared" si="13"/>
        <v>12.437655443028785</v>
      </c>
      <c r="AE35" s="5">
        <f t="shared" si="13"/>
        <v>10.065652818074435</v>
      </c>
      <c r="AF35" s="5">
        <f t="shared" si="13"/>
        <v>7.6170444973671856</v>
      </c>
      <c r="AG35" s="5">
        <f t="shared" si="13"/>
        <v>5.1104658687377622</v>
      </c>
      <c r="AH35" s="5">
        <f t="shared" si="13"/>
        <v>2.5649935090635791</v>
      </c>
      <c r="AI35" s="5">
        <f t="shared" si="13"/>
        <v>1.8028059513980344E-15</v>
      </c>
    </row>
    <row r="36" spans="4:37" ht="16" customHeight="1" x14ac:dyDescent="0.45">
      <c r="K36" s="132" t="s">
        <v>294</v>
      </c>
      <c r="L36" s="132" t="s">
        <v>295</v>
      </c>
      <c r="M36" s="132" t="s">
        <v>295</v>
      </c>
      <c r="O36" s="19" t="s">
        <v>303</v>
      </c>
      <c r="P36" s="19" t="str">
        <f t="shared" ref="P36:P38" si="14">P35</f>
        <v>kN</v>
      </c>
      <c r="Q36" s="5">
        <f>$F$20*$F$24*COS(Q33)*$L$22</f>
        <v>9.8100000000000023</v>
      </c>
      <c r="R36" s="5">
        <f t="shared" ref="R36:AI36" si="15">$F$20*$F$24*COS(R33)*$L$22</f>
        <v>9.7726699882800254</v>
      </c>
      <c r="S36" s="5">
        <f t="shared" si="15"/>
        <v>9.6609640570497621</v>
      </c>
      <c r="T36" s="5">
        <f t="shared" si="15"/>
        <v>9.4757323558957616</v>
      </c>
      <c r="U36" s="5">
        <f t="shared" si="15"/>
        <v>9.2183846099097622</v>
      </c>
      <c r="V36" s="5">
        <f t="shared" si="15"/>
        <v>8.8908793908295376</v>
      </c>
      <c r="W36" s="5">
        <f t="shared" si="15"/>
        <v>8.4957092111253445</v>
      </c>
      <c r="X36" s="5">
        <f t="shared" si="15"/>
        <v>8.0358815544750097</v>
      </c>
      <c r="Y36" s="5">
        <f t="shared" si="15"/>
        <v>7.5148959869971748</v>
      </c>
      <c r="Z36" s="5">
        <f t="shared" si="15"/>
        <v>6.9367175234400325</v>
      </c>
      <c r="AA36" s="5">
        <f t="shared" si="15"/>
        <v>6.3057464510249517</v>
      </c>
      <c r="AB36" s="5">
        <f t="shared" si="15"/>
        <v>5.6267848406037642</v>
      </c>
      <c r="AC36" s="5">
        <f t="shared" si="15"/>
        <v>4.905000000000002</v>
      </c>
      <c r="AD36" s="5">
        <f t="shared" si="15"/>
        <v>4.1458851476762622</v>
      </c>
      <c r="AE36" s="5">
        <f t="shared" si="15"/>
        <v>3.3552176060248118</v>
      </c>
      <c r="AF36" s="5">
        <f t="shared" si="15"/>
        <v>2.5390148324557291</v>
      </c>
      <c r="AG36" s="5">
        <f t="shared" si="15"/>
        <v>1.7034886229125874</v>
      </c>
      <c r="AH36" s="5">
        <f t="shared" si="15"/>
        <v>0.85499783635452653</v>
      </c>
      <c r="AI36" s="5">
        <f t="shared" si="15"/>
        <v>6.0093531713267827E-16</v>
      </c>
    </row>
    <row r="37" spans="4:37" ht="16.5" x14ac:dyDescent="0.45">
      <c r="O37" s="19" t="s">
        <v>306</v>
      </c>
      <c r="P37" s="19" t="str">
        <f t="shared" si="14"/>
        <v>kN</v>
      </c>
      <c r="Q37" s="5">
        <f>Q34-Q35</f>
        <v>-29.43</v>
      </c>
      <c r="R37" s="5">
        <f t="shared" ref="R37:AI37" si="16">R34-R35</f>
        <v>-25.043020783067441</v>
      </c>
      <c r="S37" s="5">
        <f t="shared" si="16"/>
        <v>-20.465449056586351</v>
      </c>
      <c r="T37" s="5">
        <f t="shared" si="16"/>
        <v>-15.732122905408639</v>
      </c>
      <c r="U37" s="5">
        <f t="shared" si="16"/>
        <v>-10.879065799605236</v>
      </c>
      <c r="V37" s="5">
        <f t="shared" si="16"/>
        <v>-5.9432124341072985</v>
      </c>
      <c r="W37" s="5">
        <f t="shared" si="16"/>
        <v>-0.96212763337603491</v>
      </c>
      <c r="X37" s="5">
        <f t="shared" si="16"/>
        <v>4.02627953959378</v>
      </c>
      <c r="Y37" s="5">
        <f t="shared" si="16"/>
        <v>8.984044294133227</v>
      </c>
      <c r="Z37" s="5">
        <f t="shared" si="16"/>
        <v>13.873435046880058</v>
      </c>
      <c r="AA37" s="5">
        <f t="shared" si="16"/>
        <v>18.657240581911019</v>
      </c>
      <c r="AB37" s="5">
        <f t="shared" si="16"/>
        <v>23.299053250563752</v>
      </c>
      <c r="AC37" s="5">
        <f t="shared" si="16"/>
        <v>27.763546055626712</v>
      </c>
      <c r="AD37" s="5">
        <f t="shared" si="16"/>
        <v>32.016741511118894</v>
      </c>
      <c r="AE37" s="5">
        <f t="shared" si="16"/>
        <v>36.026270231474371</v>
      </c>
      <c r="AF37" s="5">
        <f t="shared" si="16"/>
        <v>39.761617282111615</v>
      </c>
      <c r="AG37" s="5">
        <f t="shared" si="16"/>
        <v>43.19435441651104</v>
      </c>
      <c r="AH37" s="5">
        <f t="shared" si="16"/>
        <v>46.29835643233654</v>
      </c>
      <c r="AI37" s="5">
        <f t="shared" si="16"/>
        <v>49.050000000000004</v>
      </c>
    </row>
    <row r="38" spans="4:37" ht="16.5" x14ac:dyDescent="0.45">
      <c r="O38" s="19" t="s">
        <v>307</v>
      </c>
      <c r="P38" s="19" t="str">
        <f t="shared" si="14"/>
        <v>kN</v>
      </c>
      <c r="Q38" s="5">
        <f>Q34-Q36</f>
        <v>-9.8100000000000023</v>
      </c>
      <c r="R38" s="5">
        <f t="shared" ref="R38:AI38" si="17">R34-R36</f>
        <v>-5.4976808065073923</v>
      </c>
      <c r="S38" s="5">
        <f t="shared" si="17"/>
        <v>-1.1435209424868287</v>
      </c>
      <c r="T38" s="5">
        <f t="shared" si="17"/>
        <v>3.2193418063828805</v>
      </c>
      <c r="U38" s="5">
        <f t="shared" si="17"/>
        <v>7.5577034202142883</v>
      </c>
      <c r="V38" s="5">
        <f t="shared" si="17"/>
        <v>11.838546347551771</v>
      </c>
      <c r="W38" s="5">
        <f t="shared" si="17"/>
        <v>16.029290788874654</v>
      </c>
      <c r="X38" s="5">
        <f t="shared" si="17"/>
        <v>20.098042648543803</v>
      </c>
      <c r="Y38" s="5">
        <f t="shared" si="17"/>
        <v>24.013836268127577</v>
      </c>
      <c r="Z38" s="5">
        <f t="shared" si="17"/>
        <v>27.746870093760123</v>
      </c>
      <c r="AA38" s="5">
        <f t="shared" si="17"/>
        <v>31.268733483960922</v>
      </c>
      <c r="AB38" s="5">
        <f t="shared" si="17"/>
        <v>34.552622931771282</v>
      </c>
      <c r="AC38" s="5">
        <f t="shared" si="17"/>
        <v>37.573546055626714</v>
      </c>
      <c r="AD38" s="5">
        <f t="shared" si="17"/>
        <v>40.308511806471415</v>
      </c>
      <c r="AE38" s="5">
        <f t="shared" si="17"/>
        <v>42.736705443523995</v>
      </c>
      <c r="AF38" s="5">
        <f t="shared" si="17"/>
        <v>44.839646947023077</v>
      </c>
      <c r="AG38" s="5">
        <f t="shared" si="17"/>
        <v>46.601331662336214</v>
      </c>
      <c r="AH38" s="5">
        <f t="shared" si="17"/>
        <v>48.008352105045589</v>
      </c>
      <c r="AI38" s="5">
        <f t="shared" si="17"/>
        <v>49.050000000000004</v>
      </c>
    </row>
    <row r="39" spans="4:37" ht="16.5" x14ac:dyDescent="0.45">
      <c r="O39" s="19" t="s">
        <v>308</v>
      </c>
      <c r="P39" s="19"/>
      <c r="Q39" s="5">
        <f>IF(Q38&gt;0,Q38/$F$20,0)</f>
        <v>0</v>
      </c>
      <c r="R39" s="5">
        <f t="shared" ref="R39:AI39" si="18">IF(R38&gt;0,R38/$F$20,0)</f>
        <v>0</v>
      </c>
      <c r="S39" s="5">
        <f t="shared" si="18"/>
        <v>0</v>
      </c>
      <c r="T39" s="5">
        <f t="shared" si="18"/>
        <v>0.6438683612765761</v>
      </c>
      <c r="U39" s="5">
        <f t="shared" si="18"/>
        <v>1.5115406840428576</v>
      </c>
      <c r="V39" s="5">
        <f t="shared" si="18"/>
        <v>2.3677092695103541</v>
      </c>
      <c r="W39" s="5">
        <f t="shared" si="18"/>
        <v>3.205858157774931</v>
      </c>
      <c r="X39" s="5">
        <f t="shared" si="18"/>
        <v>4.0196085297087603</v>
      </c>
      <c r="Y39" s="5">
        <f t="shared" si="18"/>
        <v>4.8027672536255155</v>
      </c>
      <c r="Z39" s="5">
        <f t="shared" si="18"/>
        <v>5.5493740187520242</v>
      </c>
      <c r="AA39" s="5">
        <f t="shared" si="18"/>
        <v>6.2537466967921844</v>
      </c>
      <c r="AB39" s="5">
        <f t="shared" si="18"/>
        <v>6.9105245863542564</v>
      </c>
      <c r="AC39" s="5">
        <f t="shared" si="18"/>
        <v>7.5147092111253428</v>
      </c>
      <c r="AD39" s="5">
        <f t="shared" si="18"/>
        <v>8.0617023612942837</v>
      </c>
      <c r="AE39" s="5">
        <f t="shared" si="18"/>
        <v>8.5473410887047994</v>
      </c>
      <c r="AF39" s="5">
        <f t="shared" si="18"/>
        <v>8.967929389404615</v>
      </c>
      <c r="AG39" s="5">
        <f t="shared" si="18"/>
        <v>9.3202663324672432</v>
      </c>
      <c r="AH39" s="5">
        <f t="shared" si="18"/>
        <v>9.6016704210091177</v>
      </c>
      <c r="AI39" s="5">
        <f t="shared" si="18"/>
        <v>9.81</v>
      </c>
    </row>
    <row r="40" spans="4:37" x14ac:dyDescent="0.35">
      <c r="O40" s="19" t="s">
        <v>311</v>
      </c>
      <c r="P40" s="5"/>
      <c r="Q40" s="5">
        <f>IF(Q38&gt;0,$F$24*(SIN(Q33)-$L$22*COS(Q33)),0)</f>
        <v>0</v>
      </c>
      <c r="R40" s="5">
        <f t="shared" ref="R40:AI40" si="19">IF(R38&gt;0,$F$24*(SIN(R33)-$L$22*COS(R33)),0)</f>
        <v>0</v>
      </c>
      <c r="S40" s="5">
        <f t="shared" si="19"/>
        <v>0</v>
      </c>
      <c r="T40" s="5">
        <f t="shared" si="19"/>
        <v>0.64386836127657632</v>
      </c>
      <c r="U40" s="5">
        <f>IF(U38&gt;0,$F$24*(SIN(U33)-$L$22*COS(U33)),0)</f>
        <v>1.5115406840428576</v>
      </c>
      <c r="V40" s="5">
        <f t="shared" si="19"/>
        <v>2.3677092695103545</v>
      </c>
      <c r="W40" s="5">
        <f t="shared" si="19"/>
        <v>3.205858157774931</v>
      </c>
      <c r="X40" s="5">
        <f t="shared" si="19"/>
        <v>4.0196085297087603</v>
      </c>
      <c r="Y40" s="5">
        <f t="shared" si="19"/>
        <v>4.8027672536255155</v>
      </c>
      <c r="Z40" s="5">
        <f t="shared" si="19"/>
        <v>5.5493740187520242</v>
      </c>
      <c r="AA40" s="5">
        <f t="shared" si="19"/>
        <v>6.2537466967921844</v>
      </c>
      <c r="AB40" s="5">
        <f t="shared" si="19"/>
        <v>6.9105245863542581</v>
      </c>
      <c r="AC40" s="5">
        <f t="shared" si="19"/>
        <v>7.514709211125342</v>
      </c>
      <c r="AD40" s="5">
        <f t="shared" si="19"/>
        <v>8.0617023612942837</v>
      </c>
      <c r="AE40" s="5">
        <f t="shared" si="19"/>
        <v>8.5473410887047994</v>
      </c>
      <c r="AF40" s="5">
        <f t="shared" si="19"/>
        <v>8.967929389404615</v>
      </c>
      <c r="AG40" s="5">
        <f t="shared" si="19"/>
        <v>9.3202663324672432</v>
      </c>
      <c r="AH40" s="138">
        <f t="shared" si="19"/>
        <v>9.6016704210091195</v>
      </c>
      <c r="AI40" s="138">
        <f t="shared" si="19"/>
        <v>9.81</v>
      </c>
    </row>
    <row r="41" spans="4:37" x14ac:dyDescent="0.35">
      <c r="AH41" s="5" t="s">
        <v>316</v>
      </c>
      <c r="AI41" s="93">
        <v>0</v>
      </c>
      <c r="AJ41" s="93">
        <f>$L$23</f>
        <v>30.963756532073521</v>
      </c>
      <c r="AK41" s="93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" xr:uid="{914C84CC-881B-4AD5-BC66-6A288299472A}">
      <formula1>$L$3:$L$4</formula1>
    </dataValidation>
    <dataValidation type="list" allowBlank="1" showInputMessage="1" showErrorMessage="1" sqref="G20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topLeftCell="A2" zoomScale="70" zoomScaleNormal="70" workbookViewId="0">
      <selection activeCell="X40" sqref="X40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209</v>
      </c>
      <c r="D2" s="44"/>
      <c r="L2" s="41"/>
      <c r="M2" s="111"/>
      <c r="R2" s="92" t="s">
        <v>248</v>
      </c>
      <c r="S2" s="92" t="s">
        <v>217</v>
      </c>
      <c r="T2" s="92" t="s">
        <v>225</v>
      </c>
      <c r="V2" s="92" t="s">
        <v>245</v>
      </c>
      <c r="W2" s="92"/>
      <c r="Y2" s="92" t="s">
        <v>244</v>
      </c>
      <c r="Z2" s="92"/>
      <c r="AA2" s="92"/>
      <c r="AB2" s="92"/>
      <c r="AC2" s="92"/>
    </row>
    <row r="3" spans="3:29" x14ac:dyDescent="0.35">
      <c r="R3" s="130" t="s">
        <v>249</v>
      </c>
      <c r="S3" s="5" t="s">
        <v>215</v>
      </c>
      <c r="T3" s="5" t="s">
        <v>226</v>
      </c>
      <c r="V3" s="93">
        <f>MIN(K14:L20)</f>
        <v>-20</v>
      </c>
      <c r="W3" s="93">
        <f>MAX(K14:L20)</f>
        <v>19.696155060244159</v>
      </c>
      <c r="Y3" s="5" t="s">
        <v>246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30" t="s">
        <v>250</v>
      </c>
      <c r="S4" s="5" t="s">
        <v>216</v>
      </c>
      <c r="T4" s="5" t="s">
        <v>227</v>
      </c>
      <c r="V4" s="5">
        <f>ABS(V3)</f>
        <v>20</v>
      </c>
      <c r="W4" s="5">
        <f>ABS(W3)</f>
        <v>19.696155060244159</v>
      </c>
      <c r="Y4" s="5" t="s">
        <v>247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30" t="s">
        <v>251</v>
      </c>
      <c r="S5" s="5" t="s">
        <v>219</v>
      </c>
      <c r="T5" s="5" t="s">
        <v>228</v>
      </c>
      <c r="V5" s="5">
        <f>MAX(V4:W4)</f>
        <v>20</v>
      </c>
      <c r="W5" s="5">
        <f>V5*1.1</f>
        <v>22</v>
      </c>
    </row>
    <row r="6" spans="3:29" x14ac:dyDescent="0.35">
      <c r="R6" s="5" t="s">
        <v>275</v>
      </c>
      <c r="S6" s="5"/>
      <c r="T6" s="5" t="s">
        <v>229</v>
      </c>
    </row>
    <row r="7" spans="3:29" x14ac:dyDescent="0.35">
      <c r="R7" s="5" t="s">
        <v>71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139" t="s">
        <v>230</v>
      </c>
      <c r="D12" s="139"/>
      <c r="E12" s="139"/>
      <c r="F12" s="139"/>
      <c r="G12" s="139"/>
      <c r="H12" s="75"/>
      <c r="I12" s="139" t="s">
        <v>231</v>
      </c>
      <c r="J12" s="139"/>
      <c r="K12" s="139" t="s">
        <v>226</v>
      </c>
      <c r="L12" s="139"/>
      <c r="M12" s="139" t="s">
        <v>232</v>
      </c>
      <c r="N12" s="139"/>
      <c r="O12" s="139"/>
      <c r="P12" s="140" t="s">
        <v>243</v>
      </c>
      <c r="Q12" s="140"/>
      <c r="R12" s="140"/>
      <c r="S12" s="140"/>
      <c r="T12" s="140" t="s">
        <v>276</v>
      </c>
      <c r="U12" s="140"/>
      <c r="V12" s="140"/>
      <c r="W12" s="140"/>
    </row>
    <row r="13" spans="3:29" x14ac:dyDescent="0.35">
      <c r="C13" s="120" t="s">
        <v>210</v>
      </c>
      <c r="D13" s="120" t="s">
        <v>212</v>
      </c>
      <c r="E13" s="120" t="s">
        <v>211</v>
      </c>
      <c r="F13" s="120" t="s">
        <v>213</v>
      </c>
      <c r="G13" s="120" t="s">
        <v>214</v>
      </c>
      <c r="H13" s="120" t="s">
        <v>248</v>
      </c>
      <c r="I13" s="120" t="s">
        <v>225</v>
      </c>
      <c r="J13" s="120" t="s">
        <v>222</v>
      </c>
      <c r="K13" s="120" t="s">
        <v>223</v>
      </c>
      <c r="L13" s="120" t="s">
        <v>224</v>
      </c>
      <c r="M13" s="120" t="s">
        <v>220</v>
      </c>
      <c r="N13" s="120" t="s">
        <v>221</v>
      </c>
      <c r="O13" s="120" t="s">
        <v>222</v>
      </c>
      <c r="P13" s="120" t="s">
        <v>239</v>
      </c>
      <c r="Q13" s="120" t="s">
        <v>240</v>
      </c>
      <c r="R13" s="120" t="s">
        <v>241</v>
      </c>
      <c r="S13" s="120" t="s">
        <v>242</v>
      </c>
      <c r="T13" s="120" t="s">
        <v>239</v>
      </c>
      <c r="U13" s="120" t="s">
        <v>240</v>
      </c>
      <c r="V13" s="120" t="s">
        <v>241</v>
      </c>
      <c r="W13" s="120" t="s">
        <v>242</v>
      </c>
    </row>
    <row r="14" spans="3:29" x14ac:dyDescent="0.35">
      <c r="C14" s="4" t="s">
        <v>218</v>
      </c>
      <c r="D14" s="4">
        <v>5</v>
      </c>
      <c r="E14" s="112" t="s">
        <v>219</v>
      </c>
      <c r="F14" s="4">
        <v>5</v>
      </c>
      <c r="G14" s="4" t="s">
        <v>219</v>
      </c>
      <c r="H14" s="123"/>
      <c r="I14" s="5" t="str">
        <f>IF(AND(E14=$S$5,G14=$S$5),$T$3,IF(AND(E14=$S$5,G14=$S$4),$T$4,IF(AND(E14=$S$5,G14=$S$3),$T$5,$T$6)))</f>
        <v>Kartesisch</v>
      </c>
      <c r="J14" s="93" t="str">
        <f>IF(I14=$T$5,F14*PI()/180,IF(I14=$T$4,F14,""))</f>
        <v/>
      </c>
      <c r="K14" s="121">
        <f>IF(I14=$T$3,D14,D14*COS(J14))</f>
        <v>5</v>
      </c>
      <c r="L14" s="121">
        <f>IF(I14=$T$3,F14,D14*SIN(J14))</f>
        <v>5</v>
      </c>
      <c r="M14" s="122">
        <f>SQRT(K14^2 + L14^2)</f>
        <v>7.0710678118654755</v>
      </c>
      <c r="N14" s="122">
        <f>DEGREES(ATAN2(K14,L14))</f>
        <v>45</v>
      </c>
      <c r="O14" s="122">
        <f>ATAN2(K14,L14)</f>
        <v>0.78539816339744828</v>
      </c>
      <c r="P14" s="93">
        <v>0</v>
      </c>
      <c r="Q14" s="93">
        <f>K14</f>
        <v>5</v>
      </c>
      <c r="R14" s="93">
        <v>0</v>
      </c>
      <c r="S14" s="93">
        <f>L14</f>
        <v>5</v>
      </c>
      <c r="T14" s="131"/>
      <c r="U14" s="131"/>
      <c r="V14" s="131"/>
      <c r="W14" s="131"/>
    </row>
    <row r="15" spans="3:29" x14ac:dyDescent="0.35">
      <c r="C15" s="4" t="s">
        <v>233</v>
      </c>
      <c r="D15" s="4">
        <v>10</v>
      </c>
      <c r="E15" s="112" t="s">
        <v>219</v>
      </c>
      <c r="F15" s="4">
        <v>-12</v>
      </c>
      <c r="G15" s="4" t="s">
        <v>219</v>
      </c>
      <c r="H15" s="124" t="s">
        <v>249</v>
      </c>
      <c r="I15" s="5" t="str">
        <f t="shared" ref="I15:I20" si="0">IF(AND(E15=$S$5,G15=$S$5),$T$3,IF(AND(E15=$S$5,G15=$S$4),$T$4,IF(AND(E15=$S$5,G15=$S$3),$T$5,$T$6)))</f>
        <v>Kartesisch</v>
      </c>
      <c r="J15" s="93" t="str">
        <f t="shared" ref="J15:J20" si="1">IF(I15=$T$5,F15*PI()/180,IF(I15=$T$4,F15,""))</f>
        <v/>
      </c>
      <c r="K15" s="121">
        <f t="shared" ref="K15:K20" si="2">IF(I15=$T$3,D15,D15*COS(J15))</f>
        <v>10</v>
      </c>
      <c r="L15" s="121">
        <f t="shared" ref="L15:L20" si="3">IF(I15=$T$3,F15,D15*SIN(J15))</f>
        <v>-12</v>
      </c>
      <c r="M15" s="122">
        <f t="shared" ref="M15:M20" si="4">SQRT(K15^2 + L15^2)</f>
        <v>15.620499351813308</v>
      </c>
      <c r="N15" s="122">
        <f t="shared" ref="N15:N20" si="5">DEGREES(ATAN2(K15,L15))</f>
        <v>-50.19442890773481</v>
      </c>
      <c r="O15" s="122">
        <f t="shared" ref="O15:O20" si="6">ATAN2(K15,L15)</f>
        <v>-0.87605805059819342</v>
      </c>
      <c r="P15" s="93">
        <f t="shared" ref="P15:P20" si="7">IF(H15=$R$6,0,IF(H15=$R$3,Q14,0))</f>
        <v>5</v>
      </c>
      <c r="Q15" s="93">
        <f t="shared" ref="Q15:Q20" si="8">IF(H15=$R$6,0,IF(H15=$R$3,K15+Q14,K15))</f>
        <v>15</v>
      </c>
      <c r="R15" s="93">
        <f t="shared" ref="R15:R20" si="9">IF(H15=$R$6,0,IF(H15=$R$3,S14,0))</f>
        <v>5</v>
      </c>
      <c r="S15" s="93">
        <f t="shared" ref="S15:S20" si="10">IF(H15=$R$6,0,IF(H15=$R$3,S14+L15,L15))</f>
        <v>-7</v>
      </c>
      <c r="T15" s="93">
        <v>0</v>
      </c>
      <c r="U15" s="93">
        <v>0</v>
      </c>
      <c r="V15" s="93">
        <f>IF(P15&lt;&gt;0,Q15,0)</f>
        <v>15</v>
      </c>
      <c r="W15" s="93">
        <f>IF(R15&lt;&gt;0,S15,0)</f>
        <v>-7</v>
      </c>
    </row>
    <row r="16" spans="3:29" x14ac:dyDescent="0.35">
      <c r="C16" s="4" t="s">
        <v>234</v>
      </c>
      <c r="D16" s="4">
        <v>-8</v>
      </c>
      <c r="E16" s="112" t="s">
        <v>219</v>
      </c>
      <c r="F16" s="4">
        <v>15</v>
      </c>
      <c r="G16" s="4" t="s">
        <v>219</v>
      </c>
      <c r="H16" s="124" t="s">
        <v>249</v>
      </c>
      <c r="I16" s="5" t="str">
        <f t="shared" si="0"/>
        <v>Kartesisch</v>
      </c>
      <c r="J16" s="93" t="str">
        <f t="shared" si="1"/>
        <v/>
      </c>
      <c r="K16" s="121">
        <f t="shared" si="2"/>
        <v>-8</v>
      </c>
      <c r="L16" s="121">
        <f t="shared" si="3"/>
        <v>15</v>
      </c>
      <c r="M16" s="122">
        <f t="shared" si="4"/>
        <v>17</v>
      </c>
      <c r="N16" s="122">
        <f t="shared" si="5"/>
        <v>118.07248693585296</v>
      </c>
      <c r="O16" s="122">
        <f t="shared" si="6"/>
        <v>2.060753653048625</v>
      </c>
      <c r="P16" s="93">
        <f t="shared" si="7"/>
        <v>15</v>
      </c>
      <c r="Q16" s="93">
        <f t="shared" si="8"/>
        <v>7</v>
      </c>
      <c r="R16" s="93">
        <f t="shared" si="9"/>
        <v>-7</v>
      </c>
      <c r="S16" s="93">
        <f t="shared" si="10"/>
        <v>8</v>
      </c>
      <c r="T16" s="93">
        <v>0</v>
      </c>
      <c r="U16" s="93">
        <v>0</v>
      </c>
      <c r="V16" s="93">
        <f t="shared" ref="V16:V20" si="11">IF(P16&lt;&gt;0,Q16,0)</f>
        <v>7</v>
      </c>
      <c r="W16" s="93">
        <f t="shared" ref="W16:W20" si="12">IF(R16&lt;&gt;0,S16,0)</f>
        <v>8</v>
      </c>
    </row>
    <row r="17" spans="3:23" x14ac:dyDescent="0.35">
      <c r="C17" s="4" t="s">
        <v>235</v>
      </c>
      <c r="D17" s="4">
        <v>-10</v>
      </c>
      <c r="E17" s="112" t="s">
        <v>219</v>
      </c>
      <c r="F17" s="4">
        <v>-20</v>
      </c>
      <c r="G17" s="4" t="s">
        <v>219</v>
      </c>
      <c r="H17" s="124" t="s">
        <v>249</v>
      </c>
      <c r="I17" s="5" t="str">
        <f t="shared" si="0"/>
        <v>Kartesisch</v>
      </c>
      <c r="J17" s="93" t="str">
        <f t="shared" si="1"/>
        <v/>
      </c>
      <c r="K17" s="121">
        <f t="shared" si="2"/>
        <v>-10</v>
      </c>
      <c r="L17" s="121">
        <f t="shared" si="3"/>
        <v>-20</v>
      </c>
      <c r="M17" s="122">
        <f t="shared" si="4"/>
        <v>22.360679774997898</v>
      </c>
      <c r="N17" s="122">
        <f t="shared" si="5"/>
        <v>-116.56505117707799</v>
      </c>
      <c r="O17" s="122">
        <f t="shared" si="6"/>
        <v>-2.0344439357957027</v>
      </c>
      <c r="P17" s="93">
        <f t="shared" si="7"/>
        <v>7</v>
      </c>
      <c r="Q17" s="93">
        <f t="shared" si="8"/>
        <v>-3</v>
      </c>
      <c r="R17" s="93">
        <f t="shared" si="9"/>
        <v>8</v>
      </c>
      <c r="S17" s="93">
        <f t="shared" si="10"/>
        <v>-12</v>
      </c>
      <c r="T17" s="93">
        <v>0</v>
      </c>
      <c r="U17" s="93">
        <v>0</v>
      </c>
      <c r="V17" s="93">
        <f t="shared" si="11"/>
        <v>-3</v>
      </c>
      <c r="W17" s="93">
        <f t="shared" si="12"/>
        <v>-12</v>
      </c>
    </row>
    <row r="18" spans="3:23" x14ac:dyDescent="0.35">
      <c r="C18" s="4" t="s">
        <v>236</v>
      </c>
      <c r="D18" s="4">
        <v>20</v>
      </c>
      <c r="E18" s="112" t="s">
        <v>219</v>
      </c>
      <c r="F18" s="4">
        <v>100</v>
      </c>
      <c r="G18" s="4" t="s">
        <v>215</v>
      </c>
      <c r="H18" s="124" t="s">
        <v>249</v>
      </c>
      <c r="I18" s="5" t="str">
        <f t="shared" si="0"/>
        <v>Polar [°]</v>
      </c>
      <c r="J18" s="93">
        <f t="shared" si="1"/>
        <v>1.7453292519943295</v>
      </c>
      <c r="K18" s="121">
        <f t="shared" si="2"/>
        <v>-3.4729635533386061</v>
      </c>
      <c r="L18" s="121">
        <f t="shared" si="3"/>
        <v>19.696155060244159</v>
      </c>
      <c r="M18" s="122">
        <f t="shared" si="4"/>
        <v>19.999999999999996</v>
      </c>
      <c r="N18" s="122">
        <f t="shared" si="5"/>
        <v>100</v>
      </c>
      <c r="O18" s="122">
        <f t="shared" si="6"/>
        <v>1.7453292519943295</v>
      </c>
      <c r="P18" s="93">
        <f t="shared" si="7"/>
        <v>-3</v>
      </c>
      <c r="Q18" s="93">
        <f t="shared" si="8"/>
        <v>-6.4729635533386061</v>
      </c>
      <c r="R18" s="93">
        <f t="shared" si="9"/>
        <v>-12</v>
      </c>
      <c r="S18" s="93">
        <f t="shared" si="10"/>
        <v>7.6961550602441591</v>
      </c>
      <c r="T18" s="93">
        <v>0</v>
      </c>
      <c r="U18" s="93">
        <v>0</v>
      </c>
      <c r="V18" s="93">
        <f t="shared" si="11"/>
        <v>-6.4729635533386061</v>
      </c>
      <c r="W18" s="93">
        <f t="shared" si="12"/>
        <v>7.6961550602441591</v>
      </c>
    </row>
    <row r="19" spans="3:23" x14ac:dyDescent="0.35">
      <c r="C19" s="4" t="s">
        <v>237</v>
      </c>
      <c r="D19" s="4">
        <v>20</v>
      </c>
      <c r="E19" s="112" t="s">
        <v>219</v>
      </c>
      <c r="F19" s="4">
        <v>180</v>
      </c>
      <c r="G19" s="4" t="s">
        <v>215</v>
      </c>
      <c r="H19" s="124" t="s">
        <v>275</v>
      </c>
      <c r="I19" s="5" t="str">
        <f t="shared" si="0"/>
        <v>Polar [°]</v>
      </c>
      <c r="J19" s="93">
        <f t="shared" si="1"/>
        <v>3.1415926535897931</v>
      </c>
      <c r="K19" s="121">
        <f t="shared" si="2"/>
        <v>-20</v>
      </c>
      <c r="L19" s="121">
        <f t="shared" si="3"/>
        <v>2.45029690981724E-15</v>
      </c>
      <c r="M19" s="122">
        <f t="shared" si="4"/>
        <v>20</v>
      </c>
      <c r="N19" s="122">
        <f t="shared" si="5"/>
        <v>180</v>
      </c>
      <c r="O19" s="122">
        <f t="shared" si="6"/>
        <v>3.1415926535897931</v>
      </c>
      <c r="P19" s="93">
        <f t="shared" si="7"/>
        <v>0</v>
      </c>
      <c r="Q19" s="93">
        <f t="shared" si="8"/>
        <v>0</v>
      </c>
      <c r="R19" s="93">
        <f t="shared" si="9"/>
        <v>0</v>
      </c>
      <c r="S19" s="93">
        <f t="shared" si="10"/>
        <v>0</v>
      </c>
      <c r="T19" s="93">
        <v>0</v>
      </c>
      <c r="U19" s="93">
        <v>0</v>
      </c>
      <c r="V19" s="93">
        <f t="shared" si="11"/>
        <v>0</v>
      </c>
      <c r="W19" s="93">
        <f t="shared" si="12"/>
        <v>0</v>
      </c>
    </row>
    <row r="20" spans="3:23" x14ac:dyDescent="0.35">
      <c r="C20" s="4" t="s">
        <v>238</v>
      </c>
      <c r="D20" s="4">
        <v>20</v>
      </c>
      <c r="E20" s="112" t="s">
        <v>219</v>
      </c>
      <c r="F20" s="4">
        <v>6.5</v>
      </c>
      <c r="G20" s="4" t="s">
        <v>216</v>
      </c>
      <c r="H20" s="124" t="s">
        <v>275</v>
      </c>
      <c r="I20" s="5" t="str">
        <f t="shared" si="0"/>
        <v>Polar [rad]</v>
      </c>
      <c r="J20" s="93">
        <f t="shared" si="1"/>
        <v>6.5</v>
      </c>
      <c r="K20" s="121">
        <f t="shared" si="2"/>
        <v>19.53175251456047</v>
      </c>
      <c r="L20" s="121">
        <f t="shared" si="3"/>
        <v>4.3023997617563108</v>
      </c>
      <c r="M20" s="122">
        <f t="shared" si="4"/>
        <v>20</v>
      </c>
      <c r="N20" s="122">
        <f t="shared" si="5"/>
        <v>12.422566835035086</v>
      </c>
      <c r="O20" s="122">
        <f t="shared" si="6"/>
        <v>0.21681469282041352</v>
      </c>
      <c r="P20" s="93">
        <f t="shared" si="7"/>
        <v>0</v>
      </c>
      <c r="Q20" s="93">
        <f t="shared" si="8"/>
        <v>0</v>
      </c>
      <c r="R20" s="93">
        <f t="shared" si="9"/>
        <v>0</v>
      </c>
      <c r="S20" s="93">
        <f t="shared" si="10"/>
        <v>0</v>
      </c>
      <c r="T20" s="93">
        <v>0</v>
      </c>
      <c r="U20" s="93">
        <v>0</v>
      </c>
      <c r="V20" s="93">
        <f t="shared" si="11"/>
        <v>0</v>
      </c>
      <c r="W20" s="93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topLeftCell="A8" zoomScale="55" zoomScaleNormal="55" workbookViewId="0">
      <selection activeCell="Q18" sqref="Q18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204</v>
      </c>
      <c r="J2" s="111">
        <f ca="1">NOW()</f>
        <v>45781.768148958334</v>
      </c>
    </row>
    <row r="3" spans="1:11" ht="26" x14ac:dyDescent="0.6">
      <c r="C3" s="44"/>
      <c r="D3" s="44"/>
      <c r="I3" s="41"/>
      <c r="J3" s="111"/>
    </row>
    <row r="4" spans="1:11" ht="28.5" customHeight="1" x14ac:dyDescent="0.35">
      <c r="A4" s="112" t="s">
        <v>205</v>
      </c>
      <c r="B4" s="112" t="s">
        <v>199</v>
      </c>
      <c r="C4" s="112" t="str">
        <f ca="1">_xlfn.CONCAT("Geburtstag im ",YEAR(J2))</f>
        <v>Geburtstag im 2025</v>
      </c>
      <c r="D4" s="112" t="s">
        <v>208</v>
      </c>
      <c r="E4" s="118" t="s">
        <v>206</v>
      </c>
      <c r="F4" s="118" t="s">
        <v>207</v>
      </c>
      <c r="G4" s="112" t="s">
        <v>199</v>
      </c>
      <c r="H4" s="112" t="s">
        <v>200</v>
      </c>
      <c r="I4" s="112" t="s">
        <v>201</v>
      </c>
      <c r="J4" s="112" t="s">
        <v>202</v>
      </c>
      <c r="K4" s="112" t="s">
        <v>203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13" t="str">
        <f t="shared" ref="B5:B34" si="1">_xlfn.CONCAT(TEXT(DAY(G5),"00"),".",TEXT(G5,"MMMM"))</f>
        <v>01.Januar</v>
      </c>
      <c r="C5" s="117">
        <f t="shared" ref="C5:C34" ca="1" si="2">DATE(YEAR($J$2),MONTH(G5),DAY(G5))</f>
        <v>45658</v>
      </c>
      <c r="D5" s="117">
        <f t="shared" ref="D5:D34" ca="1" si="3">IF(C5&lt;$J$2,DATE(YEAR($J$2)+1,MONTH(G5),DAY(G5)),DATE(YEAR($J$2),MONTH(G5),DAY(G5)))</f>
        <v>46023</v>
      </c>
      <c r="E5" s="114">
        <f t="shared" ref="E5:E34" ca="1" si="4">YEAR($J$2) - YEAR(G5) - IF(C5&gt;$J$2,1,0)</f>
        <v>62</v>
      </c>
      <c r="F5" s="115">
        <f t="shared" ref="F5:F34" ca="1" si="5">YEAR($J$2) - YEAR(G5)</f>
        <v>62</v>
      </c>
      <c r="G5" s="116">
        <v>23012</v>
      </c>
      <c r="H5" s="5" t="s">
        <v>140</v>
      </c>
      <c r="I5" s="5" t="s">
        <v>141</v>
      </c>
      <c r="J5" s="5" t="s">
        <v>180</v>
      </c>
      <c r="K5" s="96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13" t="str">
        <f t="shared" si="1"/>
        <v>02.Januar</v>
      </c>
      <c r="C6" s="117">
        <f t="shared" ca="1" si="2"/>
        <v>45659</v>
      </c>
      <c r="D6" s="117">
        <f t="shared" ca="1" si="3"/>
        <v>46024</v>
      </c>
      <c r="E6" s="114">
        <f t="shared" ca="1" si="4"/>
        <v>38</v>
      </c>
      <c r="F6" s="115">
        <f t="shared" ca="1" si="5"/>
        <v>38</v>
      </c>
      <c r="G6" s="116" t="s">
        <v>145</v>
      </c>
      <c r="H6" s="5" t="s">
        <v>142</v>
      </c>
      <c r="I6" s="5" t="s">
        <v>146</v>
      </c>
      <c r="J6" s="5" t="s">
        <v>147</v>
      </c>
      <c r="K6" s="96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13" t="str">
        <f t="shared" si="1"/>
        <v>02.Januar</v>
      </c>
      <c r="C7" s="117">
        <f t="shared" ca="1" si="2"/>
        <v>45659</v>
      </c>
      <c r="D7" s="117">
        <f t="shared" ca="1" si="3"/>
        <v>46024</v>
      </c>
      <c r="E7" s="114">
        <f t="shared" ca="1" si="4"/>
        <v>33</v>
      </c>
      <c r="F7" s="115">
        <f t="shared" ca="1" si="5"/>
        <v>33</v>
      </c>
      <c r="G7" s="116" t="s">
        <v>150</v>
      </c>
      <c r="H7" s="5" t="s">
        <v>142</v>
      </c>
      <c r="I7" s="5" t="s">
        <v>151</v>
      </c>
      <c r="J7" s="5" t="s">
        <v>144</v>
      </c>
      <c r="K7" s="96" t="str">
        <f t="shared" ca="1" si="6"/>
        <v>Schon Geburtstag gehabt</v>
      </c>
    </row>
    <row r="8" spans="1:11" x14ac:dyDescent="0.35">
      <c r="A8" s="5" t="str">
        <f t="shared" si="0"/>
        <v>01_06</v>
      </c>
      <c r="B8" s="113" t="str">
        <f t="shared" si="1"/>
        <v>06.Januar</v>
      </c>
      <c r="C8" s="117">
        <f t="shared" ca="1" si="2"/>
        <v>45663</v>
      </c>
      <c r="D8" s="117">
        <f t="shared" ca="1" si="3"/>
        <v>46028</v>
      </c>
      <c r="E8" s="114">
        <f t="shared" ca="1" si="4"/>
        <v>37</v>
      </c>
      <c r="F8" s="115">
        <f t="shared" ca="1" si="5"/>
        <v>37</v>
      </c>
      <c r="G8" s="116" t="s">
        <v>152</v>
      </c>
      <c r="H8" s="5" t="s">
        <v>142</v>
      </c>
      <c r="I8" s="5" t="s">
        <v>153</v>
      </c>
      <c r="J8" s="5" t="s">
        <v>185</v>
      </c>
      <c r="K8" s="96" t="str">
        <f t="shared" ca="1" si="6"/>
        <v>Schon Geburtstag gehabt</v>
      </c>
    </row>
    <row r="9" spans="1:11" x14ac:dyDescent="0.35">
      <c r="A9" s="5" t="str">
        <f t="shared" si="0"/>
        <v>01_07</v>
      </c>
      <c r="B9" s="113" t="str">
        <f t="shared" si="1"/>
        <v>07.Januar</v>
      </c>
      <c r="C9" s="117">
        <f t="shared" ca="1" si="2"/>
        <v>45664</v>
      </c>
      <c r="D9" s="117">
        <f t="shared" ca="1" si="3"/>
        <v>46029</v>
      </c>
      <c r="E9" s="114">
        <f t="shared" ca="1" si="4"/>
        <v>49</v>
      </c>
      <c r="F9" s="115">
        <f t="shared" ca="1" si="5"/>
        <v>49</v>
      </c>
      <c r="G9" s="116" t="s">
        <v>155</v>
      </c>
      <c r="H9" s="5" t="s">
        <v>140</v>
      </c>
      <c r="I9" s="5" t="s">
        <v>156</v>
      </c>
      <c r="J9" s="5" t="s">
        <v>154</v>
      </c>
      <c r="K9" s="96" t="str">
        <f t="shared" ca="1" si="6"/>
        <v>Schon Geburtstag gehabt</v>
      </c>
    </row>
    <row r="10" spans="1:11" x14ac:dyDescent="0.35">
      <c r="A10" s="5" t="str">
        <f t="shared" si="0"/>
        <v>01_09</v>
      </c>
      <c r="B10" s="113" t="str">
        <f t="shared" si="1"/>
        <v>09.Januar</v>
      </c>
      <c r="C10" s="117">
        <f t="shared" ca="1" si="2"/>
        <v>45666</v>
      </c>
      <c r="D10" s="117">
        <f t="shared" ca="1" si="3"/>
        <v>46031</v>
      </c>
      <c r="E10" s="114">
        <f t="shared" ca="1" si="4"/>
        <v>60</v>
      </c>
      <c r="F10" s="115">
        <f t="shared" ca="1" si="5"/>
        <v>60</v>
      </c>
      <c r="G10" s="116" t="s">
        <v>157</v>
      </c>
      <c r="H10" s="5" t="s">
        <v>140</v>
      </c>
      <c r="I10" s="5" t="s">
        <v>158</v>
      </c>
      <c r="J10" s="5" t="s">
        <v>186</v>
      </c>
      <c r="K10" s="96" t="str">
        <f t="shared" ca="1" si="6"/>
        <v>Schon Geburtstag gehabt</v>
      </c>
    </row>
    <row r="11" spans="1:11" x14ac:dyDescent="0.35">
      <c r="A11" s="5" t="str">
        <f t="shared" si="0"/>
        <v>01_09</v>
      </c>
      <c r="B11" s="113" t="str">
        <f t="shared" si="1"/>
        <v>09.Januar</v>
      </c>
      <c r="C11" s="117">
        <f t="shared" ca="1" si="2"/>
        <v>45666</v>
      </c>
      <c r="D11" s="117">
        <f t="shared" ca="1" si="3"/>
        <v>46031</v>
      </c>
      <c r="E11" s="114">
        <f t="shared" ca="1" si="4"/>
        <v>67</v>
      </c>
      <c r="F11" s="115">
        <f t="shared" ca="1" si="5"/>
        <v>67</v>
      </c>
      <c r="G11" s="116" t="s">
        <v>160</v>
      </c>
      <c r="H11" s="5" t="s">
        <v>142</v>
      </c>
      <c r="I11" s="5" t="s">
        <v>161</v>
      </c>
      <c r="J11" s="5" t="s">
        <v>154</v>
      </c>
      <c r="K11" s="96" t="str">
        <f t="shared" ca="1" si="6"/>
        <v>Schon Geburtstag gehabt</v>
      </c>
    </row>
    <row r="12" spans="1:11" x14ac:dyDescent="0.35">
      <c r="A12" s="5" t="str">
        <f t="shared" si="0"/>
        <v>01_10</v>
      </c>
      <c r="B12" s="113" t="str">
        <f t="shared" si="1"/>
        <v>10.Januar</v>
      </c>
      <c r="C12" s="117">
        <f t="shared" ca="1" si="2"/>
        <v>45667</v>
      </c>
      <c r="D12" s="117">
        <f t="shared" ca="1" si="3"/>
        <v>46032</v>
      </c>
      <c r="E12" s="114">
        <f t="shared" ca="1" si="4"/>
        <v>28</v>
      </c>
      <c r="F12" s="115">
        <f t="shared" ca="1" si="5"/>
        <v>28</v>
      </c>
      <c r="G12" s="116" t="s">
        <v>162</v>
      </c>
      <c r="H12" s="5" t="s">
        <v>142</v>
      </c>
      <c r="I12" s="5" t="s">
        <v>153</v>
      </c>
      <c r="J12" s="5" t="s">
        <v>188</v>
      </c>
      <c r="K12" s="96" t="str">
        <f t="shared" ca="1" si="6"/>
        <v>Schon Geburtstag gehabt</v>
      </c>
    </row>
    <row r="13" spans="1:11" x14ac:dyDescent="0.35">
      <c r="A13" s="5" t="str">
        <f t="shared" si="0"/>
        <v>01_11</v>
      </c>
      <c r="B13" s="113" t="str">
        <f t="shared" si="1"/>
        <v>11.Januar</v>
      </c>
      <c r="C13" s="117">
        <f t="shared" ca="1" si="2"/>
        <v>45668</v>
      </c>
      <c r="D13" s="117">
        <f t="shared" ca="1" si="3"/>
        <v>46033</v>
      </c>
      <c r="E13" s="114">
        <f t="shared" ca="1" si="4"/>
        <v>61</v>
      </c>
      <c r="F13" s="115">
        <f t="shared" ca="1" si="5"/>
        <v>61</v>
      </c>
      <c r="G13" s="116" t="s">
        <v>166</v>
      </c>
      <c r="H13" s="5" t="s">
        <v>140</v>
      </c>
      <c r="I13" s="5" t="s">
        <v>167</v>
      </c>
      <c r="J13" s="5" t="s">
        <v>191</v>
      </c>
      <c r="K13" s="96" t="str">
        <f t="shared" ca="1" si="6"/>
        <v>Schon Geburtstag gehabt</v>
      </c>
    </row>
    <row r="14" spans="1:11" x14ac:dyDescent="0.35">
      <c r="A14" s="5" t="str">
        <f t="shared" si="0"/>
        <v>01_11</v>
      </c>
      <c r="B14" s="113" t="str">
        <f t="shared" si="1"/>
        <v>11.Januar</v>
      </c>
      <c r="C14" s="117">
        <f t="shared" ca="1" si="2"/>
        <v>45668</v>
      </c>
      <c r="D14" s="117">
        <f t="shared" ca="1" si="3"/>
        <v>46033</v>
      </c>
      <c r="E14" s="114">
        <f t="shared" ca="1" si="4"/>
        <v>42</v>
      </c>
      <c r="F14" s="115">
        <f t="shared" ca="1" si="5"/>
        <v>42</v>
      </c>
      <c r="G14" s="116" t="s">
        <v>169</v>
      </c>
      <c r="H14" s="5" t="s">
        <v>142</v>
      </c>
      <c r="I14" s="5" t="s">
        <v>170</v>
      </c>
      <c r="J14" s="5" t="s">
        <v>193</v>
      </c>
      <c r="K14" s="96" t="str">
        <f t="shared" ca="1" si="6"/>
        <v>Schon Geburtstag gehabt</v>
      </c>
    </row>
    <row r="15" spans="1:11" x14ac:dyDescent="0.35">
      <c r="A15" s="5" t="str">
        <f t="shared" si="0"/>
        <v>01_14</v>
      </c>
      <c r="B15" s="113" t="str">
        <f t="shared" si="1"/>
        <v>14.Januar</v>
      </c>
      <c r="C15" s="117">
        <f t="shared" ca="1" si="2"/>
        <v>45671</v>
      </c>
      <c r="D15" s="117">
        <f t="shared" ca="1" si="3"/>
        <v>46036</v>
      </c>
      <c r="E15" s="114">
        <f t="shared" ca="1" si="4"/>
        <v>65</v>
      </c>
      <c r="F15" s="115">
        <f t="shared" ca="1" si="5"/>
        <v>65</v>
      </c>
      <c r="G15" s="116" t="s">
        <v>175</v>
      </c>
      <c r="H15" s="5" t="s">
        <v>142</v>
      </c>
      <c r="I15" s="5" t="s">
        <v>176</v>
      </c>
      <c r="J15" s="5" t="s">
        <v>196</v>
      </c>
      <c r="K15" s="96" t="str">
        <f t="shared" ca="1" si="6"/>
        <v>Schon Geburtstag gehabt</v>
      </c>
    </row>
    <row r="16" spans="1:11" x14ac:dyDescent="0.35">
      <c r="A16" s="5" t="str">
        <f t="shared" si="0"/>
        <v>01_15</v>
      </c>
      <c r="B16" s="113" t="str">
        <f t="shared" si="1"/>
        <v>15.Januar</v>
      </c>
      <c r="C16" s="117">
        <f t="shared" ca="1" si="2"/>
        <v>45672</v>
      </c>
      <c r="D16" s="117">
        <f t="shared" ca="1" si="3"/>
        <v>46037</v>
      </c>
      <c r="E16" s="114">
        <f t="shared" ca="1" si="4"/>
        <v>45</v>
      </c>
      <c r="F16" s="115">
        <f t="shared" ca="1" si="5"/>
        <v>45</v>
      </c>
      <c r="G16" s="116" t="s">
        <v>178</v>
      </c>
      <c r="H16" s="5" t="s">
        <v>142</v>
      </c>
      <c r="I16" s="5" t="s">
        <v>179</v>
      </c>
      <c r="J16" s="5" t="s">
        <v>154</v>
      </c>
      <c r="K16" s="96" t="str">
        <f t="shared" ca="1" si="6"/>
        <v>Schon Geburtstag gehabt</v>
      </c>
    </row>
    <row r="17" spans="1:11" x14ac:dyDescent="0.35">
      <c r="A17" s="5" t="str">
        <f t="shared" si="0"/>
        <v>02_09</v>
      </c>
      <c r="B17" s="113" t="str">
        <f t="shared" si="1"/>
        <v>09.Februar</v>
      </c>
      <c r="C17" s="117">
        <f t="shared" ca="1" si="2"/>
        <v>45697</v>
      </c>
      <c r="D17" s="117">
        <f t="shared" ca="1" si="3"/>
        <v>46062</v>
      </c>
      <c r="E17" s="114">
        <f t="shared" ca="1" si="4"/>
        <v>80</v>
      </c>
      <c r="F17" s="115">
        <f t="shared" ca="1" si="5"/>
        <v>80</v>
      </c>
      <c r="G17" s="116">
        <v>16477</v>
      </c>
      <c r="H17" s="5" t="s">
        <v>140</v>
      </c>
      <c r="I17" s="5" t="s">
        <v>159</v>
      </c>
      <c r="J17" s="5" t="s">
        <v>187</v>
      </c>
      <c r="K17" s="96" t="str">
        <f t="shared" ca="1" si="6"/>
        <v>Schon Geburtstag gehabt</v>
      </c>
    </row>
    <row r="18" spans="1:11" x14ac:dyDescent="0.35">
      <c r="A18" s="5" t="str">
        <f t="shared" si="0"/>
        <v>02_14</v>
      </c>
      <c r="B18" s="113" t="str">
        <f t="shared" si="1"/>
        <v>14.Februar</v>
      </c>
      <c r="C18" s="117">
        <f t="shared" ca="1" si="2"/>
        <v>45702</v>
      </c>
      <c r="D18" s="117">
        <f t="shared" ca="1" si="3"/>
        <v>46067</v>
      </c>
      <c r="E18" s="114">
        <f t="shared" ca="1" si="4"/>
        <v>52</v>
      </c>
      <c r="F18" s="115">
        <f t="shared" ca="1" si="5"/>
        <v>52</v>
      </c>
      <c r="G18" s="116">
        <v>26709</v>
      </c>
      <c r="H18" s="5" t="s">
        <v>142</v>
      </c>
      <c r="I18" s="5" t="s">
        <v>174</v>
      </c>
      <c r="J18" s="5" t="s">
        <v>195</v>
      </c>
      <c r="K18" s="96" t="str">
        <f t="shared" ca="1" si="6"/>
        <v>Schon Geburtstag gehabt</v>
      </c>
    </row>
    <row r="19" spans="1:11" x14ac:dyDescent="0.35">
      <c r="A19" s="5" t="str">
        <f t="shared" si="0"/>
        <v>03_02</v>
      </c>
      <c r="B19" s="113" t="str">
        <f t="shared" si="1"/>
        <v>02.März</v>
      </c>
      <c r="C19" s="117">
        <f t="shared" ca="1" si="2"/>
        <v>45718</v>
      </c>
      <c r="D19" s="117">
        <f t="shared" ca="1" si="3"/>
        <v>46083</v>
      </c>
      <c r="E19" s="114">
        <f t="shared" ca="1" si="4"/>
        <v>66</v>
      </c>
      <c r="F19" s="115">
        <f t="shared" ca="1" si="5"/>
        <v>66</v>
      </c>
      <c r="G19" s="116">
        <v>21611</v>
      </c>
      <c r="H19" s="5" t="s">
        <v>142</v>
      </c>
      <c r="I19" s="5" t="s">
        <v>148</v>
      </c>
      <c r="J19" s="5" t="s">
        <v>144</v>
      </c>
      <c r="K19" s="96" t="str">
        <f t="shared" ca="1" si="6"/>
        <v>Schon Geburtstag gehabt</v>
      </c>
    </row>
    <row r="20" spans="1:11" x14ac:dyDescent="0.35">
      <c r="A20" s="5" t="str">
        <f t="shared" si="0"/>
        <v>03_02</v>
      </c>
      <c r="B20" s="113" t="str">
        <f t="shared" si="1"/>
        <v>02.März</v>
      </c>
      <c r="C20" s="117">
        <f t="shared" ca="1" si="2"/>
        <v>45718</v>
      </c>
      <c r="D20" s="117">
        <f t="shared" ca="1" si="3"/>
        <v>46083</v>
      </c>
      <c r="E20" s="114">
        <f t="shared" ca="1" si="4"/>
        <v>31</v>
      </c>
      <c r="F20" s="115">
        <f t="shared" ca="1" si="5"/>
        <v>31</v>
      </c>
      <c r="G20" s="116">
        <v>34395</v>
      </c>
      <c r="H20" s="5" t="s">
        <v>140</v>
      </c>
      <c r="I20" s="5" t="s">
        <v>149</v>
      </c>
      <c r="J20" s="5" t="s">
        <v>144</v>
      </c>
      <c r="K20" s="96" t="str">
        <f t="shared" ca="1" si="6"/>
        <v>Schon Geburtstag gehabt</v>
      </c>
    </row>
    <row r="21" spans="1:11" x14ac:dyDescent="0.35">
      <c r="A21" s="5" t="str">
        <f t="shared" si="0"/>
        <v>04_10</v>
      </c>
      <c r="B21" s="113" t="str">
        <f t="shared" si="1"/>
        <v>10.April</v>
      </c>
      <c r="C21" s="117">
        <f t="shared" ca="1" si="2"/>
        <v>45757</v>
      </c>
      <c r="D21" s="117">
        <f t="shared" ca="1" si="3"/>
        <v>46122</v>
      </c>
      <c r="E21" s="114">
        <f t="shared" ca="1" si="4"/>
        <v>25</v>
      </c>
      <c r="F21" s="115">
        <f t="shared" ca="1" si="5"/>
        <v>25</v>
      </c>
      <c r="G21" s="116">
        <v>36626</v>
      </c>
      <c r="H21" s="5" t="s">
        <v>142</v>
      </c>
      <c r="I21" s="5" t="s">
        <v>143</v>
      </c>
      <c r="J21" s="5" t="s">
        <v>184</v>
      </c>
      <c r="K21" s="96" t="str">
        <f t="shared" ca="1" si="6"/>
        <v>Schon Geburtstag gehabt</v>
      </c>
    </row>
    <row r="22" spans="1:11" x14ac:dyDescent="0.35">
      <c r="A22" s="5" t="str">
        <f t="shared" si="0"/>
        <v>07_12</v>
      </c>
      <c r="B22" s="113" t="str">
        <f t="shared" si="1"/>
        <v>12.Juli</v>
      </c>
      <c r="C22" s="117">
        <f t="shared" ca="1" si="2"/>
        <v>45850</v>
      </c>
      <c r="D22" s="117">
        <f t="shared" ca="1" si="3"/>
        <v>45850</v>
      </c>
      <c r="E22" s="114">
        <f t="shared" ca="1" si="4"/>
        <v>50</v>
      </c>
      <c r="F22" s="115">
        <f t="shared" ca="1" si="5"/>
        <v>51</v>
      </c>
      <c r="G22" s="116">
        <v>27222</v>
      </c>
      <c r="H22" s="5" t="s">
        <v>142</v>
      </c>
      <c r="I22" s="5" t="s">
        <v>153</v>
      </c>
      <c r="J22" s="5" t="s">
        <v>194</v>
      </c>
      <c r="K22" s="96" t="str">
        <f t="shared" ca="1" si="6"/>
        <v>Noch kein Geburtstag gehabt</v>
      </c>
    </row>
    <row r="23" spans="1:11" x14ac:dyDescent="0.35">
      <c r="A23" s="5" t="str">
        <f t="shared" si="0"/>
        <v>08_05</v>
      </c>
      <c r="B23" s="113" t="str">
        <f t="shared" si="1"/>
        <v>05.August</v>
      </c>
      <c r="C23" s="117">
        <f t="shared" ca="1" si="2"/>
        <v>45874</v>
      </c>
      <c r="D23" s="117">
        <f t="shared" ca="1" si="3"/>
        <v>45874</v>
      </c>
      <c r="E23" s="114">
        <f t="shared" ca="1" si="4"/>
        <v>64</v>
      </c>
      <c r="F23" s="115">
        <f t="shared" ca="1" si="5"/>
        <v>65</v>
      </c>
      <c r="G23" s="116">
        <v>22133</v>
      </c>
      <c r="H23" s="5" t="s">
        <v>140</v>
      </c>
      <c r="I23" s="5" t="s">
        <v>168</v>
      </c>
      <c r="J23" s="5" t="s">
        <v>192</v>
      </c>
      <c r="K23" s="96" t="str">
        <f t="shared" ca="1" si="6"/>
        <v>Noch kein Geburtstag gehabt</v>
      </c>
    </row>
    <row r="24" spans="1:11" x14ac:dyDescent="0.35">
      <c r="A24" s="5" t="str">
        <f t="shared" si="0"/>
        <v>08_12</v>
      </c>
      <c r="B24" s="113" t="str">
        <f t="shared" si="1"/>
        <v>12.August</v>
      </c>
      <c r="C24" s="117">
        <f t="shared" ca="1" si="2"/>
        <v>45881</v>
      </c>
      <c r="D24" s="117">
        <f t="shared" ca="1" si="3"/>
        <v>45881</v>
      </c>
      <c r="E24" s="114">
        <f t="shared" ca="1" si="4"/>
        <v>55</v>
      </c>
      <c r="F24" s="115">
        <f t="shared" ca="1" si="5"/>
        <v>56</v>
      </c>
      <c r="G24" s="116">
        <v>25427</v>
      </c>
      <c r="H24" s="5" t="s">
        <v>142</v>
      </c>
      <c r="I24" s="5" t="s">
        <v>172</v>
      </c>
      <c r="J24" s="5" t="s">
        <v>147</v>
      </c>
      <c r="K24" s="96" t="str">
        <f t="shared" ca="1" si="6"/>
        <v>Noch kein Geburtstag gehabt</v>
      </c>
    </row>
    <row r="25" spans="1:11" x14ac:dyDescent="0.35">
      <c r="A25" s="5" t="str">
        <f t="shared" si="0"/>
        <v>08_13</v>
      </c>
      <c r="B25" s="113" t="str">
        <f t="shared" si="1"/>
        <v>13.August</v>
      </c>
      <c r="C25" s="117">
        <f t="shared" ca="1" si="2"/>
        <v>45882</v>
      </c>
      <c r="D25" s="117">
        <f t="shared" ca="1" si="3"/>
        <v>45882</v>
      </c>
      <c r="E25" s="114">
        <f t="shared" ca="1" si="4"/>
        <v>82</v>
      </c>
      <c r="F25" s="115">
        <f t="shared" ca="1" si="5"/>
        <v>83</v>
      </c>
      <c r="G25" s="116">
        <v>15566</v>
      </c>
      <c r="H25" s="5" t="s">
        <v>142</v>
      </c>
      <c r="I25" s="5" t="s">
        <v>173</v>
      </c>
      <c r="J25" s="5" t="s">
        <v>180</v>
      </c>
      <c r="K25" s="96" t="str">
        <f t="shared" ca="1" si="6"/>
        <v>Noch kein Geburtstag gehabt</v>
      </c>
    </row>
    <row r="26" spans="1:11" x14ac:dyDescent="0.35">
      <c r="A26" s="5" t="str">
        <f t="shared" si="0"/>
        <v>09_12</v>
      </c>
      <c r="B26" s="113" t="str">
        <f t="shared" si="1"/>
        <v>12.September</v>
      </c>
      <c r="C26" s="117">
        <f t="shared" ca="1" si="2"/>
        <v>45912</v>
      </c>
      <c r="D26" s="117">
        <f t="shared" ca="1" si="3"/>
        <v>45912</v>
      </c>
      <c r="E26" s="114">
        <f t="shared" ca="1" si="4"/>
        <v>55</v>
      </c>
      <c r="F26" s="115">
        <f t="shared" ca="1" si="5"/>
        <v>56</v>
      </c>
      <c r="G26" s="116">
        <v>25458</v>
      </c>
      <c r="H26" s="5" t="s">
        <v>140</v>
      </c>
      <c r="I26" s="5" t="s">
        <v>171</v>
      </c>
      <c r="J26" s="5" t="s">
        <v>147</v>
      </c>
      <c r="K26" s="96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13" t="str">
        <f t="shared" si="1"/>
        <v>16.September</v>
      </c>
      <c r="C27" s="117">
        <f t="shared" ca="1" si="2"/>
        <v>45916</v>
      </c>
      <c r="D27" s="117">
        <f t="shared" ca="1" si="3"/>
        <v>45916</v>
      </c>
      <c r="E27" s="114">
        <f t="shared" ca="1" si="4"/>
        <v>63</v>
      </c>
      <c r="F27" s="115">
        <f t="shared" ca="1" si="5"/>
        <v>64</v>
      </c>
      <c r="G27" s="116">
        <v>22540</v>
      </c>
      <c r="H27" s="5" t="s">
        <v>140</v>
      </c>
      <c r="I27" s="5" t="s">
        <v>182</v>
      </c>
      <c r="J27" s="5" t="s">
        <v>147</v>
      </c>
      <c r="K27" s="96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13" t="str">
        <f t="shared" si="1"/>
        <v>10.Oktober</v>
      </c>
      <c r="C28" s="117">
        <f t="shared" ca="1" si="2"/>
        <v>45940</v>
      </c>
      <c r="D28" s="117">
        <f t="shared" ca="1" si="3"/>
        <v>45940</v>
      </c>
      <c r="E28" s="114">
        <f t="shared" ca="1" si="4"/>
        <v>84</v>
      </c>
      <c r="F28" s="115">
        <f t="shared" ca="1" si="5"/>
        <v>85</v>
      </c>
      <c r="G28" s="116">
        <v>14894</v>
      </c>
      <c r="H28" s="5" t="s">
        <v>142</v>
      </c>
      <c r="I28" s="5" t="s">
        <v>163</v>
      </c>
      <c r="J28" s="5" t="s">
        <v>189</v>
      </c>
      <c r="K28" s="96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13" t="str">
        <f t="shared" si="1"/>
        <v>12.Oktober</v>
      </c>
      <c r="C29" s="117">
        <f t="shared" ca="1" si="2"/>
        <v>45942</v>
      </c>
      <c r="D29" s="117">
        <f t="shared" ca="1" si="3"/>
        <v>45942</v>
      </c>
      <c r="E29" s="114">
        <f t="shared" ca="1" si="4"/>
        <v>82</v>
      </c>
      <c r="F29" s="115">
        <f t="shared" ca="1" si="5"/>
        <v>83</v>
      </c>
      <c r="G29" s="116">
        <v>15626</v>
      </c>
      <c r="H29" s="5" t="s">
        <v>142</v>
      </c>
      <c r="I29" s="5" t="s">
        <v>164</v>
      </c>
      <c r="J29" s="5" t="s">
        <v>180</v>
      </c>
      <c r="K29" s="96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13" t="str">
        <f t="shared" si="1"/>
        <v>14.Oktober</v>
      </c>
      <c r="C30" s="117">
        <f t="shared" ca="1" si="2"/>
        <v>45944</v>
      </c>
      <c r="D30" s="117">
        <f t="shared" ca="1" si="3"/>
        <v>45944</v>
      </c>
      <c r="E30" s="114">
        <f t="shared" ca="1" si="4"/>
        <v>40</v>
      </c>
      <c r="F30" s="115">
        <f t="shared" ca="1" si="5"/>
        <v>41</v>
      </c>
      <c r="G30" s="116">
        <v>30969</v>
      </c>
      <c r="H30" s="5" t="s">
        <v>140</v>
      </c>
      <c r="I30" s="5" t="s">
        <v>177</v>
      </c>
      <c r="J30" s="5" t="s">
        <v>147</v>
      </c>
      <c r="K30" s="96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13" t="str">
        <f t="shared" si="1"/>
        <v>15.Oktober</v>
      </c>
      <c r="C31" s="117">
        <f t="shared" ca="1" si="2"/>
        <v>45945</v>
      </c>
      <c r="D31" s="117">
        <f t="shared" ca="1" si="3"/>
        <v>45945</v>
      </c>
      <c r="E31" s="114">
        <f t="shared" ca="1" si="4"/>
        <v>63</v>
      </c>
      <c r="F31" s="115">
        <f t="shared" ca="1" si="5"/>
        <v>64</v>
      </c>
      <c r="G31" s="116">
        <v>22569</v>
      </c>
      <c r="H31" s="5" t="s">
        <v>142</v>
      </c>
      <c r="I31" s="5" t="s">
        <v>181</v>
      </c>
      <c r="J31" s="5" t="s">
        <v>197</v>
      </c>
      <c r="K31" s="96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13" t="str">
        <f t="shared" si="1"/>
        <v>10.November</v>
      </c>
      <c r="C32" s="117">
        <f t="shared" ca="1" si="2"/>
        <v>45971</v>
      </c>
      <c r="D32" s="117">
        <f t="shared" ca="1" si="3"/>
        <v>45971</v>
      </c>
      <c r="E32" s="114">
        <f t="shared" ca="1" si="4"/>
        <v>83</v>
      </c>
      <c r="F32" s="115">
        <f t="shared" ca="1" si="5"/>
        <v>84</v>
      </c>
      <c r="G32" s="116">
        <v>15290</v>
      </c>
      <c r="H32" s="5" t="s">
        <v>142</v>
      </c>
      <c r="I32" s="5" t="s">
        <v>164</v>
      </c>
      <c r="J32" s="5" t="s">
        <v>190</v>
      </c>
      <c r="K32" s="96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13" t="str">
        <f t="shared" si="1"/>
        <v>10.Dezember</v>
      </c>
      <c r="C33" s="117">
        <f t="shared" ca="1" si="2"/>
        <v>46001</v>
      </c>
      <c r="D33" s="117">
        <f t="shared" ca="1" si="3"/>
        <v>46001</v>
      </c>
      <c r="E33" s="114">
        <f t="shared" ca="1" si="4"/>
        <v>56</v>
      </c>
      <c r="F33" s="115">
        <f t="shared" ca="1" si="5"/>
        <v>57</v>
      </c>
      <c r="G33" s="116">
        <v>25182</v>
      </c>
      <c r="H33" s="5" t="s">
        <v>142</v>
      </c>
      <c r="I33" s="5" t="s">
        <v>165</v>
      </c>
      <c r="J33" s="5" t="s">
        <v>144</v>
      </c>
      <c r="K33" s="96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13" t="str">
        <f t="shared" si="1"/>
        <v>16.Dezember</v>
      </c>
      <c r="C34" s="117">
        <f t="shared" ca="1" si="2"/>
        <v>46007</v>
      </c>
      <c r="D34" s="117">
        <f t="shared" ca="1" si="3"/>
        <v>46007</v>
      </c>
      <c r="E34" s="114">
        <f t="shared" ca="1" si="4"/>
        <v>30</v>
      </c>
      <c r="F34" s="115">
        <f t="shared" ca="1" si="5"/>
        <v>31</v>
      </c>
      <c r="G34" s="116">
        <v>34684</v>
      </c>
      <c r="H34" s="5" t="s">
        <v>142</v>
      </c>
      <c r="I34" s="5" t="s">
        <v>183</v>
      </c>
      <c r="J34" s="5" t="s">
        <v>144</v>
      </c>
      <c r="K34" s="96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 t="shared" ref="K8:K11" si="0"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 t="shared" si="0"/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 t="shared" si="0"/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>E19*C19/360</f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>E20*C20/360</f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>E21*C21/360</f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 t="shared" ref="E22:E25" si="1">B22^2*PI()</f>
        <v>314.15926535897933</v>
      </c>
      <c r="F22" s="93">
        <f t="shared" ref="F22:F25" si="2">2*B22*PI()</f>
        <v>62.831853071795862</v>
      </c>
      <c r="G22" s="93">
        <f t="shared" ref="G22:G23" si="3">E22*C22/360</f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 t="shared" si="1"/>
        <v>314.15926535897933</v>
      </c>
      <c r="F23" s="93">
        <f t="shared" si="2"/>
        <v>62.831853071795862</v>
      </c>
      <c r="G23" s="93">
        <f t="shared" si="3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 t="shared" si="1"/>
        <v>314.15926535897933</v>
      </c>
      <c r="F24" s="93">
        <f t="shared" si="2"/>
        <v>62.831853071795862</v>
      </c>
      <c r="G24" s="94">
        <v>157.07963267500003</v>
      </c>
      <c r="H24" s="93">
        <f t="shared" ref="H24:H25" si="4"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 t="shared" si="1"/>
        <v>314.15926535897933</v>
      </c>
      <c r="F25" s="93">
        <f t="shared" si="2"/>
        <v>62.831853071795862</v>
      </c>
      <c r="G25" s="94">
        <v>157.07963267500003</v>
      </c>
      <c r="H25" s="93">
        <f t="shared" si="4"/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>
      <selection activeCell="B2" sqref="B2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145" t="s">
        <v>26</v>
      </c>
      <c r="D4" s="146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147" t="s">
        <v>27</v>
      </c>
      <c r="D5" s="148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143" t="s">
        <v>1</v>
      </c>
      <c r="D8" s="144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141" t="s">
        <v>24</v>
      </c>
      <c r="D9" s="141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142" t="s">
        <v>29</v>
      </c>
      <c r="D10" s="142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142" t="s">
        <v>56</v>
      </c>
      <c r="D11" s="142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topLeftCell="B1" zoomScale="115" zoomScaleNormal="115" workbookViewId="0">
      <selection activeCell="G12" sqref="G12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157" t="str">
        <f>$O$8</f>
        <v>Anfangs-Geschwindigkeit</v>
      </c>
      <c r="D6" s="158"/>
      <c r="E6" s="161" t="str">
        <f>$O$9</f>
        <v>Geschwindigkeit</v>
      </c>
      <c r="F6" s="158"/>
      <c r="G6" s="161" t="str">
        <f>$O$10</f>
        <v>Strecke</v>
      </c>
      <c r="H6" s="158"/>
      <c r="I6" s="161" t="str">
        <f>$O$11</f>
        <v>Zeit</v>
      </c>
      <c r="J6" s="158"/>
      <c r="K6" s="161" t="str">
        <f>$O$12</f>
        <v>Beschleunigung</v>
      </c>
      <c r="L6" s="162"/>
    </row>
    <row r="7" spans="1:19" ht="15" thickBot="1" x14ac:dyDescent="0.4">
      <c r="B7" s="28" t="s">
        <v>43</v>
      </c>
      <c r="C7" s="159" t="str">
        <f>$P$8</f>
        <v>v0 [m/s]</v>
      </c>
      <c r="D7" s="160"/>
      <c r="E7" s="163" t="str">
        <f>$P$9</f>
        <v>v [m/s]</v>
      </c>
      <c r="F7" s="160"/>
      <c r="G7" s="163" t="str">
        <f>$P$10</f>
        <v>s [m]</v>
      </c>
      <c r="H7" s="160"/>
      <c r="I7" s="163" t="str">
        <f>$P$11</f>
        <v>t [s]</v>
      </c>
      <c r="J7" s="160"/>
      <c r="K7" s="163" t="str">
        <f>$P$12</f>
        <v>a [m/s2]</v>
      </c>
      <c r="L7" s="164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165">
        <v>119</v>
      </c>
      <c r="H8" s="170"/>
      <c r="I8" s="165">
        <v>7</v>
      </c>
      <c r="J8" s="170"/>
      <c r="K8" s="165">
        <v>2</v>
      </c>
      <c r="L8" s="166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167">
        <v>24</v>
      </c>
      <c r="F9" s="171"/>
      <c r="G9" s="31" t="s">
        <v>83</v>
      </c>
      <c r="H9" s="31">
        <f>E9*I9 - K9*I9^2/2</f>
        <v>119</v>
      </c>
      <c r="I9" s="167">
        <v>7</v>
      </c>
      <c r="J9" s="171"/>
      <c r="K9" s="167">
        <v>2</v>
      </c>
      <c r="L9" s="168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167">
        <v>24</v>
      </c>
      <c r="F10" s="171"/>
      <c r="G10" s="167">
        <v>119</v>
      </c>
      <c r="H10" s="171"/>
      <c r="I10" s="31" t="s">
        <v>84</v>
      </c>
      <c r="J10" s="31">
        <f>(E10 - SQRT(E10^2 - 2*K10*G10))/K10</f>
        <v>7</v>
      </c>
      <c r="K10" s="167">
        <v>2</v>
      </c>
      <c r="L10" s="168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167">
        <v>24</v>
      </c>
      <c r="F11" s="171"/>
      <c r="G11" s="167">
        <v>119</v>
      </c>
      <c r="H11" s="171"/>
      <c r="I11" s="167">
        <v>7</v>
      </c>
      <c r="J11" s="171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173">
        <v>10</v>
      </c>
      <c r="D12" s="171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167">
        <v>7</v>
      </c>
      <c r="J12" s="171"/>
      <c r="K12" s="167">
        <v>2</v>
      </c>
      <c r="L12" s="168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173">
        <v>10</v>
      </c>
      <c r="D13" s="171"/>
      <c r="E13" s="31" t="s">
        <v>88</v>
      </c>
      <c r="F13" s="31">
        <f>SQRT(C13^2 + 2*K13*G13)</f>
        <v>24</v>
      </c>
      <c r="G13" s="167">
        <v>119</v>
      </c>
      <c r="H13" s="171"/>
      <c r="I13" s="37" t="s">
        <v>62</v>
      </c>
      <c r="J13" s="31">
        <f xml:space="preserve"> (-C13 + SQRT(C13^2 + 2*K13*G13))/K13</f>
        <v>7</v>
      </c>
      <c r="K13" s="169">
        <v>2</v>
      </c>
      <c r="L13" s="168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173">
        <v>10</v>
      </c>
      <c r="D14" s="171"/>
      <c r="E14" s="31" t="s">
        <v>89</v>
      </c>
      <c r="F14" s="31">
        <f>2*G14/I14 - C14</f>
        <v>24</v>
      </c>
      <c r="G14" s="167">
        <v>119</v>
      </c>
      <c r="H14" s="171"/>
      <c r="I14" s="167">
        <v>7</v>
      </c>
      <c r="J14" s="172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173">
        <v>10</v>
      </c>
      <c r="D15" s="171"/>
      <c r="E15" s="167">
        <v>24</v>
      </c>
      <c r="F15" s="171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167">
        <v>2</v>
      </c>
      <c r="L15" s="168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173">
        <v>10</v>
      </c>
      <c r="D16" s="171"/>
      <c r="E16" s="167">
        <v>24</v>
      </c>
      <c r="F16" s="171"/>
      <c r="G16" s="31" t="s">
        <v>91</v>
      </c>
      <c r="H16" s="31">
        <f>(C16+E16)*I16/2</f>
        <v>119</v>
      </c>
      <c r="I16" s="167">
        <v>7</v>
      </c>
      <c r="J16" s="171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175">
        <v>10</v>
      </c>
      <c r="D17" s="174"/>
      <c r="E17" s="169">
        <v>24</v>
      </c>
      <c r="F17" s="174"/>
      <c r="G17" s="169">
        <v>119</v>
      </c>
      <c r="H17" s="174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153" t="str">
        <f>P13</f>
        <v>ω0 [rad/s]</v>
      </c>
      <c r="D18" s="154"/>
      <c r="E18" s="155" t="str">
        <f>P14</f>
        <v>ω [rad/s]</v>
      </c>
      <c r="F18" s="154"/>
      <c r="G18" s="155" t="str">
        <f>P15</f>
        <v>φ [rad]</v>
      </c>
      <c r="H18" s="154"/>
      <c r="I18" s="155" t="str">
        <f>P16</f>
        <v>t [s]</v>
      </c>
      <c r="J18" s="154"/>
      <c r="K18" s="155" t="str">
        <f>P17</f>
        <v>α [rad/s2]</v>
      </c>
      <c r="L18" s="156"/>
    </row>
    <row r="19" spans="1:16" ht="29" customHeight="1" thickBot="1" x14ac:dyDescent="0.4">
      <c r="C19" s="149" t="str">
        <f>O13</f>
        <v>Anfangs-Winkelgeschwindigkeit</v>
      </c>
      <c r="D19" s="150"/>
      <c r="E19" s="151" t="str">
        <f>O14</f>
        <v>Winkelgeschwindigkeit</v>
      </c>
      <c r="F19" s="150"/>
      <c r="G19" s="151" t="str">
        <f>O15</f>
        <v>Winkel</v>
      </c>
      <c r="H19" s="150"/>
      <c r="I19" s="151" t="str">
        <f>O16</f>
        <v>Zeit</v>
      </c>
      <c r="J19" s="150"/>
      <c r="K19" s="151" t="str">
        <f>O17</f>
        <v>Winkelbeschleunigung</v>
      </c>
      <c r="L19" s="152"/>
    </row>
  </sheetData>
  <mergeCells count="50">
    <mergeCell ref="G17:H17"/>
    <mergeCell ref="E16:F16"/>
    <mergeCell ref="E17:F17"/>
    <mergeCell ref="C17:D17"/>
    <mergeCell ref="I16:J16"/>
    <mergeCell ref="G8:H8"/>
    <mergeCell ref="G10:H10"/>
    <mergeCell ref="G11:H11"/>
    <mergeCell ref="G13:H13"/>
    <mergeCell ref="G14:H14"/>
    <mergeCell ref="C12:D12"/>
    <mergeCell ref="C13:D13"/>
    <mergeCell ref="C14:D14"/>
    <mergeCell ref="C15:D15"/>
    <mergeCell ref="C16:D16"/>
    <mergeCell ref="E9:F9"/>
    <mergeCell ref="E10:F10"/>
    <mergeCell ref="E11:F11"/>
    <mergeCell ref="E15:F15"/>
    <mergeCell ref="K15:L15"/>
    <mergeCell ref="I8:J8"/>
    <mergeCell ref="I9:J9"/>
    <mergeCell ref="I11:J11"/>
    <mergeCell ref="I12:J12"/>
    <mergeCell ref="I14:J14"/>
    <mergeCell ref="K8:L8"/>
    <mergeCell ref="K9:L9"/>
    <mergeCell ref="K10:L10"/>
    <mergeCell ref="K12:L12"/>
    <mergeCell ref="K13:L13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TOC</vt:lpstr>
      <vt:lpstr>Schiefeebene</vt:lpstr>
      <vt:lpstr>Vektoren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Scheinleistung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2025-01-16T10:01:35Z</cp:lastPrinted>
  <dcterms:created xsi:type="dcterms:W3CDTF">2015-06-05T18:19:34Z</dcterms:created>
  <dcterms:modified xsi:type="dcterms:W3CDTF">2025-05-04T16:26:44Z</dcterms:modified>
</cp:coreProperties>
</file>