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13_ncr:1_{0AFF814A-F38B-4C1D-A4AB-668371119FB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OC" sheetId="13" r:id="rId1"/>
    <sheet name="Kinematik_1" sheetId="4" r:id="rId2"/>
    <sheet name="Kinematik_2" sheetId="9" r:id="rId3"/>
    <sheet name="Kinematik_2_Berechnungen" sheetId="11" r:id="rId4"/>
    <sheet name="Fourierreihe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1" l="1"/>
  <c r="Q11" i="11"/>
  <c r="Q10" i="11"/>
  <c r="Q9" i="11"/>
  <c r="Q8" i="11"/>
  <c r="K19" i="11"/>
  <c r="I19" i="11"/>
  <c r="G19" i="11"/>
  <c r="E19" i="11"/>
  <c r="C19" i="11"/>
  <c r="K18" i="11"/>
  <c r="I18" i="11"/>
  <c r="G18" i="11"/>
  <c r="E18" i="11"/>
  <c r="C18" i="11"/>
  <c r="K6" i="11"/>
  <c r="I6" i="11"/>
  <c r="G7" i="11"/>
  <c r="G6" i="11"/>
  <c r="E6" i="11"/>
  <c r="K7" i="11"/>
  <c r="I7" i="11"/>
  <c r="E7" i="11"/>
  <c r="C7" i="11"/>
  <c r="C6" i="11"/>
  <c r="L17" i="11"/>
  <c r="J17" i="11"/>
  <c r="H16" i="11"/>
  <c r="H15" i="11"/>
  <c r="F8" i="11"/>
  <c r="F14" i="11"/>
  <c r="F13" i="11"/>
  <c r="D11" i="11"/>
  <c r="L11" i="11"/>
  <c r="J10" i="11"/>
  <c r="H9" i="11"/>
  <c r="D10" i="11"/>
  <c r="W5" i="12"/>
  <c r="X5" i="12" s="1"/>
  <c r="F15" i="12"/>
  <c r="F16" i="12"/>
  <c r="F17" i="12"/>
  <c r="F14" i="12"/>
  <c r="M13" i="12"/>
  <c r="M14" i="12" s="1"/>
  <c r="K13" i="12"/>
  <c r="K15" i="12" s="1"/>
  <c r="N12" i="12"/>
  <c r="O12" i="12" s="1"/>
  <c r="P12" i="12" s="1"/>
  <c r="Q12" i="12" s="1"/>
  <c r="R12" i="12" s="1"/>
  <c r="S12" i="12" s="1"/>
  <c r="T12" i="12" s="1"/>
  <c r="U12" i="12" s="1"/>
  <c r="V12" i="12" s="1"/>
  <c r="W12" i="12" s="1"/>
  <c r="X12" i="12" s="1"/>
  <c r="Y12" i="12" s="1"/>
  <c r="Z12" i="12" s="1"/>
  <c r="AA12" i="12" s="1"/>
  <c r="AB12" i="12" s="1"/>
  <c r="AC12" i="12" s="1"/>
  <c r="AD12" i="12" s="1"/>
  <c r="AE12" i="12" s="1"/>
  <c r="AF12" i="12" s="1"/>
  <c r="AG12" i="12" s="1"/>
  <c r="AH12" i="12" s="1"/>
  <c r="AI12" i="12" s="1"/>
  <c r="AJ12" i="12" s="1"/>
  <c r="AK12" i="12" s="1"/>
  <c r="AL12" i="12" s="1"/>
  <c r="AM12" i="12" s="1"/>
  <c r="AN12" i="12" s="1"/>
  <c r="AO12" i="12" s="1"/>
  <c r="AP12" i="12" s="1"/>
  <c r="AQ12" i="12" s="1"/>
  <c r="AR12" i="12" s="1"/>
  <c r="AS12" i="12" s="1"/>
  <c r="AT12" i="12" s="1"/>
  <c r="AU12" i="12" s="1"/>
  <c r="AV12" i="12" s="1"/>
  <c r="AW12" i="12" s="1"/>
  <c r="AX12" i="12" s="1"/>
  <c r="AY12" i="12" s="1"/>
  <c r="AY13" i="12" s="1"/>
  <c r="S12" i="11" l="1"/>
  <c r="K14" i="12"/>
  <c r="AY14" i="12"/>
  <c r="W13" i="12"/>
  <c r="W14" i="12" s="1"/>
  <c r="AT13" i="12"/>
  <c r="AT14" i="12" s="1"/>
  <c r="V13" i="12"/>
  <c r="V14" i="12" s="1"/>
  <c r="Q13" i="12"/>
  <c r="Q14" i="12" s="1"/>
  <c r="AD13" i="12"/>
  <c r="AD14" i="12" s="1"/>
  <c r="AM13" i="12"/>
  <c r="AM14" i="12" s="1"/>
  <c r="AL13" i="12"/>
  <c r="AL14" i="12" s="1"/>
  <c r="O13" i="12"/>
  <c r="O14" i="12" s="1"/>
  <c r="Y13" i="12"/>
  <c r="Y14" i="12" s="1"/>
  <c r="AG13" i="12"/>
  <c r="AG14" i="12" s="1"/>
  <c r="N13" i="12"/>
  <c r="N14" i="12" s="1"/>
  <c r="AU13" i="12"/>
  <c r="AU14" i="12" s="1"/>
  <c r="AE13" i="12"/>
  <c r="AE14" i="12" s="1"/>
  <c r="AO13" i="12"/>
  <c r="AO14" i="12" s="1"/>
  <c r="AV13" i="12"/>
  <c r="AV14" i="12" s="1"/>
  <c r="AN13" i="12"/>
  <c r="AN14" i="12" s="1"/>
  <c r="AF13" i="12"/>
  <c r="AF14" i="12" s="1"/>
  <c r="X13" i="12"/>
  <c r="X14" i="12" s="1"/>
  <c r="P13" i="12"/>
  <c r="P14" i="12" s="1"/>
  <c r="AC13" i="12"/>
  <c r="AC14" i="12" s="1"/>
  <c r="AR13" i="12"/>
  <c r="AR14" i="12" s="1"/>
  <c r="AJ13" i="12"/>
  <c r="AJ14" i="12" s="1"/>
  <c r="AB13" i="12"/>
  <c r="AB14" i="12" s="1"/>
  <c r="T13" i="12"/>
  <c r="T14" i="12" s="1"/>
  <c r="AS13" i="12"/>
  <c r="AS14" i="12" s="1"/>
  <c r="U13" i="12"/>
  <c r="U14" i="12" s="1"/>
  <c r="AQ13" i="12"/>
  <c r="AQ14" i="12" s="1"/>
  <c r="AI13" i="12"/>
  <c r="AI14" i="12" s="1"/>
  <c r="AA13" i="12"/>
  <c r="AA14" i="12" s="1"/>
  <c r="S13" i="12"/>
  <c r="S14" i="12" s="1"/>
  <c r="AK13" i="12"/>
  <c r="AK14" i="12" s="1"/>
  <c r="AX13" i="12"/>
  <c r="AX14" i="12" s="1"/>
  <c r="AP13" i="12"/>
  <c r="AP14" i="12" s="1"/>
  <c r="AH13" i="12"/>
  <c r="AH14" i="12" s="1"/>
  <c r="Z13" i="12"/>
  <c r="Z14" i="12" s="1"/>
  <c r="R13" i="12"/>
  <c r="R14" i="12" s="1"/>
  <c r="AW13" i="12"/>
  <c r="AW14" i="12" s="1"/>
  <c r="J14" i="12"/>
  <c r="C15" i="12"/>
  <c r="C16" i="12"/>
  <c r="K16" i="12" s="1"/>
  <c r="C17" i="12"/>
  <c r="K17" i="12" s="1"/>
  <c r="J13" i="11"/>
  <c r="F12" i="11"/>
  <c r="L14" i="11"/>
  <c r="D8" i="11"/>
  <c r="J15" i="11"/>
  <c r="L16" i="11"/>
  <c r="D9" i="11"/>
  <c r="H12" i="11"/>
  <c r="E11" i="9"/>
  <c r="AA4" i="9"/>
  <c r="X4" i="9"/>
  <c r="Z4" i="9" s="1"/>
  <c r="Q4" i="9"/>
  <c r="P4" i="9"/>
  <c r="Q3" i="9"/>
  <c r="W3" i="9" s="1"/>
  <c r="X3" i="9" s="1"/>
  <c r="AA3" i="9" s="1"/>
  <c r="N4" i="9"/>
  <c r="S4" i="9" s="1"/>
  <c r="T4" i="9" s="1"/>
  <c r="M3" i="9"/>
  <c r="N3" i="9" s="1"/>
  <c r="T3" i="9" s="1"/>
  <c r="E10" i="9"/>
  <c r="F9" i="9"/>
  <c r="G9" i="9" s="1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S9" i="9" s="1"/>
  <c r="T9" i="9" s="1"/>
  <c r="U9" i="9" s="1"/>
  <c r="V9" i="9" s="1"/>
  <c r="W9" i="9" s="1"/>
  <c r="X9" i="9" s="1"/>
  <c r="Y9" i="9" s="1"/>
  <c r="Y11" i="9" s="1"/>
  <c r="E44" i="4"/>
  <c r="F42" i="4"/>
  <c r="E42" i="4"/>
  <c r="F41" i="4"/>
  <c r="F44" i="4" s="1"/>
  <c r="J18" i="4"/>
  <c r="K17" i="4"/>
  <c r="K18" i="4" s="1"/>
  <c r="D8" i="4"/>
  <c r="E8" i="4"/>
  <c r="F8" i="4"/>
  <c r="C8" i="4"/>
  <c r="K20" i="12" l="1"/>
  <c r="T5" i="12" s="1"/>
  <c r="M16" i="12"/>
  <c r="M15" i="12"/>
  <c r="M17" i="12"/>
  <c r="J16" i="12"/>
  <c r="N16" i="12"/>
  <c r="AT16" i="12"/>
  <c r="AJ16" i="12"/>
  <c r="O16" i="12"/>
  <c r="W16" i="12"/>
  <c r="AE16" i="12"/>
  <c r="AM16" i="12"/>
  <c r="AU16" i="12"/>
  <c r="AH16" i="12"/>
  <c r="S16" i="12"/>
  <c r="AQ16" i="12"/>
  <c r="T16" i="12"/>
  <c r="P16" i="12"/>
  <c r="X16" i="12"/>
  <c r="AF16" i="12"/>
  <c r="AN16" i="12"/>
  <c r="AV16" i="12"/>
  <c r="Z16" i="12"/>
  <c r="AX16" i="12"/>
  <c r="AA16" i="12"/>
  <c r="AY16" i="12"/>
  <c r="AR16" i="12"/>
  <c r="Q16" i="12"/>
  <c r="Y16" i="12"/>
  <c r="AG16" i="12"/>
  <c r="AO16" i="12"/>
  <c r="AW16" i="12"/>
  <c r="R16" i="12"/>
  <c r="AP16" i="12"/>
  <c r="AI16" i="12"/>
  <c r="U16" i="12"/>
  <c r="AC16" i="12"/>
  <c r="AK16" i="12"/>
  <c r="AS16" i="12"/>
  <c r="V16" i="12"/>
  <c r="AD16" i="12"/>
  <c r="AL16" i="12"/>
  <c r="AB16" i="12"/>
  <c r="J17" i="12"/>
  <c r="X17" i="12"/>
  <c r="AN17" i="12"/>
  <c r="V17" i="12"/>
  <c r="Q17" i="12"/>
  <c r="Y17" i="12"/>
  <c r="AG17" i="12"/>
  <c r="AO17" i="12"/>
  <c r="AW17" i="12"/>
  <c r="T17" i="12"/>
  <c r="AC17" i="12"/>
  <c r="N17" i="12"/>
  <c r="AT17" i="12"/>
  <c r="R17" i="12"/>
  <c r="Z17" i="12"/>
  <c r="AH17" i="12"/>
  <c r="AP17" i="12"/>
  <c r="AX17" i="12"/>
  <c r="AB17" i="12"/>
  <c r="AR17" i="12"/>
  <c r="U17" i="12"/>
  <c r="AS17" i="12"/>
  <c r="AL17" i="12"/>
  <c r="S17" i="12"/>
  <c r="AA17" i="12"/>
  <c r="AI17" i="12"/>
  <c r="AQ17" i="12"/>
  <c r="AY17" i="12"/>
  <c r="AJ17" i="12"/>
  <c r="AK17" i="12"/>
  <c r="O17" i="12"/>
  <c r="W17" i="12"/>
  <c r="AE17" i="12"/>
  <c r="AM17" i="12"/>
  <c r="AU17" i="12"/>
  <c r="P17" i="12"/>
  <c r="AF17" i="12"/>
  <c r="AV17" i="12"/>
  <c r="AD17" i="12"/>
  <c r="J15" i="12"/>
  <c r="R15" i="12"/>
  <c r="AX15" i="12"/>
  <c r="U15" i="12"/>
  <c r="AC15" i="12"/>
  <c r="AK15" i="12"/>
  <c r="AS15" i="12"/>
  <c r="X15" i="12"/>
  <c r="AV15" i="12"/>
  <c r="Y15" i="12"/>
  <c r="AO15" i="12"/>
  <c r="AH15" i="12"/>
  <c r="N15" i="12"/>
  <c r="V15" i="12"/>
  <c r="AD15" i="12"/>
  <c r="AL15" i="12"/>
  <c r="AT15" i="12"/>
  <c r="AF15" i="12"/>
  <c r="Q15" i="12"/>
  <c r="AW15" i="12"/>
  <c r="AP15" i="12"/>
  <c r="O15" i="12"/>
  <c r="W15" i="12"/>
  <c r="AE15" i="12"/>
  <c r="AM15" i="12"/>
  <c r="AU15" i="12"/>
  <c r="AN15" i="12"/>
  <c r="P15" i="12"/>
  <c r="AG15" i="12"/>
  <c r="S15" i="12"/>
  <c r="AA15" i="12"/>
  <c r="AI15" i="12"/>
  <c r="AQ15" i="12"/>
  <c r="AY15" i="12"/>
  <c r="T15" i="12"/>
  <c r="AB15" i="12"/>
  <c r="AJ15" i="12"/>
  <c r="AR15" i="12"/>
  <c r="Z15" i="12"/>
  <c r="Z9" i="9"/>
  <c r="Z11" i="9" s="1"/>
  <c r="L11" i="9"/>
  <c r="Y10" i="9"/>
  <c r="Q10" i="9"/>
  <c r="I10" i="9"/>
  <c r="Q11" i="9"/>
  <c r="I11" i="9"/>
  <c r="L10" i="9"/>
  <c r="S11" i="9"/>
  <c r="R10" i="9"/>
  <c r="X10" i="9"/>
  <c r="P10" i="9"/>
  <c r="H10" i="9"/>
  <c r="X11" i="9"/>
  <c r="P11" i="9"/>
  <c r="H11" i="9"/>
  <c r="T10" i="9"/>
  <c r="T11" i="9"/>
  <c r="K10" i="9"/>
  <c r="K11" i="9"/>
  <c r="R11" i="9"/>
  <c r="W10" i="9"/>
  <c r="O10" i="9"/>
  <c r="G10" i="9"/>
  <c r="W11" i="9"/>
  <c r="O11" i="9"/>
  <c r="G11" i="9"/>
  <c r="J11" i="9"/>
  <c r="V10" i="9"/>
  <c r="N10" i="9"/>
  <c r="F10" i="9"/>
  <c r="V11" i="9"/>
  <c r="N11" i="9"/>
  <c r="F11" i="9"/>
  <c r="S10" i="9"/>
  <c r="J10" i="9"/>
  <c r="U10" i="9"/>
  <c r="M10" i="9"/>
  <c r="U11" i="9"/>
  <c r="M11" i="9"/>
  <c r="G41" i="4"/>
  <c r="L17" i="4"/>
  <c r="I7" i="4"/>
  <c r="C7" i="4"/>
  <c r="D7" i="4"/>
  <c r="E7" i="4"/>
  <c r="F7" i="4"/>
  <c r="V20" i="12" l="1"/>
  <c r="T6" i="12"/>
  <c r="T7" i="12" s="1"/>
  <c r="X6" i="12" s="1"/>
  <c r="AD20" i="12"/>
  <c r="AS20" i="12"/>
  <c r="AC20" i="12"/>
  <c r="T20" i="12"/>
  <c r="AJ20" i="12"/>
  <c r="M20" i="12"/>
  <c r="AT20" i="12"/>
  <c r="Y20" i="12"/>
  <c r="AE20" i="12"/>
  <c r="AA20" i="12"/>
  <c r="AV20" i="12"/>
  <c r="AQ20" i="12"/>
  <c r="AK20" i="12"/>
  <c r="N20" i="12"/>
  <c r="AR20" i="12"/>
  <c r="AX20" i="12"/>
  <c r="R20" i="12"/>
  <c r="AI20" i="12"/>
  <c r="AL20" i="12"/>
  <c r="AW20" i="12"/>
  <c r="U20" i="12"/>
  <c r="AG20" i="12"/>
  <c r="AP20" i="12"/>
  <c r="AF20" i="12"/>
  <c r="AB20" i="12"/>
  <c r="AH20" i="12"/>
  <c r="P20" i="12"/>
  <c r="O20" i="12"/>
  <c r="Q20" i="12"/>
  <c r="AY20" i="12"/>
  <c r="AU20" i="12"/>
  <c r="AN20" i="12"/>
  <c r="W20" i="12"/>
  <c r="Z20" i="12"/>
  <c r="S20" i="12"/>
  <c r="AO20" i="12"/>
  <c r="AM20" i="12"/>
  <c r="X20" i="12"/>
  <c r="Z10" i="9"/>
  <c r="AA9" i="9"/>
  <c r="G42" i="4"/>
  <c r="G44" i="4"/>
  <c r="H41" i="4"/>
  <c r="M17" i="4"/>
  <c r="L18" i="4"/>
  <c r="AA10" i="9" l="1"/>
  <c r="AA11" i="9"/>
  <c r="H44" i="4"/>
  <c r="H42" i="4"/>
  <c r="I41" i="4"/>
  <c r="N17" i="4"/>
  <c r="M18" i="4"/>
  <c r="J41" i="4" l="1"/>
  <c r="I42" i="4"/>
  <c r="I44" i="4"/>
  <c r="O17" i="4"/>
  <c r="N18" i="4"/>
  <c r="J42" i="4" l="1"/>
  <c r="K41" i="4"/>
  <c r="J44" i="4"/>
  <c r="P17" i="4"/>
  <c r="O18" i="4"/>
  <c r="K42" i="4" l="1"/>
  <c r="L41" i="4"/>
  <c r="K44" i="4"/>
  <c r="Q17" i="4"/>
  <c r="P18" i="4"/>
  <c r="L42" i="4" l="1"/>
  <c r="L44" i="4"/>
  <c r="M41" i="4"/>
  <c r="R17" i="4"/>
  <c r="Q18" i="4"/>
  <c r="M42" i="4" l="1"/>
  <c r="M44" i="4"/>
  <c r="N41" i="4"/>
  <c r="S17" i="4"/>
  <c r="R18" i="4"/>
  <c r="O41" i="4" l="1"/>
  <c r="N42" i="4"/>
  <c r="N44" i="4"/>
  <c r="T17" i="4"/>
  <c r="S18" i="4"/>
  <c r="P41" i="4" l="1"/>
  <c r="O44" i="4"/>
  <c r="O42" i="4"/>
  <c r="U17" i="4"/>
  <c r="T18" i="4"/>
  <c r="P44" i="4" l="1"/>
  <c r="Q41" i="4"/>
  <c r="P42" i="4"/>
  <c r="V17" i="4"/>
  <c r="U18" i="4"/>
  <c r="R41" i="4" l="1"/>
  <c r="Q44" i="4"/>
  <c r="Q42" i="4"/>
  <c r="W17" i="4"/>
  <c r="V18" i="4"/>
  <c r="R42" i="4" l="1"/>
  <c r="R44" i="4"/>
  <c r="S41" i="4"/>
  <c r="X17" i="4"/>
  <c r="W18" i="4"/>
  <c r="S44" i="4" l="1"/>
  <c r="S42" i="4"/>
  <c r="T41" i="4"/>
  <c r="Y17" i="4"/>
  <c r="X18" i="4"/>
  <c r="T44" i="4" l="1"/>
  <c r="U41" i="4"/>
  <c r="T42" i="4"/>
  <c r="Z17" i="4"/>
  <c r="Y18" i="4"/>
  <c r="U42" i="4" l="1"/>
  <c r="U44" i="4"/>
  <c r="V41" i="4"/>
  <c r="AA17" i="4"/>
  <c r="Z18" i="4"/>
  <c r="V44" i="4" l="1"/>
  <c r="W41" i="4"/>
  <c r="V42" i="4"/>
  <c r="AB17" i="4"/>
  <c r="AA18" i="4"/>
  <c r="W42" i="4" l="1"/>
  <c r="W44" i="4"/>
  <c r="X41" i="4"/>
  <c r="AC17" i="4"/>
  <c r="AB18" i="4"/>
  <c r="X44" i="4" l="1"/>
  <c r="X42" i="4"/>
  <c r="Y41" i="4"/>
  <c r="AD17" i="4"/>
  <c r="AC18" i="4"/>
  <c r="Y44" i="4" l="1"/>
  <c r="Y42" i="4"/>
  <c r="AE17" i="4"/>
  <c r="AD18" i="4"/>
  <c r="AF17" i="4" l="1"/>
  <c r="AE18" i="4"/>
  <c r="AG17" i="4" l="1"/>
  <c r="AF18" i="4"/>
  <c r="AH17" i="4" l="1"/>
  <c r="AG18" i="4"/>
  <c r="AI17" i="4" l="1"/>
  <c r="AH18" i="4"/>
  <c r="AJ17" i="4" l="1"/>
  <c r="AI18" i="4"/>
  <c r="AK17" i="4" l="1"/>
  <c r="AJ18" i="4"/>
  <c r="AL17" i="4" l="1"/>
  <c r="AK18" i="4"/>
  <c r="AM17" i="4" l="1"/>
  <c r="AL18" i="4"/>
  <c r="AN17" i="4" l="1"/>
  <c r="AM18" i="4"/>
  <c r="AO17" i="4" l="1"/>
  <c r="AO18" i="4" s="1"/>
  <c r="AN1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I13" authorId="0" shapeId="0" xr:uid="{C52A2570-9323-444D-93C5-26B4C6F49E76}">
      <text>
        <r>
          <rPr>
            <sz val="9"/>
            <color indexed="81"/>
            <rFont val="Segoe UI"/>
            <family val="2"/>
          </rPr>
          <t xml:space="preserve">Lösung der Quadratischen-Gleichung mit Mitternachtsformel
</t>
        </r>
      </text>
    </comment>
  </commentList>
</comments>
</file>

<file path=xl/sharedStrings.xml><?xml version="1.0" encoding="utf-8"?>
<sst xmlns="http://schemas.openxmlformats.org/spreadsheetml/2006/main" count="122" uniqueCount="108">
  <si>
    <t>x:</t>
  </si>
  <si>
    <t>Increment:</t>
  </si>
  <si>
    <t>Zeit t [s]</t>
  </si>
  <si>
    <t>Durchschnitt:</t>
  </si>
  <si>
    <t>Weg s [m] gemessen</t>
  </si>
  <si>
    <t>Weg-Zeit Diagramm</t>
  </si>
  <si>
    <t>Geschwindigkeit v = s/t [m/s]</t>
  </si>
  <si>
    <t>Weg s = v*t [m] gerechnet</t>
  </si>
  <si>
    <t>Step:</t>
  </si>
  <si>
    <t>Lineare Funktion y= f(x)</t>
  </si>
  <si>
    <t>Steigung:</t>
  </si>
  <si>
    <t>y-Achsenabschnitt (Bias):</t>
  </si>
  <si>
    <r>
      <t xml:space="preserve">y = </t>
    </r>
    <r>
      <rPr>
        <sz val="20"/>
        <color rgb="FFFF0000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 xml:space="preserve"> * x + </t>
    </r>
    <r>
      <rPr>
        <sz val="20"/>
        <color rgb="FFFFC000"/>
        <rFont val="Calibri"/>
        <family val="2"/>
        <scheme val="minor"/>
      </rPr>
      <t>b</t>
    </r>
  </si>
  <si>
    <t xml:space="preserve">a = </t>
  </si>
  <si>
    <t xml:space="preserve">b = </t>
  </si>
  <si>
    <t>y = ax + b</t>
  </si>
  <si>
    <t>Step (inc):</t>
  </si>
  <si>
    <t>t [h]</t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</si>
  <si>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</si>
  <si>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[km/h]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</si>
  <si>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[km/h]</t>
    </r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</si>
  <si>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s0  </t>
    </r>
  </si>
  <si>
    <t>s0 [km]</t>
  </si>
  <si>
    <t>Beschleunigte Bewegung</t>
  </si>
  <si>
    <t>t [s]</t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</si>
  <si>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</si>
  <si>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Beschleunigung a:</t>
  </si>
  <si>
    <t>Anfangsgeschwindigkeit v0:</t>
  </si>
  <si>
    <t>[m/s]</t>
  </si>
  <si>
    <t>v = a * t + v0</t>
  </si>
  <si>
    <t>Vertikale Hilfslinie</t>
  </si>
  <si>
    <t>Vertikale</t>
  </si>
  <si>
    <t>Senkrechte</t>
  </si>
  <si>
    <t>Senkrechte_2</t>
  </si>
  <si>
    <t>Vertikale_2</t>
  </si>
  <si>
    <t>t:</t>
  </si>
  <si>
    <r>
      <t>Beschleunigte Bewegung</t>
    </r>
    <r>
      <rPr>
        <u/>
        <sz val="16"/>
        <color theme="1"/>
        <rFont val="Calibri"/>
        <family val="2"/>
        <scheme val="minor"/>
      </rPr>
      <t xml:space="preserve"> (Kinematik II a&gt;0 und a ist konstant)</t>
    </r>
  </si>
  <si>
    <t>Geschwindigkeit</t>
  </si>
  <si>
    <t>Strecke</t>
  </si>
  <si>
    <t>Zeit</t>
  </si>
  <si>
    <t>Beschleunigung</t>
  </si>
  <si>
    <t>v [m/s]</t>
  </si>
  <si>
    <t>s [m]</t>
  </si>
  <si>
    <t>Fall</t>
  </si>
  <si>
    <t>A</t>
  </si>
  <si>
    <t>B</t>
  </si>
  <si>
    <t>C</t>
  </si>
  <si>
    <t>D</t>
  </si>
  <si>
    <t>E</t>
  </si>
  <si>
    <t>G</t>
  </si>
  <si>
    <t>F</t>
  </si>
  <si>
    <t>H</t>
  </si>
  <si>
    <t>I</t>
  </si>
  <si>
    <t>J</t>
  </si>
  <si>
    <t>Zelle formatieren</t>
  </si>
  <si>
    <t>Ctrl-1</t>
  </si>
  <si>
    <r>
      <t>s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v0*t</t>
    </r>
  </si>
  <si>
    <t>v0 = v - at</t>
  </si>
  <si>
    <t>a = (v - v0)/t</t>
  </si>
  <si>
    <t>t = (v - v0)/a</t>
  </si>
  <si>
    <r>
      <t>v = at + v</t>
    </r>
    <r>
      <rPr>
        <b/>
        <vertAlign val="subscript"/>
        <sz val="14"/>
        <color rgb="FFFFC000"/>
        <rFont val="Calibri"/>
        <family val="2"/>
        <scheme val="minor"/>
      </rPr>
      <t>0</t>
    </r>
  </si>
  <si>
    <r>
      <t>a = 2((s - v0*t)/t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>)</t>
    </r>
  </si>
  <si>
    <r>
      <t>t = (-v0 + sqrt(v0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 xml:space="preserve"> + 2as))/a</t>
    </r>
  </si>
  <si>
    <r>
      <t>s = (a/2)t</t>
    </r>
    <r>
      <rPr>
        <b/>
        <vertAlign val="superscript"/>
        <sz val="11"/>
        <color theme="5" tint="-0.249977111117893"/>
        <rFont val="Calibri"/>
        <family val="2"/>
        <scheme val="minor"/>
      </rPr>
      <t>2</t>
    </r>
    <r>
      <rPr>
        <b/>
        <sz val="11"/>
        <color theme="5" tint="-0.249977111117893"/>
        <rFont val="Calibri"/>
        <family val="2"/>
        <scheme val="minor"/>
      </rPr>
      <t xml:space="preserve"> + v</t>
    </r>
    <r>
      <rPr>
        <b/>
        <vertAlign val="subscript"/>
        <sz val="11"/>
        <color theme="5" tint="-0.249977111117893"/>
        <rFont val="Calibri"/>
        <family val="2"/>
        <scheme val="minor"/>
      </rPr>
      <t>0</t>
    </r>
    <r>
      <rPr>
        <b/>
        <sz val="11"/>
        <color theme="5" tint="-0.249977111117893"/>
        <rFont val="Calibri"/>
        <family val="2"/>
        <scheme val="minor"/>
      </rPr>
      <t>t</t>
    </r>
    <r>
      <rPr>
        <b/>
        <sz val="14"/>
        <color theme="5" tint="-0.249977111117893"/>
        <rFont val="Calibri"/>
        <family val="2"/>
        <scheme val="minor"/>
      </rPr>
      <t xml:space="preserve"> 
s = (v0+v)*t/2</t>
    </r>
  </si>
  <si>
    <r>
      <t>v0 = (s - (a/2)t</t>
    </r>
    <r>
      <rPr>
        <vertAlign val="superscript"/>
        <sz val="11"/>
        <color theme="5" tint="-0.249977111117893"/>
        <rFont val="Calibri"/>
        <family val="2"/>
        <scheme val="minor"/>
      </rPr>
      <t>2</t>
    </r>
    <r>
      <rPr>
        <sz val="11"/>
        <color theme="5" tint="-0.249977111117893"/>
        <rFont val="Calibri"/>
        <family val="2"/>
        <scheme val="minor"/>
      </rPr>
      <t>)/t
v0 = (2s/t) - v</t>
    </r>
  </si>
  <si>
    <r>
      <t>a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</si>
  <si>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y</t>
    </r>
    <r>
      <rPr>
        <vertAlign val="subscript"/>
        <sz val="11"/>
        <color theme="1"/>
        <rFont val="Calibri"/>
        <family val="2"/>
        <scheme val="minor"/>
      </rPr>
      <t>Resultierend</t>
    </r>
    <r>
      <rPr>
        <sz val="11"/>
        <color theme="1"/>
        <rFont val="Calibri"/>
        <family val="2"/>
        <scheme val="minor"/>
      </rPr>
      <t xml:space="preserve"> = y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= </t>
    </r>
  </si>
  <si>
    <t>y = a * sin(b*x + c)</t>
  </si>
  <si>
    <t>Fourierreihe</t>
  </si>
  <si>
    <t xml:space="preserve">phi [rad] = </t>
  </si>
  <si>
    <t xml:space="preserve">phi [°] = </t>
  </si>
  <si>
    <t>Show</t>
  </si>
  <si>
    <t>Ja</t>
  </si>
  <si>
    <t>Nein</t>
  </si>
  <si>
    <t>a
Amplitude</t>
  </si>
  <si>
    <t>b
Frequenz</t>
  </si>
  <si>
    <t>Hilfslinie:</t>
  </si>
  <si>
    <t>c
Phasenlage [rad]</t>
  </si>
  <si>
    <t>c
Phasenlage
[°]</t>
  </si>
  <si>
    <t xml:space="preserve">Min = </t>
  </si>
  <si>
    <t xml:space="preserve">Max = </t>
  </si>
  <si>
    <t xml:space="preserve">Amplitude = </t>
  </si>
  <si>
    <t>v=s/t + at/2</t>
  </si>
  <si>
    <r>
      <t>s = vt - at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</t>
    </r>
  </si>
  <si>
    <r>
      <t>t = (v -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- 2as))/a</t>
    </r>
  </si>
  <si>
    <t>a = 2/t * (v - s/t)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</si>
  <si>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</t>
    </r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</si>
  <si>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2s/t - v</t>
    </r>
  </si>
  <si>
    <r>
      <t>v = sqrt(v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+ 2as)</t>
    </r>
  </si>
  <si>
    <r>
      <t>v = 2s/t - v</t>
    </r>
    <r>
      <rPr>
        <vertAlign val="subscript"/>
        <sz val="11"/>
        <color theme="1"/>
        <rFont val="Calibri"/>
        <family val="2"/>
        <scheme val="minor"/>
      </rPr>
      <t>0</t>
    </r>
  </si>
  <si>
    <r>
      <t>s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)/2a</t>
    </r>
  </si>
  <si>
    <r>
      <t>s = 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v)t/2</t>
    </r>
  </si>
  <si>
    <r>
      <t>t = 2s/(v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</t>
    </r>
  </si>
  <si>
    <r>
      <t>a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)/2s</t>
    </r>
  </si>
  <si>
    <t>Anfangs-Geschwindigkeit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</si>
  <si>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[m/s]</t>
    </r>
  </si>
  <si>
    <t>Winkelbeschleunigung</t>
  </si>
  <si>
    <t>Anfangs-Winkelgeschwindigkeit</t>
  </si>
  <si>
    <t>Winkelgeschwindigkeit</t>
  </si>
  <si>
    <t>Winkel</t>
  </si>
  <si>
    <t>φ [rad]</t>
  </si>
  <si>
    <r>
      <t>α [rad/s</t>
    </r>
    <r>
      <rPr>
        <vertAlign val="superscript"/>
        <sz val="11"/>
        <color theme="1"/>
        <rFont val="Aptos Narrow"/>
        <family val="2"/>
      </rPr>
      <t>2</t>
    </r>
    <r>
      <rPr>
        <sz val="11"/>
        <color theme="1"/>
        <rFont val="Aptos Narrow"/>
        <family val="2"/>
      </rPr>
      <t>]</t>
    </r>
  </si>
  <si>
    <t>ω [rad/s]</t>
  </si>
  <si>
    <r>
      <t>ω</t>
    </r>
    <r>
      <rPr>
        <vertAlign val="subscript"/>
        <sz val="11"/>
        <color theme="1"/>
        <rFont val="Aptos Narrow"/>
        <family val="2"/>
      </rPr>
      <t>0</t>
    </r>
    <r>
      <rPr>
        <sz val="11"/>
        <color theme="1"/>
        <rFont val="Aptos Narrow"/>
        <family val="2"/>
      </rPr>
      <t xml:space="preserve"> [rad/s]</t>
    </r>
  </si>
  <si>
    <t>gegeben</t>
  </si>
  <si>
    <t>--</t>
  </si>
  <si>
    <t>Inhaltsverzeichnis</t>
  </si>
  <si>
    <t>Kinematik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</si>
</sst>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20"/>
      <color rgb="FFFFC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vertAlign val="subscript"/>
      <sz val="14"/>
      <color rgb="FFFFC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vertAlign val="superscript"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vertAlign val="superscript"/>
      <sz val="11"/>
      <color theme="5" tint="-0.249977111117893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Segoe UI"/>
      <family val="2"/>
    </font>
    <font>
      <b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1"/>
      <color theme="1"/>
      <name val="Aptos Narrow"/>
      <family val="2"/>
    </font>
    <font>
      <vertAlign val="subscript"/>
      <sz val="11"/>
      <color theme="1"/>
      <name val="Aptos Narrow"/>
      <family val="2"/>
    </font>
    <font>
      <vertAlign val="superscript"/>
      <sz val="11"/>
      <color theme="1"/>
      <name val="Aptos Narrow"/>
      <family val="2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130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right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0" fillId="2" borderId="9" xfId="0" applyFill="1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2" borderId="17" xfId="0" applyFill="1" applyBorder="1"/>
    <xf numFmtId="0" fontId="9" fillId="0" borderId="0" xfId="0" applyFont="1"/>
    <xf numFmtId="0" fontId="0" fillId="2" borderId="19" xfId="0" applyFill="1" applyBorder="1"/>
    <xf numFmtId="0" fontId="0" fillId="0" borderId="12" xfId="0" applyBorder="1"/>
    <xf numFmtId="0" fontId="0" fillId="2" borderId="20" xfId="0" applyFill="1" applyBorder="1"/>
    <xf numFmtId="0" fontId="0" fillId="0" borderId="14" xfId="0" applyBorder="1"/>
    <xf numFmtId="0" fontId="0" fillId="4" borderId="2" xfId="0" applyFill="1" applyBorder="1"/>
    <xf numFmtId="0" fontId="0" fillId="4" borderId="18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7" fillId="0" borderId="1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0" xfId="0" applyNumberFormat="1"/>
    <xf numFmtId="0" fontId="0" fillId="5" borderId="2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2" borderId="2" xfId="0" applyNumberFormat="1" applyFill="1" applyBorder="1" applyAlignment="1">
      <alignment horizontal="center"/>
    </xf>
    <xf numFmtId="0" fontId="0" fillId="0" borderId="37" xfId="0" applyBorder="1" applyAlignment="1">
      <alignment horizontal="right" vertical="center"/>
    </xf>
    <xf numFmtId="0" fontId="23" fillId="0" borderId="0" xfId="0" applyFont="1"/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2" fontId="0" fillId="0" borderId="15" xfId="0" applyNumberFormat="1" applyBorder="1"/>
    <xf numFmtId="2" fontId="0" fillId="0" borderId="2" xfId="0" applyNumberFormat="1" applyBorder="1"/>
    <xf numFmtId="2" fontId="0" fillId="0" borderId="0" xfId="0" applyNumberFormat="1" applyAlignment="1">
      <alignment horizontal="center"/>
    </xf>
    <xf numFmtId="0" fontId="0" fillId="4" borderId="2" xfId="0" applyFill="1" applyBorder="1" applyAlignment="1">
      <alignment horizontal="right" vertical="center"/>
    </xf>
    <xf numFmtId="0" fontId="0" fillId="9" borderId="2" xfId="0" applyFill="1" applyBorder="1" applyAlignment="1">
      <alignment horizontal="right" vertical="center"/>
    </xf>
    <xf numFmtId="0" fontId="0" fillId="8" borderId="2" xfId="0" applyFill="1" applyBorder="1" applyAlignment="1">
      <alignment horizontal="right" vertical="center"/>
    </xf>
    <xf numFmtId="0" fontId="0" fillId="7" borderId="2" xfId="0" applyFill="1" applyBorder="1" applyAlignment="1">
      <alignment horizontal="right" vertical="center"/>
    </xf>
    <xf numFmtId="0" fontId="0" fillId="6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10" borderId="15" xfId="0" applyNumberFormat="1" applyFill="1" applyBorder="1" applyAlignment="1">
      <alignment vertical="center"/>
    </xf>
    <xf numFmtId="2" fontId="0" fillId="10" borderId="15" xfId="0" applyNumberFormat="1" applyFill="1" applyBorder="1" applyAlignment="1">
      <alignment horizontal="center" vertical="center"/>
    </xf>
    <xf numFmtId="2" fontId="0" fillId="9" borderId="15" xfId="0" applyNumberFormat="1" applyFill="1" applyBorder="1" applyAlignment="1">
      <alignment horizontal="center" vertical="center"/>
    </xf>
    <xf numFmtId="2" fontId="0" fillId="8" borderId="15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right" vertical="center"/>
    </xf>
    <xf numFmtId="2" fontId="0" fillId="11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quotePrefix="1"/>
    <xf numFmtId="0" fontId="0" fillId="2" borderId="0" xfId="0" applyFill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4" borderId="13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4" borderId="1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4" borderId="3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4" borderId="29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4" borderId="35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19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10" borderId="2" xfId="0" applyFont="1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7" fillId="0" borderId="0" xfId="0" applyFont="1"/>
    <xf numFmtId="14" fontId="0" fillId="0" borderId="0" xfId="0" applyNumberFormat="1"/>
    <xf numFmtId="0" fontId="28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65714040043902E-2"/>
          <c:y val="4.6025104602510462E-2"/>
          <c:w val="0.90531900207224802"/>
          <c:h val="0.856911013738345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Kinematik_1!$B$5</c:f>
              <c:strCache>
                <c:ptCount val="1"/>
                <c:pt idx="0">
                  <c:v>Weg s [m] gemessen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9E4-8CED-60D4545B8694}"/>
            </c:ext>
          </c:extLst>
        </c:ser>
        <c:ser>
          <c:idx val="1"/>
          <c:order val="1"/>
          <c:tx>
            <c:strRef>
              <c:f>Kinematik_1!$B$8</c:f>
              <c:strCache>
                <c:ptCount val="1"/>
                <c:pt idx="0">
                  <c:v>Weg s = v*t [m] gerechnet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Kinematik_1!$C$8:$F$8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9E4-8CED-60D4545B8694}"/>
            </c:ext>
          </c:extLst>
        </c:ser>
        <c:ser>
          <c:idx val="2"/>
          <c:order val="2"/>
          <c:tx>
            <c:strRef>
              <c:f>Kinematik_1!$I$18</c:f>
              <c:strCache>
                <c:ptCount val="1"/>
                <c:pt idx="0">
                  <c:v>y = ax + b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Kinematik_1!$J$17:$AO$17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Kinematik_1!$J$18:$AO$18</c:f>
              <c:numCache>
                <c:formatCode>General</c:formatCode>
                <c:ptCount val="32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  <c:pt idx="5">
                  <c:v>-2.5</c:v>
                </c:pt>
                <c:pt idx="6">
                  <c:v>-5</c:v>
                </c:pt>
                <c:pt idx="7">
                  <c:v>-7.5</c:v>
                </c:pt>
                <c:pt idx="8">
                  <c:v>-10</c:v>
                </c:pt>
                <c:pt idx="9">
                  <c:v>-12.5</c:v>
                </c:pt>
                <c:pt idx="10">
                  <c:v>-15</c:v>
                </c:pt>
                <c:pt idx="11">
                  <c:v>-17.5</c:v>
                </c:pt>
                <c:pt idx="12">
                  <c:v>-20</c:v>
                </c:pt>
                <c:pt idx="13">
                  <c:v>-22.5</c:v>
                </c:pt>
                <c:pt idx="14">
                  <c:v>-25</c:v>
                </c:pt>
                <c:pt idx="15">
                  <c:v>-27.5</c:v>
                </c:pt>
                <c:pt idx="16">
                  <c:v>-30</c:v>
                </c:pt>
                <c:pt idx="17">
                  <c:v>-32.5</c:v>
                </c:pt>
                <c:pt idx="18">
                  <c:v>-35</c:v>
                </c:pt>
                <c:pt idx="19">
                  <c:v>-37.5</c:v>
                </c:pt>
                <c:pt idx="20">
                  <c:v>-40</c:v>
                </c:pt>
                <c:pt idx="21">
                  <c:v>-42.5</c:v>
                </c:pt>
                <c:pt idx="22">
                  <c:v>-45</c:v>
                </c:pt>
                <c:pt idx="23">
                  <c:v>-47.5</c:v>
                </c:pt>
                <c:pt idx="24">
                  <c:v>-50</c:v>
                </c:pt>
                <c:pt idx="25">
                  <c:v>-52.5</c:v>
                </c:pt>
                <c:pt idx="26">
                  <c:v>-55</c:v>
                </c:pt>
                <c:pt idx="27">
                  <c:v>-57.5</c:v>
                </c:pt>
                <c:pt idx="28">
                  <c:v>-60</c:v>
                </c:pt>
                <c:pt idx="29">
                  <c:v>-62.5</c:v>
                </c:pt>
                <c:pt idx="30">
                  <c:v>-65</c:v>
                </c:pt>
                <c:pt idx="31">
                  <c:v>-67.5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6-4E7C-99EF-90C15DD1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4415"/>
        <c:axId val="866161535"/>
      </c:scatterChart>
      <c:valAx>
        <c:axId val="866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1535"/>
        <c:crosses val="autoZero"/>
        <c:crossBetween val="midCat"/>
      </c:valAx>
      <c:valAx>
        <c:axId val="866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4-42EA-895E-E3188ED26C61}"/>
            </c:ext>
          </c:extLst>
        </c:ser>
        <c:ser>
          <c:idx val="1"/>
          <c:order val="1"/>
          <c:tx>
            <c:strRef>
              <c:f>Kinematik_1!$B$44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63.999999999999993</c:v>
                </c:pt>
                <c:pt idx="19">
                  <c:v>61.999999999999986</c:v>
                </c:pt>
                <c:pt idx="20">
                  <c:v>59.999999999999993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4-42EA-895E-E3188ED2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Geschwindigkeit-Zeit</a:t>
            </a:r>
            <a:r>
              <a:rPr lang="de-CH" baseline="0"/>
              <a:t> Diagramm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Kinematik_2!$C$10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Kinematik_2!$E$10:$Y$10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B-4B4D-883F-3319D7F46756}"/>
            </c:ext>
          </c:extLst>
        </c:ser>
        <c:ser>
          <c:idx val="1"/>
          <c:order val="1"/>
          <c:tx>
            <c:strRef>
              <c:f>Kinematik_2!$M$2</c:f>
              <c:strCache>
                <c:ptCount val="1"/>
                <c:pt idx="0">
                  <c:v>Senkrechte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Kinematik_2!$M$3:$N$3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Kinematik_2!$M$4:$N$4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B-4B4D-883F-3319D7F46756}"/>
            </c:ext>
          </c:extLst>
        </c:ser>
        <c:ser>
          <c:idx val="2"/>
          <c:order val="2"/>
          <c:tx>
            <c:strRef>
              <c:f>Kinematik_2!$P$2</c:f>
              <c:strCache>
                <c:ptCount val="1"/>
                <c:pt idx="0">
                  <c:v>Vertikale Hilfslinie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Kinematik_2!$P$3:$Q$3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Kinematik_2!$P$4:$Q$4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B-4B4D-883F-3319D7F46756}"/>
            </c:ext>
          </c:extLst>
        </c:ser>
        <c:ser>
          <c:idx val="3"/>
          <c:order val="3"/>
          <c:tx>
            <c:strRef>
              <c:f>Kinematik_2!$S$2</c:f>
              <c:strCache>
                <c:ptCount val="1"/>
                <c:pt idx="0">
                  <c:v>Vertikale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Kinematik_2!$S$3:$T$3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Kinematik_2!$S$4:$T$4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0-4E87-B567-157405C2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05664"/>
        <c:axId val="1130406144"/>
      </c:scatterChart>
      <c:valAx>
        <c:axId val="113040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6144"/>
        <c:crosses val="autoZero"/>
        <c:crossBetween val="midCat"/>
      </c:valAx>
      <c:valAx>
        <c:axId val="1130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Geschwindigkeit 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Weg-Zeit Diagramm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Kinematik_2!$C$11</c:f>
              <c:strCache>
                <c:ptCount val="1"/>
                <c:pt idx="0">
                  <c:v>s = a/2 * t2 + v0*t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Kinematik_2!$E$11:$Y$11</c:f>
              <c:numCache>
                <c:formatCode>General</c:formatCode>
                <c:ptCount val="21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39</c:v>
                </c:pt>
                <c:pt idx="4">
                  <c:v>56</c:v>
                </c:pt>
                <c:pt idx="5">
                  <c:v>75</c:v>
                </c:pt>
                <c:pt idx="6">
                  <c:v>96</c:v>
                </c:pt>
                <c:pt idx="7">
                  <c:v>119</c:v>
                </c:pt>
                <c:pt idx="8">
                  <c:v>144</c:v>
                </c:pt>
                <c:pt idx="9">
                  <c:v>171</c:v>
                </c:pt>
                <c:pt idx="10">
                  <c:v>200</c:v>
                </c:pt>
                <c:pt idx="11">
                  <c:v>231</c:v>
                </c:pt>
                <c:pt idx="12">
                  <c:v>264</c:v>
                </c:pt>
                <c:pt idx="13">
                  <c:v>299</c:v>
                </c:pt>
                <c:pt idx="14">
                  <c:v>336</c:v>
                </c:pt>
                <c:pt idx="15">
                  <c:v>375</c:v>
                </c:pt>
                <c:pt idx="16">
                  <c:v>416</c:v>
                </c:pt>
                <c:pt idx="17">
                  <c:v>459</c:v>
                </c:pt>
                <c:pt idx="18">
                  <c:v>504</c:v>
                </c:pt>
                <c:pt idx="19">
                  <c:v>551</c:v>
                </c:pt>
                <c:pt idx="2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D-4EC4-B2CF-F9F2CB1F2A6C}"/>
            </c:ext>
          </c:extLst>
        </c:ser>
        <c:ser>
          <c:idx val="1"/>
          <c:order val="1"/>
          <c:tx>
            <c:strRef>
              <c:f>Kinematik_2!$W$2</c:f>
              <c:strCache>
                <c:ptCount val="1"/>
                <c:pt idx="0">
                  <c:v>Senkrechte_2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Kinematik_2!$W$3:$X$3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Kinematik_2!$W$4:$X$4</c:f>
              <c:numCache>
                <c:formatCode>General</c:formatCode>
                <c:ptCount val="2"/>
                <c:pt idx="0">
                  <c:v>0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4-4A3D-AC4F-58A3941EEC57}"/>
            </c:ext>
          </c:extLst>
        </c:ser>
        <c:ser>
          <c:idx val="2"/>
          <c:order val="2"/>
          <c:tx>
            <c:strRef>
              <c:f>Kinematik_2!$Z$2</c:f>
              <c:strCache>
                <c:ptCount val="1"/>
                <c:pt idx="0">
                  <c:v>Vertikale_2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Kinematik_2!$Z$3:$AA$3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Kinematik_2!$Z$4:$AA$4</c:f>
              <c:numCache>
                <c:formatCode>General</c:formatCode>
                <c:ptCount val="2"/>
                <c:pt idx="0">
                  <c:v>119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4-4A3D-AC4F-58A3941E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84816"/>
        <c:axId val="631581936"/>
      </c:scatterChart>
      <c:valAx>
        <c:axId val="6315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1936"/>
        <c:crosses val="autoZero"/>
        <c:crossBetween val="midCat"/>
      </c:valAx>
      <c:valAx>
        <c:axId val="631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Strecke</a:t>
                </a:r>
                <a:r>
                  <a:rPr lang="de-CH" baseline="0"/>
                  <a:t> s [m]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3222484587433744E-2"/>
          <c:y val="5.1100330236576112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Fourierreihe!$J$14</c:f>
              <c:strCache>
                <c:ptCount val="1"/>
                <c:pt idx="0">
                  <c:v>y0 =  sin(x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Fourierreihe!$M$14:$AY$14</c:f>
              <c:numCache>
                <c:formatCode>0.00</c:formatCode>
                <c:ptCount val="39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0.76604444311897801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0.98480775301220802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0.86602540378443871</c:v>
                </c:pt>
                <c:pt idx="13">
                  <c:v>0.76604444311897801</c:v>
                </c:pt>
                <c:pt idx="14">
                  <c:v>0.64278760968653947</c:v>
                </c:pt>
                <c:pt idx="15">
                  <c:v>0.49999999999999994</c:v>
                </c:pt>
                <c:pt idx="16">
                  <c:v>0.34202014332566888</c:v>
                </c:pt>
                <c:pt idx="17">
                  <c:v>0.17364817766693028</c:v>
                </c:pt>
                <c:pt idx="18">
                  <c:v>1.22514845490862E-16</c:v>
                </c:pt>
                <c:pt idx="19">
                  <c:v>-0.17364817766693047</c:v>
                </c:pt>
                <c:pt idx="20">
                  <c:v>-0.34202014332566866</c:v>
                </c:pt>
                <c:pt idx="21">
                  <c:v>-0.50000000000000011</c:v>
                </c:pt>
                <c:pt idx="22">
                  <c:v>-0.64278760968653925</c:v>
                </c:pt>
                <c:pt idx="23">
                  <c:v>-0.7660444431189779</c:v>
                </c:pt>
                <c:pt idx="24">
                  <c:v>-0.86602540378443837</c:v>
                </c:pt>
                <c:pt idx="25">
                  <c:v>-0.93969262078590821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-0.98480775301220813</c:v>
                </c:pt>
                <c:pt idx="29">
                  <c:v>-0.93969262078590854</c:v>
                </c:pt>
                <c:pt idx="30">
                  <c:v>-0.8660254037844386</c:v>
                </c:pt>
                <c:pt idx="31">
                  <c:v>-0.76604444311897812</c:v>
                </c:pt>
                <c:pt idx="32">
                  <c:v>-0.64278760968653958</c:v>
                </c:pt>
                <c:pt idx="33">
                  <c:v>-0.50000000000000044</c:v>
                </c:pt>
                <c:pt idx="34">
                  <c:v>-0.3420201433256686</c:v>
                </c:pt>
                <c:pt idx="35">
                  <c:v>-0.17364817766693127</c:v>
                </c:pt>
                <c:pt idx="36">
                  <c:v>-2.45029690981724E-16</c:v>
                </c:pt>
                <c:pt idx="37">
                  <c:v>0.17364817766692991</c:v>
                </c:pt>
                <c:pt idx="38">
                  <c:v>0.34202014332566893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7-4BF7-A82C-D744D19A61BA}"/>
            </c:ext>
          </c:extLst>
        </c:ser>
        <c:ser>
          <c:idx val="1"/>
          <c:order val="1"/>
          <c:tx>
            <c:strRef>
              <c:f>Fourierreihe!$J$15</c:f>
              <c:strCache>
                <c:ptCount val="1"/>
                <c:pt idx="0">
                  <c:v>y0 = 0.33 * sin(3*x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Fourierreihe!$M$15:$AY$15</c:f>
              <c:numCache>
                <c:formatCode>0.00</c:formatCode>
                <c:ptCount val="39"/>
                <c:pt idx="0">
                  <c:v>0</c:v>
                </c:pt>
                <c:pt idx="1">
                  <c:v>0.16666666666666663</c:v>
                </c:pt>
                <c:pt idx="2">
                  <c:v>0.28867513459481287</c:v>
                </c:pt>
                <c:pt idx="3">
                  <c:v>0.33333333333333331</c:v>
                </c:pt>
                <c:pt idx="4">
                  <c:v>0.28867513459481287</c:v>
                </c:pt>
                <c:pt idx="5">
                  <c:v>0.16666666666666663</c:v>
                </c:pt>
                <c:pt idx="6">
                  <c:v>4.083828183028733E-17</c:v>
                </c:pt>
                <c:pt idx="7">
                  <c:v>-0.16666666666666657</c:v>
                </c:pt>
                <c:pt idx="8">
                  <c:v>-0.28867513459481275</c:v>
                </c:pt>
                <c:pt idx="9">
                  <c:v>-0.33333333333333331</c:v>
                </c:pt>
                <c:pt idx="10">
                  <c:v>-0.28867513459481287</c:v>
                </c:pt>
                <c:pt idx="11">
                  <c:v>-0.16666666666666655</c:v>
                </c:pt>
                <c:pt idx="12">
                  <c:v>-8.1676563660574659E-17</c:v>
                </c:pt>
                <c:pt idx="13">
                  <c:v>0.16666666666666666</c:v>
                </c:pt>
                <c:pt idx="14">
                  <c:v>0.28867513459481275</c:v>
                </c:pt>
                <c:pt idx="15">
                  <c:v>0.33333333333333331</c:v>
                </c:pt>
                <c:pt idx="16">
                  <c:v>0.28867513459481303</c:v>
                </c:pt>
                <c:pt idx="17">
                  <c:v>0.16666666666666657</c:v>
                </c:pt>
                <c:pt idx="18">
                  <c:v>1.22514845490862E-16</c:v>
                </c:pt>
                <c:pt idx="19">
                  <c:v>-0.16666666666666688</c:v>
                </c:pt>
                <c:pt idx="20">
                  <c:v>-0.28867513459481287</c:v>
                </c:pt>
                <c:pt idx="21">
                  <c:v>-0.33333333333333331</c:v>
                </c:pt>
                <c:pt idx="22">
                  <c:v>-0.28867513459481275</c:v>
                </c:pt>
                <c:pt idx="23">
                  <c:v>-0.16666666666666663</c:v>
                </c:pt>
                <c:pt idx="24">
                  <c:v>-1.6335312732114932E-16</c:v>
                </c:pt>
                <c:pt idx="25">
                  <c:v>0.16666666666666635</c:v>
                </c:pt>
                <c:pt idx="26">
                  <c:v>0.28867513459481287</c:v>
                </c:pt>
                <c:pt idx="27">
                  <c:v>0.33333333333333331</c:v>
                </c:pt>
                <c:pt idx="28">
                  <c:v>0.28867513459481309</c:v>
                </c:pt>
                <c:pt idx="29">
                  <c:v>0.16666666666666718</c:v>
                </c:pt>
                <c:pt idx="30">
                  <c:v>2.0419140915143666E-16</c:v>
                </c:pt>
                <c:pt idx="31">
                  <c:v>-0.1666666666666663</c:v>
                </c:pt>
                <c:pt idx="32">
                  <c:v>-0.28867513459481253</c:v>
                </c:pt>
                <c:pt idx="33">
                  <c:v>-0.33333333333333331</c:v>
                </c:pt>
                <c:pt idx="34">
                  <c:v>-0.28867513459481275</c:v>
                </c:pt>
                <c:pt idx="35">
                  <c:v>-0.16666666666666774</c:v>
                </c:pt>
                <c:pt idx="36">
                  <c:v>-2.45029690981724E-16</c:v>
                </c:pt>
                <c:pt idx="37">
                  <c:v>0.16666666666666627</c:v>
                </c:pt>
                <c:pt idx="38">
                  <c:v>0.28867513459481314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7-4BF7-A82C-D744D19A61BA}"/>
            </c:ext>
          </c:extLst>
        </c:ser>
        <c:ser>
          <c:idx val="2"/>
          <c:order val="2"/>
          <c:tx>
            <c:strRef>
              <c:f>Fourierreihe!$J$16</c:f>
              <c:strCache>
                <c:ptCount val="1"/>
                <c:pt idx="0">
                  <c:v>y0 = 0.2 * sin(5*x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Fourierreihe!$M$16:$AY$16</c:f>
              <c:numCache>
                <c:formatCode>0.00</c:formatCode>
                <c:ptCount val="39"/>
                <c:pt idx="0">
                  <c:v>0</c:v>
                </c:pt>
                <c:pt idx="1">
                  <c:v>0.15320888862379561</c:v>
                </c:pt>
                <c:pt idx="2">
                  <c:v>0.19696155060244161</c:v>
                </c:pt>
                <c:pt idx="3">
                  <c:v>0.10000000000000007</c:v>
                </c:pt>
                <c:pt idx="4">
                  <c:v>-6.8404028665133731E-2</c:v>
                </c:pt>
                <c:pt idx="5">
                  <c:v>-0.18793852415718171</c:v>
                </c:pt>
                <c:pt idx="6">
                  <c:v>-0.17320508075688781</c:v>
                </c:pt>
                <c:pt idx="7">
                  <c:v>-3.472963553338608E-2</c:v>
                </c:pt>
                <c:pt idx="8">
                  <c:v>0.12855752193730782</c:v>
                </c:pt>
                <c:pt idx="9">
                  <c:v>0.2</c:v>
                </c:pt>
                <c:pt idx="10">
                  <c:v>0.12855752193730782</c:v>
                </c:pt>
                <c:pt idx="11">
                  <c:v>-3.4729635533385955E-2</c:v>
                </c:pt>
                <c:pt idx="12">
                  <c:v>-0.17320508075688756</c:v>
                </c:pt>
                <c:pt idx="13">
                  <c:v>-0.18793852415718162</c:v>
                </c:pt>
                <c:pt idx="14">
                  <c:v>-6.8404028665133773E-2</c:v>
                </c:pt>
                <c:pt idx="15">
                  <c:v>0.10000000000000012</c:v>
                </c:pt>
                <c:pt idx="16">
                  <c:v>0.19696155060244161</c:v>
                </c:pt>
                <c:pt idx="17">
                  <c:v>0.15320888862379556</c:v>
                </c:pt>
                <c:pt idx="18">
                  <c:v>1.22514845490862E-16</c:v>
                </c:pt>
                <c:pt idx="19">
                  <c:v>-0.15320888862379586</c:v>
                </c:pt>
                <c:pt idx="20">
                  <c:v>-0.19696155060244158</c:v>
                </c:pt>
                <c:pt idx="21">
                  <c:v>-0.10000000000000003</c:v>
                </c:pt>
                <c:pt idx="22">
                  <c:v>6.8404028665133537E-2</c:v>
                </c:pt>
                <c:pt idx="23">
                  <c:v>0.18793852415718154</c:v>
                </c:pt>
                <c:pt idx="24">
                  <c:v>0.17320508075688806</c:v>
                </c:pt>
                <c:pt idx="25">
                  <c:v>3.4729635533386899E-2</c:v>
                </c:pt>
                <c:pt idx="26">
                  <c:v>-0.12855752193730816</c:v>
                </c:pt>
                <c:pt idx="27">
                  <c:v>-0.2</c:v>
                </c:pt>
                <c:pt idx="28">
                  <c:v>-0.12855752193730791</c:v>
                </c:pt>
                <c:pt idx="29">
                  <c:v>3.4729635533385143E-2</c:v>
                </c:pt>
                <c:pt idx="30">
                  <c:v>0.1732050807568879</c:v>
                </c:pt>
                <c:pt idx="31">
                  <c:v>0.18793852415718168</c:v>
                </c:pt>
                <c:pt idx="32">
                  <c:v>6.8404028665133884E-2</c:v>
                </c:pt>
                <c:pt idx="33">
                  <c:v>-9.99999999999997E-2</c:v>
                </c:pt>
                <c:pt idx="34">
                  <c:v>-0.19696155060244167</c:v>
                </c:pt>
                <c:pt idx="35">
                  <c:v>-0.15320888862379611</c:v>
                </c:pt>
                <c:pt idx="36">
                  <c:v>-2.45029690981724E-16</c:v>
                </c:pt>
                <c:pt idx="37">
                  <c:v>0.15320888862379578</c:v>
                </c:pt>
                <c:pt idx="38">
                  <c:v>0.19696155060244147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7-4BF7-A82C-D744D19A61BA}"/>
            </c:ext>
          </c:extLst>
        </c:ser>
        <c:ser>
          <c:idx val="3"/>
          <c:order val="3"/>
          <c:tx>
            <c:strRef>
              <c:f>Fourierreihe!$J$17</c:f>
              <c:strCache>
                <c:ptCount val="1"/>
                <c:pt idx="0">
                  <c:v>y0 = 0.14 * sin(7*x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Fourierreihe!$M$17:$AY$17</c:f>
              <c:numCache>
                <c:formatCode>0.00</c:formatCode>
                <c:ptCount val="39"/>
                <c:pt idx="0">
                  <c:v>0</c:v>
                </c:pt>
                <c:pt idx="1">
                  <c:v>0.13424180296941546</c:v>
                </c:pt>
                <c:pt idx="2">
                  <c:v>9.1826801383791345E-2</c:v>
                </c:pt>
                <c:pt idx="3">
                  <c:v>-7.1428571428571383E-2</c:v>
                </c:pt>
                <c:pt idx="4">
                  <c:v>-0.14068682185888687</c:v>
                </c:pt>
                <c:pt idx="5">
                  <c:v>-2.4806882523847197E-2</c:v>
                </c:pt>
                <c:pt idx="6">
                  <c:v>0.12371791482634834</c:v>
                </c:pt>
                <c:pt idx="7">
                  <c:v>0.10943492044556839</c:v>
                </c:pt>
                <c:pt idx="8">
                  <c:v>-4.8860020475095425E-2</c:v>
                </c:pt>
                <c:pt idx="9">
                  <c:v>-0.14285714285714285</c:v>
                </c:pt>
                <c:pt idx="10">
                  <c:v>-4.8860020475095543E-2</c:v>
                </c:pt>
                <c:pt idx="11">
                  <c:v>0.10943492044556831</c:v>
                </c:pt>
                <c:pt idx="12">
                  <c:v>0.12371791482634846</c:v>
                </c:pt>
                <c:pt idx="13">
                  <c:v>-2.4806882523847079E-2</c:v>
                </c:pt>
                <c:pt idx="14">
                  <c:v>-0.14068682185888681</c:v>
                </c:pt>
                <c:pt idx="15">
                  <c:v>-7.1428571428571438E-2</c:v>
                </c:pt>
                <c:pt idx="16">
                  <c:v>9.1826801383791151E-2</c:v>
                </c:pt>
                <c:pt idx="17">
                  <c:v>0.13424180296941546</c:v>
                </c:pt>
                <c:pt idx="18">
                  <c:v>1.22514845490862E-16</c:v>
                </c:pt>
                <c:pt idx="19">
                  <c:v>-0.13424180296941554</c:v>
                </c:pt>
                <c:pt idx="20">
                  <c:v>-9.1826801383791345E-2</c:v>
                </c:pt>
                <c:pt idx="21">
                  <c:v>7.1428571428571661E-2</c:v>
                </c:pt>
                <c:pt idx="22">
                  <c:v>0.14068682185888684</c:v>
                </c:pt>
                <c:pt idx="23">
                  <c:v>2.4806882523847319E-2</c:v>
                </c:pt>
                <c:pt idx="24">
                  <c:v>-0.12371791482634821</c:v>
                </c:pt>
                <c:pt idx="25">
                  <c:v>-0.10943492044556863</c:v>
                </c:pt>
                <c:pt idx="26">
                  <c:v>4.8860020475095314E-2</c:v>
                </c:pt>
                <c:pt idx="27">
                  <c:v>0.14285714285714285</c:v>
                </c:pt>
                <c:pt idx="28">
                  <c:v>4.8860020475096133E-2</c:v>
                </c:pt>
                <c:pt idx="29">
                  <c:v>-0.10943492044556806</c:v>
                </c:pt>
                <c:pt idx="30">
                  <c:v>-0.12371791482634839</c:v>
                </c:pt>
                <c:pt idx="31">
                  <c:v>2.4806882523847454E-2</c:v>
                </c:pt>
                <c:pt idx="32">
                  <c:v>0.14068682185888678</c:v>
                </c:pt>
                <c:pt idx="33">
                  <c:v>7.142857142857155E-2</c:v>
                </c:pt>
                <c:pt idx="34">
                  <c:v>-9.1826801383791457E-2</c:v>
                </c:pt>
                <c:pt idx="35">
                  <c:v>-0.13424180296941565</c:v>
                </c:pt>
                <c:pt idx="36">
                  <c:v>-2.45029690981724E-16</c:v>
                </c:pt>
                <c:pt idx="37">
                  <c:v>0.13424180296941515</c:v>
                </c:pt>
                <c:pt idx="38">
                  <c:v>9.182680138379104E-2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7-4BF7-A82C-D744D19A61BA}"/>
            </c:ext>
          </c:extLst>
        </c:ser>
        <c:ser>
          <c:idx val="4"/>
          <c:order val="4"/>
          <c:tx>
            <c:strRef>
              <c:f>Fourierreihe!$J$20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Fourierreihe!$M$20:$AY$20</c:f>
              <c:numCache>
                <c:formatCode>0.00</c:formatCode>
                <c:ptCount val="39"/>
                <c:pt idx="0">
                  <c:v>0</c:v>
                </c:pt>
                <c:pt idx="1">
                  <c:v>0.62776553592680795</c:v>
                </c:pt>
                <c:pt idx="2">
                  <c:v>0.91948362990671439</c:v>
                </c:pt>
                <c:pt idx="3">
                  <c:v>0.86190476190476195</c:v>
                </c:pt>
                <c:pt idx="4">
                  <c:v>0.72237189375733157</c:v>
                </c:pt>
                <c:pt idx="5">
                  <c:v>0.71996570310461572</c:v>
                </c:pt>
                <c:pt idx="6">
                  <c:v>0.81653823785389912</c:v>
                </c:pt>
                <c:pt idx="7">
                  <c:v>0.847731239031424</c:v>
                </c:pt>
                <c:pt idx="8">
                  <c:v>0.7758301198796077</c:v>
                </c:pt>
                <c:pt idx="9">
                  <c:v>0.7238095238095239</c:v>
                </c:pt>
                <c:pt idx="10">
                  <c:v>0.77583011987960748</c:v>
                </c:pt>
                <c:pt idx="11">
                  <c:v>0.84773123903142433</c:v>
                </c:pt>
                <c:pt idx="12">
                  <c:v>0.81653823785389945</c:v>
                </c:pt>
                <c:pt idx="13">
                  <c:v>0.71996570310461594</c:v>
                </c:pt>
                <c:pt idx="14">
                  <c:v>0.72237189375733168</c:v>
                </c:pt>
                <c:pt idx="15">
                  <c:v>0.86190476190476195</c:v>
                </c:pt>
                <c:pt idx="16">
                  <c:v>0.91948362990671473</c:v>
                </c:pt>
                <c:pt idx="17">
                  <c:v>0.62776553592680784</c:v>
                </c:pt>
                <c:pt idx="18">
                  <c:v>4.90059381963448E-16</c:v>
                </c:pt>
                <c:pt idx="19">
                  <c:v>-0.62776553592680884</c:v>
                </c:pt>
                <c:pt idx="20">
                  <c:v>-0.91948362990671439</c:v>
                </c:pt>
                <c:pt idx="21">
                  <c:v>-0.86190476190476195</c:v>
                </c:pt>
                <c:pt idx="22">
                  <c:v>-0.72237189375733168</c:v>
                </c:pt>
                <c:pt idx="23">
                  <c:v>-0.71996570310461572</c:v>
                </c:pt>
                <c:pt idx="24">
                  <c:v>-0.81653823785389867</c:v>
                </c:pt>
                <c:pt idx="25">
                  <c:v>-0.84773123903142356</c:v>
                </c:pt>
                <c:pt idx="26">
                  <c:v>-0.77583011987960804</c:v>
                </c:pt>
                <c:pt idx="27">
                  <c:v>-0.7238095238095239</c:v>
                </c:pt>
                <c:pt idx="28">
                  <c:v>-0.77583011987960671</c:v>
                </c:pt>
                <c:pt idx="29">
                  <c:v>-0.84773123903142422</c:v>
                </c:pt>
                <c:pt idx="30">
                  <c:v>-0.8165382378538989</c:v>
                </c:pt>
                <c:pt idx="31">
                  <c:v>-0.71996570310461527</c:v>
                </c:pt>
                <c:pt idx="32">
                  <c:v>-0.72237189375733146</c:v>
                </c:pt>
                <c:pt idx="33">
                  <c:v>-0.86190476190476184</c:v>
                </c:pt>
                <c:pt idx="34">
                  <c:v>-0.91948362990671439</c:v>
                </c:pt>
                <c:pt idx="35">
                  <c:v>-0.62776553592681084</c:v>
                </c:pt>
                <c:pt idx="36">
                  <c:v>-9.8011876392689601E-16</c:v>
                </c:pt>
                <c:pt idx="37">
                  <c:v>0.62776553592680706</c:v>
                </c:pt>
                <c:pt idx="38">
                  <c:v>0.91948362990671462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7-4BF7-A82C-D744D19A61BA}"/>
            </c:ext>
          </c:extLst>
        </c:ser>
        <c:ser>
          <c:idx val="5"/>
          <c:order val="5"/>
          <c:tx>
            <c:strRef>
              <c:f>Fourierreihe!$S$4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Fourierreihe!$W$5:$X$5</c:f>
              <c:numCache>
                <c:formatCode>General</c:formatCode>
                <c:ptCount val="2"/>
                <c:pt idx="0">
                  <c:v>120</c:v>
                </c:pt>
                <c:pt idx="1">
                  <c:v>120</c:v>
                </c:pt>
              </c:numCache>
            </c:numRef>
          </c:xVal>
          <c:yVal>
            <c:numRef>
              <c:f>Fourierreihe!$W$6:$X$6</c:f>
              <c:numCache>
                <c:formatCode>General</c:formatCode>
                <c:ptCount val="2"/>
                <c:pt idx="0">
                  <c:v>0</c:v>
                </c:pt>
                <c:pt idx="1">
                  <c:v>0.86602540378443871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B1-4989-AFCF-57F35443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hyperlink" Target="#Aufgaben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739774</xdr:colOff>
      <xdr:row>14</xdr:row>
      <xdr:rowOff>139700</xdr:rowOff>
    </xdr:from>
    <xdr:to>
      <xdr:col>6</xdr:col>
      <xdr:colOff>501649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97F07-73D1-15B4-87F8-2A3B55E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8</xdr:col>
      <xdr:colOff>598715</xdr:colOff>
      <xdr:row>65</xdr:row>
      <xdr:rowOff>21772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F3D2F2-E6F0-470D-9EC9-4EE547F4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616857</xdr:colOff>
      <xdr:row>1</xdr:row>
      <xdr:rowOff>117929</xdr:rowOff>
    </xdr:from>
    <xdr:to>
      <xdr:col>1</xdr:col>
      <xdr:colOff>544285</xdr:colOff>
      <xdr:row>1</xdr:row>
      <xdr:rowOff>598715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B6FBCA-4115-F363-0C1F-9B2DC4BB546F}"/>
            </a:ext>
          </a:extLst>
        </xdr:cNvPr>
        <xdr:cNvSpPr/>
      </xdr:nvSpPr>
      <xdr:spPr>
        <a:xfrm rot="10800000">
          <a:off x="616857" y="299358"/>
          <a:ext cx="689428" cy="48078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511175</xdr:colOff>
      <xdr:row>12</xdr:row>
      <xdr:rowOff>69850</xdr:rowOff>
    </xdr:from>
    <xdr:to>
      <xdr:col>7</xdr:col>
      <xdr:colOff>511175</xdr:colOff>
      <xdr:row>27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7BD5F5-5D28-16D2-1DF8-B5ADC62C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12</xdr:row>
      <xdr:rowOff>76200</xdr:rowOff>
    </xdr:from>
    <xdr:to>
      <xdr:col>14</xdr:col>
      <xdr:colOff>28575</xdr:colOff>
      <xdr:row>27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4ACAE9-11DB-399B-D450-179027AD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35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19C7CDC-79FA-429A-985A-B51FE475AB30}"/>
            </a:ext>
          </a:extLst>
        </xdr:cNvPr>
        <xdr:cNvSpPr txBox="1"/>
      </xdr:nvSpPr>
      <xdr:spPr>
        <a:xfrm>
          <a:off x="18059400" y="628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12</xdr:col>
      <xdr:colOff>34511</xdr:colOff>
      <xdr:row>0</xdr:row>
      <xdr:rowOff>62948</xdr:rowOff>
    </xdr:from>
    <xdr:to>
      <xdr:col>13</xdr:col>
      <xdr:colOff>104921</xdr:colOff>
      <xdr:row>1</xdr:row>
      <xdr:rowOff>226927</xdr:rowOff>
    </xdr:to>
    <xdr:sp macro="" textlink="">
      <xdr:nvSpPr>
        <xdr:cNvPr id="3" name="Pfeil nach link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BB0531-F171-41D2-BCAC-FC1793198301}"/>
            </a:ext>
          </a:extLst>
        </xdr:cNvPr>
        <xdr:cNvSpPr/>
      </xdr:nvSpPr>
      <xdr:spPr>
        <a:xfrm>
          <a:off x="5298661" y="66123"/>
          <a:ext cx="822885" cy="29415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721001</xdr:colOff>
      <xdr:row>22</xdr:row>
      <xdr:rowOff>183792</xdr:rowOff>
    </xdr:from>
    <xdr:to>
      <xdr:col>50</xdr:col>
      <xdr:colOff>412749</xdr:colOff>
      <xdr:row>68</xdr:row>
      <xdr:rowOff>158749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0B33054-7231-4A97-A9F8-31B56B694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6683-FE2E-404D-B380-566552D5F12F}">
  <sheetPr>
    <tabColor rgb="FFFF0000"/>
  </sheetPr>
  <dimension ref="B2:C5"/>
  <sheetViews>
    <sheetView tabSelected="1" workbookViewId="0"/>
  </sheetViews>
  <sheetFormatPr baseColWidth="10" defaultRowHeight="14.5" x14ac:dyDescent="0.35"/>
  <cols>
    <col min="2" max="2" width="12.6328125" customWidth="1"/>
    <col min="3" max="3" width="23.26953125" customWidth="1"/>
  </cols>
  <sheetData>
    <row r="2" spans="2:3" ht="21" x14ac:dyDescent="0.5">
      <c r="B2" s="127" t="s">
        <v>106</v>
      </c>
    </row>
    <row r="5" spans="2:3" x14ac:dyDescent="0.35">
      <c r="B5" s="128">
        <v>45695</v>
      </c>
      <c r="C5" s="129" t="s">
        <v>107</v>
      </c>
    </row>
  </sheetData>
  <hyperlinks>
    <hyperlink ref="C5" location="Kinematik_1!A1" display="Kinematik 1" xr:uid="{9BFDC351-688D-4CF1-A81C-1D2AC11060FA}"/>
  </hyperlinks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17-1A1D-465A-AB11-E83075F9A2A8}">
  <dimension ref="B2:AO45"/>
  <sheetViews>
    <sheetView zoomScale="70" zoomScaleNormal="70" workbookViewId="0"/>
  </sheetViews>
  <sheetFormatPr baseColWidth="10" defaultRowHeight="14.5" x14ac:dyDescent="0.35"/>
  <cols>
    <col min="2" max="2" width="26.90625" customWidth="1"/>
    <col min="8" max="8" width="13.1796875" customWidth="1"/>
  </cols>
  <sheetData>
    <row r="2" spans="2:14" ht="64.5" customHeight="1" x14ac:dyDescent="0.35"/>
    <row r="3" spans="2:14" x14ac:dyDescent="0.35">
      <c r="B3" t="s">
        <v>5</v>
      </c>
    </row>
    <row r="4" spans="2:14" x14ac:dyDescent="0.35">
      <c r="B4" s="5" t="s">
        <v>2</v>
      </c>
      <c r="C4" s="4">
        <v>1</v>
      </c>
      <c r="D4" s="4">
        <v>2</v>
      </c>
      <c r="E4" s="4">
        <v>3</v>
      </c>
      <c r="F4" s="4">
        <v>4</v>
      </c>
    </row>
    <row r="5" spans="2:14" x14ac:dyDescent="0.35">
      <c r="B5" s="5" t="s">
        <v>4</v>
      </c>
      <c r="C5" s="4">
        <v>10</v>
      </c>
      <c r="D5" s="4">
        <v>19.899999999999999</v>
      </c>
      <c r="E5" s="4">
        <v>30.05</v>
      </c>
      <c r="F5" s="4">
        <v>40.5</v>
      </c>
    </row>
    <row r="7" spans="2:14" x14ac:dyDescent="0.35">
      <c r="B7" t="s">
        <v>6</v>
      </c>
      <c r="C7" s="3">
        <f>C5/C4</f>
        <v>10</v>
      </c>
      <c r="D7" s="3">
        <f t="shared" ref="D7:F7" si="0">D5/D4</f>
        <v>9.9499999999999993</v>
      </c>
      <c r="E7" s="3">
        <f t="shared" si="0"/>
        <v>10.016666666666667</v>
      </c>
      <c r="F7" s="3">
        <f t="shared" si="0"/>
        <v>10.125</v>
      </c>
      <c r="H7" t="s">
        <v>3</v>
      </c>
      <c r="I7" s="3">
        <f>AVERAGE(C7:F7)</f>
        <v>10.022916666666667</v>
      </c>
    </row>
    <row r="8" spans="2:14" x14ac:dyDescent="0.35">
      <c r="B8" t="s">
        <v>7</v>
      </c>
      <c r="C8">
        <f>$I$7*C4</f>
        <v>10.022916666666667</v>
      </c>
      <c r="D8">
        <f t="shared" ref="D8:F8" si="1">$I$7*D4</f>
        <v>20.045833333333334</v>
      </c>
      <c r="E8">
        <f t="shared" si="1"/>
        <v>30.068750000000001</v>
      </c>
      <c r="F8">
        <f t="shared" si="1"/>
        <v>40.091666666666669</v>
      </c>
    </row>
    <row r="10" spans="2:14" ht="15" thickBot="1" x14ac:dyDescent="0.4"/>
    <row r="11" spans="2:14" ht="26" x14ac:dyDescent="0.6">
      <c r="I11" s="6"/>
      <c r="J11" s="7" t="s">
        <v>9</v>
      </c>
      <c r="K11" s="8"/>
      <c r="L11" s="8"/>
      <c r="M11" s="9" t="s">
        <v>12</v>
      </c>
      <c r="N11" s="10"/>
    </row>
    <row r="12" spans="2:14" x14ac:dyDescent="0.35">
      <c r="I12" s="11"/>
      <c r="N12" s="12"/>
    </row>
    <row r="13" spans="2:14" x14ac:dyDescent="0.35">
      <c r="I13" s="11"/>
      <c r="J13" s="13" t="s">
        <v>10</v>
      </c>
      <c r="K13" s="13" t="s">
        <v>13</v>
      </c>
      <c r="L13" s="2">
        <v>-5</v>
      </c>
      <c r="N13" s="12"/>
    </row>
    <row r="14" spans="2:14" ht="15" thickBot="1" x14ac:dyDescent="0.4">
      <c r="I14" s="14"/>
      <c r="J14" s="15" t="s">
        <v>11</v>
      </c>
      <c r="K14" s="15" t="s">
        <v>14</v>
      </c>
      <c r="L14" s="16">
        <v>10</v>
      </c>
      <c r="M14" s="17"/>
      <c r="N14" s="18"/>
    </row>
    <row r="16" spans="2:14" x14ac:dyDescent="0.35">
      <c r="I16" s="1" t="s">
        <v>16</v>
      </c>
      <c r="J16" s="2">
        <v>0.5</v>
      </c>
    </row>
    <row r="17" spans="9:41" x14ac:dyDescent="0.35">
      <c r="I17" s="1" t="s">
        <v>0</v>
      </c>
      <c r="J17" s="2">
        <v>0</v>
      </c>
      <c r="K17">
        <f>$J$16+J17</f>
        <v>0.5</v>
      </c>
      <c r="L17">
        <f t="shared" ref="L17:AO17" si="2">$J$16+K17</f>
        <v>1</v>
      </c>
      <c r="M17">
        <f t="shared" si="2"/>
        <v>1.5</v>
      </c>
      <c r="N17">
        <f t="shared" si="2"/>
        <v>2</v>
      </c>
      <c r="O17">
        <f t="shared" si="2"/>
        <v>2.5</v>
      </c>
      <c r="P17">
        <f t="shared" si="2"/>
        <v>3</v>
      </c>
      <c r="Q17">
        <f t="shared" si="2"/>
        <v>3.5</v>
      </c>
      <c r="R17">
        <f t="shared" si="2"/>
        <v>4</v>
      </c>
      <c r="S17">
        <f t="shared" si="2"/>
        <v>4.5</v>
      </c>
      <c r="T17">
        <f t="shared" si="2"/>
        <v>5</v>
      </c>
      <c r="U17">
        <f t="shared" si="2"/>
        <v>5.5</v>
      </c>
      <c r="V17">
        <f t="shared" si="2"/>
        <v>6</v>
      </c>
      <c r="W17">
        <f t="shared" si="2"/>
        <v>6.5</v>
      </c>
      <c r="X17">
        <f t="shared" si="2"/>
        <v>7</v>
      </c>
      <c r="Y17">
        <f t="shared" si="2"/>
        <v>7.5</v>
      </c>
      <c r="Z17">
        <f t="shared" si="2"/>
        <v>8</v>
      </c>
      <c r="AA17">
        <f t="shared" si="2"/>
        <v>8.5</v>
      </c>
      <c r="AB17">
        <f t="shared" si="2"/>
        <v>9</v>
      </c>
      <c r="AC17">
        <f t="shared" si="2"/>
        <v>9.5</v>
      </c>
      <c r="AD17">
        <f t="shared" si="2"/>
        <v>10</v>
      </c>
      <c r="AE17">
        <f t="shared" si="2"/>
        <v>10.5</v>
      </c>
      <c r="AF17">
        <f t="shared" si="2"/>
        <v>11</v>
      </c>
      <c r="AG17">
        <f t="shared" si="2"/>
        <v>11.5</v>
      </c>
      <c r="AH17">
        <f t="shared" si="2"/>
        <v>12</v>
      </c>
      <c r="AI17">
        <f t="shared" si="2"/>
        <v>12.5</v>
      </c>
      <c r="AJ17">
        <f t="shared" si="2"/>
        <v>13</v>
      </c>
      <c r="AK17">
        <f t="shared" si="2"/>
        <v>13.5</v>
      </c>
      <c r="AL17">
        <f t="shared" si="2"/>
        <v>14</v>
      </c>
      <c r="AM17">
        <f t="shared" si="2"/>
        <v>14.5</v>
      </c>
      <c r="AN17">
        <f t="shared" si="2"/>
        <v>15</v>
      </c>
      <c r="AO17">
        <f t="shared" si="2"/>
        <v>15.5</v>
      </c>
    </row>
    <row r="18" spans="9:41" x14ac:dyDescent="0.35">
      <c r="I18" s="1" t="s">
        <v>15</v>
      </c>
      <c r="J18">
        <f>$L$13*J17+$L$14</f>
        <v>10</v>
      </c>
      <c r="K18">
        <f t="shared" ref="K18:AO18" si="3">$L$13*K17+$L$14</f>
        <v>7.5</v>
      </c>
      <c r="L18">
        <f t="shared" si="3"/>
        <v>5</v>
      </c>
      <c r="M18">
        <f t="shared" si="3"/>
        <v>2.5</v>
      </c>
      <c r="N18">
        <f t="shared" si="3"/>
        <v>0</v>
      </c>
      <c r="O18">
        <f t="shared" si="3"/>
        <v>-2.5</v>
      </c>
      <c r="P18">
        <f t="shared" si="3"/>
        <v>-5</v>
      </c>
      <c r="Q18">
        <f t="shared" si="3"/>
        <v>-7.5</v>
      </c>
      <c r="R18">
        <f t="shared" si="3"/>
        <v>-10</v>
      </c>
      <c r="S18">
        <f t="shared" si="3"/>
        <v>-12.5</v>
      </c>
      <c r="T18">
        <f t="shared" si="3"/>
        <v>-15</v>
      </c>
      <c r="U18">
        <f t="shared" si="3"/>
        <v>-17.5</v>
      </c>
      <c r="V18">
        <f t="shared" si="3"/>
        <v>-20</v>
      </c>
      <c r="W18">
        <f t="shared" si="3"/>
        <v>-22.5</v>
      </c>
      <c r="X18">
        <f t="shared" si="3"/>
        <v>-25</v>
      </c>
      <c r="Y18">
        <f t="shared" si="3"/>
        <v>-27.5</v>
      </c>
      <c r="Z18">
        <f t="shared" si="3"/>
        <v>-30</v>
      </c>
      <c r="AA18">
        <f t="shared" si="3"/>
        <v>-32.5</v>
      </c>
      <c r="AB18">
        <f t="shared" si="3"/>
        <v>-35</v>
      </c>
      <c r="AC18">
        <f t="shared" si="3"/>
        <v>-37.5</v>
      </c>
      <c r="AD18">
        <f t="shared" si="3"/>
        <v>-40</v>
      </c>
      <c r="AE18">
        <f t="shared" si="3"/>
        <v>-42.5</v>
      </c>
      <c r="AF18">
        <f t="shared" si="3"/>
        <v>-45</v>
      </c>
      <c r="AG18">
        <f t="shared" si="3"/>
        <v>-47.5</v>
      </c>
      <c r="AH18">
        <f t="shared" si="3"/>
        <v>-50</v>
      </c>
      <c r="AI18">
        <f t="shared" si="3"/>
        <v>-52.5</v>
      </c>
      <c r="AJ18">
        <f t="shared" si="3"/>
        <v>-55</v>
      </c>
      <c r="AK18">
        <f t="shared" si="3"/>
        <v>-57.5</v>
      </c>
      <c r="AL18">
        <f t="shared" si="3"/>
        <v>-60</v>
      </c>
      <c r="AM18">
        <f t="shared" si="3"/>
        <v>-62.5</v>
      </c>
      <c r="AN18">
        <f t="shared" si="3"/>
        <v>-65</v>
      </c>
      <c r="AO18">
        <f t="shared" si="3"/>
        <v>-67.5</v>
      </c>
    </row>
    <row r="40" spans="2:25" x14ac:dyDescent="0.35">
      <c r="E40" s="2">
        <v>0.1</v>
      </c>
    </row>
    <row r="41" spans="2:25" x14ac:dyDescent="0.35">
      <c r="C41" t="s">
        <v>17</v>
      </c>
      <c r="E41" s="2">
        <v>0</v>
      </c>
      <c r="F41">
        <f>E41+$E$40</f>
        <v>0.1</v>
      </c>
      <c r="G41">
        <f t="shared" ref="G41:Y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si="4"/>
        <v>1.8000000000000005</v>
      </c>
      <c r="X41">
        <f t="shared" si="4"/>
        <v>1.9000000000000006</v>
      </c>
      <c r="Y41">
        <f t="shared" si="4"/>
        <v>2.0000000000000004</v>
      </c>
    </row>
    <row r="42" spans="2:25" ht="16.5" x14ac:dyDescent="0.45">
      <c r="B42" s="1" t="s">
        <v>18</v>
      </c>
      <c r="C42" t="s">
        <v>19</v>
      </c>
      <c r="D42" s="2">
        <v>35</v>
      </c>
      <c r="E42">
        <f>$D$42*E41</f>
        <v>0</v>
      </c>
      <c r="F42">
        <f t="shared" ref="F42:Y42" si="5">$D$42*F41</f>
        <v>3.5</v>
      </c>
      <c r="G42">
        <f t="shared" si="5"/>
        <v>7</v>
      </c>
      <c r="H42">
        <f t="shared" si="5"/>
        <v>10.500000000000002</v>
      </c>
      <c r="I42">
        <f t="shared" si="5"/>
        <v>14</v>
      </c>
      <c r="J42">
        <f t="shared" si="5"/>
        <v>17.5</v>
      </c>
      <c r="K42">
        <f t="shared" si="5"/>
        <v>21</v>
      </c>
      <c r="L42">
        <f t="shared" si="5"/>
        <v>24.5</v>
      </c>
      <c r="M42">
        <f t="shared" si="5"/>
        <v>27.999999999999996</v>
      </c>
      <c r="N42">
        <f t="shared" si="5"/>
        <v>31.499999999999996</v>
      </c>
      <c r="O42">
        <f t="shared" si="5"/>
        <v>34.999999999999993</v>
      </c>
      <c r="P42">
        <f t="shared" si="5"/>
        <v>38.499999999999993</v>
      </c>
      <c r="Q42">
        <f t="shared" si="5"/>
        <v>42</v>
      </c>
      <c r="R42">
        <f t="shared" si="5"/>
        <v>45.5</v>
      </c>
      <c r="S42">
        <f t="shared" si="5"/>
        <v>49.000000000000007</v>
      </c>
      <c r="T42">
        <f t="shared" si="5"/>
        <v>52.500000000000007</v>
      </c>
      <c r="U42">
        <f t="shared" si="5"/>
        <v>56.000000000000014</v>
      </c>
      <c r="V42">
        <f t="shared" si="5"/>
        <v>59.500000000000014</v>
      </c>
      <c r="W42">
        <f t="shared" si="5"/>
        <v>63.000000000000014</v>
      </c>
      <c r="X42">
        <f t="shared" si="5"/>
        <v>66.500000000000014</v>
      </c>
      <c r="Y42">
        <f t="shared" si="5"/>
        <v>70.000000000000014</v>
      </c>
    </row>
    <row r="44" spans="2:25" ht="16.5" x14ac:dyDescent="0.45">
      <c r="B44" s="1" t="s">
        <v>21</v>
      </c>
      <c r="C44" t="s">
        <v>20</v>
      </c>
      <c r="D44" s="2">
        <v>-20</v>
      </c>
      <c r="E44">
        <f>$D$44*E41+$D$45</f>
        <v>100</v>
      </c>
      <c r="F44">
        <f t="shared" ref="F44:Y44" si="6">$D$44*F41+$D$45</f>
        <v>98</v>
      </c>
      <c r="G44">
        <f t="shared" si="6"/>
        <v>96</v>
      </c>
      <c r="H44">
        <f t="shared" si="6"/>
        <v>94</v>
      </c>
      <c r="I44">
        <f t="shared" si="6"/>
        <v>92</v>
      </c>
      <c r="J44">
        <f t="shared" si="6"/>
        <v>90</v>
      </c>
      <c r="K44">
        <f t="shared" si="6"/>
        <v>88</v>
      </c>
      <c r="L44">
        <f t="shared" si="6"/>
        <v>86</v>
      </c>
      <c r="M44">
        <f t="shared" si="6"/>
        <v>84</v>
      </c>
      <c r="N44">
        <f t="shared" si="6"/>
        <v>82</v>
      </c>
      <c r="O44">
        <f t="shared" si="6"/>
        <v>80</v>
      </c>
      <c r="P44">
        <f t="shared" si="6"/>
        <v>78</v>
      </c>
      <c r="Q44">
        <f t="shared" si="6"/>
        <v>76</v>
      </c>
      <c r="R44">
        <f t="shared" si="6"/>
        <v>74</v>
      </c>
      <c r="S44">
        <f t="shared" si="6"/>
        <v>72</v>
      </c>
      <c r="T44">
        <f t="shared" si="6"/>
        <v>70</v>
      </c>
      <c r="U44">
        <f t="shared" si="6"/>
        <v>68</v>
      </c>
      <c r="V44">
        <f t="shared" si="6"/>
        <v>66</v>
      </c>
      <c r="W44">
        <f t="shared" si="6"/>
        <v>63.999999999999993</v>
      </c>
      <c r="X44">
        <f t="shared" si="6"/>
        <v>61.999999999999986</v>
      </c>
      <c r="Y44">
        <f t="shared" si="6"/>
        <v>59.999999999999993</v>
      </c>
    </row>
    <row r="45" spans="2:25" x14ac:dyDescent="0.35">
      <c r="C45" t="s">
        <v>22</v>
      </c>
      <c r="D45" s="2">
        <v>100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4B65-9415-4C8E-AE7F-C0B8FA4247A3}">
  <dimension ref="B2:AA11"/>
  <sheetViews>
    <sheetView showGridLines="0" zoomScale="55" zoomScaleNormal="55" workbookViewId="0">
      <selection activeCell="K4" sqref="K4"/>
    </sheetView>
  </sheetViews>
  <sheetFormatPr baseColWidth="10" defaultRowHeight="14.5" x14ac:dyDescent="0.35"/>
  <cols>
    <col min="4" max="4" width="17.54296875" customWidth="1"/>
    <col min="7" max="7" width="14" customWidth="1"/>
  </cols>
  <sheetData>
    <row r="2" spans="2:27" ht="24" thickBot="1" x14ac:dyDescent="0.6">
      <c r="B2" s="22" t="s">
        <v>36</v>
      </c>
      <c r="M2" s="5" t="s">
        <v>32</v>
      </c>
      <c r="N2" s="5"/>
      <c r="P2" s="5" t="s">
        <v>30</v>
      </c>
      <c r="Q2" s="5"/>
      <c r="S2" s="5" t="s">
        <v>31</v>
      </c>
      <c r="T2" s="5"/>
      <c r="W2" s="5" t="s">
        <v>33</v>
      </c>
      <c r="X2" s="5"/>
      <c r="Z2" s="5" t="s">
        <v>34</v>
      </c>
      <c r="AA2" s="5"/>
    </row>
    <row r="3" spans="2:27" ht="20" customHeight="1" thickBot="1" x14ac:dyDescent="0.6">
      <c r="B3" s="22"/>
      <c r="J3" s="20" t="s">
        <v>35</v>
      </c>
      <c r="K3" s="21">
        <v>7</v>
      </c>
      <c r="M3" s="5">
        <f>K3</f>
        <v>7</v>
      </c>
      <c r="N3" s="5">
        <f>M3</f>
        <v>7</v>
      </c>
      <c r="P3" s="5">
        <v>0</v>
      </c>
      <c r="Q3" s="5">
        <f>K3</f>
        <v>7</v>
      </c>
      <c r="S3" s="5">
        <v>0</v>
      </c>
      <c r="T3" s="5">
        <f>N3</f>
        <v>7</v>
      </c>
      <c r="W3" s="5">
        <f>Q3</f>
        <v>7</v>
      </c>
      <c r="X3" s="5">
        <f>W3</f>
        <v>7</v>
      </c>
      <c r="Z3" s="5">
        <v>0</v>
      </c>
      <c r="AA3" s="5">
        <f>X3</f>
        <v>7</v>
      </c>
    </row>
    <row r="4" spans="2:27" ht="15.5" customHeight="1" x14ac:dyDescent="0.55000000000000004">
      <c r="B4" s="22"/>
      <c r="C4" s="92" t="s">
        <v>26</v>
      </c>
      <c r="D4" s="93"/>
      <c r="E4" s="23">
        <v>2</v>
      </c>
      <c r="F4" s="24" t="s">
        <v>25</v>
      </c>
      <c r="M4" s="5">
        <v>0</v>
      </c>
      <c r="N4" s="5">
        <f>E4*K3+E5</f>
        <v>24</v>
      </c>
      <c r="P4" s="5">
        <f>E5</f>
        <v>10</v>
      </c>
      <c r="Q4" s="5">
        <f>E5</f>
        <v>10</v>
      </c>
      <c r="S4" s="5">
        <f>N4</f>
        <v>24</v>
      </c>
      <c r="T4" s="5">
        <f>S4</f>
        <v>24</v>
      </c>
      <c r="W4" s="5">
        <v>0</v>
      </c>
      <c r="X4" s="5">
        <f>$E$4/2 * $K$3^2 + $E$5*$K$3</f>
        <v>119</v>
      </c>
      <c r="Z4" s="5">
        <f>X4</f>
        <v>119</v>
      </c>
      <c r="AA4" s="5">
        <f>$E$4/2 * $K$3^2 + $E$5*$K$3</f>
        <v>119</v>
      </c>
    </row>
    <row r="5" spans="2:27" ht="15.5" customHeight="1" thickBot="1" x14ac:dyDescent="0.6">
      <c r="B5" s="22"/>
      <c r="C5" s="94" t="s">
        <v>27</v>
      </c>
      <c r="D5" s="95"/>
      <c r="E5" s="25">
        <v>10</v>
      </c>
      <c r="F5" s="26" t="s">
        <v>28</v>
      </c>
    </row>
    <row r="6" spans="2:27" ht="15.5" customHeight="1" x14ac:dyDescent="0.35"/>
    <row r="7" spans="2:27" ht="15.5" customHeight="1" x14ac:dyDescent="0.35"/>
    <row r="8" spans="2:27" ht="15.5" customHeight="1" x14ac:dyDescent="0.35">
      <c r="C8" s="90" t="s">
        <v>1</v>
      </c>
      <c r="D8" s="91"/>
      <c r="E8" s="4"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2:27" x14ac:dyDescent="0.35">
      <c r="C9" s="88" t="s">
        <v>24</v>
      </c>
      <c r="D9" s="88"/>
      <c r="E9" s="4">
        <v>0</v>
      </c>
      <c r="F9" s="27">
        <f>E9+$E$8</f>
        <v>1</v>
      </c>
      <c r="G9" s="27">
        <f t="shared" ref="G9:Y9" si="0">F9+$E$8</f>
        <v>2</v>
      </c>
      <c r="H9" s="27">
        <f t="shared" si="0"/>
        <v>3</v>
      </c>
      <c r="I9" s="27">
        <f t="shared" si="0"/>
        <v>4</v>
      </c>
      <c r="J9" s="27">
        <f t="shared" si="0"/>
        <v>5</v>
      </c>
      <c r="K9" s="27">
        <f t="shared" si="0"/>
        <v>6</v>
      </c>
      <c r="L9" s="27">
        <f t="shared" si="0"/>
        <v>7</v>
      </c>
      <c r="M9" s="27">
        <f t="shared" si="0"/>
        <v>8</v>
      </c>
      <c r="N9" s="27">
        <f t="shared" si="0"/>
        <v>9</v>
      </c>
      <c r="O9" s="27">
        <f t="shared" si="0"/>
        <v>10</v>
      </c>
      <c r="P9" s="27">
        <f t="shared" si="0"/>
        <v>11</v>
      </c>
      <c r="Q9" s="27">
        <f t="shared" si="0"/>
        <v>12</v>
      </c>
      <c r="R9" s="27">
        <f t="shared" si="0"/>
        <v>13</v>
      </c>
      <c r="S9" s="27">
        <f t="shared" si="0"/>
        <v>14</v>
      </c>
      <c r="T9" s="27">
        <f t="shared" si="0"/>
        <v>15</v>
      </c>
      <c r="U9" s="27">
        <f t="shared" si="0"/>
        <v>16</v>
      </c>
      <c r="V9" s="27">
        <f t="shared" si="0"/>
        <v>17</v>
      </c>
      <c r="W9" s="27">
        <f t="shared" si="0"/>
        <v>18</v>
      </c>
      <c r="X9" s="27">
        <f>W9+$E$8</f>
        <v>19</v>
      </c>
      <c r="Y9" s="27">
        <f t="shared" si="0"/>
        <v>20</v>
      </c>
      <c r="Z9" s="27">
        <f t="shared" ref="Z9" si="1">Y9+$E$8</f>
        <v>21</v>
      </c>
      <c r="AA9" s="27">
        <f t="shared" ref="AA9" si="2">Z9+$E$8</f>
        <v>22</v>
      </c>
    </row>
    <row r="10" spans="2:27" x14ac:dyDescent="0.35">
      <c r="C10" s="89" t="s">
        <v>29</v>
      </c>
      <c r="D10" s="89"/>
      <c r="E10" s="5">
        <f t="shared" ref="E10:Y10" si="3">$E$4*E9+$E$5</f>
        <v>10</v>
      </c>
      <c r="F10" s="5">
        <f t="shared" si="3"/>
        <v>12</v>
      </c>
      <c r="G10" s="5">
        <f t="shared" si="3"/>
        <v>14</v>
      </c>
      <c r="H10" s="5">
        <f t="shared" si="3"/>
        <v>16</v>
      </c>
      <c r="I10" s="5">
        <f t="shared" si="3"/>
        <v>18</v>
      </c>
      <c r="J10" s="5">
        <f t="shared" si="3"/>
        <v>20</v>
      </c>
      <c r="K10" s="5">
        <f t="shared" si="3"/>
        <v>22</v>
      </c>
      <c r="L10" s="5">
        <f t="shared" si="3"/>
        <v>24</v>
      </c>
      <c r="M10" s="5">
        <f t="shared" si="3"/>
        <v>26</v>
      </c>
      <c r="N10" s="5">
        <f t="shared" si="3"/>
        <v>28</v>
      </c>
      <c r="O10" s="5">
        <f t="shared" si="3"/>
        <v>30</v>
      </c>
      <c r="P10" s="5">
        <f t="shared" si="3"/>
        <v>32</v>
      </c>
      <c r="Q10" s="5">
        <f t="shared" si="3"/>
        <v>34</v>
      </c>
      <c r="R10" s="5">
        <f t="shared" si="3"/>
        <v>36</v>
      </c>
      <c r="S10" s="5">
        <f t="shared" si="3"/>
        <v>38</v>
      </c>
      <c r="T10" s="5">
        <f t="shared" si="3"/>
        <v>40</v>
      </c>
      <c r="U10" s="5">
        <f t="shared" si="3"/>
        <v>42</v>
      </c>
      <c r="V10" s="5">
        <f t="shared" si="3"/>
        <v>44</v>
      </c>
      <c r="W10" s="5">
        <f t="shared" si="3"/>
        <v>46</v>
      </c>
      <c r="X10" s="5">
        <f t="shared" si="3"/>
        <v>48</v>
      </c>
      <c r="Y10" s="5">
        <f t="shared" si="3"/>
        <v>50</v>
      </c>
      <c r="Z10" s="5">
        <f t="shared" ref="Z10:AA10" si="4">$E$4*Z9+$E$5</f>
        <v>52</v>
      </c>
      <c r="AA10" s="5">
        <f t="shared" si="4"/>
        <v>54</v>
      </c>
    </row>
    <row r="11" spans="2:27" ht="16.5" x14ac:dyDescent="0.35">
      <c r="C11" s="89" t="s">
        <v>56</v>
      </c>
      <c r="D11" s="89"/>
      <c r="E11" s="5">
        <f t="shared" ref="E11:Y11" si="5">$E$4/2 * E9^2 + $E$5*E9</f>
        <v>0</v>
      </c>
      <c r="F11" s="5">
        <f t="shared" si="5"/>
        <v>11</v>
      </c>
      <c r="G11" s="5">
        <f t="shared" si="5"/>
        <v>24</v>
      </c>
      <c r="H11" s="5">
        <f t="shared" si="5"/>
        <v>39</v>
      </c>
      <c r="I11" s="5">
        <f t="shared" si="5"/>
        <v>56</v>
      </c>
      <c r="J11" s="5">
        <f t="shared" si="5"/>
        <v>75</v>
      </c>
      <c r="K11" s="5">
        <f t="shared" si="5"/>
        <v>96</v>
      </c>
      <c r="L11" s="5">
        <f t="shared" si="5"/>
        <v>119</v>
      </c>
      <c r="M11" s="5">
        <f t="shared" si="5"/>
        <v>144</v>
      </c>
      <c r="N11" s="5">
        <f t="shared" si="5"/>
        <v>171</v>
      </c>
      <c r="O11" s="5">
        <f t="shared" si="5"/>
        <v>200</v>
      </c>
      <c r="P11" s="5">
        <f t="shared" si="5"/>
        <v>231</v>
      </c>
      <c r="Q11" s="5">
        <f t="shared" si="5"/>
        <v>264</v>
      </c>
      <c r="R11" s="5">
        <f t="shared" si="5"/>
        <v>299</v>
      </c>
      <c r="S11" s="5">
        <f t="shared" si="5"/>
        <v>336</v>
      </c>
      <c r="T11" s="5">
        <f t="shared" si="5"/>
        <v>375</v>
      </c>
      <c r="U11" s="5">
        <f t="shared" si="5"/>
        <v>416</v>
      </c>
      <c r="V11" s="5">
        <f t="shared" si="5"/>
        <v>459</v>
      </c>
      <c r="W11" s="5">
        <f t="shared" si="5"/>
        <v>504</v>
      </c>
      <c r="X11" s="5">
        <f t="shared" si="5"/>
        <v>551</v>
      </c>
      <c r="Y11" s="5">
        <f t="shared" si="5"/>
        <v>600</v>
      </c>
      <c r="Z11" s="5">
        <f t="shared" ref="Z11:AA11" si="6">$E$4/2 * Z9^2 + $E$5*Z9</f>
        <v>651</v>
      </c>
      <c r="AA11" s="5">
        <f t="shared" si="6"/>
        <v>704</v>
      </c>
    </row>
  </sheetData>
  <mergeCells count="6">
    <mergeCell ref="C9:D9"/>
    <mergeCell ref="C10:D10"/>
    <mergeCell ref="C11:D11"/>
    <mergeCell ref="C8:D8"/>
    <mergeCell ref="C4:D4"/>
    <mergeCell ref="C5:D5"/>
  </mergeCells>
  <pageMargins left="0.7" right="0.7" top="0.78740157499999996" bottom="0.78740157499999996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7A4D-486D-4722-8BC0-28E89D3D0FE7}">
  <sheetPr>
    <pageSetUpPr fitToPage="1"/>
  </sheetPr>
  <dimension ref="A2:S19"/>
  <sheetViews>
    <sheetView topLeftCell="A3" zoomScale="55" zoomScaleNormal="55" workbookViewId="0">
      <selection activeCell="D8" sqref="D8"/>
    </sheetView>
  </sheetViews>
  <sheetFormatPr baseColWidth="10" defaultRowHeight="14.5" x14ac:dyDescent="0.35"/>
  <cols>
    <col min="3" max="3" width="23" customWidth="1"/>
    <col min="4" max="4" width="13" customWidth="1"/>
    <col min="5" max="5" width="23" customWidth="1"/>
    <col min="6" max="6" width="13" customWidth="1"/>
    <col min="7" max="7" width="23" customWidth="1"/>
    <col min="8" max="8" width="13" customWidth="1"/>
    <col min="9" max="9" width="26.1796875" customWidth="1"/>
    <col min="10" max="10" width="13" customWidth="1"/>
    <col min="11" max="11" width="23" customWidth="1"/>
    <col min="12" max="12" width="13" customWidth="1"/>
    <col min="14" max="14" width="15.54296875" customWidth="1"/>
    <col min="15" max="15" width="35.1796875" customWidth="1"/>
    <col min="18" max="18" width="5.6328125" customWidth="1"/>
  </cols>
  <sheetData>
    <row r="2" spans="1:19" ht="23.5" x14ac:dyDescent="0.55000000000000004">
      <c r="B2" s="22" t="s">
        <v>23</v>
      </c>
    </row>
    <row r="3" spans="1:19" x14ac:dyDescent="0.35">
      <c r="Q3" t="s">
        <v>104</v>
      </c>
    </row>
    <row r="4" spans="1:19" x14ac:dyDescent="0.35">
      <c r="J4" t="s">
        <v>55</v>
      </c>
      <c r="K4" t="s">
        <v>54</v>
      </c>
      <c r="Q4" s="85" t="s">
        <v>105</v>
      </c>
    </row>
    <row r="5" spans="1:19" ht="15" thickBot="1" x14ac:dyDescent="0.4"/>
    <row r="6" spans="1:19" ht="29" customHeight="1" thickBot="1" x14ac:dyDescent="0.4">
      <c r="C6" s="104" t="str">
        <f>$O$8</f>
        <v>Anfangs-Geschwindigkeit</v>
      </c>
      <c r="D6" s="105"/>
      <c r="E6" s="108" t="str">
        <f>$O$9</f>
        <v>Geschwindigkeit</v>
      </c>
      <c r="F6" s="105"/>
      <c r="G6" s="108" t="str">
        <f>$O$10</f>
        <v>Strecke</v>
      </c>
      <c r="H6" s="105"/>
      <c r="I6" s="108" t="str">
        <f>$O$11</f>
        <v>Zeit</v>
      </c>
      <c r="J6" s="105"/>
      <c r="K6" s="108" t="str">
        <f>$O$12</f>
        <v>Beschleunigung</v>
      </c>
      <c r="L6" s="109"/>
    </row>
    <row r="7" spans="1:19" ht="15" thickBot="1" x14ac:dyDescent="0.4">
      <c r="B7" s="28" t="s">
        <v>43</v>
      </c>
      <c r="C7" s="106" t="str">
        <f>$P$8</f>
        <v>v0 [m/s]</v>
      </c>
      <c r="D7" s="107"/>
      <c r="E7" s="110" t="str">
        <f>$P$9</f>
        <v>v [m/s]</v>
      </c>
      <c r="F7" s="107"/>
      <c r="G7" s="110" t="str">
        <f>$P$10</f>
        <v>s [m]</v>
      </c>
      <c r="H7" s="107"/>
      <c r="I7" s="110" t="str">
        <f>$P$11</f>
        <v>t [s]</v>
      </c>
      <c r="J7" s="107"/>
      <c r="K7" s="110" t="str">
        <f>$P$12</f>
        <v>a [m/s2]</v>
      </c>
      <c r="L7" s="111"/>
      <c r="O7" s="80"/>
      <c r="S7" s="63"/>
    </row>
    <row r="8" spans="1:19" s="34" customFormat="1" ht="38" customHeight="1" x14ac:dyDescent="0.35">
      <c r="A8" s="34">
        <v>28</v>
      </c>
      <c r="B8" s="36" t="s">
        <v>44</v>
      </c>
      <c r="C8" s="35" t="s">
        <v>64</v>
      </c>
      <c r="D8" s="29">
        <f>(G8-(K8/2)*I8^2)/I8</f>
        <v>10</v>
      </c>
      <c r="E8" s="29" t="s">
        <v>82</v>
      </c>
      <c r="F8" s="29">
        <f xml:space="preserve"> G8/I8 + K8*I8/2</f>
        <v>24</v>
      </c>
      <c r="G8" s="112">
        <v>119</v>
      </c>
      <c r="H8" s="117"/>
      <c r="I8" s="112">
        <v>7</v>
      </c>
      <c r="J8" s="117"/>
      <c r="K8" s="112">
        <v>2</v>
      </c>
      <c r="L8" s="113"/>
      <c r="N8" s="86" t="s">
        <v>104</v>
      </c>
      <c r="O8" s="80" t="s">
        <v>94</v>
      </c>
      <c r="P8" s="80" t="s">
        <v>95</v>
      </c>
      <c r="Q8" s="52">
        <f>IF(N8=$Q$3,1,0)</f>
        <v>1</v>
      </c>
      <c r="R8" s="52"/>
      <c r="S8" s="52"/>
    </row>
    <row r="9" spans="1:19" ht="38" customHeight="1" x14ac:dyDescent="0.35">
      <c r="A9">
        <v>26</v>
      </c>
      <c r="B9" s="30" t="s">
        <v>45</v>
      </c>
      <c r="C9" s="76" t="s">
        <v>57</v>
      </c>
      <c r="D9" s="31">
        <f>E9-K9*I9</f>
        <v>10</v>
      </c>
      <c r="E9" s="114">
        <v>24</v>
      </c>
      <c r="F9" s="118"/>
      <c r="G9" s="31" t="s">
        <v>83</v>
      </c>
      <c r="H9" s="31">
        <f>E9*I9 - K9*I9^2/2</f>
        <v>119</v>
      </c>
      <c r="I9" s="114">
        <v>7</v>
      </c>
      <c r="J9" s="118"/>
      <c r="K9" s="114">
        <v>2</v>
      </c>
      <c r="L9" s="115"/>
      <c r="N9" s="86" t="s">
        <v>104</v>
      </c>
      <c r="O9" s="80" t="s">
        <v>37</v>
      </c>
      <c r="P9" s="80" t="s">
        <v>41</v>
      </c>
      <c r="Q9" s="52">
        <f>IF(N9=$Q$3,2,0)</f>
        <v>2</v>
      </c>
      <c r="R9" s="52"/>
      <c r="S9" s="74"/>
    </row>
    <row r="10" spans="1:19" ht="38" customHeight="1" x14ac:dyDescent="0.35">
      <c r="A10">
        <v>22</v>
      </c>
      <c r="B10" s="30" t="s">
        <v>46</v>
      </c>
      <c r="C10" s="77" t="s">
        <v>86</v>
      </c>
      <c r="D10" s="31">
        <f>SQRT(E10^2 - 2*K10*G10)</f>
        <v>10</v>
      </c>
      <c r="E10" s="114">
        <v>24</v>
      </c>
      <c r="F10" s="118"/>
      <c r="G10" s="114">
        <v>119</v>
      </c>
      <c r="H10" s="118"/>
      <c r="I10" s="31" t="s">
        <v>84</v>
      </c>
      <c r="J10" s="31">
        <f>(E10 - SQRT(E10^2 - 2*K10*G10))/K10</f>
        <v>7</v>
      </c>
      <c r="K10" s="114">
        <v>2</v>
      </c>
      <c r="L10" s="115"/>
      <c r="N10" s="86" t="s">
        <v>104</v>
      </c>
      <c r="O10" s="80" t="s">
        <v>38</v>
      </c>
      <c r="P10" s="80" t="s">
        <v>42</v>
      </c>
      <c r="Q10" s="52">
        <f>IF(N10=$Q$3,4,0)</f>
        <v>4</v>
      </c>
      <c r="R10" s="74"/>
      <c r="S10" s="74"/>
    </row>
    <row r="11" spans="1:19" ht="38" customHeight="1" x14ac:dyDescent="0.35">
      <c r="A11">
        <v>14</v>
      </c>
      <c r="B11" s="30" t="s">
        <v>47</v>
      </c>
      <c r="C11" s="77" t="s">
        <v>87</v>
      </c>
      <c r="D11" s="31">
        <f>2*G11/I11 - E11</f>
        <v>10</v>
      </c>
      <c r="E11" s="114">
        <v>24</v>
      </c>
      <c r="F11" s="118"/>
      <c r="G11" s="114">
        <v>119</v>
      </c>
      <c r="H11" s="118"/>
      <c r="I11" s="114">
        <v>7</v>
      </c>
      <c r="J11" s="118"/>
      <c r="K11" s="31" t="s">
        <v>85</v>
      </c>
      <c r="L11" s="45">
        <f xml:space="preserve"> 2/I11 * (E11 - G11/I11)</f>
        <v>2</v>
      </c>
      <c r="N11" s="86" t="s">
        <v>105</v>
      </c>
      <c r="O11" s="80" t="s">
        <v>39</v>
      </c>
      <c r="P11" s="80" t="s">
        <v>24</v>
      </c>
      <c r="Q11" s="52">
        <f>IF(N11=$Q$3,8,0)</f>
        <v>0</v>
      </c>
      <c r="R11" s="74"/>
      <c r="S11" s="74"/>
    </row>
    <row r="12" spans="1:19" s="34" customFormat="1" ht="38" customHeight="1" x14ac:dyDescent="0.35">
      <c r="A12" s="34">
        <v>25</v>
      </c>
      <c r="B12" s="30" t="s">
        <v>48</v>
      </c>
      <c r="C12" s="120">
        <v>10</v>
      </c>
      <c r="D12" s="118"/>
      <c r="E12" s="32" t="s">
        <v>60</v>
      </c>
      <c r="F12" s="31">
        <f>K12*I12+C12</f>
        <v>24</v>
      </c>
      <c r="G12" s="33" t="s">
        <v>63</v>
      </c>
      <c r="H12" s="31">
        <f>K12/2 * I12^2 + C12*I12</f>
        <v>119</v>
      </c>
      <c r="I12" s="114">
        <v>7</v>
      </c>
      <c r="J12" s="118"/>
      <c r="K12" s="114">
        <v>2</v>
      </c>
      <c r="L12" s="115"/>
      <c r="N12" s="86" t="s">
        <v>105</v>
      </c>
      <c r="O12" s="80" t="s">
        <v>40</v>
      </c>
      <c r="P12" s="80" t="s">
        <v>65</v>
      </c>
      <c r="Q12" s="52">
        <f>IF(N12=$Q$3,16,0)</f>
        <v>0</v>
      </c>
      <c r="R12" s="74"/>
      <c r="S12" s="52">
        <f>SUM(Q8:Q12)</f>
        <v>7</v>
      </c>
    </row>
    <row r="13" spans="1:19" ht="38" customHeight="1" x14ac:dyDescent="0.35">
      <c r="A13">
        <v>21</v>
      </c>
      <c r="B13" s="30" t="s">
        <v>50</v>
      </c>
      <c r="C13" s="120">
        <v>10</v>
      </c>
      <c r="D13" s="118"/>
      <c r="E13" s="31" t="s">
        <v>88</v>
      </c>
      <c r="F13" s="31">
        <f>SQRT(C13^2 + 2*K13*G13)</f>
        <v>24</v>
      </c>
      <c r="G13" s="114">
        <v>119</v>
      </c>
      <c r="H13" s="118"/>
      <c r="I13" s="37" t="s">
        <v>62</v>
      </c>
      <c r="J13" s="31">
        <f xml:space="preserve"> (-C13 + SQRT(C13^2 + 2*K13*G13))/K13</f>
        <v>7</v>
      </c>
      <c r="K13" s="116">
        <v>2</v>
      </c>
      <c r="L13" s="115"/>
      <c r="O13" s="80" t="s">
        <v>97</v>
      </c>
      <c r="P13" s="81" t="s">
        <v>103</v>
      </c>
    </row>
    <row r="14" spans="1:19" ht="38" customHeight="1" x14ac:dyDescent="0.35">
      <c r="A14">
        <v>13</v>
      </c>
      <c r="B14" s="30" t="s">
        <v>49</v>
      </c>
      <c r="C14" s="120">
        <v>10</v>
      </c>
      <c r="D14" s="118"/>
      <c r="E14" s="31" t="s">
        <v>89</v>
      </c>
      <c r="F14" s="31">
        <f>2*G14/I14 - C14</f>
        <v>24</v>
      </c>
      <c r="G14" s="114">
        <v>119</v>
      </c>
      <c r="H14" s="118"/>
      <c r="I14" s="114">
        <v>7</v>
      </c>
      <c r="J14" s="119"/>
      <c r="K14" s="87" t="s">
        <v>61</v>
      </c>
      <c r="L14" s="45">
        <f>2*((G14-C14*I14)/I14^2)</f>
        <v>2</v>
      </c>
      <c r="O14" s="80" t="s">
        <v>98</v>
      </c>
      <c r="P14" s="81" t="s">
        <v>102</v>
      </c>
    </row>
    <row r="15" spans="1:19" ht="38" customHeight="1" x14ac:dyDescent="0.35">
      <c r="A15">
        <v>19</v>
      </c>
      <c r="B15" s="30" t="s">
        <v>51</v>
      </c>
      <c r="C15" s="120">
        <v>10</v>
      </c>
      <c r="D15" s="118"/>
      <c r="E15" s="114">
        <v>24</v>
      </c>
      <c r="F15" s="118"/>
      <c r="G15" s="31" t="s">
        <v>90</v>
      </c>
      <c r="H15" s="31">
        <f>(E15^2 - C15^2)/(2*K15)</f>
        <v>119</v>
      </c>
      <c r="I15" s="78" t="s">
        <v>59</v>
      </c>
      <c r="J15" s="31">
        <f>(E15-C15)/K15</f>
        <v>7</v>
      </c>
      <c r="K15" s="114">
        <v>2</v>
      </c>
      <c r="L15" s="115"/>
      <c r="O15" s="80" t="s">
        <v>99</v>
      </c>
      <c r="P15" s="81" t="s">
        <v>100</v>
      </c>
    </row>
    <row r="16" spans="1:19" ht="38" customHeight="1" x14ac:dyDescent="0.35">
      <c r="A16">
        <v>11</v>
      </c>
      <c r="B16" s="30" t="s">
        <v>52</v>
      </c>
      <c r="C16" s="120">
        <v>10</v>
      </c>
      <c r="D16" s="118"/>
      <c r="E16" s="114">
        <v>24</v>
      </c>
      <c r="F16" s="118"/>
      <c r="G16" s="31" t="s">
        <v>91</v>
      </c>
      <c r="H16" s="31">
        <f>(C16+E16)*I16/2</f>
        <v>119</v>
      </c>
      <c r="I16" s="114">
        <v>7</v>
      </c>
      <c r="J16" s="118"/>
      <c r="K16" s="78" t="s">
        <v>58</v>
      </c>
      <c r="L16" s="45">
        <f>(E16-C16)/I16</f>
        <v>2</v>
      </c>
      <c r="O16" s="80" t="s">
        <v>39</v>
      </c>
      <c r="P16" s="81" t="s">
        <v>24</v>
      </c>
    </row>
    <row r="17" spans="1:16" ht="38" customHeight="1" thickBot="1" x14ac:dyDescent="0.4">
      <c r="A17">
        <v>7</v>
      </c>
      <c r="B17" s="79" t="s">
        <v>53</v>
      </c>
      <c r="C17" s="122">
        <v>10</v>
      </c>
      <c r="D17" s="121"/>
      <c r="E17" s="116">
        <v>24</v>
      </c>
      <c r="F17" s="121"/>
      <c r="G17" s="116">
        <v>119</v>
      </c>
      <c r="H17" s="121"/>
      <c r="I17" s="83" t="s">
        <v>92</v>
      </c>
      <c r="J17" s="83">
        <f>2*G17/(C17+E17)</f>
        <v>7</v>
      </c>
      <c r="K17" s="83" t="s">
        <v>93</v>
      </c>
      <c r="L17" s="84">
        <f>(E17^2 - C17^2)/(2*G17)</f>
        <v>2</v>
      </c>
      <c r="O17" s="80" t="s">
        <v>96</v>
      </c>
      <c r="P17" s="81" t="s">
        <v>101</v>
      </c>
    </row>
    <row r="18" spans="1:16" ht="15" thickBot="1" x14ac:dyDescent="0.4">
      <c r="B18" s="82" t="s">
        <v>43</v>
      </c>
      <c r="C18" s="100" t="str">
        <f>P13</f>
        <v>ω0 [rad/s]</v>
      </c>
      <c r="D18" s="101"/>
      <c r="E18" s="102" t="str">
        <f>P14</f>
        <v>ω [rad/s]</v>
      </c>
      <c r="F18" s="101"/>
      <c r="G18" s="102" t="str">
        <f>P15</f>
        <v>φ [rad]</v>
      </c>
      <c r="H18" s="101"/>
      <c r="I18" s="102" t="str">
        <f>P16</f>
        <v>t [s]</v>
      </c>
      <c r="J18" s="101"/>
      <c r="K18" s="102" t="str">
        <f>P17</f>
        <v>α [rad/s2]</v>
      </c>
      <c r="L18" s="103"/>
    </row>
    <row r="19" spans="1:16" ht="29" customHeight="1" thickBot="1" x14ac:dyDescent="0.4">
      <c r="C19" s="96" t="str">
        <f>O13</f>
        <v>Anfangs-Winkelgeschwindigkeit</v>
      </c>
      <c r="D19" s="97"/>
      <c r="E19" s="98" t="str">
        <f>O14</f>
        <v>Winkelgeschwindigkeit</v>
      </c>
      <c r="F19" s="97"/>
      <c r="G19" s="98" t="str">
        <f>O15</f>
        <v>Winkel</v>
      </c>
      <c r="H19" s="97"/>
      <c r="I19" s="98" t="str">
        <f>O16</f>
        <v>Zeit</v>
      </c>
      <c r="J19" s="97"/>
      <c r="K19" s="98" t="str">
        <f>O17</f>
        <v>Winkelbeschleunigung</v>
      </c>
      <c r="L19" s="99"/>
    </row>
  </sheetData>
  <mergeCells count="50">
    <mergeCell ref="G17:H17"/>
    <mergeCell ref="E16:F16"/>
    <mergeCell ref="E17:F17"/>
    <mergeCell ref="C17:D17"/>
    <mergeCell ref="I16:J16"/>
    <mergeCell ref="G8:H8"/>
    <mergeCell ref="G10:H10"/>
    <mergeCell ref="G11:H11"/>
    <mergeCell ref="G13:H13"/>
    <mergeCell ref="G14:H14"/>
    <mergeCell ref="C12:D12"/>
    <mergeCell ref="C13:D13"/>
    <mergeCell ref="C14:D14"/>
    <mergeCell ref="C15:D15"/>
    <mergeCell ref="C16:D16"/>
    <mergeCell ref="E9:F9"/>
    <mergeCell ref="E10:F10"/>
    <mergeCell ref="E11:F11"/>
    <mergeCell ref="E15:F15"/>
    <mergeCell ref="K15:L15"/>
    <mergeCell ref="I8:J8"/>
    <mergeCell ref="I9:J9"/>
    <mergeCell ref="I11:J11"/>
    <mergeCell ref="I12:J12"/>
    <mergeCell ref="I14:J14"/>
    <mergeCell ref="K8:L8"/>
    <mergeCell ref="K9:L9"/>
    <mergeCell ref="K10:L10"/>
    <mergeCell ref="K12:L12"/>
    <mergeCell ref="K13:L13"/>
    <mergeCell ref="C6:D6"/>
    <mergeCell ref="C7:D7"/>
    <mergeCell ref="K6:L6"/>
    <mergeCell ref="K7:L7"/>
    <mergeCell ref="I6:J6"/>
    <mergeCell ref="I7:J7"/>
    <mergeCell ref="G6:H6"/>
    <mergeCell ref="G7:H7"/>
    <mergeCell ref="E6:F6"/>
    <mergeCell ref="E7:F7"/>
    <mergeCell ref="C18:D18"/>
    <mergeCell ref="E18:F18"/>
    <mergeCell ref="G18:H18"/>
    <mergeCell ref="I18:J18"/>
    <mergeCell ref="K18:L18"/>
    <mergeCell ref="C19:D19"/>
    <mergeCell ref="E19:F19"/>
    <mergeCell ref="G19:H19"/>
    <mergeCell ref="I19:J19"/>
    <mergeCell ref="K19:L19"/>
  </mergeCells>
  <dataValidations count="2">
    <dataValidation type="list" allowBlank="1" showInputMessage="1" showErrorMessage="1" sqref="E24" xr:uid="{F0227B52-6C3F-4B29-A45C-B261C0C0E4F1}">
      <formula1>$C$7:$L$7</formula1>
    </dataValidation>
    <dataValidation type="list" allowBlank="1" showInputMessage="1" showErrorMessage="1" sqref="N8:N12" xr:uid="{DCF60D17-7633-456A-A407-CB000447DE9C}">
      <formula1>$Q$3:$Q$4</formula1>
    </dataValidation>
  </dataValidations>
  <pageMargins left="0.7" right="0.7" top="0.78740157499999996" bottom="0.78740157499999996" header="0.3" footer="0.3"/>
  <pageSetup scale="52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38E5-43C1-41D2-ADA5-A29109FD68B0}">
  <sheetPr codeName="Tabelle15">
    <pageSetUpPr fitToPage="1"/>
  </sheetPr>
  <dimension ref="C1:AY21"/>
  <sheetViews>
    <sheetView showGridLines="0" topLeftCell="A5" zoomScale="55" zoomScaleNormal="55" workbookViewId="0">
      <selection activeCell="N17" sqref="N17"/>
    </sheetView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68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MAX(K14:K20)</f>
        <v>0.86602540378443871</v>
      </c>
      <c r="U5" s="5"/>
      <c r="V5" s="5"/>
      <c r="W5" s="5">
        <f>K12</f>
        <v>120</v>
      </c>
      <c r="X5" s="5">
        <f>W5</f>
        <v>120</v>
      </c>
    </row>
    <row r="6" spans="3:51" x14ac:dyDescent="0.35">
      <c r="R6" s="5"/>
      <c r="S6" s="19" t="s">
        <v>79</v>
      </c>
      <c r="T6" s="55">
        <f>MIN(K14:K20)</f>
        <v>-0.17320508075688756</v>
      </c>
      <c r="U6" s="5"/>
      <c r="V6" s="5"/>
      <c r="W6" s="5">
        <v>0</v>
      </c>
      <c r="X6" s="5">
        <f>T7</f>
        <v>0.86602540378443871</v>
      </c>
    </row>
    <row r="7" spans="3:51" x14ac:dyDescent="0.35">
      <c r="R7" s="89" t="s">
        <v>81</v>
      </c>
      <c r="S7" s="89"/>
      <c r="T7" s="5">
        <f>IF(ABS(T5)&gt;ABS(T6),T5,T6)</f>
        <v>0.86602540378443871</v>
      </c>
      <c r="U7" s="5"/>
      <c r="V7" s="5"/>
      <c r="W7" s="5"/>
      <c r="X7" s="5"/>
      <c r="AI7" s="5" t="s">
        <v>72</v>
      </c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123"/>
      <c r="D11" s="123"/>
      <c r="E11" s="123"/>
      <c r="F11" s="123"/>
      <c r="G11" s="47"/>
      <c r="H11" s="47"/>
      <c r="L11" s="43" t="s">
        <v>8</v>
      </c>
      <c r="M11" s="46">
        <v>10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124" t="s">
        <v>67</v>
      </c>
      <c r="D12" s="124"/>
      <c r="E12" s="124"/>
      <c r="F12" s="124"/>
      <c r="G12" s="47"/>
      <c r="H12" s="47"/>
      <c r="J12" s="57" t="s">
        <v>70</v>
      </c>
      <c r="K12" s="38">
        <v>120</v>
      </c>
      <c r="L12" s="125" t="s">
        <v>71</v>
      </c>
      <c r="M12" s="38">
        <v>0</v>
      </c>
      <c r="N12" s="75">
        <f>M12+$M$11</f>
        <v>10</v>
      </c>
      <c r="O12" s="75">
        <f t="shared" ref="O12:AY12" si="0">N12+$M$11</f>
        <v>20</v>
      </c>
      <c r="P12" s="75">
        <f t="shared" si="0"/>
        <v>30</v>
      </c>
      <c r="Q12" s="75">
        <f t="shared" si="0"/>
        <v>40</v>
      </c>
      <c r="R12" s="75">
        <f t="shared" si="0"/>
        <v>50</v>
      </c>
      <c r="S12" s="75">
        <f t="shared" si="0"/>
        <v>60</v>
      </c>
      <c r="T12" s="75">
        <f t="shared" si="0"/>
        <v>70</v>
      </c>
      <c r="U12" s="75">
        <f t="shared" si="0"/>
        <v>80</v>
      </c>
      <c r="V12" s="75">
        <f t="shared" si="0"/>
        <v>90</v>
      </c>
      <c r="W12" s="75">
        <f t="shared" si="0"/>
        <v>100</v>
      </c>
      <c r="X12" s="75">
        <f t="shared" si="0"/>
        <v>110</v>
      </c>
      <c r="Y12" s="75">
        <f t="shared" si="0"/>
        <v>120</v>
      </c>
      <c r="Z12" s="75">
        <f t="shared" si="0"/>
        <v>130</v>
      </c>
      <c r="AA12" s="75">
        <f t="shared" si="0"/>
        <v>140</v>
      </c>
      <c r="AB12" s="75">
        <f t="shared" si="0"/>
        <v>150</v>
      </c>
      <c r="AC12" s="75">
        <f t="shared" si="0"/>
        <v>160</v>
      </c>
      <c r="AD12" s="75">
        <f t="shared" si="0"/>
        <v>170</v>
      </c>
      <c r="AE12" s="75">
        <f t="shared" si="0"/>
        <v>180</v>
      </c>
      <c r="AF12" s="75">
        <f t="shared" si="0"/>
        <v>190</v>
      </c>
      <c r="AG12" s="75">
        <f t="shared" si="0"/>
        <v>200</v>
      </c>
      <c r="AH12" s="75">
        <f t="shared" si="0"/>
        <v>210</v>
      </c>
      <c r="AI12" s="75">
        <f t="shared" si="0"/>
        <v>220</v>
      </c>
      <c r="AJ12" s="75">
        <f t="shared" si="0"/>
        <v>230</v>
      </c>
      <c r="AK12" s="75">
        <f t="shared" si="0"/>
        <v>240</v>
      </c>
      <c r="AL12" s="75">
        <f t="shared" si="0"/>
        <v>250</v>
      </c>
      <c r="AM12" s="75">
        <f t="shared" si="0"/>
        <v>260</v>
      </c>
      <c r="AN12" s="75">
        <f t="shared" si="0"/>
        <v>270</v>
      </c>
      <c r="AO12" s="75">
        <f t="shared" si="0"/>
        <v>280</v>
      </c>
      <c r="AP12" s="75">
        <f t="shared" si="0"/>
        <v>290</v>
      </c>
      <c r="AQ12" s="75">
        <f t="shared" si="0"/>
        <v>300</v>
      </c>
      <c r="AR12" s="75">
        <f t="shared" si="0"/>
        <v>310</v>
      </c>
      <c r="AS12" s="75">
        <f t="shared" si="0"/>
        <v>320</v>
      </c>
      <c r="AT12" s="75">
        <f t="shared" si="0"/>
        <v>330</v>
      </c>
      <c r="AU12" s="75">
        <f t="shared" si="0"/>
        <v>340</v>
      </c>
      <c r="AV12" s="75">
        <f t="shared" si="0"/>
        <v>350</v>
      </c>
      <c r="AW12" s="75">
        <f t="shared" si="0"/>
        <v>360</v>
      </c>
      <c r="AX12" s="75">
        <f t="shared" si="0"/>
        <v>370</v>
      </c>
      <c r="AY12" s="75">
        <f t="shared" si="0"/>
        <v>380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 t="shared" ref="K13" si="1">PI()*K12/180</f>
        <v>2.0943951023931953</v>
      </c>
      <c r="L13" s="126"/>
      <c r="M13" s="64">
        <f>PI()*M12/180</f>
        <v>0</v>
      </c>
      <c r="N13" s="64">
        <f t="shared" ref="N13:AY13" si="2">PI()*N12/180</f>
        <v>0.17453292519943295</v>
      </c>
      <c r="O13" s="64">
        <f t="shared" si="2"/>
        <v>0.3490658503988659</v>
      </c>
      <c r="P13" s="64">
        <f t="shared" si="2"/>
        <v>0.52359877559829882</v>
      </c>
      <c r="Q13" s="64">
        <f t="shared" si="2"/>
        <v>0.69813170079773179</v>
      </c>
      <c r="R13" s="64">
        <f t="shared" si="2"/>
        <v>0.87266462599716477</v>
      </c>
      <c r="S13" s="64">
        <f t="shared" si="2"/>
        <v>1.0471975511965976</v>
      </c>
      <c r="T13" s="64">
        <f t="shared" si="2"/>
        <v>1.2217304763960306</v>
      </c>
      <c r="U13" s="64">
        <f t="shared" si="2"/>
        <v>1.3962634015954636</v>
      </c>
      <c r="V13" s="64">
        <f t="shared" si="2"/>
        <v>1.5707963267948966</v>
      </c>
      <c r="W13" s="64">
        <f t="shared" si="2"/>
        <v>1.7453292519943295</v>
      </c>
      <c r="X13" s="64">
        <f t="shared" si="2"/>
        <v>1.9198621771937625</v>
      </c>
      <c r="Y13" s="64">
        <f t="shared" si="2"/>
        <v>2.0943951023931953</v>
      </c>
      <c r="Z13" s="64">
        <f t="shared" si="2"/>
        <v>2.2689280275926285</v>
      </c>
      <c r="AA13" s="64">
        <f t="shared" si="2"/>
        <v>2.4434609527920612</v>
      </c>
      <c r="AB13" s="64">
        <f t="shared" si="2"/>
        <v>2.6179938779914944</v>
      </c>
      <c r="AC13" s="64">
        <f t="shared" si="2"/>
        <v>2.7925268031909272</v>
      </c>
      <c r="AD13" s="64">
        <f t="shared" si="2"/>
        <v>2.9670597283903604</v>
      </c>
      <c r="AE13" s="64">
        <f t="shared" si="2"/>
        <v>3.1415926535897931</v>
      </c>
      <c r="AF13" s="64">
        <f t="shared" si="2"/>
        <v>3.3161255787892263</v>
      </c>
      <c r="AG13" s="64">
        <f t="shared" si="2"/>
        <v>3.4906585039886591</v>
      </c>
      <c r="AH13" s="64">
        <f t="shared" si="2"/>
        <v>3.6651914291880923</v>
      </c>
      <c r="AI13" s="64">
        <f t="shared" si="2"/>
        <v>3.839724354387525</v>
      </c>
      <c r="AJ13" s="64">
        <f t="shared" si="2"/>
        <v>4.0142572795869578</v>
      </c>
      <c r="AK13" s="64">
        <f t="shared" si="2"/>
        <v>4.1887902047863905</v>
      </c>
      <c r="AL13" s="64">
        <f t="shared" si="2"/>
        <v>4.3633231299858233</v>
      </c>
      <c r="AM13" s="64">
        <f t="shared" si="2"/>
        <v>4.5378560551852569</v>
      </c>
      <c r="AN13" s="64">
        <f t="shared" si="2"/>
        <v>4.7123889803846897</v>
      </c>
      <c r="AO13" s="64">
        <f t="shared" si="2"/>
        <v>4.8869219055841224</v>
      </c>
      <c r="AP13" s="64">
        <f t="shared" si="2"/>
        <v>5.0614548307835552</v>
      </c>
      <c r="AQ13" s="64">
        <f t="shared" si="2"/>
        <v>5.2359877559829888</v>
      </c>
      <c r="AR13" s="64">
        <f t="shared" si="2"/>
        <v>5.4105206811824216</v>
      </c>
      <c r="AS13" s="64">
        <f t="shared" si="2"/>
        <v>5.5850536063818543</v>
      </c>
      <c r="AT13" s="64">
        <f t="shared" si="2"/>
        <v>5.7595865315812871</v>
      </c>
      <c r="AU13" s="64">
        <f t="shared" si="2"/>
        <v>5.9341194567807207</v>
      </c>
      <c r="AV13" s="64">
        <f t="shared" si="2"/>
        <v>6.1086523819801526</v>
      </c>
      <c r="AW13" s="64">
        <f t="shared" si="2"/>
        <v>6.2831853071795862</v>
      </c>
      <c r="AX13" s="64">
        <f t="shared" si="2"/>
        <v>6.457718232379019</v>
      </c>
      <c r="AY13" s="64">
        <f t="shared" si="2"/>
        <v>6.6322511575784526</v>
      </c>
    </row>
    <row r="14" spans="3:51" x14ac:dyDescent="0.35">
      <c r="C14" s="42">
        <v>1</v>
      </c>
      <c r="D14" s="42">
        <v>1</v>
      </c>
      <c r="E14" s="42">
        <v>0</v>
      </c>
      <c r="F14" s="73">
        <f>PI()*E14/180</f>
        <v>0</v>
      </c>
      <c r="G14" s="56"/>
      <c r="H14" s="56"/>
      <c r="J14" s="58" t="str">
        <f>_xlfn.CONCAT("y0 = ",IF(C14&lt;&gt;1,_xlfn.CONCAT(ROUND(C14,2)," *"),"")," sin(",IF(D14&lt;&gt;1,_xlfn.CONCAT(ROUND(D14,2),"*"),""),"x ",IF(F14&lt;&gt;0,_xlfn.CONCAT(" + ",ROUND(F14,2),""),""),") = ")</f>
        <v xml:space="preserve">y0 =  sin(x ) = </v>
      </c>
      <c r="K14" s="66">
        <f>IF($L$14=$AI$7,$C$14*SIN($D$14*K13 + $F$14),"")</f>
        <v>0.86602540378443871</v>
      </c>
      <c r="L14" s="48" t="s">
        <v>72</v>
      </c>
      <c r="M14" s="54">
        <f>IF($L$14=$AI$7,$C$14*SIN($D$14*M13 + $F$14),"")</f>
        <v>0</v>
      </c>
      <c r="N14" s="54">
        <f t="shared" ref="N14:AY14" si="3">IF($L$14=$AI$7,$C$14*SIN($D$14*N13 + $F$14),"")</f>
        <v>0.17364817766693033</v>
      </c>
      <c r="O14" s="54">
        <f t="shared" si="3"/>
        <v>0.34202014332566871</v>
      </c>
      <c r="P14" s="54">
        <f t="shared" si="3"/>
        <v>0.49999999999999994</v>
      </c>
      <c r="Q14" s="54">
        <f t="shared" si="3"/>
        <v>0.64278760968653925</v>
      </c>
      <c r="R14" s="54">
        <f t="shared" si="3"/>
        <v>0.76604444311897801</v>
      </c>
      <c r="S14" s="54">
        <f t="shared" si="3"/>
        <v>0.8660254037844386</v>
      </c>
      <c r="T14" s="54">
        <f t="shared" si="3"/>
        <v>0.93969262078590832</v>
      </c>
      <c r="U14" s="54">
        <f t="shared" si="3"/>
        <v>0.98480775301220802</v>
      </c>
      <c r="V14" s="54">
        <f t="shared" si="3"/>
        <v>1</v>
      </c>
      <c r="W14" s="54">
        <f t="shared" si="3"/>
        <v>0.98480775301220802</v>
      </c>
      <c r="X14" s="54">
        <f t="shared" si="3"/>
        <v>0.93969262078590843</v>
      </c>
      <c r="Y14" s="54">
        <f t="shared" si="3"/>
        <v>0.86602540378443871</v>
      </c>
      <c r="Z14" s="54">
        <f t="shared" si="3"/>
        <v>0.76604444311897801</v>
      </c>
      <c r="AA14" s="54">
        <f t="shared" si="3"/>
        <v>0.64278760968653947</v>
      </c>
      <c r="AB14" s="54">
        <f t="shared" si="3"/>
        <v>0.49999999999999994</v>
      </c>
      <c r="AC14" s="54">
        <f t="shared" si="3"/>
        <v>0.34202014332566888</v>
      </c>
      <c r="AD14" s="54">
        <f t="shared" si="3"/>
        <v>0.17364817766693028</v>
      </c>
      <c r="AE14" s="54">
        <f t="shared" si="3"/>
        <v>1.22514845490862E-16</v>
      </c>
      <c r="AF14" s="54">
        <f t="shared" si="3"/>
        <v>-0.17364817766693047</v>
      </c>
      <c r="AG14" s="54">
        <f t="shared" si="3"/>
        <v>-0.34202014332566866</v>
      </c>
      <c r="AH14" s="54">
        <f t="shared" si="3"/>
        <v>-0.50000000000000011</v>
      </c>
      <c r="AI14" s="54">
        <f t="shared" si="3"/>
        <v>-0.64278760968653925</v>
      </c>
      <c r="AJ14" s="54">
        <f t="shared" si="3"/>
        <v>-0.7660444431189779</v>
      </c>
      <c r="AK14" s="54">
        <f t="shared" si="3"/>
        <v>-0.86602540378443837</v>
      </c>
      <c r="AL14" s="54">
        <f t="shared" si="3"/>
        <v>-0.93969262078590821</v>
      </c>
      <c r="AM14" s="54">
        <f t="shared" si="3"/>
        <v>-0.98480775301220802</v>
      </c>
      <c r="AN14" s="54">
        <f t="shared" si="3"/>
        <v>-1</v>
      </c>
      <c r="AO14" s="54">
        <f t="shared" si="3"/>
        <v>-0.98480775301220813</v>
      </c>
      <c r="AP14" s="54">
        <f t="shared" si="3"/>
        <v>-0.93969262078590854</v>
      </c>
      <c r="AQ14" s="54">
        <f t="shared" si="3"/>
        <v>-0.8660254037844386</v>
      </c>
      <c r="AR14" s="54">
        <f t="shared" si="3"/>
        <v>-0.76604444311897812</v>
      </c>
      <c r="AS14" s="54">
        <f t="shared" si="3"/>
        <v>-0.64278760968653958</v>
      </c>
      <c r="AT14" s="54">
        <f t="shared" si="3"/>
        <v>-0.50000000000000044</v>
      </c>
      <c r="AU14" s="54">
        <f t="shared" si="3"/>
        <v>-0.3420201433256686</v>
      </c>
      <c r="AV14" s="54">
        <f t="shared" si="3"/>
        <v>-0.17364817766693127</v>
      </c>
      <c r="AW14" s="54">
        <f t="shared" si="3"/>
        <v>-2.45029690981724E-16</v>
      </c>
      <c r="AX14" s="54">
        <f t="shared" si="3"/>
        <v>0.17364817766692991</v>
      </c>
      <c r="AY14" s="54">
        <f t="shared" si="3"/>
        <v>0.34202014332566893</v>
      </c>
    </row>
    <row r="15" spans="3:51" x14ac:dyDescent="0.35">
      <c r="C15" s="42">
        <f>1/3</f>
        <v>0.33333333333333331</v>
      </c>
      <c r="D15" s="42">
        <v>3</v>
      </c>
      <c r="E15" s="42">
        <v>0</v>
      </c>
      <c r="F15" s="73">
        <f t="shared" ref="F15:F17" si="4">PI()*E15/180</f>
        <v>0</v>
      </c>
      <c r="G15" s="56"/>
      <c r="H15" s="56"/>
      <c r="J15" s="59" t="str">
        <f t="shared" ref="J15:J17" si="5">_xlfn.CONCAT("y0 = ",IF(C15&lt;&gt;1,_xlfn.CONCAT(ROUND(C15,2)," *"),"")," sin(",IF(D15&lt;&gt;1,_xlfn.CONCAT(ROUND(D15,2),"*"),""),"x ",IF(F15&lt;&gt;0,_xlfn.CONCAT(" + ",ROUND(F15,2),""),""),") = ")</f>
        <v xml:space="preserve">y0 = 0.33 * sin(3*x ) = </v>
      </c>
      <c r="K15" s="67">
        <f>IF($L$15=$AI$7,$C$15*SIN($D$15*K13 + $F$15),"")</f>
        <v>-8.1676563660574659E-17</v>
      </c>
      <c r="L15" s="49" t="s">
        <v>72</v>
      </c>
      <c r="M15" s="55">
        <f t="shared" ref="M15:AY15" si="6">IF($L$15=$AI$7,$C$15*SIN($D$15*M13 + $F$15),"")</f>
        <v>0</v>
      </c>
      <c r="N15" s="55">
        <f t="shared" si="6"/>
        <v>0.16666666666666663</v>
      </c>
      <c r="O15" s="55">
        <f t="shared" si="6"/>
        <v>0.28867513459481287</v>
      </c>
      <c r="P15" s="55">
        <f t="shared" si="6"/>
        <v>0.33333333333333331</v>
      </c>
      <c r="Q15" s="55">
        <f t="shared" si="6"/>
        <v>0.28867513459481287</v>
      </c>
      <c r="R15" s="55">
        <f t="shared" si="6"/>
        <v>0.16666666666666663</v>
      </c>
      <c r="S15" s="55">
        <f t="shared" si="6"/>
        <v>4.083828183028733E-17</v>
      </c>
      <c r="T15" s="55">
        <f t="shared" si="6"/>
        <v>-0.16666666666666657</v>
      </c>
      <c r="U15" s="55">
        <f t="shared" si="6"/>
        <v>-0.28867513459481275</v>
      </c>
      <c r="V15" s="55">
        <f t="shared" si="6"/>
        <v>-0.33333333333333331</v>
      </c>
      <c r="W15" s="55">
        <f t="shared" si="6"/>
        <v>-0.28867513459481287</v>
      </c>
      <c r="X15" s="55">
        <f t="shared" si="6"/>
        <v>-0.16666666666666655</v>
      </c>
      <c r="Y15" s="55">
        <f t="shared" si="6"/>
        <v>-8.1676563660574659E-17</v>
      </c>
      <c r="Z15" s="55">
        <f t="shared" si="6"/>
        <v>0.16666666666666666</v>
      </c>
      <c r="AA15" s="55">
        <f t="shared" si="6"/>
        <v>0.28867513459481275</v>
      </c>
      <c r="AB15" s="55">
        <f t="shared" si="6"/>
        <v>0.33333333333333331</v>
      </c>
      <c r="AC15" s="55">
        <f t="shared" si="6"/>
        <v>0.28867513459481303</v>
      </c>
      <c r="AD15" s="55">
        <f t="shared" si="6"/>
        <v>0.16666666666666657</v>
      </c>
      <c r="AE15" s="55">
        <f t="shared" si="6"/>
        <v>1.22514845490862E-16</v>
      </c>
      <c r="AF15" s="55">
        <f t="shared" si="6"/>
        <v>-0.16666666666666688</v>
      </c>
      <c r="AG15" s="55">
        <f t="shared" si="6"/>
        <v>-0.28867513459481287</v>
      </c>
      <c r="AH15" s="55">
        <f t="shared" si="6"/>
        <v>-0.33333333333333331</v>
      </c>
      <c r="AI15" s="55">
        <f t="shared" si="6"/>
        <v>-0.28867513459481275</v>
      </c>
      <c r="AJ15" s="55">
        <f t="shared" si="6"/>
        <v>-0.16666666666666663</v>
      </c>
      <c r="AK15" s="55">
        <f t="shared" si="6"/>
        <v>-1.6335312732114932E-16</v>
      </c>
      <c r="AL15" s="55">
        <f t="shared" si="6"/>
        <v>0.16666666666666635</v>
      </c>
      <c r="AM15" s="55">
        <f t="shared" si="6"/>
        <v>0.28867513459481287</v>
      </c>
      <c r="AN15" s="55">
        <f t="shared" si="6"/>
        <v>0.33333333333333331</v>
      </c>
      <c r="AO15" s="55">
        <f t="shared" si="6"/>
        <v>0.28867513459481309</v>
      </c>
      <c r="AP15" s="55">
        <f t="shared" si="6"/>
        <v>0.16666666666666718</v>
      </c>
      <c r="AQ15" s="55">
        <f t="shared" si="6"/>
        <v>2.0419140915143666E-16</v>
      </c>
      <c r="AR15" s="55">
        <f t="shared" si="6"/>
        <v>-0.1666666666666663</v>
      </c>
      <c r="AS15" s="55">
        <f t="shared" si="6"/>
        <v>-0.28867513459481253</v>
      </c>
      <c r="AT15" s="55">
        <f t="shared" si="6"/>
        <v>-0.33333333333333331</v>
      </c>
      <c r="AU15" s="55">
        <f t="shared" si="6"/>
        <v>-0.28867513459481275</v>
      </c>
      <c r="AV15" s="55">
        <f t="shared" si="6"/>
        <v>-0.16666666666666774</v>
      </c>
      <c r="AW15" s="55">
        <f t="shared" si="6"/>
        <v>-2.45029690981724E-16</v>
      </c>
      <c r="AX15" s="55">
        <f t="shared" si="6"/>
        <v>0.16666666666666627</v>
      </c>
      <c r="AY15" s="55">
        <f t="shared" si="6"/>
        <v>0.28867513459481314</v>
      </c>
    </row>
    <row r="16" spans="3:51" x14ac:dyDescent="0.35">
      <c r="C16" s="42">
        <f>1/5</f>
        <v>0.2</v>
      </c>
      <c r="D16" s="42">
        <v>5</v>
      </c>
      <c r="E16" s="42">
        <v>0</v>
      </c>
      <c r="F16" s="73">
        <f t="shared" si="4"/>
        <v>0</v>
      </c>
      <c r="G16" s="56"/>
      <c r="H16" s="56"/>
      <c r="J16" s="60" t="str">
        <f t="shared" si="5"/>
        <v xml:space="preserve">y0 = 0.2 * sin(5*x ) = </v>
      </c>
      <c r="K16" s="68">
        <f>IF($L$16=$AI$7,$C$16*SIN($D$16*K13 + $F$16),"")</f>
        <v>-0.17320508075688756</v>
      </c>
      <c r="L16" s="50" t="s">
        <v>72</v>
      </c>
      <c r="M16" s="55">
        <f t="shared" ref="M16:AY16" si="7">IF($L$16=$AI$7,$C$16*SIN($D$16*M13 + $F$16),"")</f>
        <v>0</v>
      </c>
      <c r="N16" s="55">
        <f t="shared" si="7"/>
        <v>0.15320888862379561</v>
      </c>
      <c r="O16" s="55">
        <f t="shared" si="7"/>
        <v>0.19696155060244161</v>
      </c>
      <c r="P16" s="55">
        <f t="shared" si="7"/>
        <v>0.10000000000000007</v>
      </c>
      <c r="Q16" s="55">
        <f t="shared" si="7"/>
        <v>-6.8404028665133731E-2</v>
      </c>
      <c r="R16" s="55">
        <f t="shared" si="7"/>
        <v>-0.18793852415718171</v>
      </c>
      <c r="S16" s="55">
        <f t="shared" si="7"/>
        <v>-0.17320508075688781</v>
      </c>
      <c r="T16" s="55">
        <f t="shared" si="7"/>
        <v>-3.472963553338608E-2</v>
      </c>
      <c r="U16" s="55">
        <f t="shared" si="7"/>
        <v>0.12855752193730782</v>
      </c>
      <c r="V16" s="55">
        <f t="shared" si="7"/>
        <v>0.2</v>
      </c>
      <c r="W16" s="55">
        <f t="shared" si="7"/>
        <v>0.12855752193730782</v>
      </c>
      <c r="X16" s="55">
        <f t="shared" si="7"/>
        <v>-3.4729635533385955E-2</v>
      </c>
      <c r="Y16" s="55">
        <f t="shared" si="7"/>
        <v>-0.17320508075688756</v>
      </c>
      <c r="Z16" s="55">
        <f t="shared" si="7"/>
        <v>-0.18793852415718162</v>
      </c>
      <c r="AA16" s="55">
        <f t="shared" si="7"/>
        <v>-6.8404028665133773E-2</v>
      </c>
      <c r="AB16" s="55">
        <f t="shared" si="7"/>
        <v>0.10000000000000012</v>
      </c>
      <c r="AC16" s="55">
        <f t="shared" si="7"/>
        <v>0.19696155060244161</v>
      </c>
      <c r="AD16" s="55">
        <f t="shared" si="7"/>
        <v>0.15320888862379556</v>
      </c>
      <c r="AE16" s="55">
        <f t="shared" si="7"/>
        <v>1.22514845490862E-16</v>
      </c>
      <c r="AF16" s="55">
        <f t="shared" si="7"/>
        <v>-0.15320888862379586</v>
      </c>
      <c r="AG16" s="55">
        <f t="shared" si="7"/>
        <v>-0.19696155060244158</v>
      </c>
      <c r="AH16" s="55">
        <f t="shared" si="7"/>
        <v>-0.10000000000000003</v>
      </c>
      <c r="AI16" s="55">
        <f t="shared" si="7"/>
        <v>6.8404028665133537E-2</v>
      </c>
      <c r="AJ16" s="55">
        <f t="shared" si="7"/>
        <v>0.18793852415718154</v>
      </c>
      <c r="AK16" s="55">
        <f t="shared" si="7"/>
        <v>0.17320508075688806</v>
      </c>
      <c r="AL16" s="55">
        <f t="shared" si="7"/>
        <v>3.4729635533386899E-2</v>
      </c>
      <c r="AM16" s="55">
        <f t="shared" si="7"/>
        <v>-0.12855752193730816</v>
      </c>
      <c r="AN16" s="55">
        <f t="shared" si="7"/>
        <v>-0.2</v>
      </c>
      <c r="AO16" s="55">
        <f t="shared" si="7"/>
        <v>-0.12855752193730791</v>
      </c>
      <c r="AP16" s="55">
        <f t="shared" si="7"/>
        <v>3.4729635533385143E-2</v>
      </c>
      <c r="AQ16" s="55">
        <f t="shared" si="7"/>
        <v>0.1732050807568879</v>
      </c>
      <c r="AR16" s="55">
        <f t="shared" si="7"/>
        <v>0.18793852415718168</v>
      </c>
      <c r="AS16" s="55">
        <f t="shared" si="7"/>
        <v>6.8404028665133884E-2</v>
      </c>
      <c r="AT16" s="55">
        <f t="shared" si="7"/>
        <v>-9.99999999999997E-2</v>
      </c>
      <c r="AU16" s="55">
        <f t="shared" si="7"/>
        <v>-0.19696155060244167</v>
      </c>
      <c r="AV16" s="55">
        <f t="shared" si="7"/>
        <v>-0.15320888862379611</v>
      </c>
      <c r="AW16" s="55">
        <f t="shared" si="7"/>
        <v>-2.45029690981724E-16</v>
      </c>
      <c r="AX16" s="55">
        <f t="shared" si="7"/>
        <v>0.15320888862379578</v>
      </c>
      <c r="AY16" s="55">
        <f t="shared" si="7"/>
        <v>0.19696155060244147</v>
      </c>
    </row>
    <row r="17" spans="3:51" x14ac:dyDescent="0.35">
      <c r="C17" s="42">
        <f>1/7</f>
        <v>0.14285714285714285</v>
      </c>
      <c r="D17" s="42">
        <v>7</v>
      </c>
      <c r="E17" s="42">
        <v>0</v>
      </c>
      <c r="F17" s="73">
        <f t="shared" si="4"/>
        <v>0</v>
      </c>
      <c r="G17" s="56"/>
      <c r="H17" s="56"/>
      <c r="J17" s="61" t="str">
        <f t="shared" si="5"/>
        <v xml:space="preserve">y0 = 0.14 * sin(7*x ) = </v>
      </c>
      <c r="K17" s="69">
        <f>IF($L$17=$AI$7,$C$17*SIN($D$17*K13 + $F$17),"")</f>
        <v>0.12371791482634846</v>
      </c>
      <c r="L17" s="51" t="s">
        <v>72</v>
      </c>
      <c r="M17" s="55">
        <f t="shared" ref="M17:AY17" si="8">IF($L$17=$AI$7,$C$17*SIN($D$17*M13 + $F$17),"")</f>
        <v>0</v>
      </c>
      <c r="N17" s="55">
        <f t="shared" si="8"/>
        <v>0.13424180296941546</v>
      </c>
      <c r="O17" s="55">
        <f t="shared" si="8"/>
        <v>9.1826801383791345E-2</v>
      </c>
      <c r="P17" s="55">
        <f t="shared" si="8"/>
        <v>-7.1428571428571383E-2</v>
      </c>
      <c r="Q17" s="55">
        <f t="shared" si="8"/>
        <v>-0.14068682185888687</v>
      </c>
      <c r="R17" s="55">
        <f t="shared" si="8"/>
        <v>-2.4806882523847197E-2</v>
      </c>
      <c r="S17" s="55">
        <f t="shared" si="8"/>
        <v>0.12371791482634834</v>
      </c>
      <c r="T17" s="55">
        <f t="shared" si="8"/>
        <v>0.10943492044556839</v>
      </c>
      <c r="U17" s="55">
        <f t="shared" si="8"/>
        <v>-4.8860020475095425E-2</v>
      </c>
      <c r="V17" s="55">
        <f t="shared" si="8"/>
        <v>-0.14285714285714285</v>
      </c>
      <c r="W17" s="55">
        <f t="shared" si="8"/>
        <v>-4.8860020475095543E-2</v>
      </c>
      <c r="X17" s="55">
        <f t="shared" si="8"/>
        <v>0.10943492044556831</v>
      </c>
      <c r="Y17" s="55">
        <f t="shared" si="8"/>
        <v>0.12371791482634846</v>
      </c>
      <c r="Z17" s="55">
        <f t="shared" si="8"/>
        <v>-2.4806882523847079E-2</v>
      </c>
      <c r="AA17" s="55">
        <f t="shared" si="8"/>
        <v>-0.14068682185888681</v>
      </c>
      <c r="AB17" s="55">
        <f t="shared" si="8"/>
        <v>-7.1428571428571438E-2</v>
      </c>
      <c r="AC17" s="55">
        <f t="shared" si="8"/>
        <v>9.1826801383791151E-2</v>
      </c>
      <c r="AD17" s="55">
        <f t="shared" si="8"/>
        <v>0.13424180296941546</v>
      </c>
      <c r="AE17" s="55">
        <f t="shared" si="8"/>
        <v>1.22514845490862E-16</v>
      </c>
      <c r="AF17" s="55">
        <f t="shared" si="8"/>
        <v>-0.13424180296941554</v>
      </c>
      <c r="AG17" s="55">
        <f t="shared" si="8"/>
        <v>-9.1826801383791345E-2</v>
      </c>
      <c r="AH17" s="55">
        <f t="shared" si="8"/>
        <v>7.1428571428571661E-2</v>
      </c>
      <c r="AI17" s="55">
        <f t="shared" si="8"/>
        <v>0.14068682185888684</v>
      </c>
      <c r="AJ17" s="55">
        <f t="shared" si="8"/>
        <v>2.4806882523847319E-2</v>
      </c>
      <c r="AK17" s="55">
        <f t="shared" si="8"/>
        <v>-0.12371791482634821</v>
      </c>
      <c r="AL17" s="55">
        <f t="shared" si="8"/>
        <v>-0.10943492044556863</v>
      </c>
      <c r="AM17" s="55">
        <f t="shared" si="8"/>
        <v>4.8860020475095314E-2</v>
      </c>
      <c r="AN17" s="55">
        <f t="shared" si="8"/>
        <v>0.14285714285714285</v>
      </c>
      <c r="AO17" s="55">
        <f t="shared" si="8"/>
        <v>4.8860020475096133E-2</v>
      </c>
      <c r="AP17" s="55">
        <f t="shared" si="8"/>
        <v>-0.10943492044556806</v>
      </c>
      <c r="AQ17" s="55">
        <f t="shared" si="8"/>
        <v>-0.12371791482634839</v>
      </c>
      <c r="AR17" s="55">
        <f t="shared" si="8"/>
        <v>2.4806882523847454E-2</v>
      </c>
      <c r="AS17" s="55">
        <f t="shared" si="8"/>
        <v>0.14068682185888678</v>
      </c>
      <c r="AT17" s="55">
        <f t="shared" si="8"/>
        <v>7.142857142857155E-2</v>
      </c>
      <c r="AU17" s="55">
        <f t="shared" si="8"/>
        <v>-9.1826801383791457E-2</v>
      </c>
      <c r="AV17" s="55">
        <f t="shared" si="8"/>
        <v>-0.13424180296941565</v>
      </c>
      <c r="AW17" s="55">
        <f t="shared" si="8"/>
        <v>-2.45029690981724E-16</v>
      </c>
      <c r="AX17" s="55">
        <f t="shared" si="8"/>
        <v>0.13424180296941515</v>
      </c>
      <c r="AY17" s="55">
        <f t="shared" si="8"/>
        <v>9.182680138379104E-2</v>
      </c>
    </row>
    <row r="18" spans="3:51" ht="8.5" customHeight="1" x14ac:dyDescent="0.35">
      <c r="J18" s="41"/>
      <c r="K18" s="70"/>
      <c r="L18" s="52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</row>
    <row r="19" spans="3:51" ht="8.5" customHeight="1" x14ac:dyDescent="0.35">
      <c r="J19" s="41"/>
      <c r="K19" s="70"/>
      <c r="L19" s="52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</row>
    <row r="20" spans="3:51" ht="16.5" x14ac:dyDescent="0.35">
      <c r="J20" s="40" t="s">
        <v>66</v>
      </c>
      <c r="K20" s="71">
        <f>IF($L$20=$AI$7,SUM(K14:K17),"")</f>
        <v>0.81653823785389945</v>
      </c>
      <c r="L20" s="53" t="s">
        <v>72</v>
      </c>
      <c r="M20" s="55">
        <f>IF($L$20=$AI$7,SUM(M14:M17),"")</f>
        <v>0</v>
      </c>
      <c r="N20" s="55">
        <f t="shared" ref="N20:AY20" si="9">IF($L$20=$AI$7,SUM(N14:N17),"")</f>
        <v>0.62776553592680795</v>
      </c>
      <c r="O20" s="55">
        <f t="shared" si="9"/>
        <v>0.91948362990671439</v>
      </c>
      <c r="P20" s="55">
        <f t="shared" si="9"/>
        <v>0.86190476190476195</v>
      </c>
      <c r="Q20" s="55">
        <f t="shared" si="9"/>
        <v>0.72237189375733157</v>
      </c>
      <c r="R20" s="55">
        <f t="shared" si="9"/>
        <v>0.71996570310461572</v>
      </c>
      <c r="S20" s="55">
        <f t="shared" si="9"/>
        <v>0.81653823785389912</v>
      </c>
      <c r="T20" s="55">
        <f t="shared" si="9"/>
        <v>0.847731239031424</v>
      </c>
      <c r="U20" s="55">
        <f t="shared" si="9"/>
        <v>0.7758301198796077</v>
      </c>
      <c r="V20" s="55">
        <f t="shared" si="9"/>
        <v>0.7238095238095239</v>
      </c>
      <c r="W20" s="55">
        <f t="shared" si="9"/>
        <v>0.77583011987960748</v>
      </c>
      <c r="X20" s="55">
        <f t="shared" si="9"/>
        <v>0.84773123903142433</v>
      </c>
      <c r="Y20" s="55">
        <f t="shared" si="9"/>
        <v>0.81653823785389945</v>
      </c>
      <c r="Z20" s="55">
        <f t="shared" si="9"/>
        <v>0.71996570310461594</v>
      </c>
      <c r="AA20" s="55">
        <f t="shared" si="9"/>
        <v>0.72237189375733168</v>
      </c>
      <c r="AB20" s="55">
        <f t="shared" si="9"/>
        <v>0.86190476190476195</v>
      </c>
      <c r="AC20" s="55">
        <f t="shared" si="9"/>
        <v>0.91948362990671473</v>
      </c>
      <c r="AD20" s="55">
        <f t="shared" si="9"/>
        <v>0.62776553592680784</v>
      </c>
      <c r="AE20" s="55">
        <f t="shared" si="9"/>
        <v>4.90059381963448E-16</v>
      </c>
      <c r="AF20" s="55">
        <f t="shared" si="9"/>
        <v>-0.62776553592680884</v>
      </c>
      <c r="AG20" s="55">
        <f t="shared" si="9"/>
        <v>-0.91948362990671439</v>
      </c>
      <c r="AH20" s="55">
        <f t="shared" si="9"/>
        <v>-0.86190476190476195</v>
      </c>
      <c r="AI20" s="55">
        <f t="shared" si="9"/>
        <v>-0.72237189375733168</v>
      </c>
      <c r="AJ20" s="55">
        <f t="shared" si="9"/>
        <v>-0.71996570310461572</v>
      </c>
      <c r="AK20" s="55">
        <f t="shared" si="9"/>
        <v>-0.81653823785389867</v>
      </c>
      <c r="AL20" s="55">
        <f t="shared" si="9"/>
        <v>-0.84773123903142356</v>
      </c>
      <c r="AM20" s="55">
        <f t="shared" si="9"/>
        <v>-0.77583011987960804</v>
      </c>
      <c r="AN20" s="55">
        <f t="shared" si="9"/>
        <v>-0.7238095238095239</v>
      </c>
      <c r="AO20" s="55">
        <f t="shared" si="9"/>
        <v>-0.77583011987960671</v>
      </c>
      <c r="AP20" s="55">
        <f t="shared" si="9"/>
        <v>-0.84773123903142422</v>
      </c>
      <c r="AQ20" s="55">
        <f t="shared" si="9"/>
        <v>-0.8165382378538989</v>
      </c>
      <c r="AR20" s="55">
        <f t="shared" si="9"/>
        <v>-0.71996570310461527</v>
      </c>
      <c r="AS20" s="55">
        <f t="shared" si="9"/>
        <v>-0.72237189375733146</v>
      </c>
      <c r="AT20" s="55">
        <f t="shared" si="9"/>
        <v>-0.86190476190476184</v>
      </c>
      <c r="AU20" s="55">
        <f t="shared" si="9"/>
        <v>-0.91948362990671439</v>
      </c>
      <c r="AV20" s="55">
        <f t="shared" si="9"/>
        <v>-0.62776553592681084</v>
      </c>
      <c r="AW20" s="55">
        <f t="shared" si="9"/>
        <v>-9.8011876392689601E-16</v>
      </c>
      <c r="AX20" s="55">
        <f t="shared" si="9"/>
        <v>0.62776553592680706</v>
      </c>
      <c r="AY20" s="55">
        <f t="shared" si="9"/>
        <v>0.91948362990671462</v>
      </c>
    </row>
    <row r="21" spans="3:51" x14ac:dyDescent="0.35">
      <c r="J21" s="39"/>
      <c r="K21" s="39"/>
      <c r="L21" s="39"/>
    </row>
  </sheetData>
  <mergeCells count="4">
    <mergeCell ref="C11:F11"/>
    <mergeCell ref="C12:F12"/>
    <mergeCell ref="L12:L13"/>
    <mergeCell ref="R7:S7"/>
  </mergeCells>
  <dataValidations count="1">
    <dataValidation type="list" allowBlank="1" showInputMessage="1" showErrorMessage="1" sqref="L14:L17 L20" xr:uid="{14030FAE-C205-4F99-A125-F98CBE2B09BD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TOC</vt:lpstr>
      <vt:lpstr>Kinematik_1</vt:lpstr>
      <vt:lpstr>Kinematik_2</vt:lpstr>
      <vt:lpstr>Kinematik_2_Berechnungen</vt:lpstr>
      <vt:lpstr>Fourierreihe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cp:lastPrinted>2025-01-16T10:01:35Z</cp:lastPrinted>
  <dcterms:created xsi:type="dcterms:W3CDTF">2015-06-05T18:19:34Z</dcterms:created>
  <dcterms:modified xsi:type="dcterms:W3CDTF">2025-02-07T10:59:28Z</dcterms:modified>
</cp:coreProperties>
</file>