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omments2.xml" ContentType="application/vnd.openxmlformats-officedocument.spreadsheetml.comments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13_ncr:1_{4870DE7D-3683-4F68-B217-CD17E0E531BF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TOC" sheetId="13" r:id="rId1"/>
    <sheet name="Sinus_Cosinus" sheetId="22" r:id="rId2"/>
    <sheet name="Schiefeebene" sheetId="19" r:id="rId3"/>
    <sheet name="Schiefe-Ebene (alt)" sheetId="20" r:id="rId4"/>
    <sheet name="Vektoren" sheetId="18" r:id="rId5"/>
    <sheet name="Vektor" sheetId="24" r:id="rId6"/>
    <sheet name="Geburtstagsliste" sheetId="17" r:id="rId7"/>
    <sheet name="Einheiten umrechnen" sheetId="16" r:id="rId8"/>
    <sheet name="Flächenberechnungen" sheetId="14" r:id="rId9"/>
    <sheet name="Kinematik_1" sheetId="4" r:id="rId10"/>
    <sheet name="Kinematik_2" sheetId="9" r:id="rId11"/>
    <sheet name="Kinematik_2_Berechnungen" sheetId="11" r:id="rId12"/>
    <sheet name="Fourierreihe" sheetId="21" r:id="rId13"/>
    <sheet name="Fourierreihe (neu)" sheetId="12" r:id="rId14"/>
    <sheet name="Scheinleistung" sheetId="15" r:id="rId15"/>
    <sheet name="Gemischte Schaltung" sheetId="23" r:id="rId16"/>
  </sheets>
  <definedNames>
    <definedName name="_xlnm._FilterDatabase" localSheetId="6" hidden="1">Geburtstagsliste!$A$4:$K$4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2" l="1"/>
  <c r="G8" i="22"/>
  <c r="E8" i="22"/>
  <c r="E11" i="22" s="1"/>
  <c r="Q15" i="24"/>
  <c r="M17" i="24"/>
  <c r="O17" i="24"/>
  <c r="M16" i="24"/>
  <c r="F18" i="24"/>
  <c r="F17" i="24"/>
  <c r="D17" i="24" s="1"/>
  <c r="C18" i="24"/>
  <c r="C17" i="24"/>
  <c r="C16" i="24"/>
  <c r="G18" i="24"/>
  <c r="G17" i="24"/>
  <c r="E18" i="24"/>
  <c r="E17" i="24"/>
  <c r="D18" i="24"/>
  <c r="I17" i="24"/>
  <c r="H17" i="24"/>
  <c r="F16" i="24"/>
  <c r="D16" i="24" s="1"/>
  <c r="G16" i="24"/>
  <c r="G15" i="24"/>
  <c r="E16" i="24"/>
  <c r="F15" i="24"/>
  <c r="I15" i="24" s="1"/>
  <c r="O15" i="24" s="1"/>
  <c r="F8" i="24"/>
  <c r="G8" i="24"/>
  <c r="G7" i="24"/>
  <c r="G6" i="24"/>
  <c r="D7" i="24"/>
  <c r="D6" i="24"/>
  <c r="W273" i="23"/>
  <c r="R273" i="23"/>
  <c r="I273" i="23"/>
  <c r="X268" i="23"/>
  <c r="W268" i="23"/>
  <c r="V268" i="23"/>
  <c r="U268" i="23"/>
  <c r="S268" i="23"/>
  <c r="R268" i="23"/>
  <c r="Q268" i="23"/>
  <c r="P268" i="23"/>
  <c r="H268" i="23"/>
  <c r="X267" i="23"/>
  <c r="W267" i="23"/>
  <c r="V267" i="23"/>
  <c r="U267" i="23"/>
  <c r="S267" i="23"/>
  <c r="R267" i="23"/>
  <c r="Q267" i="23"/>
  <c r="P267" i="23"/>
  <c r="V232" i="23"/>
  <c r="W229" i="23"/>
  <c r="W226" i="23"/>
  <c r="R226" i="23"/>
  <c r="I225" i="23"/>
  <c r="D221" i="23"/>
  <c r="X219" i="23"/>
  <c r="W219" i="23"/>
  <c r="V219" i="23"/>
  <c r="U219" i="23"/>
  <c r="H219" i="23"/>
  <c r="X218" i="23"/>
  <c r="W218" i="23"/>
  <c r="V218" i="23"/>
  <c r="U218" i="23"/>
  <c r="S218" i="23"/>
  <c r="R218" i="23"/>
  <c r="Q218" i="23"/>
  <c r="P218" i="23"/>
  <c r="X217" i="23"/>
  <c r="W217" i="23"/>
  <c r="V217" i="23"/>
  <c r="U217" i="23"/>
  <c r="S217" i="23"/>
  <c r="R217" i="23"/>
  <c r="Q217" i="23"/>
  <c r="P217" i="23"/>
  <c r="I187" i="23"/>
  <c r="G187" i="23"/>
  <c r="V186" i="23"/>
  <c r="W183" i="23"/>
  <c r="W180" i="23"/>
  <c r="R180" i="23"/>
  <c r="D179" i="23"/>
  <c r="I178" i="23"/>
  <c r="F178" i="23"/>
  <c r="X176" i="23"/>
  <c r="W176" i="23"/>
  <c r="V176" i="23"/>
  <c r="U176" i="23"/>
  <c r="X175" i="23"/>
  <c r="W175" i="23"/>
  <c r="V175" i="23"/>
  <c r="U175" i="23"/>
  <c r="X174" i="23"/>
  <c r="W174" i="23"/>
  <c r="V174" i="23"/>
  <c r="U174" i="23"/>
  <c r="X173" i="23"/>
  <c r="W173" i="23"/>
  <c r="V173" i="23"/>
  <c r="U173" i="23"/>
  <c r="S173" i="23"/>
  <c r="R173" i="23"/>
  <c r="Q173" i="23"/>
  <c r="P173" i="23"/>
  <c r="X172" i="23"/>
  <c r="W172" i="23"/>
  <c r="V172" i="23"/>
  <c r="U172" i="23"/>
  <c r="S172" i="23"/>
  <c r="R172" i="23"/>
  <c r="Q172" i="23"/>
  <c r="P172" i="23"/>
  <c r="E171" i="23"/>
  <c r="V146" i="23"/>
  <c r="W144" i="23"/>
  <c r="W141" i="23"/>
  <c r="R141" i="23"/>
  <c r="X137" i="23"/>
  <c r="W137" i="23"/>
  <c r="V137" i="23"/>
  <c r="U137" i="23"/>
  <c r="X136" i="23"/>
  <c r="W136" i="23"/>
  <c r="V136" i="23"/>
  <c r="U136" i="23"/>
  <c r="S136" i="23"/>
  <c r="R136" i="23"/>
  <c r="Q136" i="23"/>
  <c r="P136" i="23"/>
  <c r="X135" i="23"/>
  <c r="W135" i="23"/>
  <c r="V135" i="23"/>
  <c r="U135" i="23"/>
  <c r="S135" i="23"/>
  <c r="R135" i="23"/>
  <c r="Q135" i="23"/>
  <c r="P135" i="23"/>
  <c r="V104" i="23"/>
  <c r="W101" i="23"/>
  <c r="R101" i="23"/>
  <c r="W98" i="23"/>
  <c r="R98" i="23"/>
  <c r="S91" i="23"/>
  <c r="R91" i="23"/>
  <c r="Q91" i="23"/>
  <c r="P91" i="23"/>
  <c r="X90" i="23"/>
  <c r="W90" i="23"/>
  <c r="V90" i="23"/>
  <c r="U90" i="23"/>
  <c r="S90" i="23"/>
  <c r="R90" i="23"/>
  <c r="Q90" i="23"/>
  <c r="P90" i="23"/>
  <c r="X89" i="23"/>
  <c r="W89" i="23"/>
  <c r="V89" i="23"/>
  <c r="U89" i="23"/>
  <c r="S89" i="23"/>
  <c r="R89" i="23"/>
  <c r="Q89" i="23"/>
  <c r="P89" i="23"/>
  <c r="X88" i="23"/>
  <c r="W88" i="23"/>
  <c r="V88" i="23"/>
  <c r="U88" i="23"/>
  <c r="S88" i="23"/>
  <c r="R88" i="23"/>
  <c r="Q88" i="23"/>
  <c r="P88" i="23"/>
  <c r="V73" i="23"/>
  <c r="V71" i="23"/>
  <c r="W68" i="23"/>
  <c r="W65" i="23"/>
  <c r="R65" i="23"/>
  <c r="W62" i="23"/>
  <c r="R62" i="23"/>
  <c r="W59" i="23"/>
  <c r="R59" i="23"/>
  <c r="X53" i="23"/>
  <c r="W53" i="23"/>
  <c r="V53" i="23"/>
  <c r="U53" i="23"/>
  <c r="S53" i="23"/>
  <c r="R53" i="23"/>
  <c r="Q53" i="23"/>
  <c r="P53" i="23"/>
  <c r="X52" i="23"/>
  <c r="W52" i="23"/>
  <c r="V52" i="23"/>
  <c r="U52" i="23"/>
  <c r="S52" i="23"/>
  <c r="R52" i="23"/>
  <c r="Q52" i="23"/>
  <c r="P52" i="23"/>
  <c r="X51" i="23"/>
  <c r="W51" i="23"/>
  <c r="V51" i="23"/>
  <c r="U51" i="23"/>
  <c r="S51" i="23"/>
  <c r="R51" i="23"/>
  <c r="Q51" i="23"/>
  <c r="P51" i="23"/>
  <c r="X50" i="23"/>
  <c r="W50" i="23"/>
  <c r="V50" i="23"/>
  <c r="U50" i="23"/>
  <c r="S50" i="23"/>
  <c r="R50" i="23"/>
  <c r="Q50" i="23"/>
  <c r="P50" i="23"/>
  <c r="X49" i="23"/>
  <c r="W49" i="23"/>
  <c r="V49" i="23"/>
  <c r="U49" i="23"/>
  <c r="S49" i="23"/>
  <c r="R49" i="23"/>
  <c r="Q49" i="23"/>
  <c r="P49" i="23"/>
  <c r="X48" i="23"/>
  <c r="W48" i="23"/>
  <c r="V48" i="23"/>
  <c r="U48" i="23"/>
  <c r="S48" i="23"/>
  <c r="R48" i="23"/>
  <c r="Q48" i="23"/>
  <c r="P48" i="23"/>
  <c r="W34" i="23"/>
  <c r="W31" i="23"/>
  <c r="S31" i="23"/>
  <c r="R31" i="23"/>
  <c r="Q31" i="23"/>
  <c r="P31" i="23"/>
  <c r="S29" i="23"/>
  <c r="R29" i="23"/>
  <c r="Q29" i="23"/>
  <c r="P29" i="23"/>
  <c r="W27" i="23"/>
  <c r="S27" i="23"/>
  <c r="R27" i="23"/>
  <c r="Q27" i="23"/>
  <c r="P27" i="23"/>
  <c r="S25" i="23"/>
  <c r="R25" i="23"/>
  <c r="Q25" i="23"/>
  <c r="P25" i="23"/>
  <c r="W24" i="23"/>
  <c r="S23" i="23"/>
  <c r="R23" i="23"/>
  <c r="Q23" i="23"/>
  <c r="P23" i="23"/>
  <c r="S22" i="23"/>
  <c r="R22" i="23"/>
  <c r="Q22" i="23"/>
  <c r="P22" i="23"/>
  <c r="W21" i="23"/>
  <c r="S20" i="23"/>
  <c r="R20" i="23"/>
  <c r="Q20" i="23"/>
  <c r="P20" i="23"/>
  <c r="S19" i="23"/>
  <c r="R19" i="23"/>
  <c r="Q19" i="23"/>
  <c r="P19" i="23"/>
  <c r="W18" i="23"/>
  <c r="S18" i="23"/>
  <c r="R18" i="23"/>
  <c r="Q18" i="23"/>
  <c r="P18" i="23"/>
  <c r="AC15" i="23"/>
  <c r="AB15" i="23"/>
  <c r="AA15" i="23"/>
  <c r="Z15" i="23"/>
  <c r="R15" i="23"/>
  <c r="AC14" i="23"/>
  <c r="AB14" i="23"/>
  <c r="AA14" i="23"/>
  <c r="Z14" i="23"/>
  <c r="X14" i="23"/>
  <c r="W14" i="23"/>
  <c r="V14" i="23"/>
  <c r="U14" i="23"/>
  <c r="AC13" i="23"/>
  <c r="AB13" i="23"/>
  <c r="AA13" i="23"/>
  <c r="Z13" i="23"/>
  <c r="X13" i="23"/>
  <c r="W13" i="23"/>
  <c r="V13" i="23"/>
  <c r="U13" i="23"/>
  <c r="AC12" i="23"/>
  <c r="AB12" i="23"/>
  <c r="AA12" i="23"/>
  <c r="Z12" i="23"/>
  <c r="X12" i="23"/>
  <c r="W12" i="23"/>
  <c r="V12" i="23"/>
  <c r="U12" i="23"/>
  <c r="AC11" i="23"/>
  <c r="AB11" i="23"/>
  <c r="AA11" i="23"/>
  <c r="Z11" i="23"/>
  <c r="X11" i="23"/>
  <c r="W11" i="23"/>
  <c r="V11" i="23"/>
  <c r="U11" i="23"/>
  <c r="AC10" i="23"/>
  <c r="AB10" i="23"/>
  <c r="AA10" i="23"/>
  <c r="Z10" i="23"/>
  <c r="X10" i="23"/>
  <c r="W10" i="23"/>
  <c r="V10" i="23"/>
  <c r="U10" i="23"/>
  <c r="AC9" i="23"/>
  <c r="AB9" i="23"/>
  <c r="AA9" i="23"/>
  <c r="Z9" i="23"/>
  <c r="X9" i="23"/>
  <c r="W9" i="23"/>
  <c r="V9" i="23"/>
  <c r="U9" i="23"/>
  <c r="AC8" i="23"/>
  <c r="AB8" i="23"/>
  <c r="AA8" i="23"/>
  <c r="Z8" i="23"/>
  <c r="X8" i="23"/>
  <c r="W8" i="23"/>
  <c r="V8" i="23"/>
  <c r="U8" i="23"/>
  <c r="AC7" i="23"/>
  <c r="AB7" i="23"/>
  <c r="AA7" i="23"/>
  <c r="Z7" i="23"/>
  <c r="X7" i="23"/>
  <c r="W7" i="23"/>
  <c r="V7" i="23"/>
  <c r="U7" i="23"/>
  <c r="AC6" i="23"/>
  <c r="AB6" i="23"/>
  <c r="AA6" i="23"/>
  <c r="Z6" i="23"/>
  <c r="X6" i="23"/>
  <c r="W6" i="23"/>
  <c r="V6" i="23"/>
  <c r="U6" i="23"/>
  <c r="AC5" i="23"/>
  <c r="AB5" i="23"/>
  <c r="AA5" i="23"/>
  <c r="Z5" i="23"/>
  <c r="X5" i="23"/>
  <c r="W5" i="23"/>
  <c r="V5" i="23"/>
  <c r="U5" i="23"/>
  <c r="AY18" i="15"/>
  <c r="AX18" i="15"/>
  <c r="AW18" i="15"/>
  <c r="AV18" i="15"/>
  <c r="AU18" i="15"/>
  <c r="AT18" i="15"/>
  <c r="AS18" i="15"/>
  <c r="AR18" i="15"/>
  <c r="AQ18" i="15"/>
  <c r="AP18" i="15"/>
  <c r="AO18" i="15"/>
  <c r="AN18" i="15"/>
  <c r="AM18" i="15"/>
  <c r="AL18" i="15"/>
  <c r="AK18" i="15"/>
  <c r="AJ18" i="15"/>
  <c r="AI18" i="15"/>
  <c r="AH18" i="15"/>
  <c r="AG18" i="15"/>
  <c r="AF18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K18" i="15"/>
  <c r="AY15" i="15"/>
  <c r="AX15" i="15"/>
  <c r="AW15" i="15"/>
  <c r="AV15" i="15"/>
  <c r="AU15" i="15"/>
  <c r="AT15" i="15"/>
  <c r="AS15" i="15"/>
  <c r="AR15" i="15"/>
  <c r="AQ15" i="15"/>
  <c r="AP15" i="15"/>
  <c r="AO15" i="15"/>
  <c r="AN15" i="15"/>
  <c r="AM15" i="15"/>
  <c r="AL15" i="15"/>
  <c r="AK15" i="15"/>
  <c r="AJ15" i="15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K15" i="15"/>
  <c r="J15" i="15"/>
  <c r="F15" i="15"/>
  <c r="AY14" i="15"/>
  <c r="AX14" i="15"/>
  <c r="AW14" i="15"/>
  <c r="AV14" i="15"/>
  <c r="AU14" i="15"/>
  <c r="AT14" i="15"/>
  <c r="AS14" i="15"/>
  <c r="AR14" i="15"/>
  <c r="AQ14" i="15"/>
  <c r="AP14" i="15"/>
  <c r="AO14" i="15"/>
  <c r="AN14" i="15"/>
  <c r="AM14" i="15"/>
  <c r="AL14" i="15"/>
  <c r="AK14" i="15"/>
  <c r="AJ14" i="15"/>
  <c r="AI14" i="15"/>
  <c r="AH14" i="15"/>
  <c r="AG14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K14" i="15"/>
  <c r="J14" i="15"/>
  <c r="F14" i="15"/>
  <c r="AY13" i="15"/>
  <c r="AX13" i="15"/>
  <c r="AW13" i="15"/>
  <c r="AV13" i="15"/>
  <c r="AU13" i="15"/>
  <c r="AT13" i="15"/>
  <c r="AS13" i="15"/>
  <c r="AR13" i="15"/>
  <c r="AQ13" i="15"/>
  <c r="AP13" i="15"/>
  <c r="AO13" i="15"/>
  <c r="AN13" i="15"/>
  <c r="AM13" i="15"/>
  <c r="AL13" i="15"/>
  <c r="AK13" i="15"/>
  <c r="AJ13" i="15"/>
  <c r="AI13" i="15"/>
  <c r="AH13" i="15"/>
  <c r="AG13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K13" i="15"/>
  <c r="AY12" i="15"/>
  <c r="AX12" i="15"/>
  <c r="AW12" i="15"/>
  <c r="AV12" i="15"/>
  <c r="AU12" i="15"/>
  <c r="AT12" i="15"/>
  <c r="AS12" i="15"/>
  <c r="AR12" i="15"/>
  <c r="AQ12" i="15"/>
  <c r="AP12" i="15"/>
  <c r="AO12" i="15"/>
  <c r="AN12" i="15"/>
  <c r="AM12" i="15"/>
  <c r="AL12" i="15"/>
  <c r="AK12" i="15"/>
  <c r="AJ12" i="15"/>
  <c r="AI12" i="15"/>
  <c r="AH12" i="15"/>
  <c r="AG12" i="15"/>
  <c r="AF12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T7" i="15"/>
  <c r="X6" i="15"/>
  <c r="W6" i="15"/>
  <c r="T6" i="15"/>
  <c r="X5" i="15"/>
  <c r="W5" i="15"/>
  <c r="T5" i="15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L20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L17" i="12"/>
  <c r="K17" i="12"/>
  <c r="G17" i="12"/>
  <c r="E17" i="12"/>
  <c r="C17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L16" i="12"/>
  <c r="K16" i="12"/>
  <c r="G16" i="12"/>
  <c r="E16" i="12"/>
  <c r="C16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L15" i="12"/>
  <c r="K15" i="12"/>
  <c r="G15" i="12"/>
  <c r="E15" i="12"/>
  <c r="C15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L14" i="12"/>
  <c r="K14" i="12"/>
  <c r="G14" i="12"/>
  <c r="E14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L13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U7" i="12"/>
  <c r="Y6" i="12"/>
  <c r="U6" i="12"/>
  <c r="Y5" i="12"/>
  <c r="X5" i="12"/>
  <c r="U5" i="12"/>
  <c r="AY20" i="21"/>
  <c r="AX20" i="21"/>
  <c r="AW20" i="21"/>
  <c r="AV20" i="21"/>
  <c r="AU20" i="21"/>
  <c r="AT20" i="21"/>
  <c r="AS20" i="21"/>
  <c r="AR20" i="21"/>
  <c r="AQ20" i="21"/>
  <c r="AP20" i="21"/>
  <c r="AO20" i="21"/>
  <c r="AN20" i="21"/>
  <c r="AM20" i="21"/>
  <c r="AL20" i="21"/>
  <c r="AK20" i="21"/>
  <c r="AJ20" i="21"/>
  <c r="AI20" i="21"/>
  <c r="AH20" i="21"/>
  <c r="AG20" i="21"/>
  <c r="AF20" i="21"/>
  <c r="AE20" i="21"/>
  <c r="AD20" i="21"/>
  <c r="AC20" i="21"/>
  <c r="AB20" i="21"/>
  <c r="AA20" i="21"/>
  <c r="Z20" i="2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K20" i="21"/>
  <c r="AY17" i="21"/>
  <c r="AX17" i="21"/>
  <c r="AW17" i="21"/>
  <c r="AV17" i="21"/>
  <c r="AU17" i="21"/>
  <c r="AT17" i="21"/>
  <c r="AS17" i="21"/>
  <c r="AR17" i="21"/>
  <c r="AQ17" i="21"/>
  <c r="AP17" i="21"/>
  <c r="AO17" i="21"/>
  <c r="AN17" i="21"/>
  <c r="AM17" i="21"/>
  <c r="AL17" i="21"/>
  <c r="AK17" i="21"/>
  <c r="AJ17" i="21"/>
  <c r="AI17" i="21"/>
  <c r="AH17" i="21"/>
  <c r="AG17" i="21"/>
  <c r="AF17" i="21"/>
  <c r="AE17" i="21"/>
  <c r="AD17" i="21"/>
  <c r="AC17" i="21"/>
  <c r="AB17" i="21"/>
  <c r="AA17" i="21"/>
  <c r="Z17" i="2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K17" i="21"/>
  <c r="J17" i="21"/>
  <c r="F17" i="21"/>
  <c r="C17" i="21"/>
  <c r="AY16" i="21"/>
  <c r="AX16" i="21"/>
  <c r="AW16" i="21"/>
  <c r="AV16" i="21"/>
  <c r="AU16" i="21"/>
  <c r="AT16" i="21"/>
  <c r="AS16" i="21"/>
  <c r="AR16" i="21"/>
  <c r="AQ16" i="21"/>
  <c r="AP16" i="21"/>
  <c r="AO16" i="21"/>
  <c r="AN16" i="21"/>
  <c r="AM16" i="21"/>
  <c r="AL16" i="21"/>
  <c r="AK16" i="21"/>
  <c r="AJ16" i="21"/>
  <c r="AI16" i="21"/>
  <c r="AH16" i="21"/>
  <c r="AG16" i="21"/>
  <c r="AF16" i="21"/>
  <c r="AE16" i="21"/>
  <c r="AD16" i="21"/>
  <c r="AC16" i="21"/>
  <c r="AB16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K16" i="21"/>
  <c r="J16" i="21"/>
  <c r="F16" i="21"/>
  <c r="C16" i="21"/>
  <c r="AY15" i="21"/>
  <c r="AX15" i="21"/>
  <c r="AW15" i="21"/>
  <c r="AV15" i="21"/>
  <c r="AU15" i="21"/>
  <c r="AT15" i="21"/>
  <c r="AS15" i="21"/>
  <c r="AR15" i="21"/>
  <c r="AQ15" i="21"/>
  <c r="AP15" i="21"/>
  <c r="AO15" i="21"/>
  <c r="AN15" i="21"/>
  <c r="AM15" i="21"/>
  <c r="AL15" i="21"/>
  <c r="AK15" i="21"/>
  <c r="AJ15" i="21"/>
  <c r="AI15" i="21"/>
  <c r="AH15" i="21"/>
  <c r="AG15" i="21"/>
  <c r="AF15" i="21"/>
  <c r="AE15" i="21"/>
  <c r="AD15" i="21"/>
  <c r="AC15" i="21"/>
  <c r="AB15" i="21"/>
  <c r="AA15" i="21"/>
  <c r="Z15" i="21"/>
  <c r="Y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K15" i="21"/>
  <c r="J15" i="21"/>
  <c r="F15" i="21"/>
  <c r="C15" i="21"/>
  <c r="AY14" i="21"/>
  <c r="AX14" i="21"/>
  <c r="AW14" i="21"/>
  <c r="AV14" i="21"/>
  <c r="AU14" i="21"/>
  <c r="AT14" i="21"/>
  <c r="AS14" i="21"/>
  <c r="AR14" i="21"/>
  <c r="AQ14" i="21"/>
  <c r="AP14" i="21"/>
  <c r="AO14" i="21"/>
  <c r="AN14" i="21"/>
  <c r="AM14" i="21"/>
  <c r="AL14" i="21"/>
  <c r="AK14" i="21"/>
  <c r="AJ14" i="21"/>
  <c r="AI14" i="21"/>
  <c r="AH14" i="21"/>
  <c r="AG14" i="21"/>
  <c r="AF14" i="21"/>
  <c r="AE14" i="21"/>
  <c r="AD14" i="21"/>
  <c r="AC14" i="21"/>
  <c r="AB14" i="21"/>
  <c r="AA14" i="21"/>
  <c r="Z14" i="21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K14" i="21"/>
  <c r="J14" i="21"/>
  <c r="F14" i="21"/>
  <c r="AY13" i="21"/>
  <c r="AX13" i="21"/>
  <c r="AW13" i="21"/>
  <c r="AV13" i="21"/>
  <c r="AU13" i="21"/>
  <c r="AT13" i="21"/>
  <c r="AS13" i="21"/>
  <c r="AR13" i="21"/>
  <c r="AQ13" i="21"/>
  <c r="AP13" i="21"/>
  <c r="AO13" i="21"/>
  <c r="AN13" i="21"/>
  <c r="AM13" i="21"/>
  <c r="AL13" i="21"/>
  <c r="AK13" i="21"/>
  <c r="AJ13" i="21"/>
  <c r="AI13" i="21"/>
  <c r="AH13" i="21"/>
  <c r="AG13" i="21"/>
  <c r="AF13" i="21"/>
  <c r="AE13" i="21"/>
  <c r="AD13" i="21"/>
  <c r="AC13" i="21"/>
  <c r="AB13" i="21"/>
  <c r="AA13" i="21"/>
  <c r="Z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K13" i="21"/>
  <c r="AY12" i="21"/>
  <c r="AX12" i="21"/>
  <c r="AW12" i="21"/>
  <c r="AV12" i="21"/>
  <c r="AU12" i="21"/>
  <c r="AT12" i="21"/>
  <c r="AS12" i="21"/>
  <c r="AR12" i="21"/>
  <c r="AQ12" i="21"/>
  <c r="AP12" i="21"/>
  <c r="AO12" i="21"/>
  <c r="AN12" i="21"/>
  <c r="AM12" i="21"/>
  <c r="AL12" i="21"/>
  <c r="AK12" i="21"/>
  <c r="AJ12" i="21"/>
  <c r="AI12" i="21"/>
  <c r="AH12" i="21"/>
  <c r="AG12" i="21"/>
  <c r="AF12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T7" i="21"/>
  <c r="X6" i="21"/>
  <c r="T6" i="21"/>
  <c r="X5" i="21"/>
  <c r="W5" i="21"/>
  <c r="T5" i="21"/>
  <c r="K19" i="11"/>
  <c r="I19" i="11"/>
  <c r="G19" i="11"/>
  <c r="E19" i="11"/>
  <c r="C19" i="11"/>
  <c r="K18" i="11"/>
  <c r="I18" i="11"/>
  <c r="G18" i="11"/>
  <c r="E18" i="11"/>
  <c r="C18" i="11"/>
  <c r="L17" i="11"/>
  <c r="J17" i="11"/>
  <c r="L16" i="11"/>
  <c r="H16" i="11"/>
  <c r="J15" i="11"/>
  <c r="H15" i="11"/>
  <c r="L14" i="11"/>
  <c r="F14" i="11"/>
  <c r="J13" i="11"/>
  <c r="F13" i="11"/>
  <c r="S12" i="11"/>
  <c r="Q12" i="11"/>
  <c r="H12" i="11"/>
  <c r="F12" i="11"/>
  <c r="Q11" i="11"/>
  <c r="L11" i="11"/>
  <c r="D11" i="11"/>
  <c r="Q10" i="11"/>
  <c r="J10" i="11"/>
  <c r="D10" i="11"/>
  <c r="Q9" i="11"/>
  <c r="H9" i="11"/>
  <c r="D9" i="11"/>
  <c r="Q8" i="11"/>
  <c r="F8" i="11"/>
  <c r="D8" i="11"/>
  <c r="K7" i="11"/>
  <c r="I7" i="11"/>
  <c r="G7" i="11"/>
  <c r="E7" i="11"/>
  <c r="C7" i="11"/>
  <c r="K6" i="11"/>
  <c r="I6" i="11"/>
  <c r="G6" i="11"/>
  <c r="E6" i="11"/>
  <c r="C6" i="11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AA4" i="9"/>
  <c r="Z4" i="9"/>
  <c r="X4" i="9"/>
  <c r="T4" i="9"/>
  <c r="S4" i="9"/>
  <c r="Q4" i="9"/>
  <c r="P4" i="9"/>
  <c r="N4" i="9"/>
  <c r="AA3" i="9"/>
  <c r="X3" i="9"/>
  <c r="W3" i="9"/>
  <c r="T3" i="9"/>
  <c r="Q3" i="9"/>
  <c r="N3" i="9"/>
  <c r="M3" i="9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F8" i="4"/>
  <c r="E8" i="4"/>
  <c r="D8" i="4"/>
  <c r="C8" i="4"/>
  <c r="I7" i="4"/>
  <c r="F7" i="4"/>
  <c r="E7" i="4"/>
  <c r="D7" i="4"/>
  <c r="C7" i="4"/>
  <c r="H25" i="14"/>
  <c r="F25" i="14"/>
  <c r="E25" i="14"/>
  <c r="C25" i="14"/>
  <c r="B25" i="14"/>
  <c r="H24" i="14"/>
  <c r="F24" i="14"/>
  <c r="E24" i="14"/>
  <c r="D24" i="14"/>
  <c r="C24" i="14"/>
  <c r="G23" i="14"/>
  <c r="F23" i="14"/>
  <c r="E23" i="14"/>
  <c r="C23" i="14"/>
  <c r="B23" i="14"/>
  <c r="G22" i="14"/>
  <c r="F22" i="14"/>
  <c r="E22" i="14"/>
  <c r="D22" i="14"/>
  <c r="C22" i="14"/>
  <c r="H21" i="14"/>
  <c r="G21" i="14"/>
  <c r="E21" i="14"/>
  <c r="D21" i="14"/>
  <c r="B21" i="14"/>
  <c r="H20" i="14"/>
  <c r="G20" i="14"/>
  <c r="F20" i="14"/>
  <c r="D20" i="14"/>
  <c r="B20" i="14"/>
  <c r="H19" i="14"/>
  <c r="G19" i="14"/>
  <c r="F19" i="14"/>
  <c r="E19" i="14"/>
  <c r="B19" i="14"/>
  <c r="H18" i="14"/>
  <c r="G18" i="14"/>
  <c r="F18" i="14"/>
  <c r="E18" i="14"/>
  <c r="D18" i="14"/>
  <c r="J12" i="14"/>
  <c r="H12" i="14"/>
  <c r="G12" i="14"/>
  <c r="K11" i="14"/>
  <c r="H11" i="14"/>
  <c r="G11" i="14"/>
  <c r="J10" i="14"/>
  <c r="I10" i="14"/>
  <c r="H10" i="14"/>
  <c r="D10" i="14"/>
  <c r="C10" i="14"/>
  <c r="B10" i="14"/>
  <c r="K9" i="14"/>
  <c r="I9" i="14"/>
  <c r="H9" i="14"/>
  <c r="E9" i="14"/>
  <c r="C9" i="14"/>
  <c r="B9" i="14"/>
  <c r="K8" i="14"/>
  <c r="J8" i="14"/>
  <c r="H8" i="14"/>
  <c r="E8" i="14"/>
  <c r="D8" i="14"/>
  <c r="B8" i="14"/>
  <c r="K7" i="14"/>
  <c r="J7" i="14"/>
  <c r="I7" i="14"/>
  <c r="E7" i="14"/>
  <c r="D7" i="14"/>
  <c r="C7" i="14"/>
  <c r="B34" i="17"/>
  <c r="A34" i="17"/>
  <c r="B33" i="17"/>
  <c r="A33" i="17"/>
  <c r="B32" i="17"/>
  <c r="A32" i="17"/>
  <c r="B31" i="17"/>
  <c r="A31" i="17"/>
  <c r="B30" i="17"/>
  <c r="A30" i="17"/>
  <c r="B29" i="17"/>
  <c r="A29" i="17"/>
  <c r="B28" i="17"/>
  <c r="A28" i="17"/>
  <c r="B27" i="17"/>
  <c r="A27" i="17"/>
  <c r="B26" i="17"/>
  <c r="A26" i="17"/>
  <c r="B25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B16" i="17"/>
  <c r="A16" i="17"/>
  <c r="B15" i="17"/>
  <c r="A15" i="17"/>
  <c r="B14" i="17"/>
  <c r="A14" i="17"/>
  <c r="B13" i="17"/>
  <c r="A13" i="17"/>
  <c r="B12" i="17"/>
  <c r="A12" i="17"/>
  <c r="B11" i="17"/>
  <c r="A11" i="17"/>
  <c r="B10" i="17"/>
  <c r="A10" i="17"/>
  <c r="B9" i="17"/>
  <c r="A9" i="17"/>
  <c r="B8" i="17"/>
  <c r="A8" i="17"/>
  <c r="B7" i="17"/>
  <c r="A7" i="17"/>
  <c r="B6" i="17"/>
  <c r="A6" i="17"/>
  <c r="B5" i="17"/>
  <c r="A5" i="17"/>
  <c r="J2" i="17"/>
  <c r="O16" i="24"/>
  <c r="F7" i="24"/>
  <c r="F6" i="24"/>
  <c r="W20" i="18"/>
  <c r="S20" i="18"/>
  <c r="R20" i="18"/>
  <c r="Q20" i="18"/>
  <c r="P20" i="18"/>
  <c r="V20" i="18" s="1"/>
  <c r="O20" i="18"/>
  <c r="N20" i="18"/>
  <c r="M20" i="18"/>
  <c r="L20" i="18"/>
  <c r="K20" i="18"/>
  <c r="J20" i="18"/>
  <c r="I20" i="18"/>
  <c r="S19" i="18"/>
  <c r="R19" i="18"/>
  <c r="W19" i="18" s="1"/>
  <c r="Q19" i="18"/>
  <c r="P19" i="18"/>
  <c r="V19" i="18" s="1"/>
  <c r="O19" i="18"/>
  <c r="N19" i="18"/>
  <c r="M19" i="18"/>
  <c r="L19" i="18"/>
  <c r="K19" i="18"/>
  <c r="J19" i="18"/>
  <c r="I19" i="18"/>
  <c r="S18" i="18"/>
  <c r="R18" i="18"/>
  <c r="W18" i="18" s="1"/>
  <c r="Q18" i="18"/>
  <c r="P18" i="18"/>
  <c r="V18" i="18" s="1"/>
  <c r="O18" i="18"/>
  <c r="N18" i="18"/>
  <c r="M18" i="18"/>
  <c r="L18" i="18"/>
  <c r="K18" i="18"/>
  <c r="J18" i="18"/>
  <c r="I18" i="18"/>
  <c r="W17" i="18"/>
  <c r="V17" i="18"/>
  <c r="S17" i="18"/>
  <c r="R17" i="18"/>
  <c r="Q17" i="18"/>
  <c r="P17" i="18"/>
  <c r="O17" i="18"/>
  <c r="N17" i="18"/>
  <c r="M17" i="18"/>
  <c r="L17" i="18"/>
  <c r="K17" i="18"/>
  <c r="J17" i="18"/>
  <c r="I17" i="18"/>
  <c r="S16" i="18"/>
  <c r="R16" i="18"/>
  <c r="W16" i="18" s="1"/>
  <c r="Q16" i="18"/>
  <c r="P16" i="18"/>
  <c r="V16" i="18" s="1"/>
  <c r="O16" i="18"/>
  <c r="N16" i="18"/>
  <c r="M16" i="18"/>
  <c r="L16" i="18"/>
  <c r="K16" i="18"/>
  <c r="J16" i="18"/>
  <c r="I16" i="18"/>
  <c r="W15" i="18"/>
  <c r="V15" i="18"/>
  <c r="S15" i="18"/>
  <c r="R15" i="18"/>
  <c r="Q15" i="18"/>
  <c r="P15" i="18"/>
  <c r="O15" i="18"/>
  <c r="N15" i="18"/>
  <c r="M15" i="18"/>
  <c r="L15" i="18"/>
  <c r="K15" i="18"/>
  <c r="J15" i="18"/>
  <c r="I15" i="18"/>
  <c r="S14" i="18"/>
  <c r="Q14" i="18"/>
  <c r="O14" i="18"/>
  <c r="N14" i="18"/>
  <c r="M14" i="18"/>
  <c r="L14" i="18"/>
  <c r="K14" i="18"/>
  <c r="J14" i="18"/>
  <c r="I14" i="18"/>
  <c r="W5" i="18"/>
  <c r="V5" i="18"/>
  <c r="AC4" i="18"/>
  <c r="W4" i="18"/>
  <c r="V4" i="18"/>
  <c r="AA3" i="18"/>
  <c r="W3" i="18"/>
  <c r="V3" i="18"/>
  <c r="G21" i="20"/>
  <c r="G20" i="20"/>
  <c r="F18" i="20"/>
  <c r="G15" i="20"/>
  <c r="AK42" i="19"/>
  <c r="AK41" i="19"/>
  <c r="AJ41" i="19"/>
  <c r="AI40" i="19"/>
  <c r="AH40" i="19"/>
  <c r="AG40" i="19"/>
  <c r="AF40" i="19"/>
  <c r="AE40" i="19"/>
  <c r="AD40" i="19"/>
  <c r="AC40" i="19"/>
  <c r="AB40" i="19"/>
  <c r="AA40" i="19"/>
  <c r="Z40" i="19"/>
  <c r="Y40" i="19"/>
  <c r="X40" i="19"/>
  <c r="W40" i="19"/>
  <c r="V40" i="19"/>
  <c r="U40" i="19"/>
  <c r="T40" i="19"/>
  <c r="S40" i="19"/>
  <c r="R40" i="19"/>
  <c r="Q40" i="19"/>
  <c r="AI39" i="19"/>
  <c r="AH39" i="19"/>
  <c r="AG39" i="19"/>
  <c r="AF39" i="19"/>
  <c r="AE39" i="19"/>
  <c r="AD39" i="19"/>
  <c r="AC39" i="19"/>
  <c r="AB39" i="19"/>
  <c r="AA39" i="19"/>
  <c r="Z39" i="19"/>
  <c r="Y39" i="19"/>
  <c r="X39" i="19"/>
  <c r="W39" i="19"/>
  <c r="V39" i="19"/>
  <c r="U39" i="19"/>
  <c r="T39" i="19"/>
  <c r="S39" i="19"/>
  <c r="R39" i="19"/>
  <c r="Q39" i="19"/>
  <c r="AI38" i="19"/>
  <c r="AH38" i="19"/>
  <c r="AG38" i="19"/>
  <c r="AF38" i="19"/>
  <c r="AE38" i="19"/>
  <c r="AD38" i="19"/>
  <c r="AC38" i="19"/>
  <c r="AB38" i="19"/>
  <c r="AA38" i="19"/>
  <c r="Z38" i="19"/>
  <c r="Y38" i="19"/>
  <c r="X38" i="19"/>
  <c r="W38" i="19"/>
  <c r="V38" i="19"/>
  <c r="U38" i="19"/>
  <c r="T38" i="19"/>
  <c r="S38" i="19"/>
  <c r="R38" i="19"/>
  <c r="Q38" i="19"/>
  <c r="P38" i="19"/>
  <c r="AI37" i="19"/>
  <c r="AH37" i="19"/>
  <c r="AG37" i="19"/>
  <c r="AF37" i="19"/>
  <c r="AE37" i="19"/>
  <c r="AD37" i="19"/>
  <c r="AC37" i="19"/>
  <c r="AB37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AI36" i="19"/>
  <c r="AH36" i="19"/>
  <c r="AG36" i="19"/>
  <c r="AF36" i="19"/>
  <c r="AE36" i="19"/>
  <c r="AD36" i="19"/>
  <c r="AC36" i="19"/>
  <c r="AB36" i="19"/>
  <c r="AA36" i="19"/>
  <c r="Z36" i="19"/>
  <c r="Y36" i="19"/>
  <c r="X36" i="19"/>
  <c r="W36" i="19"/>
  <c r="V36" i="19"/>
  <c r="U36" i="19"/>
  <c r="T36" i="19"/>
  <c r="S36" i="19"/>
  <c r="R36" i="19"/>
  <c r="Q36" i="19"/>
  <c r="P36" i="19"/>
  <c r="AI35" i="19"/>
  <c r="AH35" i="19"/>
  <c r="AG35" i="19"/>
  <c r="AF35" i="19"/>
  <c r="AE35" i="19"/>
  <c r="AD35" i="19"/>
  <c r="AC35" i="19"/>
  <c r="AB35" i="19"/>
  <c r="AA35" i="19"/>
  <c r="Z35" i="19"/>
  <c r="Y35" i="19"/>
  <c r="X35" i="19"/>
  <c r="W35" i="19"/>
  <c r="V35" i="19"/>
  <c r="U35" i="19"/>
  <c r="T35" i="19"/>
  <c r="S35" i="19"/>
  <c r="R35" i="19"/>
  <c r="Q35" i="19"/>
  <c r="P35" i="19"/>
  <c r="AI34" i="19"/>
  <c r="AH34" i="19"/>
  <c r="AG34" i="19"/>
  <c r="AF34" i="19"/>
  <c r="AE34" i="19"/>
  <c r="AD34" i="19"/>
  <c r="AC34" i="19"/>
  <c r="AB34" i="19"/>
  <c r="AA34" i="19"/>
  <c r="Z34" i="19"/>
  <c r="Y34" i="19"/>
  <c r="X34" i="19"/>
  <c r="W34" i="19"/>
  <c r="V34" i="19"/>
  <c r="U34" i="19"/>
  <c r="T34" i="19"/>
  <c r="S34" i="19"/>
  <c r="R34" i="19"/>
  <c r="Q34" i="19"/>
  <c r="P34" i="19"/>
  <c r="AI33" i="19"/>
  <c r="AH33" i="19"/>
  <c r="AG33" i="19"/>
  <c r="AF33" i="19"/>
  <c r="AE33" i="19"/>
  <c r="AD33" i="19"/>
  <c r="AC33" i="19"/>
  <c r="AB33" i="19"/>
  <c r="AA33" i="19"/>
  <c r="Z33" i="19"/>
  <c r="Y33" i="19"/>
  <c r="X33" i="19"/>
  <c r="W33" i="19"/>
  <c r="V33" i="19"/>
  <c r="U33" i="19"/>
  <c r="T33" i="19"/>
  <c r="S33" i="19"/>
  <c r="R33" i="19"/>
  <c r="Q33" i="19"/>
  <c r="H33" i="19"/>
  <c r="G33" i="19"/>
  <c r="AI32" i="19"/>
  <c r="AH32" i="19"/>
  <c r="AG32" i="19"/>
  <c r="AF32" i="19"/>
  <c r="AE32" i="19"/>
  <c r="AD32" i="19"/>
  <c r="AC32" i="19"/>
  <c r="AB32" i="19"/>
  <c r="AA32" i="19"/>
  <c r="Z32" i="19"/>
  <c r="Y32" i="19"/>
  <c r="X32" i="19"/>
  <c r="W32" i="19"/>
  <c r="V32" i="19"/>
  <c r="U32" i="19"/>
  <c r="T32" i="19"/>
  <c r="S32" i="19"/>
  <c r="R32" i="19"/>
  <c r="H32" i="19"/>
  <c r="G32" i="19"/>
  <c r="O31" i="19"/>
  <c r="I31" i="19"/>
  <c r="H31" i="19"/>
  <c r="G31" i="19"/>
  <c r="H30" i="19"/>
  <c r="G30" i="19"/>
  <c r="H28" i="19"/>
  <c r="G28" i="19"/>
  <c r="H27" i="19"/>
  <c r="G27" i="19"/>
  <c r="H26" i="19"/>
  <c r="G26" i="19"/>
  <c r="O24" i="19"/>
  <c r="L24" i="19"/>
  <c r="O23" i="19"/>
  <c r="L23" i="19"/>
  <c r="G23" i="19"/>
  <c r="F23" i="19"/>
  <c r="E23" i="19"/>
  <c r="G22" i="19"/>
  <c r="F22" i="19"/>
  <c r="E22" i="19"/>
  <c r="F7" i="22"/>
  <c r="E10" i="22" l="1"/>
  <c r="F9" i="22"/>
  <c r="F10" i="22"/>
  <c r="F11" i="22"/>
  <c r="G7" i="22"/>
  <c r="E9" i="22"/>
  <c r="H15" i="24"/>
  <c r="M15" i="24" s="1"/>
  <c r="Q16" i="24" s="1"/>
  <c r="R15" i="24" s="1"/>
  <c r="C13" i="17"/>
  <c r="D13" i="17" s="1"/>
  <c r="F34" i="17"/>
  <c r="F8" i="17"/>
  <c r="C21" i="17"/>
  <c r="D21" i="17" s="1"/>
  <c r="F7" i="17"/>
  <c r="C7" i="17"/>
  <c r="D7" i="17" s="1"/>
  <c r="F10" i="17"/>
  <c r="C15" i="17"/>
  <c r="D15" i="17" s="1"/>
  <c r="F18" i="17"/>
  <c r="C23" i="17"/>
  <c r="D23" i="17" s="1"/>
  <c r="F26" i="17"/>
  <c r="C31" i="17"/>
  <c r="D31" i="17" s="1"/>
  <c r="C6" i="17"/>
  <c r="D6" i="17" s="1"/>
  <c r="F9" i="17"/>
  <c r="C14" i="17"/>
  <c r="D14" i="17" s="1"/>
  <c r="F17" i="17"/>
  <c r="C22" i="17"/>
  <c r="D22" i="17" s="1"/>
  <c r="F25" i="17"/>
  <c r="C30" i="17"/>
  <c r="D30" i="17" s="1"/>
  <c r="F33" i="17"/>
  <c r="C5" i="17"/>
  <c r="D5" i="17" s="1"/>
  <c r="F14" i="17"/>
  <c r="C19" i="17"/>
  <c r="D19" i="17" s="1"/>
  <c r="C27" i="17"/>
  <c r="D27" i="17" s="1"/>
  <c r="F16" i="17"/>
  <c r="F24" i="17"/>
  <c r="C29" i="17"/>
  <c r="D29" i="17" s="1"/>
  <c r="F32" i="17"/>
  <c r="C12" i="17"/>
  <c r="D12" i="17" s="1"/>
  <c r="F15" i="17"/>
  <c r="C20" i="17"/>
  <c r="D20" i="17" s="1"/>
  <c r="F23" i="17"/>
  <c r="C28" i="17"/>
  <c r="D28" i="17" s="1"/>
  <c r="F31" i="17"/>
  <c r="F6" i="17"/>
  <c r="C11" i="17"/>
  <c r="D11" i="17" s="1"/>
  <c r="F22" i="17"/>
  <c r="F30" i="17"/>
  <c r="C2" i="17"/>
  <c r="F5" i="17"/>
  <c r="C10" i="17"/>
  <c r="D10" i="17" s="1"/>
  <c r="F13" i="17"/>
  <c r="C18" i="17"/>
  <c r="D18" i="17" s="1"/>
  <c r="F21" i="17"/>
  <c r="C26" i="17"/>
  <c r="D26" i="17" s="1"/>
  <c r="F29" i="17"/>
  <c r="C34" i="17"/>
  <c r="D34" i="17" s="1"/>
  <c r="C9" i="17"/>
  <c r="D9" i="17" s="1"/>
  <c r="F12" i="17"/>
  <c r="C17" i="17"/>
  <c r="D17" i="17" s="1"/>
  <c r="F20" i="17"/>
  <c r="K21" i="17"/>
  <c r="C25" i="17"/>
  <c r="D25" i="17" s="1"/>
  <c r="F28" i="17"/>
  <c r="C33" i="17"/>
  <c r="E33" i="17" s="1"/>
  <c r="C4" i="17"/>
  <c r="C8" i="17"/>
  <c r="D8" i="17" s="1"/>
  <c r="F11" i="17"/>
  <c r="C16" i="17"/>
  <c r="D16" i="17" s="1"/>
  <c r="F19" i="17"/>
  <c r="C24" i="17"/>
  <c r="D24" i="17" s="1"/>
  <c r="F27" i="17"/>
  <c r="C32" i="17"/>
  <c r="D32" i="17" s="1"/>
  <c r="H7" i="22" l="1"/>
  <c r="H8" i="22" s="1"/>
  <c r="K30" i="17"/>
  <c r="E11" i="17"/>
  <c r="E6" i="17"/>
  <c r="E14" i="17"/>
  <c r="T15" i="24"/>
  <c r="U16" i="24" s="1"/>
  <c r="S16" i="24"/>
  <c r="K20" i="17"/>
  <c r="E27" i="17"/>
  <c r="E20" i="17"/>
  <c r="E15" i="17"/>
  <c r="E18" i="17"/>
  <c r="K6" i="17"/>
  <c r="E7" i="17"/>
  <c r="E8" i="17"/>
  <c r="K29" i="17"/>
  <c r="K14" i="17"/>
  <c r="E12" i="17"/>
  <c r="K24" i="17"/>
  <c r="K22" i="17"/>
  <c r="K28" i="17"/>
  <c r="E13" i="17"/>
  <c r="E28" i="17"/>
  <c r="K13" i="17"/>
  <c r="K7" i="17"/>
  <c r="K9" i="17"/>
  <c r="K25" i="17"/>
  <c r="K16" i="17"/>
  <c r="E5" i="17"/>
  <c r="K8" i="17"/>
  <c r="K31" i="17"/>
  <c r="E30" i="17"/>
  <c r="K34" i="17"/>
  <c r="K18" i="17"/>
  <c r="E17" i="17"/>
  <c r="E23" i="17"/>
  <c r="E26" i="17"/>
  <c r="E10" i="17"/>
  <c r="K5" i="17"/>
  <c r="E29" i="17"/>
  <c r="E22" i="17"/>
  <c r="E32" i="17"/>
  <c r="E16" i="17"/>
  <c r="K27" i="17"/>
  <c r="K11" i="17"/>
  <c r="K17" i="17"/>
  <c r="E19" i="17"/>
  <c r="K23" i="17"/>
  <c r="K12" i="17"/>
  <c r="D33" i="17"/>
  <c r="K33" i="17"/>
  <c r="K15" i="17"/>
  <c r="E21" i="17"/>
  <c r="E31" i="17"/>
  <c r="K26" i="17"/>
  <c r="K10" i="17"/>
  <c r="E25" i="17"/>
  <c r="E9" i="17"/>
  <c r="K32" i="17"/>
  <c r="E24" i="17"/>
  <c r="K19" i="17"/>
  <c r="E34" i="17"/>
  <c r="I7" i="22" l="1"/>
  <c r="I8" i="22" s="1"/>
  <c r="G10" i="22"/>
  <c r="G9" i="22"/>
  <c r="G11" i="22"/>
  <c r="J7" i="22" l="1"/>
  <c r="J8" i="22" s="1"/>
  <c r="H11" i="22"/>
  <c r="H10" i="22"/>
  <c r="H9" i="22"/>
  <c r="K7" i="22" l="1"/>
  <c r="K8" i="22" s="1"/>
  <c r="I11" i="22"/>
  <c r="I10" i="22"/>
  <c r="I9" i="22"/>
  <c r="L7" i="22" l="1"/>
  <c r="L8" i="22" s="1"/>
  <c r="J10" i="22"/>
  <c r="J11" i="22"/>
  <c r="J9" i="22"/>
  <c r="M7" i="22" l="1"/>
  <c r="M8" i="22" s="1"/>
  <c r="K9" i="22"/>
  <c r="K11" i="22"/>
  <c r="K10" i="22"/>
  <c r="N7" i="22" l="1"/>
  <c r="N8" i="22" s="1"/>
  <c r="L11" i="22"/>
  <c r="L10" i="22"/>
  <c r="L9" i="22"/>
  <c r="M10" i="22" l="1"/>
  <c r="M9" i="22"/>
  <c r="M11" i="22"/>
  <c r="O7" i="22"/>
  <c r="O8" i="22" s="1"/>
  <c r="P7" i="22" l="1"/>
  <c r="P8" i="22" s="1"/>
  <c r="N9" i="22"/>
  <c r="N11" i="22"/>
  <c r="N10" i="22"/>
  <c r="Q7" i="22" l="1"/>
  <c r="Q8" i="22" s="1"/>
  <c r="O9" i="22"/>
  <c r="O11" i="22"/>
  <c r="O10" i="22"/>
  <c r="R7" i="22" l="1"/>
  <c r="R8" i="22" s="1"/>
  <c r="P11" i="22"/>
  <c r="P9" i="22"/>
  <c r="P10" i="22"/>
  <c r="Q11" i="22" l="1"/>
  <c r="Q10" i="22"/>
  <c r="Q9" i="22"/>
  <c r="S7" i="22"/>
  <c r="S8" i="22" s="1"/>
  <c r="R10" i="22" l="1"/>
  <c r="R11" i="22"/>
  <c r="R9" i="22"/>
  <c r="T7" i="22"/>
  <c r="T8" i="22" s="1"/>
  <c r="U7" i="22" l="1"/>
  <c r="U8" i="22" s="1"/>
  <c r="S11" i="22"/>
  <c r="S9" i="22"/>
  <c r="S10" i="22"/>
  <c r="V7" i="22" l="1"/>
  <c r="V8" i="22" s="1"/>
  <c r="T11" i="22"/>
  <c r="T10" i="22"/>
  <c r="T9" i="22"/>
  <c r="U10" i="22" l="1"/>
  <c r="U9" i="22"/>
  <c r="U11" i="22"/>
  <c r="W7" i="22"/>
  <c r="W8" i="22" s="1"/>
  <c r="X7" i="22" l="1"/>
  <c r="X8" i="22" s="1"/>
  <c r="V9" i="22"/>
  <c r="V10" i="22"/>
  <c r="V11" i="22"/>
  <c r="Y7" i="22" l="1"/>
  <c r="Y8" i="22" s="1"/>
  <c r="W10" i="22"/>
  <c r="W11" i="22"/>
  <c r="W9" i="22"/>
  <c r="X11" i="22" l="1"/>
  <c r="X10" i="22"/>
  <c r="X9" i="22"/>
  <c r="Z7" i="22"/>
  <c r="Z8" i="22" s="1"/>
  <c r="AA7" i="22" l="1"/>
  <c r="AA8" i="22" s="1"/>
  <c r="Y11" i="22"/>
  <c r="Y10" i="22"/>
  <c r="Y9" i="22"/>
  <c r="AB7" i="22" l="1"/>
  <c r="AB8" i="22" s="1"/>
  <c r="Z10" i="22"/>
  <c r="Z11" i="22"/>
  <c r="Z9" i="22"/>
  <c r="AC7" i="22" l="1"/>
  <c r="AC8" i="22" s="1"/>
  <c r="AA9" i="22"/>
  <c r="AA11" i="22"/>
  <c r="AA10" i="22"/>
  <c r="AB11" i="22" l="1"/>
  <c r="AB10" i="22"/>
  <c r="AB9" i="22"/>
  <c r="AD7" i="22"/>
  <c r="AD8" i="22" s="1"/>
  <c r="AC10" i="22" l="1"/>
  <c r="AC11" i="22"/>
  <c r="AC9" i="22"/>
  <c r="AE7" i="22"/>
  <c r="AE8" i="22" s="1"/>
  <c r="AF7" i="22" l="1"/>
  <c r="AF8" i="22" s="1"/>
  <c r="AD9" i="22"/>
  <c r="AD11" i="22"/>
  <c r="AD10" i="22"/>
  <c r="AG7" i="22" l="1"/>
  <c r="AG8" i="22" s="1"/>
  <c r="AE9" i="22"/>
  <c r="AE11" i="22"/>
  <c r="AE10" i="22"/>
  <c r="AH7" i="22" l="1"/>
  <c r="AH8" i="22" s="1"/>
  <c r="AF11" i="22"/>
  <c r="AF9" i="22"/>
  <c r="AF10" i="22"/>
  <c r="AG11" i="22" l="1"/>
  <c r="AG10" i="22"/>
  <c r="AG9" i="22"/>
  <c r="AI7" i="22"/>
  <c r="AI8" i="22" s="1"/>
  <c r="AJ7" i="22" l="1"/>
  <c r="AJ8" i="22" s="1"/>
  <c r="AH10" i="22"/>
  <c r="AH11" i="22"/>
  <c r="AH9" i="22"/>
  <c r="AK7" i="22" l="1"/>
  <c r="AK8" i="22" s="1"/>
  <c r="AI9" i="22"/>
  <c r="AI11" i="22"/>
  <c r="AI10" i="22"/>
  <c r="AL7" i="22" l="1"/>
  <c r="AL8" i="22" s="1"/>
  <c r="AJ11" i="22"/>
  <c r="AJ10" i="22"/>
  <c r="AJ9" i="22"/>
  <c r="AK10" i="22" l="1"/>
  <c r="AK9" i="22"/>
  <c r="AK11" i="22"/>
  <c r="AM7" i="22"/>
  <c r="AM8" i="22" s="1"/>
  <c r="AN7" i="22" l="1"/>
  <c r="AN8" i="22" s="1"/>
  <c r="AL11" i="22"/>
  <c r="AL9" i="22"/>
  <c r="AL10" i="22"/>
  <c r="AO7" i="22" l="1"/>
  <c r="AO8" i="22" s="1"/>
  <c r="AM9" i="22"/>
  <c r="AM10" i="22"/>
  <c r="AM11" i="22"/>
  <c r="AP7" i="22" l="1"/>
  <c r="AP8" i="22" s="1"/>
  <c r="AN11" i="22"/>
  <c r="AN10" i="22"/>
  <c r="AN9" i="22"/>
  <c r="AQ7" i="22" l="1"/>
  <c r="AQ8" i="22" s="1"/>
  <c r="AO11" i="22"/>
  <c r="AO10" i="22"/>
  <c r="AO9" i="22"/>
  <c r="AR7" i="22" l="1"/>
  <c r="AR8" i="22" s="1"/>
  <c r="AP10" i="22"/>
  <c r="AP11" i="22"/>
  <c r="AP9" i="22"/>
  <c r="AS7" i="22" l="1"/>
  <c r="AS8" i="22" s="1"/>
  <c r="AQ9" i="22"/>
  <c r="AQ11" i="22"/>
  <c r="AQ10" i="22"/>
  <c r="AS11" i="22" l="1"/>
  <c r="AS10" i="22"/>
  <c r="AS9" i="22"/>
  <c r="AR11" i="22"/>
  <c r="AR10" i="22"/>
  <c r="AR9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F16" authorId="0" shapeId="0" xr:uid="{9F3B40AB-FC47-4F41-8D63-6BF433C1F4E7}">
      <text>
        <r>
          <rPr>
            <sz val="9"/>
            <color indexed="81"/>
            <rFont val="Segoe UI"/>
            <family val="2"/>
          </rPr>
          <t xml:space="preserve">Für die Berechnung von Winkel in rad bei gegebenen x,y verwenden sie die Excel-Formel </t>
        </r>
        <r>
          <rPr>
            <b/>
            <sz val="9"/>
            <color indexed="81"/>
            <rFont val="Segoe UI"/>
            <family val="2"/>
          </rPr>
          <t>=ARCTAN2(x, y)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I13" authorId="0" shapeId="0" xr:uid="{C52A2570-9323-444D-93C5-26B4C6F49E76}">
      <text>
        <r>
          <rPr>
            <sz val="9"/>
            <color indexed="81"/>
            <rFont val="Segoe UI"/>
            <family val="2"/>
          </rPr>
          <t xml:space="preserve">Lösung der Quadratischen-Gleichung mit Mitternachtsformel
</t>
        </r>
      </text>
    </comment>
  </commentList>
</comments>
</file>

<file path=xl/sharedStrings.xml><?xml version="1.0" encoding="utf-8"?>
<sst xmlns="http://schemas.openxmlformats.org/spreadsheetml/2006/main" count="759" uniqueCount="455">
  <si>
    <t>x:</t>
  </si>
  <si>
    <t>Increment:</t>
  </si>
  <si>
    <t>Zeit t [s]</t>
  </si>
  <si>
    <t>Durchschnitt:</t>
  </si>
  <si>
    <t>Weg s [m] gemessen</t>
  </si>
  <si>
    <t>Weg-Zeit Diagramm</t>
  </si>
  <si>
    <t>Geschwindigkeit v = s/t [m/s]</t>
  </si>
  <si>
    <t>Weg s = v*t [m] gerechnet</t>
  </si>
  <si>
    <t>Step:</t>
  </si>
  <si>
    <t>Lineare Funktion y= f(x)</t>
  </si>
  <si>
    <t>Steigung:</t>
  </si>
  <si>
    <t>y-Achsenabschnitt (Bias):</t>
  </si>
  <si>
    <r>
      <t xml:space="preserve">y = </t>
    </r>
    <r>
      <rPr>
        <sz val="20"/>
        <color rgb="FFFF0000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 xml:space="preserve"> * x + </t>
    </r>
    <r>
      <rPr>
        <sz val="20"/>
        <color rgb="FFFFC000"/>
        <rFont val="Calibri"/>
        <family val="2"/>
        <scheme val="minor"/>
      </rPr>
      <t>b</t>
    </r>
  </si>
  <si>
    <t xml:space="preserve">a = </t>
  </si>
  <si>
    <t xml:space="preserve">b = </t>
  </si>
  <si>
    <t>y = ax + b</t>
  </si>
  <si>
    <t>Step (inc):</t>
  </si>
  <si>
    <t>t [h]</t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</si>
  <si>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</si>
  <si>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[km/h]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</si>
  <si>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[km/h]</t>
    </r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</si>
  <si>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s0  </t>
    </r>
  </si>
  <si>
    <t>s0 [km]</t>
  </si>
  <si>
    <t>Beschleunigte Bewegung</t>
  </si>
  <si>
    <t>t [s]</t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</si>
  <si>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</si>
  <si>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Beschleunigung a:</t>
  </si>
  <si>
    <t>Anfangsgeschwindigkeit v0:</t>
  </si>
  <si>
    <t>[m/s]</t>
  </si>
  <si>
    <t>v = a * t + v0</t>
  </si>
  <si>
    <t>Vertikale Hilfslinie</t>
  </si>
  <si>
    <t>Vertikale</t>
  </si>
  <si>
    <t>Senkrechte</t>
  </si>
  <si>
    <t>Senkrechte_2</t>
  </si>
  <si>
    <t>Vertikale_2</t>
  </si>
  <si>
    <t>t:</t>
  </si>
  <si>
    <r>
      <t>Beschleunigte Bewegung</t>
    </r>
    <r>
      <rPr>
        <u/>
        <sz val="16"/>
        <color theme="1"/>
        <rFont val="Calibri"/>
        <family val="2"/>
        <scheme val="minor"/>
      </rPr>
      <t xml:space="preserve"> (Kinematik II a&gt;0 und a ist konstant)</t>
    </r>
  </si>
  <si>
    <t>Geschwindigkeit</t>
  </si>
  <si>
    <t>Strecke</t>
  </si>
  <si>
    <t>Zeit</t>
  </si>
  <si>
    <t>Beschleunigung</t>
  </si>
  <si>
    <t>v [m/s]</t>
  </si>
  <si>
    <t>s [m]</t>
  </si>
  <si>
    <t>Fall</t>
  </si>
  <si>
    <t>A</t>
  </si>
  <si>
    <t>B</t>
  </si>
  <si>
    <t>C</t>
  </si>
  <si>
    <t>D</t>
  </si>
  <si>
    <t>E</t>
  </si>
  <si>
    <t>G</t>
  </si>
  <si>
    <t>F</t>
  </si>
  <si>
    <t>H</t>
  </si>
  <si>
    <t>I</t>
  </si>
  <si>
    <t>J</t>
  </si>
  <si>
    <t>Zelle formatieren</t>
  </si>
  <si>
    <t>Ctrl-1</t>
  </si>
  <si>
    <r>
      <t>s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v0*t</t>
    </r>
  </si>
  <si>
    <t>v0 = v - at</t>
  </si>
  <si>
    <t>a = (v - v0)/t</t>
  </si>
  <si>
    <t>t = (v - v0)/a</t>
  </si>
  <si>
    <r>
      <t>v = at + v</t>
    </r>
    <r>
      <rPr>
        <b/>
        <vertAlign val="subscript"/>
        <sz val="14"/>
        <color rgb="FFFFC000"/>
        <rFont val="Calibri"/>
        <family val="2"/>
        <scheme val="minor"/>
      </rPr>
      <t>0</t>
    </r>
  </si>
  <si>
    <r>
      <t>a = 2((s - v0*t)/t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>)</t>
    </r>
  </si>
  <si>
    <r>
      <t>t = (-v0 + sqrt(v0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 xml:space="preserve"> + 2as))/a</t>
    </r>
  </si>
  <si>
    <r>
      <t>s = (a/2)t</t>
    </r>
    <r>
      <rPr>
        <b/>
        <vertAlign val="superscript"/>
        <sz val="11"/>
        <color theme="5" tint="-0.249977111117893"/>
        <rFont val="Calibri"/>
        <family val="2"/>
        <scheme val="minor"/>
      </rPr>
      <t>2</t>
    </r>
    <r>
      <rPr>
        <b/>
        <sz val="11"/>
        <color theme="5" tint="-0.249977111117893"/>
        <rFont val="Calibri"/>
        <family val="2"/>
        <scheme val="minor"/>
      </rPr>
      <t xml:space="preserve"> + v</t>
    </r>
    <r>
      <rPr>
        <b/>
        <vertAlign val="subscript"/>
        <sz val="11"/>
        <color theme="5" tint="-0.249977111117893"/>
        <rFont val="Calibri"/>
        <family val="2"/>
        <scheme val="minor"/>
      </rPr>
      <t>0</t>
    </r>
    <r>
      <rPr>
        <b/>
        <sz val="11"/>
        <color theme="5" tint="-0.249977111117893"/>
        <rFont val="Calibri"/>
        <family val="2"/>
        <scheme val="minor"/>
      </rPr>
      <t>t</t>
    </r>
    <r>
      <rPr>
        <b/>
        <sz val="14"/>
        <color theme="5" tint="-0.249977111117893"/>
        <rFont val="Calibri"/>
        <family val="2"/>
        <scheme val="minor"/>
      </rPr>
      <t xml:space="preserve"> 
s = (v0+v)*t/2</t>
    </r>
  </si>
  <si>
    <r>
      <t>v0 = (s - (a/2)t</t>
    </r>
    <r>
      <rPr>
        <vertAlign val="superscript"/>
        <sz val="11"/>
        <color theme="5" tint="-0.249977111117893"/>
        <rFont val="Calibri"/>
        <family val="2"/>
        <scheme val="minor"/>
      </rPr>
      <t>2</t>
    </r>
    <r>
      <rPr>
        <sz val="11"/>
        <color theme="5" tint="-0.249977111117893"/>
        <rFont val="Calibri"/>
        <family val="2"/>
        <scheme val="minor"/>
      </rPr>
      <t>)/t
v0 = (2s/t) - v</t>
    </r>
  </si>
  <si>
    <r>
      <t>a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</si>
  <si>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y</t>
    </r>
    <r>
      <rPr>
        <vertAlign val="subscript"/>
        <sz val="11"/>
        <color theme="1"/>
        <rFont val="Calibri"/>
        <family val="2"/>
        <scheme val="minor"/>
      </rPr>
      <t>Resultierend</t>
    </r>
    <r>
      <rPr>
        <sz val="11"/>
        <color theme="1"/>
        <rFont val="Calibri"/>
        <family val="2"/>
        <scheme val="minor"/>
      </rPr>
      <t xml:space="preserve"> = y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= </t>
    </r>
  </si>
  <si>
    <t>y = a * sin(b*x + c)</t>
  </si>
  <si>
    <t>Fourierreihe</t>
  </si>
  <si>
    <t xml:space="preserve">phi [rad] = </t>
  </si>
  <si>
    <t xml:space="preserve">phi [°] = </t>
  </si>
  <si>
    <t>Show</t>
  </si>
  <si>
    <t>Ja</t>
  </si>
  <si>
    <t>Nein</t>
  </si>
  <si>
    <t>a
Amplitude</t>
  </si>
  <si>
    <t>b
Frequenz</t>
  </si>
  <si>
    <t>Hilfslinie:</t>
  </si>
  <si>
    <t>c
Phasenlage [rad]</t>
  </si>
  <si>
    <t>c
Phasenlage
[°]</t>
  </si>
  <si>
    <t xml:space="preserve">Min = </t>
  </si>
  <si>
    <t xml:space="preserve">Max = </t>
  </si>
  <si>
    <t xml:space="preserve">Amplitude = </t>
  </si>
  <si>
    <t>v=s/t + at/2</t>
  </si>
  <si>
    <r>
      <t>s = vt - at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</t>
    </r>
  </si>
  <si>
    <r>
      <t>t = (v -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- 2as))/a</t>
    </r>
  </si>
  <si>
    <t>a = 2/t * (v - s/t)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</si>
  <si>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</t>
    </r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</si>
  <si>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2s/t - v</t>
    </r>
  </si>
  <si>
    <r>
      <t>v = sqrt(v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+ 2as)</t>
    </r>
  </si>
  <si>
    <r>
      <t>v = 2s/t - v</t>
    </r>
    <r>
      <rPr>
        <vertAlign val="subscript"/>
        <sz val="11"/>
        <color theme="1"/>
        <rFont val="Calibri"/>
        <family val="2"/>
        <scheme val="minor"/>
      </rPr>
      <t>0</t>
    </r>
  </si>
  <si>
    <r>
      <t>s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)/2a</t>
    </r>
  </si>
  <si>
    <r>
      <t>s = 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v)t/2</t>
    </r>
  </si>
  <si>
    <r>
      <t>t = 2s/(v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</t>
    </r>
  </si>
  <si>
    <r>
      <t>a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)/2s</t>
    </r>
  </si>
  <si>
    <t>Anfangs-Geschwindigkeit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</si>
  <si>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[m/s]</t>
    </r>
  </si>
  <si>
    <t>Winkelbeschleunigung</t>
  </si>
  <si>
    <t>Anfangs-Winkelgeschwindigkeit</t>
  </si>
  <si>
    <t>Winkelgeschwindigkeit</t>
  </si>
  <si>
    <t>Winkel</t>
  </si>
  <si>
    <t>φ [rad]</t>
  </si>
  <si>
    <r>
      <t>α [rad/s</t>
    </r>
    <r>
      <rPr>
        <vertAlign val="superscript"/>
        <sz val="11"/>
        <color theme="1"/>
        <rFont val="Aptos Narrow"/>
        <family val="2"/>
      </rPr>
      <t>2</t>
    </r>
    <r>
      <rPr>
        <sz val="11"/>
        <color theme="1"/>
        <rFont val="Aptos Narrow"/>
        <family val="2"/>
      </rPr>
      <t>]</t>
    </r>
  </si>
  <si>
    <t>ω [rad/s]</t>
  </si>
  <si>
    <r>
      <t>ω</t>
    </r>
    <r>
      <rPr>
        <vertAlign val="subscript"/>
        <sz val="11"/>
        <color theme="1"/>
        <rFont val="Aptos Narrow"/>
        <family val="2"/>
      </rPr>
      <t>0</t>
    </r>
    <r>
      <rPr>
        <sz val="11"/>
        <color theme="1"/>
        <rFont val="Aptos Narrow"/>
        <family val="2"/>
      </rPr>
      <t xml:space="preserve"> [rad/s]</t>
    </r>
  </si>
  <si>
    <t>gegeben</t>
  </si>
  <si>
    <t>--</t>
  </si>
  <si>
    <t>Inhaltsverzeichnis</t>
  </si>
  <si>
    <t>Kinematik 1</t>
  </si>
  <si>
    <t>Kinematik_2</t>
  </si>
  <si>
    <t>Kinematik 2 Berechnungen</t>
  </si>
  <si>
    <t>Fouirierreihe</t>
  </si>
  <si>
    <t>Flächenberechnungen</t>
  </si>
  <si>
    <t>Quadrat</t>
  </si>
  <si>
    <t>Rechteck</t>
  </si>
  <si>
    <t>s (Seite) [m]</t>
  </si>
  <si>
    <t>d (Diagonale) [m]</t>
  </si>
  <si>
    <r>
      <t>A (Fläche)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</si>
  <si>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U (Umfang) [m]</t>
  </si>
  <si>
    <t>l (Länge) [m]</t>
  </si>
  <si>
    <t>b (Breite) [m]</t>
  </si>
  <si>
    <t>Kreis</t>
  </si>
  <si>
    <t>r (Radius)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</si>
  <si>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(Zentriwinkel) [°]</t>
    </r>
  </si>
  <si>
    <t>d (Durchmesser)</t>
  </si>
  <si>
    <t>b (Bogenlänge Sektor)</t>
  </si>
  <si>
    <r>
      <t>A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</si>
  <si>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U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</si>
  <si>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A</t>
    </r>
    <r>
      <rPr>
        <vertAlign val="subscript"/>
        <sz val="11"/>
        <color theme="1"/>
        <rFont val="Calibri"/>
        <family val="2"/>
        <scheme val="minor"/>
      </rPr>
      <t>sektor</t>
    </r>
  </si>
  <si>
    <t>Schein- / Blind-Leistung</t>
  </si>
  <si>
    <t>Scheinleistung</t>
  </si>
  <si>
    <t xml:space="preserve">Leistung P = U *I = </t>
  </si>
  <si>
    <t>Rechtwinkliges Dreieck</t>
  </si>
  <si>
    <t>c (Hypothenuse)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</si>
  <si>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[°]</t>
    </r>
  </si>
  <si>
    <r>
      <rPr>
        <sz val="9.35"/>
        <color theme="1"/>
        <rFont val="Aptos Narrow"/>
        <family val="2"/>
      </rPr>
      <t>β</t>
    </r>
    <r>
      <rPr>
        <sz val="9.35"/>
        <color theme="1"/>
        <rFont val="Calibri"/>
        <family val="2"/>
      </rPr>
      <t xml:space="preserve"> [°]</t>
    </r>
  </si>
  <si>
    <r>
      <t xml:space="preserve">b (Ankathete zu </t>
    </r>
    <r>
      <rPr>
        <sz val="11"/>
        <color theme="1"/>
        <rFont val="Aptos Narrow"/>
        <family val="2"/>
      </rPr>
      <t>α)</t>
    </r>
  </si>
  <si>
    <r>
      <t xml:space="preserve">a (Gegenkathete zu </t>
    </r>
    <r>
      <rPr>
        <sz val="11"/>
        <color theme="1"/>
        <rFont val="Aptos Narrow"/>
        <family val="2"/>
      </rPr>
      <t>α)</t>
    </r>
  </si>
  <si>
    <t>A (Fläche)</t>
  </si>
  <si>
    <t>Einheiten umrechnen</t>
  </si>
  <si>
    <t>Temperatur</t>
  </si>
  <si>
    <t>Frau</t>
  </si>
  <si>
    <t>Brigitte</t>
  </si>
  <si>
    <t>Herr</t>
  </si>
  <si>
    <t>Hans</t>
  </si>
  <si>
    <t>Bruhin</t>
  </si>
  <si>
    <t>02.01.1987</t>
  </si>
  <si>
    <t>Dominik</t>
  </si>
  <si>
    <t>Hüppin</t>
  </si>
  <si>
    <t>Werner</t>
  </si>
  <si>
    <t>Nadja</t>
  </si>
  <si>
    <t>02.01.1992</t>
  </si>
  <si>
    <t>Christian</t>
  </si>
  <si>
    <t>06.01.1988</t>
  </si>
  <si>
    <t>Daniel</t>
  </si>
  <si>
    <t>Schnellmann</t>
  </si>
  <si>
    <t>07.01.1976</t>
  </si>
  <si>
    <t>Yvonne</t>
  </si>
  <si>
    <t>09.01.1965</t>
  </si>
  <si>
    <t>Rita</t>
  </si>
  <si>
    <t>Maria</t>
  </si>
  <si>
    <t>09.01.1958</t>
  </si>
  <si>
    <t>Xaver</t>
  </si>
  <si>
    <t>10.01.1997</t>
  </si>
  <si>
    <t>Beda</t>
  </si>
  <si>
    <t>Meinrad</t>
  </si>
  <si>
    <t>Hansjörg</t>
  </si>
  <si>
    <t>11.01.1964</t>
  </si>
  <si>
    <t>Marlise</t>
  </si>
  <si>
    <t>Theres</t>
  </si>
  <si>
    <t>11.01.1983</t>
  </si>
  <si>
    <t>Roman</t>
  </si>
  <si>
    <t>Brigitta</t>
  </si>
  <si>
    <t>Markus</t>
  </si>
  <si>
    <t>Josef</t>
  </si>
  <si>
    <t>Farit</t>
  </si>
  <si>
    <t>14.01.1960</t>
  </si>
  <si>
    <t>Armin</t>
  </si>
  <si>
    <t>Marlen</t>
  </si>
  <si>
    <t>15.01.1980</t>
  </si>
  <si>
    <t>Martin</t>
  </si>
  <si>
    <t>Vogt</t>
  </si>
  <si>
    <t>Ueli</t>
  </si>
  <si>
    <t>Edith</t>
  </si>
  <si>
    <t>Loris</t>
  </si>
  <si>
    <t>Brändle-Schnellmann</t>
  </si>
  <si>
    <t>Heiz-Schnellmann</t>
  </si>
  <si>
    <t>Diethelm-Schnellmann</t>
  </si>
  <si>
    <t>Mächler-Badat</t>
  </si>
  <si>
    <t>Bruhin-Niedermeier</t>
  </si>
  <si>
    <t>Hungerbühler-Vogt</t>
  </si>
  <si>
    <t>Schnellmann-Schuster</t>
  </si>
  <si>
    <t>Bruhin-Schnellmann</t>
  </si>
  <si>
    <t>Bruhin-Wichert</t>
  </si>
  <si>
    <t>Müller</t>
  </si>
  <si>
    <t>Horvath-Vogt</t>
  </si>
  <si>
    <t>Schättin</t>
  </si>
  <si>
    <t>Hüppin-Gyr</t>
  </si>
  <si>
    <t>Widrig-Vogt</t>
  </si>
  <si>
    <t>Geburtstagsliste</t>
  </si>
  <si>
    <t>Geburtsdatum</t>
  </si>
  <si>
    <t>Geschlecht</t>
  </si>
  <si>
    <t>Vorname</t>
  </si>
  <si>
    <t>Familienname</t>
  </si>
  <si>
    <t>Already had birthday this year</t>
  </si>
  <si>
    <t>Heute:</t>
  </si>
  <si>
    <t>Sorter</t>
  </si>
  <si>
    <t>Alter
aktuell</t>
  </si>
  <si>
    <t>Alter in 
diesem Jahr</t>
  </si>
  <si>
    <t>Nächster Geburtstag</t>
  </si>
  <si>
    <t>Vektoren</t>
  </si>
  <si>
    <t>Bezeichnung</t>
  </si>
  <si>
    <t>V1 Einheit</t>
  </si>
  <si>
    <t>V1 Wert</t>
  </si>
  <si>
    <t>V2 Wert</t>
  </si>
  <si>
    <t>V2 Einheit</t>
  </si>
  <si>
    <t>°</t>
  </si>
  <si>
    <t>rad</t>
  </si>
  <si>
    <t>Winkel-Einheiten</t>
  </si>
  <si>
    <t>F1</t>
  </si>
  <si>
    <t>Grösse</t>
  </si>
  <si>
    <t>Betrag</t>
  </si>
  <si>
    <t>Winkel [°]</t>
  </si>
  <si>
    <t>Winkel [rad]</t>
  </si>
  <si>
    <t>Realteil x</t>
  </si>
  <si>
    <t>Imaginärteil y</t>
  </si>
  <si>
    <t>Eingabeformat</t>
  </si>
  <si>
    <t>Kartesisch</t>
  </si>
  <si>
    <t>Polar [rad]</t>
  </si>
  <si>
    <t>Polar [°]</t>
  </si>
  <si>
    <t>Unbekannt</t>
  </si>
  <si>
    <t>Eingabe</t>
  </si>
  <si>
    <t>Zwischenresultat</t>
  </si>
  <si>
    <t>Polar</t>
  </si>
  <si>
    <t>F2</t>
  </si>
  <si>
    <t>F3</t>
  </si>
  <si>
    <t>F4</t>
  </si>
  <si>
    <t>F5</t>
  </si>
  <si>
    <t>F6</t>
  </si>
  <si>
    <t>F7</t>
  </si>
  <si>
    <t>x1</t>
  </si>
  <si>
    <t>x2</t>
  </si>
  <si>
    <t>y1</t>
  </si>
  <si>
    <t>y2</t>
  </si>
  <si>
    <t>Graph</t>
  </si>
  <si>
    <t>Skala</t>
  </si>
  <si>
    <t>Min/Max</t>
  </si>
  <si>
    <t>x-Achse</t>
  </si>
  <si>
    <t>y-Achse</t>
  </si>
  <si>
    <t>Operation</t>
  </si>
  <si>
    <t>+</t>
  </si>
  <si>
    <t>-</t>
  </si>
  <si>
    <t>*</t>
  </si>
  <si>
    <t>Schiefe Ebene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</si>
  <si>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= </t>
    </r>
  </si>
  <si>
    <t>Hangabtriebskraft:</t>
  </si>
  <si>
    <t>Normalkraft: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</si>
  <si>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</si>
  <si>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</t>
    </r>
  </si>
  <si>
    <t>Masse:</t>
  </si>
  <si>
    <t xml:space="preserve">m = </t>
  </si>
  <si>
    <t>Erdbeschleunigung:</t>
  </si>
  <si>
    <t>kg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</si>
  <si>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</si>
  <si>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t>m*g =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</si>
  <si>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cos(α)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</si>
  <si>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sin(α) = </t>
    </r>
  </si>
  <si>
    <t>Steigungswinkel:</t>
  </si>
  <si>
    <t xml:space="preserve">α = </t>
  </si>
  <si>
    <t>Winkelmasse</t>
  </si>
  <si>
    <t>Gewichtskraft:</t>
  </si>
  <si>
    <t>t</t>
  </si>
  <si>
    <t>Masse</t>
  </si>
  <si>
    <t>g</t>
  </si>
  <si>
    <t>mg</t>
  </si>
  <si>
    <t>Hide</t>
  </si>
  <si>
    <t>Resultierende</t>
  </si>
  <si>
    <t>Reibungs-Koeffizient:</t>
  </si>
  <si>
    <t>Haftreibung (μₕ)</t>
  </si>
  <si>
    <t>Gleitreibung (μₖ)</t>
  </si>
  <si>
    <t xml:space="preserve">Haftreibung (μₕ) = </t>
  </si>
  <si>
    <t xml:space="preserve">Gleitreibung (μₖ) = </t>
  </si>
  <si>
    <t>Materialkombination</t>
  </si>
  <si>
    <t>Gummi auf trockenem Asphalt</t>
  </si>
  <si>
    <t>0,9 – 1,0</t>
  </si>
  <si>
    <t>0,7 – 0,9</t>
  </si>
  <si>
    <t>Stahl auf Stahl (trocken)</t>
  </si>
  <si>
    <t>0,6 – 0,8</t>
  </si>
  <si>
    <t>0,4 – 0,6</t>
  </si>
  <si>
    <t>Holz auf Holz</t>
  </si>
  <si>
    <t>0,2 – 0,5</t>
  </si>
  <si>
    <t>Eis auf Eis</t>
  </si>
  <si>
    <t>~0,1</t>
  </si>
  <si>
    <t>~0,03 – 0,05</t>
  </si>
  <si>
    <t>Teflon auf Teflon</t>
  </si>
  <si>
    <t>~0,04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</si>
  <si>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μₕ  = </t>
    </r>
  </si>
  <si>
    <t>Haftreibungskraft:</t>
  </si>
  <si>
    <t>Resultierende Hangabtriebskraft (Haftet):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</si>
  <si>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μₖ  = </t>
    </r>
  </si>
  <si>
    <t>Gleitreibungskraft:</t>
  </si>
  <si>
    <r>
      <t>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</si>
  <si>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</si>
  <si>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</si>
  <si>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t>Resultierende Hangabtriebskraft (Gleitet):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</si>
  <si>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</si>
  <si>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HR_Haft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</si>
  <si>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HR _Gleit </t>
    </r>
    <r>
      <rPr>
        <sz val="11"/>
        <color theme="1"/>
        <rFont val="Calibri"/>
        <family val="2"/>
        <scheme val="minor"/>
      </rPr>
      <t xml:space="preserve">= </t>
    </r>
  </si>
  <si>
    <r>
      <t>a = F</t>
    </r>
    <r>
      <rPr>
        <vertAlign val="subscript"/>
        <sz val="11"/>
        <color theme="1"/>
        <rFont val="Calibri"/>
        <family val="2"/>
        <scheme val="minor"/>
      </rPr>
      <t>HR_Gleit</t>
    </r>
    <r>
      <rPr>
        <sz val="11"/>
        <color theme="1"/>
        <rFont val="Calibri"/>
        <family val="2"/>
        <scheme val="minor"/>
      </rPr>
      <t xml:space="preserve"> / m = </t>
    </r>
  </si>
  <si>
    <t xml:space="preserve">[°] </t>
  </si>
  <si>
    <t xml:space="preserve">[rad] </t>
  </si>
  <si>
    <t xml:space="preserve">a = g⋅(sin(α)−μₖ​⋅cos(α)) = </t>
  </si>
  <si>
    <t>Winkel: Haften zu gleiten:</t>
  </si>
  <si>
    <t>[°]</t>
  </si>
  <si>
    <t>Winkel: Gleiten zu haften:</t>
  </si>
  <si>
    <t>[rad]</t>
  </si>
  <si>
    <t>Haften -&gt; Gleiten</t>
  </si>
  <si>
    <t xml:space="preserve">g = </t>
  </si>
  <si>
    <t xml:space="preserve"> m * g =</t>
  </si>
  <si>
    <t>N</t>
  </si>
  <si>
    <r>
      <t xml:space="preserve"> 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cos(</t>
    </r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  <scheme val="minor"/>
      </rPr>
      <t xml:space="preserve">) = </t>
    </r>
  </si>
  <si>
    <r>
      <t xml:space="preserve"> 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sin(</t>
    </r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  <scheme val="minor"/>
      </rPr>
      <t xml:space="preserve">) = </t>
    </r>
  </si>
  <si>
    <t>φ</t>
  </si>
  <si>
    <t>Kleines phi</t>
  </si>
  <si>
    <t>Grosses phi</t>
  </si>
  <si>
    <t>pi</t>
  </si>
  <si>
    <t>π</t>
  </si>
  <si>
    <t>f
Frequenz
[Hz]</t>
  </si>
  <si>
    <t>φ
Phasenlage
[°]</t>
  </si>
  <si>
    <t>φ
Phasenlage [rad]</t>
  </si>
  <si>
    <r>
      <t>ω</t>
    </r>
    <r>
      <rPr>
        <vertAlign val="subscript"/>
        <sz val="11"/>
        <color theme="1"/>
        <rFont val="Calibri"/>
        <family val="2"/>
        <scheme val="minor"/>
      </rPr>
      <t>grad​</t>
    </r>
    <r>
      <rPr>
        <sz val="11"/>
        <color theme="1"/>
        <rFont val="Calibri"/>
        <family val="2"/>
        <scheme val="minor"/>
      </rPr>
      <t xml:space="preserve">
(2 * π * f /360)</t>
    </r>
  </si>
  <si>
    <r>
      <t>y(x) = a * sin(ω</t>
    </r>
    <r>
      <rPr>
        <b/>
        <vertAlign val="subscript"/>
        <sz val="16"/>
        <color theme="1"/>
        <rFont val="Calibri"/>
        <family val="2"/>
        <scheme val="minor"/>
      </rPr>
      <t>grad</t>
    </r>
    <r>
      <rPr>
        <b/>
        <sz val="16"/>
        <color theme="1"/>
        <rFont val="Calibri"/>
        <family val="2"/>
        <scheme val="minor"/>
      </rPr>
      <t>​* x + φ)</t>
    </r>
  </si>
  <si>
    <t>Sinus/Cosinus/Tangens</t>
  </si>
  <si>
    <t>Sinus / Cosinus / Tangens</t>
  </si>
  <si>
    <t xml:space="preserve">y1 = </t>
  </si>
  <si>
    <t>sin(x) =</t>
  </si>
  <si>
    <t>Inc:</t>
  </si>
  <si>
    <t>cos(x) =</t>
  </si>
  <si>
    <t>tan(x) =</t>
  </si>
  <si>
    <t xml:space="preserve">y2 = </t>
  </si>
  <si>
    <t xml:space="preserve">y3 = </t>
  </si>
  <si>
    <t>V</t>
  </si>
  <si>
    <t>Ω</t>
  </si>
  <si>
    <t>Gemischte Schaltungen</t>
  </si>
  <si>
    <t>1.Schritt</t>
  </si>
  <si>
    <t>6.Schritt</t>
  </si>
  <si>
    <t>5.Schritt</t>
  </si>
  <si>
    <t>4.Schritt</t>
  </si>
  <si>
    <t>3.Schritt</t>
  </si>
  <si>
    <t>2.Schritt</t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</si>
  <si>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789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123456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Tot</t>
    </r>
  </si>
  <si>
    <t>Vektor</t>
  </si>
  <si>
    <t>==&gt;</t>
  </si>
  <si>
    <t>Vektoroperationen</t>
  </si>
  <si>
    <t xml:space="preserve"> =</t>
  </si>
  <si>
    <r>
      <t>R</t>
    </r>
    <r>
      <rPr>
        <vertAlign val="subscript"/>
        <sz val="16"/>
        <color theme="1"/>
        <rFont val="Calibri"/>
        <family val="2"/>
        <scheme val="minor"/>
      </rPr>
      <t>1</t>
    </r>
  </si>
  <si>
    <r>
      <t>R</t>
    </r>
    <r>
      <rPr>
        <vertAlign val="subscript"/>
        <sz val="16"/>
        <color theme="1"/>
        <rFont val="Calibri"/>
        <family val="2"/>
        <scheme val="minor"/>
      </rPr>
      <t>2</t>
    </r>
  </si>
  <si>
    <r>
      <t>R</t>
    </r>
    <r>
      <rPr>
        <vertAlign val="subscript"/>
        <sz val="16"/>
        <color theme="1"/>
        <rFont val="Calibri"/>
        <family val="2"/>
        <scheme val="minor"/>
      </rPr>
      <t>3</t>
    </r>
  </si>
  <si>
    <r>
      <t>R</t>
    </r>
    <r>
      <rPr>
        <vertAlign val="subscript"/>
        <sz val="16"/>
        <color theme="1"/>
        <rFont val="Calibri"/>
        <family val="2"/>
        <scheme val="minor"/>
      </rPr>
      <t>4</t>
    </r>
  </si>
  <si>
    <r>
      <t>R</t>
    </r>
    <r>
      <rPr>
        <vertAlign val="subscript"/>
        <sz val="16"/>
        <color theme="1"/>
        <rFont val="Calibri"/>
        <family val="2"/>
        <scheme val="minor"/>
      </rPr>
      <t>5</t>
    </r>
  </si>
  <si>
    <r>
      <t>R</t>
    </r>
    <r>
      <rPr>
        <vertAlign val="subscript"/>
        <sz val="16"/>
        <color theme="1"/>
        <rFont val="Calibri"/>
        <family val="2"/>
        <scheme val="minor"/>
      </rPr>
      <t>6</t>
    </r>
  </si>
  <si>
    <r>
      <t>R</t>
    </r>
    <r>
      <rPr>
        <vertAlign val="subscript"/>
        <sz val="16"/>
        <color theme="1"/>
        <rFont val="Calibri"/>
        <family val="2"/>
        <scheme val="minor"/>
      </rPr>
      <t>7</t>
    </r>
  </si>
  <si>
    <r>
      <t>R</t>
    </r>
    <r>
      <rPr>
        <vertAlign val="subscript"/>
        <sz val="16"/>
        <color theme="1"/>
        <rFont val="Calibri"/>
        <family val="2"/>
        <scheme val="minor"/>
      </rPr>
      <t>8</t>
    </r>
  </si>
  <si>
    <r>
      <t>R</t>
    </r>
    <r>
      <rPr>
        <vertAlign val="subscript"/>
        <sz val="16"/>
        <color theme="1"/>
        <rFont val="Calibri"/>
        <family val="2"/>
        <scheme val="minor"/>
      </rPr>
      <t>9</t>
    </r>
  </si>
  <si>
    <r>
      <t>R</t>
    </r>
    <r>
      <rPr>
        <vertAlign val="subscript"/>
        <sz val="16"/>
        <color theme="1"/>
        <rFont val="Calibri"/>
        <family val="2"/>
        <scheme val="minor"/>
      </rPr>
      <t>10</t>
    </r>
  </si>
  <si>
    <r>
      <t>R</t>
    </r>
    <r>
      <rPr>
        <vertAlign val="subscript"/>
        <sz val="18"/>
        <color theme="1"/>
        <rFont val="Calibri"/>
        <family val="2"/>
        <scheme val="minor"/>
      </rPr>
      <t>23</t>
    </r>
  </si>
  <si>
    <r>
      <t>R</t>
    </r>
    <r>
      <rPr>
        <vertAlign val="subscript"/>
        <sz val="18"/>
        <color theme="1"/>
        <rFont val="Calibri"/>
        <family val="2"/>
        <scheme val="minor"/>
      </rPr>
      <t>45</t>
    </r>
  </si>
  <si>
    <r>
      <t>R</t>
    </r>
    <r>
      <rPr>
        <vertAlign val="subscript"/>
        <sz val="18"/>
        <color theme="1"/>
        <rFont val="Calibri"/>
        <family val="2"/>
        <scheme val="minor"/>
      </rPr>
      <t>78</t>
    </r>
  </si>
  <si>
    <r>
      <t>R</t>
    </r>
    <r>
      <rPr>
        <vertAlign val="subscript"/>
        <sz val="18"/>
        <color theme="1"/>
        <rFont val="Calibri"/>
        <family val="2"/>
        <scheme val="minor"/>
      </rPr>
      <t>123</t>
    </r>
  </si>
  <si>
    <t xml:space="preserve">     R2||R3    </t>
  </si>
  <si>
    <t xml:space="preserve">    R4||R5     </t>
  </si>
  <si>
    <t xml:space="preserve">   R7 + R8   </t>
  </si>
  <si>
    <t xml:space="preserve">   R23 + R1   </t>
  </si>
  <si>
    <r>
      <t>R</t>
    </r>
    <r>
      <rPr>
        <vertAlign val="subscript"/>
        <sz val="18"/>
        <color theme="1"/>
        <rFont val="Calibri"/>
        <family val="2"/>
        <scheme val="minor"/>
      </rPr>
      <t>789</t>
    </r>
  </si>
  <si>
    <t xml:space="preserve"> R9||R78   </t>
  </si>
  <si>
    <r>
      <t>R</t>
    </r>
    <r>
      <rPr>
        <vertAlign val="subscript"/>
        <sz val="22"/>
        <color theme="1"/>
        <rFont val="Calibri"/>
        <family val="2"/>
        <scheme val="minor"/>
      </rPr>
      <t>12345</t>
    </r>
  </si>
  <si>
    <t xml:space="preserve">  R45||R123  </t>
  </si>
  <si>
    <r>
      <t>R</t>
    </r>
    <r>
      <rPr>
        <vertAlign val="subscript"/>
        <sz val="20"/>
        <color theme="1"/>
        <rFont val="Calibri"/>
        <family val="2"/>
        <scheme val="minor"/>
      </rPr>
      <t>123456</t>
    </r>
  </si>
  <si>
    <t>R6 + R12345</t>
  </si>
  <si>
    <r>
      <t>R</t>
    </r>
    <r>
      <rPr>
        <vertAlign val="subscript"/>
        <sz val="20"/>
        <color theme="1"/>
        <rFont val="Calibri"/>
        <family val="2"/>
        <scheme val="minor"/>
      </rPr>
      <t>123456789</t>
    </r>
  </si>
  <si>
    <t xml:space="preserve"> R789||R123456</t>
  </si>
  <si>
    <t>R10 + R123456789</t>
  </si>
  <si>
    <r>
      <t>I</t>
    </r>
    <r>
      <rPr>
        <vertAlign val="subscript"/>
        <sz val="20"/>
        <color rgb="FFFF0000"/>
        <rFont val="Calibri"/>
        <family val="2"/>
        <scheme val="minor"/>
      </rPr>
      <t>Tot</t>
    </r>
  </si>
  <si>
    <r>
      <t>R</t>
    </r>
    <r>
      <rPr>
        <vertAlign val="subscript"/>
        <sz val="20"/>
        <color theme="1"/>
        <rFont val="Calibri"/>
        <family val="2"/>
        <scheme val="minor"/>
      </rPr>
      <t>Tot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</si>
  <si>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Tot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 tint="4.9989318521683403E-2"/>
        <rFont val="Calibri"/>
        <family val="2"/>
        <scheme val="minor"/>
      </rPr>
      <t>* R</t>
    </r>
    <r>
      <rPr>
        <vertAlign val="subscript"/>
        <sz val="20"/>
        <color theme="1" tint="4.9989318521683403E-2"/>
        <rFont val="Calibri"/>
        <family val="2"/>
        <scheme val="minor"/>
      </rPr>
      <t>123456789</t>
    </r>
  </si>
  <si>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Tot</t>
    </r>
    <r>
      <rPr>
        <sz val="20"/>
        <color theme="1"/>
        <rFont val="Calibri"/>
        <family val="2"/>
        <scheme val="minor"/>
      </rPr>
      <t xml:space="preserve"> * R</t>
    </r>
    <r>
      <rPr>
        <vertAlign val="subscript"/>
        <sz val="20"/>
        <color theme="1"/>
        <rFont val="Calibri"/>
        <family val="2"/>
        <scheme val="minor"/>
      </rPr>
      <t>10</t>
    </r>
    <r>
      <rPr>
        <sz val="20"/>
        <color theme="1"/>
        <rFont val="Calibri"/>
        <family val="2"/>
        <scheme val="minor"/>
      </rPr>
      <t xml:space="preserve"> 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</si>
  <si>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789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</si>
  <si>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</si>
  <si>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123456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</si>
  <si>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</si>
  <si>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123456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12345</t>
    </r>
  </si>
  <si>
    <r>
      <t xml:space="preserve">   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Tot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/>
        <rFont val="Calibri"/>
        <family val="2"/>
        <scheme val="minor"/>
      </rPr>
      <t>/ R</t>
    </r>
    <r>
      <rPr>
        <vertAlign val="subscript"/>
        <sz val="20"/>
        <color theme="1"/>
        <rFont val="Calibri"/>
        <family val="2"/>
        <scheme val="minor"/>
      </rPr>
      <t xml:space="preserve">Tot   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</si>
  <si>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123456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6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</si>
  <si>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10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</si>
  <si>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123456789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</si>
  <si>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10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/>
        <rFont val="Calibri"/>
        <family val="2"/>
        <scheme val="minor"/>
      </rPr>
      <t>=</t>
    </r>
    <r>
      <rPr>
        <sz val="20"/>
        <color rgb="FFFF0000"/>
        <rFont val="Calibri"/>
        <family val="2"/>
        <scheme val="minor"/>
      </rPr>
      <t xml:space="preserve">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Tot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</si>
  <si>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12345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</si>
  <si>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6</t>
    </r>
  </si>
  <si>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6</t>
    </r>
    <r>
      <rPr>
        <sz val="22"/>
        <color theme="1"/>
        <rFont val="Calibri"/>
        <family val="2"/>
        <scheme val="minor"/>
      </rPr>
      <t xml:space="preserve"> +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</t>
    </r>
    <r>
      <rPr>
        <sz val="22"/>
        <color theme="1"/>
        <rFont val="Calibri"/>
        <family val="2"/>
        <scheme val="minor"/>
      </rPr>
      <t xml:space="preserve"> =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123456789</t>
    </r>
    <r>
      <rPr>
        <sz val="22"/>
        <color theme="1"/>
        <rFont val="Calibri"/>
        <family val="2"/>
        <scheme val="minor"/>
      </rPr>
      <t xml:space="preserve"> = 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</si>
  <si>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123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</si>
  <si>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123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</si>
  <si>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45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</si>
  <si>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45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</si>
  <si>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</si>
  <si>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9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</si>
  <si>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</si>
  <si>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23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</si>
  <si>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1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</si>
  <si>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23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</si>
  <si>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</si>
  <si>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</si>
  <si>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2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</si>
  <si>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</si>
  <si>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4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</si>
  <si>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</si>
  <si>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7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</si>
  <si>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8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</si>
  <si>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23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2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</si>
  <si>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23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</si>
  <si>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4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</si>
  <si>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5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</si>
  <si>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78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7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</si>
  <si>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78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8</t>
    </r>
  </si>
  <si>
    <r>
      <t>U</t>
    </r>
    <r>
      <rPr>
        <vertAlign val="subscript"/>
        <sz val="16"/>
        <color rgb="FF00B0F0"/>
        <rFont val="Calibri"/>
        <family val="2"/>
        <scheme val="minor"/>
      </rPr>
      <t>Tot</t>
    </r>
  </si>
  <si>
    <r>
      <t>R</t>
    </r>
    <r>
      <rPr>
        <vertAlign val="subscript"/>
        <sz val="16"/>
        <color theme="1" tint="4.9989318521683403E-2"/>
        <rFont val="Calibri"/>
        <family val="2"/>
        <scheme val="minor"/>
      </rPr>
      <t>Tot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</si>
  <si>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45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</si>
  <si>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</t>
    </r>
    <r>
      <rPr>
        <sz val="22"/>
        <color theme="1"/>
        <rFont val="Calibri"/>
        <family val="2"/>
        <scheme val="minor"/>
      </rPr>
      <t xml:space="preserve"> +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23</t>
    </r>
    <r>
      <rPr>
        <sz val="22"/>
        <color theme="1"/>
        <rFont val="Calibri"/>
        <family val="2"/>
        <scheme val="minor"/>
      </rPr>
      <t xml:space="preserve"> =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</t>
    </r>
    <r>
      <rPr>
        <sz val="22"/>
        <color theme="1"/>
        <rFont val="Calibri"/>
        <family val="2"/>
        <scheme val="minor"/>
      </rPr>
      <t xml:space="preserve"> 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</si>
  <si>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9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789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</si>
  <si>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9</t>
    </r>
    <r>
      <rPr>
        <sz val="20"/>
        <color rgb="FF00B0F0"/>
        <rFont val="Calibri"/>
        <family val="2"/>
        <scheme val="minor"/>
      </rPr>
      <t xml:space="preserve"> = 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rgb="FF00B0F0"/>
        <rFont val="Calibri"/>
        <family val="2"/>
        <scheme val="minor"/>
      </rPr>
      <t xml:space="preserve"> = U</t>
    </r>
    <r>
      <rPr>
        <vertAlign val="subscript"/>
        <sz val="20"/>
        <color rgb="FF00B0F0"/>
        <rFont val="Calibri"/>
        <family val="2"/>
        <scheme val="minor"/>
      </rPr>
      <t>78</t>
    </r>
    <r>
      <rPr>
        <sz val="20"/>
        <color rgb="FF00B0F0"/>
        <rFont val="Calibri"/>
        <family val="2"/>
        <scheme val="minor"/>
      </rPr>
      <t xml:space="preserve"> = U</t>
    </r>
    <r>
      <rPr>
        <vertAlign val="subscript"/>
        <sz val="20"/>
        <color rgb="FF00B0F0"/>
        <rFont val="Calibri"/>
        <family val="2"/>
        <scheme val="minor"/>
      </rPr>
      <t>123456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</si>
  <si>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4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5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123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12345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</si>
  <si>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2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23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</si>
  <si>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7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8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</si>
  <si>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10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123456789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Tot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</si>
  <si>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6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12345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</si>
  <si>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23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</t>
    </r>
  </si>
  <si>
    <t>Winkel-Umrechnungen</t>
  </si>
  <si>
    <t>Winkelmass</t>
  </si>
  <si>
    <t>x</t>
  </si>
  <si>
    <t>y</t>
  </si>
  <si>
    <t>Vektor Definition (Umrechnen von Polar- zu kartesischen Koordinaten)</t>
  </si>
  <si>
    <t>Wertetabelle für Grafik</t>
  </si>
  <si>
    <t>max(abs())</t>
  </si>
  <si>
    <r>
      <t>V</t>
    </r>
    <r>
      <rPr>
        <vertAlign val="subscript"/>
        <sz val="9"/>
        <color theme="1"/>
        <rFont val="Calibri"/>
        <family val="2"/>
        <scheme val="minor"/>
      </rPr>
      <t>1</t>
    </r>
  </si>
  <si>
    <r>
      <t>V</t>
    </r>
    <r>
      <rPr>
        <vertAlign val="subscript"/>
        <sz val="9"/>
        <color theme="1"/>
        <rFont val="Calibri"/>
        <family val="2"/>
        <scheme val="minor"/>
      </rPr>
      <t>2</t>
    </r>
  </si>
  <si>
    <r>
      <t>x</t>
    </r>
    <r>
      <rPr>
        <vertAlign val="subscript"/>
        <sz val="8"/>
        <color theme="1"/>
        <rFont val="Calibri"/>
        <family val="2"/>
        <scheme val="minor"/>
      </rPr>
      <t>1</t>
    </r>
  </si>
  <si>
    <r>
      <t>x</t>
    </r>
    <r>
      <rPr>
        <vertAlign val="subscript"/>
        <sz val="8"/>
        <color theme="1"/>
        <rFont val="Calibri"/>
        <family val="2"/>
        <scheme val="minor"/>
      </rPr>
      <t>2</t>
    </r>
  </si>
  <si>
    <r>
      <t>y</t>
    </r>
    <r>
      <rPr>
        <vertAlign val="subscript"/>
        <sz val="8"/>
        <color theme="1"/>
        <rFont val="Calibri"/>
        <family val="2"/>
        <scheme val="minor"/>
      </rPr>
      <t>1</t>
    </r>
  </si>
  <si>
    <r>
      <t>y</t>
    </r>
    <r>
      <rPr>
        <vertAlign val="subscript"/>
        <sz val="8"/>
        <color theme="1"/>
        <rFont val="Calibri"/>
        <family val="2"/>
        <scheme val="minor"/>
      </rPr>
      <t>2</t>
    </r>
  </si>
  <si>
    <t>Grüne Felder</t>
  </si>
  <si>
    <t>Eingabefelder (Winkelmass ist eine Auswahlliste von °, rad)</t>
  </si>
  <si>
    <t>Gelbe Felder</t>
  </si>
  <si>
    <t>Weisse Felder</t>
  </si>
  <si>
    <t>Statische Felder</t>
  </si>
  <si>
    <t xml:space="preserve">Mit Formel berechnet </t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</si>
  <si>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V</t>
    </r>
    <r>
      <rPr>
        <vertAlign val="subscript"/>
        <sz val="11"/>
        <color theme="1"/>
        <rFont val="Calibri"/>
        <family val="2"/>
        <scheme val="minor"/>
      </rPr>
      <t>3</t>
    </r>
  </si>
  <si>
    <r>
      <t>V</t>
    </r>
    <r>
      <rPr>
        <vertAlign val="subscript"/>
        <sz val="11"/>
        <color theme="0" tint="-0.14999847407452621"/>
        <rFont val="Calibri"/>
        <family val="2"/>
        <scheme val="minor"/>
      </rPr>
      <t>1</t>
    </r>
    <r>
      <rPr>
        <sz val="11"/>
        <color theme="0" tint="-0.14999847407452621"/>
        <rFont val="Calibri"/>
        <family val="2"/>
        <scheme val="minor"/>
      </rPr>
      <t xml:space="preserve"> + V</t>
    </r>
    <r>
      <rPr>
        <vertAlign val="subscript"/>
        <sz val="11"/>
        <color theme="0" tint="-0.1499984740745262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</si>
</sst>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000"/>
    <numFmt numFmtId="165" formatCode="#,##0.000000000"/>
    <numFmt numFmtId="166" formatCode="#,##0.0000000"/>
    <numFmt numFmtId="167" formatCode="dd/mm"/>
    <numFmt numFmtId="168" formatCode="ddd\ dd/mm/yyyy"/>
  </numFmts>
  <fonts count="7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20"/>
      <color rgb="FFFFC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vertAlign val="subscript"/>
      <sz val="14"/>
      <color rgb="FFFFC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vertAlign val="superscript"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vertAlign val="superscript"/>
      <sz val="11"/>
      <color theme="5" tint="-0.249977111117893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Segoe UI"/>
      <family val="2"/>
    </font>
    <font>
      <b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1"/>
      <color theme="1"/>
      <name val="Aptos Narrow"/>
      <family val="2"/>
    </font>
    <font>
      <vertAlign val="subscript"/>
      <sz val="11"/>
      <color theme="1"/>
      <name val="Aptos Narrow"/>
      <family val="2"/>
    </font>
    <font>
      <vertAlign val="superscript"/>
      <sz val="11"/>
      <color theme="1"/>
      <name val="Aptos Narrow"/>
      <family val="2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.35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Aptos Narrow"/>
      <family val="2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8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vertAlign val="subscript"/>
      <sz val="20"/>
      <color rgb="FFFF0000"/>
      <name val="Calibri"/>
      <family val="2"/>
      <scheme val="minor"/>
    </font>
    <font>
      <sz val="20"/>
      <color rgb="FF00B0F0"/>
      <name val="Calibri"/>
      <family val="2"/>
      <scheme val="minor"/>
    </font>
    <font>
      <vertAlign val="subscript"/>
      <sz val="20"/>
      <color rgb="FF00B0F0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vertAlign val="subscript"/>
      <sz val="22"/>
      <color theme="1"/>
      <name val="Calibri"/>
      <family val="2"/>
      <scheme val="minor"/>
    </font>
    <font>
      <sz val="22"/>
      <color rgb="FF00B0F0"/>
      <name val="Calibri"/>
      <family val="2"/>
      <scheme val="minor"/>
    </font>
    <font>
      <vertAlign val="subscript"/>
      <sz val="22"/>
      <color rgb="FF00B0F0"/>
      <name val="Calibri"/>
      <family val="2"/>
      <scheme val="minor"/>
    </font>
    <font>
      <sz val="22"/>
      <color rgb="FFFF0000"/>
      <name val="Calibri"/>
      <family val="2"/>
      <scheme val="minor"/>
    </font>
    <font>
      <vertAlign val="subscript"/>
      <sz val="22"/>
      <color rgb="FFFF0000"/>
      <name val="Calibri"/>
      <family val="2"/>
      <scheme val="minor"/>
    </font>
    <font>
      <sz val="22"/>
      <color theme="0"/>
      <name val="Calibri"/>
      <family val="2"/>
      <scheme val="minor"/>
    </font>
    <font>
      <sz val="12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color rgb="FF00B0F0"/>
      <name val="Calibri"/>
      <family val="2"/>
      <scheme val="minor"/>
    </font>
    <font>
      <vertAlign val="subscript"/>
      <sz val="16"/>
      <color rgb="FF00B0F0"/>
      <name val="Calibri"/>
      <family val="2"/>
      <scheme val="minor"/>
    </font>
    <font>
      <sz val="12"/>
      <color rgb="FFFF0000"/>
      <name val="Calibri"/>
      <family val="2"/>
      <scheme val="minor"/>
    </font>
    <font>
      <sz val="20"/>
      <color theme="1" tint="4.9989318521683403E-2"/>
      <name val="Calibri"/>
      <family val="2"/>
      <scheme val="minor"/>
    </font>
    <font>
      <vertAlign val="subscript"/>
      <sz val="20"/>
      <color theme="1" tint="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sz val="16"/>
      <color theme="1" tint="4.9989318521683403E-2"/>
      <name val="Calibri"/>
      <family val="2"/>
      <scheme val="minor"/>
    </font>
    <font>
      <vertAlign val="subscript"/>
      <sz val="16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vertAlign val="subscript"/>
      <sz val="8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11"/>
      <color theme="0" tint="-0.14999847407452621"/>
      <name val="Calibri"/>
      <family val="2"/>
      <scheme val="minor"/>
    </font>
    <font>
      <vertAlign val="subscript"/>
      <sz val="11"/>
      <color theme="0" tint="-0.1499984740745262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290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right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0" fillId="2" borderId="9" xfId="0" applyFill="1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2" borderId="17" xfId="0" applyFill="1" applyBorder="1"/>
    <xf numFmtId="0" fontId="9" fillId="0" borderId="0" xfId="0" applyFont="1"/>
    <xf numFmtId="0" fontId="0" fillId="2" borderId="19" xfId="0" applyFill="1" applyBorder="1"/>
    <xf numFmtId="0" fontId="0" fillId="0" borderId="12" xfId="0" applyBorder="1"/>
    <xf numFmtId="0" fontId="0" fillId="2" borderId="20" xfId="0" applyFill="1" applyBorder="1"/>
    <xf numFmtId="0" fontId="0" fillId="0" borderId="14" xfId="0" applyBorder="1"/>
    <xf numFmtId="0" fontId="0" fillId="4" borderId="2" xfId="0" applyFill="1" applyBorder="1"/>
    <xf numFmtId="0" fontId="0" fillId="4" borderId="18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7" fillId="0" borderId="1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0" xfId="0" applyNumberFormat="1"/>
    <xf numFmtId="0" fontId="0" fillId="5" borderId="2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2" borderId="2" xfId="0" applyNumberFormat="1" applyFill="1" applyBorder="1" applyAlignment="1">
      <alignment horizontal="center"/>
    </xf>
    <xf numFmtId="0" fontId="0" fillId="0" borderId="37" xfId="0" applyBorder="1" applyAlignment="1">
      <alignment horizontal="right" vertical="center"/>
    </xf>
    <xf numFmtId="0" fontId="23" fillId="0" borderId="0" xfId="0" applyFont="1"/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2" fontId="0" fillId="0" borderId="15" xfId="0" applyNumberFormat="1" applyBorder="1"/>
    <xf numFmtId="2" fontId="0" fillId="0" borderId="2" xfId="0" applyNumberFormat="1" applyBorder="1"/>
    <xf numFmtId="2" fontId="0" fillId="0" borderId="0" xfId="0" applyNumberFormat="1" applyAlignment="1">
      <alignment horizontal="center"/>
    </xf>
    <xf numFmtId="0" fontId="0" fillId="4" borderId="2" xfId="0" applyFill="1" applyBorder="1" applyAlignment="1">
      <alignment horizontal="right" vertical="center"/>
    </xf>
    <xf numFmtId="0" fontId="0" fillId="9" borderId="2" xfId="0" applyFill="1" applyBorder="1" applyAlignment="1">
      <alignment horizontal="right" vertical="center"/>
    </xf>
    <xf numFmtId="0" fontId="0" fillId="8" borderId="2" xfId="0" applyFill="1" applyBorder="1" applyAlignment="1">
      <alignment horizontal="right" vertical="center"/>
    </xf>
    <xf numFmtId="0" fontId="0" fillId="7" borderId="2" xfId="0" applyFill="1" applyBorder="1" applyAlignment="1">
      <alignment horizontal="right" vertical="center"/>
    </xf>
    <xf numFmtId="0" fontId="0" fillId="6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10" borderId="15" xfId="0" applyNumberFormat="1" applyFill="1" applyBorder="1" applyAlignment="1">
      <alignment vertical="center"/>
    </xf>
    <xf numFmtId="2" fontId="0" fillId="10" borderId="15" xfId="0" applyNumberFormat="1" applyFill="1" applyBorder="1" applyAlignment="1">
      <alignment horizontal="center" vertical="center"/>
    </xf>
    <xf numFmtId="2" fontId="0" fillId="9" borderId="15" xfId="0" applyNumberFormat="1" applyFill="1" applyBorder="1" applyAlignment="1">
      <alignment horizontal="center" vertical="center"/>
    </xf>
    <xf numFmtId="2" fontId="0" fillId="8" borderId="15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right" vertical="center"/>
    </xf>
    <xf numFmtId="2" fontId="0" fillId="11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quotePrefix="1"/>
    <xf numFmtId="0" fontId="0" fillId="2" borderId="0" xfId="0" applyFill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7" fillId="0" borderId="0" xfId="0" applyFont="1"/>
    <xf numFmtId="14" fontId="0" fillId="0" borderId="0" xfId="0" applyNumberFormat="1"/>
    <xf numFmtId="0" fontId="28" fillId="0" borderId="0" xfId="1"/>
    <xf numFmtId="0" fontId="29" fillId="0" borderId="0" xfId="0" applyFont="1"/>
    <xf numFmtId="0" fontId="0" fillId="12" borderId="2" xfId="0" applyFill="1" applyBorder="1"/>
    <xf numFmtId="4" fontId="0" fillId="0" borderId="2" xfId="0" applyNumberFormat="1" applyBorder="1"/>
    <xf numFmtId="4" fontId="0" fillId="2" borderId="2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31" fillId="5" borderId="2" xfId="0" applyFont="1" applyFill="1" applyBorder="1" applyAlignment="1">
      <alignment horizontal="right" vertical="center"/>
    </xf>
    <xf numFmtId="2" fontId="31" fillId="5" borderId="15" xfId="0" applyNumberFormat="1" applyFont="1" applyFill="1" applyBorder="1" applyAlignment="1">
      <alignment horizontal="center" vertical="center"/>
    </xf>
    <xf numFmtId="0" fontId="31" fillId="5" borderId="15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right" vertical="center"/>
    </xf>
    <xf numFmtId="2" fontId="0" fillId="13" borderId="2" xfId="0" applyNumberForma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0" xfId="0" applyFill="1"/>
    <xf numFmtId="165" fontId="0" fillId="3" borderId="2" xfId="0" applyNumberFormat="1" applyFill="1" applyBorder="1"/>
    <xf numFmtId="0" fontId="32" fillId="12" borderId="2" xfId="0" applyFont="1" applyFill="1" applyBorder="1"/>
    <xf numFmtId="0" fontId="30" fillId="12" borderId="2" xfId="0" applyFont="1" applyFill="1" applyBorder="1"/>
    <xf numFmtId="166" fontId="0" fillId="3" borderId="2" xfId="0" applyNumberFormat="1" applyFill="1" applyBorder="1"/>
    <xf numFmtId="4" fontId="0" fillId="5" borderId="2" xfId="0" applyNumberFormat="1" applyFill="1" applyBorder="1"/>
    <xf numFmtId="0" fontId="28" fillId="0" borderId="0" xfId="1" applyFill="1"/>
    <xf numFmtId="0" fontId="34" fillId="0" borderId="0" xfId="0" applyFont="1"/>
    <xf numFmtId="168" fontId="35" fillId="0" borderId="0" xfId="0" applyNumberFormat="1" applyFont="1" applyAlignment="1">
      <alignment horizontal="left" vertical="center"/>
    </xf>
    <xf numFmtId="0" fontId="0" fillId="10" borderId="2" xfId="0" applyFill="1" applyBorder="1"/>
    <xf numFmtId="167" fontId="0" fillId="0" borderId="2" xfId="0" applyNumberFormat="1" applyBorder="1"/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68" fontId="0" fillId="0" borderId="2" xfId="0" applyNumberFormat="1" applyBorder="1"/>
    <xf numFmtId="0" fontId="0" fillId="10" borderId="2" xfId="0" applyFill="1" applyBorder="1" applyAlignment="1">
      <alignment horizontal="center" wrapText="1"/>
    </xf>
    <xf numFmtId="4" fontId="0" fillId="0" borderId="0" xfId="0" applyNumberFormat="1"/>
    <xf numFmtId="0" fontId="0" fillId="4" borderId="2" xfId="0" applyFill="1" applyBorder="1" applyAlignment="1">
      <alignment horizontal="center"/>
    </xf>
    <xf numFmtId="4" fontId="0" fillId="14" borderId="2" xfId="0" applyNumberFormat="1" applyFill="1" applyBorder="1"/>
    <xf numFmtId="4" fontId="0" fillId="15" borderId="2" xfId="0" applyNumberFormat="1" applyFill="1" applyBorder="1"/>
    <xf numFmtId="0" fontId="0" fillId="1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38" fillId="0" borderId="2" xfId="0" applyFont="1" applyBorder="1"/>
    <xf numFmtId="4" fontId="38" fillId="0" borderId="2" xfId="0" applyNumberFormat="1" applyFont="1" applyBorder="1"/>
    <xf numFmtId="0" fontId="0" fillId="0" borderId="2" xfId="0" quotePrefix="1" applyBorder="1"/>
    <xf numFmtId="4" fontId="0" fillId="10" borderId="2" xfId="0" applyNumberFormat="1" applyFill="1" applyBorder="1"/>
    <xf numFmtId="0" fontId="0" fillId="0" borderId="2" xfId="0" applyBorder="1" applyAlignment="1">
      <alignment vertical="center" wrapText="1"/>
    </xf>
    <xf numFmtId="0" fontId="36" fillId="4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/>
    </xf>
    <xf numFmtId="4" fontId="0" fillId="0" borderId="2" xfId="0" applyNumberFormat="1" applyBorder="1" applyAlignment="1">
      <alignment horizontal="left"/>
    </xf>
    <xf numFmtId="0" fontId="0" fillId="2" borderId="37" xfId="0" applyFill="1" applyBorder="1" applyAlignment="1">
      <alignment horizontal="left"/>
    </xf>
    <xf numFmtId="0" fontId="0" fillId="0" borderId="2" xfId="0" applyBorder="1" applyAlignment="1">
      <alignment horizontal="right" vertical="center" wrapText="1"/>
    </xf>
    <xf numFmtId="0" fontId="0" fillId="0" borderId="37" xfId="0" applyBorder="1"/>
    <xf numFmtId="0" fontId="24" fillId="0" borderId="0" xfId="0" applyFont="1"/>
    <xf numFmtId="0" fontId="40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2" borderId="2" xfId="0" applyFont="1" applyFill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/>
    <xf numFmtId="0" fontId="4" fillId="0" borderId="2" xfId="0" applyFont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16" xfId="0" applyFont="1" applyBorder="1" applyAlignment="1">
      <alignment horizontal="right"/>
    </xf>
    <xf numFmtId="0" fontId="48" fillId="0" borderId="2" xfId="0" applyFont="1" applyBorder="1" applyAlignment="1">
      <alignment horizontal="right"/>
    </xf>
    <xf numFmtId="0" fontId="48" fillId="0" borderId="0" xfId="0" applyFont="1"/>
    <xf numFmtId="0" fontId="48" fillId="0" borderId="0" xfId="0" applyFont="1" applyAlignment="1">
      <alignment horizontal="right"/>
    </xf>
    <xf numFmtId="0" fontId="48" fillId="0" borderId="16" xfId="0" applyFont="1" applyBorder="1" applyAlignment="1">
      <alignment horizontal="right"/>
    </xf>
    <xf numFmtId="0" fontId="41" fillId="0" borderId="2" xfId="0" quotePrefix="1" applyFont="1" applyBorder="1" applyAlignment="1">
      <alignment horizontal="center"/>
    </xf>
    <xf numFmtId="0" fontId="56" fillId="0" borderId="2" xfId="0" applyFont="1" applyBorder="1" applyAlignment="1">
      <alignment horizontal="right"/>
    </xf>
    <xf numFmtId="0" fontId="58" fillId="0" borderId="2" xfId="0" applyFont="1" applyBorder="1" applyAlignment="1">
      <alignment horizontal="right"/>
    </xf>
    <xf numFmtId="0" fontId="56" fillId="0" borderId="0" xfId="0" applyFont="1" applyAlignment="1">
      <alignment horizontal="right"/>
    </xf>
    <xf numFmtId="0" fontId="2" fillId="3" borderId="2" xfId="0" applyFont="1" applyFill="1" applyBorder="1" applyAlignment="1">
      <alignment horizontal="right"/>
    </xf>
    <xf numFmtId="0" fontId="41" fillId="3" borderId="2" xfId="0" quotePrefix="1" applyFont="1" applyFill="1" applyBorder="1" applyAlignment="1">
      <alignment horizontal="center"/>
    </xf>
    <xf numFmtId="0" fontId="2" fillId="3" borderId="2" xfId="0" applyFont="1" applyFill="1" applyBorder="1"/>
    <xf numFmtId="0" fontId="56" fillId="0" borderId="0" xfId="0" applyFont="1" applyAlignment="1">
      <alignment horizontal="left"/>
    </xf>
    <xf numFmtId="0" fontId="41" fillId="0" borderId="0" xfId="0" applyFont="1" applyAlignment="1">
      <alignment horizontal="left"/>
    </xf>
    <xf numFmtId="0" fontId="48" fillId="3" borderId="2" xfId="0" applyFont="1" applyFill="1" applyBorder="1" applyAlignment="1">
      <alignment horizontal="right"/>
    </xf>
    <xf numFmtId="0" fontId="48" fillId="3" borderId="2" xfId="0" applyFont="1" applyFill="1" applyBorder="1"/>
    <xf numFmtId="0" fontId="3" fillId="0" borderId="0" xfId="0" applyFont="1" applyAlignment="1">
      <alignment horizontal="left"/>
    </xf>
    <xf numFmtId="0" fontId="41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3" fillId="3" borderId="2" xfId="0" applyFont="1" applyFill="1" applyBorder="1" applyAlignment="1">
      <alignment horizontal="right"/>
    </xf>
    <xf numFmtId="0" fontId="3" fillId="3" borderId="2" xfId="0" applyFont="1" applyFill="1" applyBorder="1"/>
    <xf numFmtId="0" fontId="54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" fillId="3" borderId="2" xfId="0" applyFont="1" applyFill="1" applyBorder="1" applyAlignment="1">
      <alignment horizontal="right"/>
    </xf>
    <xf numFmtId="0" fontId="4" fillId="3" borderId="2" xfId="0" applyFont="1" applyFill="1" applyBorder="1"/>
    <xf numFmtId="0" fontId="45" fillId="0" borderId="2" xfId="0" applyFont="1" applyBorder="1" applyAlignment="1">
      <alignment horizontal="right"/>
    </xf>
    <xf numFmtId="0" fontId="45" fillId="3" borderId="2" xfId="0" applyFont="1" applyFill="1" applyBorder="1" applyAlignment="1">
      <alignment horizontal="right"/>
    </xf>
    <xf numFmtId="0" fontId="45" fillId="3" borderId="2" xfId="0" applyFont="1" applyFill="1" applyBorder="1"/>
    <xf numFmtId="0" fontId="50" fillId="0" borderId="2" xfId="0" applyFont="1" applyBorder="1" applyAlignment="1">
      <alignment horizontal="right"/>
    </xf>
    <xf numFmtId="0" fontId="45" fillId="0" borderId="2" xfId="0" applyFont="1" applyBorder="1" applyAlignment="1">
      <alignment horizontal="center"/>
    </xf>
    <xf numFmtId="0" fontId="48" fillId="0" borderId="2" xfId="0" applyFont="1" applyBorder="1" applyAlignment="1">
      <alignment horizontal="center"/>
    </xf>
    <xf numFmtId="0" fontId="63" fillId="0" borderId="0" xfId="0" applyFont="1" applyAlignment="1">
      <alignment horizontal="right"/>
    </xf>
    <xf numFmtId="0" fontId="63" fillId="0" borderId="0" xfId="0" applyFont="1" applyAlignment="1">
      <alignment horizontal="center"/>
    </xf>
    <xf numFmtId="0" fontId="50" fillId="3" borderId="2" xfId="0" applyFont="1" applyFill="1" applyBorder="1" applyAlignment="1">
      <alignment horizontal="right"/>
    </xf>
    <xf numFmtId="0" fontId="50" fillId="3" borderId="2" xfId="0" applyFont="1" applyFill="1" applyBorder="1"/>
    <xf numFmtId="0" fontId="48" fillId="0" borderId="0" xfId="0" applyFont="1" applyAlignment="1">
      <alignment horizontal="left"/>
    </xf>
    <xf numFmtId="0" fontId="1" fillId="0" borderId="0" xfId="0" applyFont="1"/>
    <xf numFmtId="0" fontId="63" fillId="0" borderId="0" xfId="0" applyFont="1"/>
    <xf numFmtId="0" fontId="64" fillId="3" borderId="2" xfId="0" applyFont="1" applyFill="1" applyBorder="1" applyAlignment="1">
      <alignment horizontal="right"/>
    </xf>
    <xf numFmtId="0" fontId="66" fillId="3" borderId="2" xfId="0" quotePrefix="1" applyFont="1" applyFill="1" applyBorder="1" applyAlignment="1">
      <alignment horizontal="center"/>
    </xf>
    <xf numFmtId="0" fontId="66" fillId="3" borderId="2" xfId="0" applyFont="1" applyFill="1" applyBorder="1"/>
    <xf numFmtId="0" fontId="63" fillId="3" borderId="2" xfId="0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41" fillId="0" borderId="2" xfId="0" applyFont="1" applyBorder="1" applyAlignment="1">
      <alignment horizontal="left"/>
    </xf>
    <xf numFmtId="0" fontId="66" fillId="3" borderId="2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48" fillId="0" borderId="2" xfId="0" applyFont="1" applyBorder="1" applyAlignment="1">
      <alignment horizontal="left"/>
    </xf>
    <xf numFmtId="0" fontId="48" fillId="3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0" fontId="41" fillId="3" borderId="2" xfId="0" applyFont="1" applyFill="1" applyBorder="1" applyAlignment="1">
      <alignment horizontal="right"/>
    </xf>
    <xf numFmtId="0" fontId="41" fillId="3" borderId="2" xfId="0" applyFont="1" applyFill="1" applyBorder="1" applyAlignment="1">
      <alignment horizontal="center"/>
    </xf>
    <xf numFmtId="0" fontId="41" fillId="3" borderId="2" xfId="0" applyFont="1" applyFill="1" applyBorder="1" applyAlignment="1">
      <alignment horizontal="left"/>
    </xf>
    <xf numFmtId="0" fontId="45" fillId="0" borderId="0" xfId="0" applyFont="1" applyAlignment="1">
      <alignment horizontal="right"/>
    </xf>
    <xf numFmtId="0" fontId="45" fillId="0" borderId="0" xfId="0" applyFont="1"/>
    <xf numFmtId="0" fontId="63" fillId="3" borderId="2" xfId="0" applyFont="1" applyFill="1" applyBorder="1"/>
    <xf numFmtId="0" fontId="55" fillId="0" borderId="2" xfId="0" applyFont="1" applyBorder="1"/>
    <xf numFmtId="0" fontId="50" fillId="0" borderId="2" xfId="0" applyFont="1" applyBorder="1"/>
    <xf numFmtId="0" fontId="4" fillId="0" borderId="2" xfId="0" applyFont="1" applyBorder="1"/>
    <xf numFmtId="0" fontId="45" fillId="0" borderId="2" xfId="0" applyFont="1" applyBorder="1"/>
    <xf numFmtId="0" fontId="52" fillId="0" borderId="2" xfId="0" applyFont="1" applyBorder="1"/>
    <xf numFmtId="0" fontId="63" fillId="3" borderId="2" xfId="0" applyFont="1" applyFill="1" applyBorder="1" applyAlignment="1">
      <alignment horizontal="center" vertical="center"/>
    </xf>
    <xf numFmtId="0" fontId="41" fillId="0" borderId="2" xfId="0" quotePrefix="1" applyFont="1" applyBorder="1" applyAlignment="1">
      <alignment horizontal="center" vertical="center"/>
    </xf>
    <xf numFmtId="0" fontId="41" fillId="3" borderId="2" xfId="0" quotePrefix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54" fillId="0" borderId="17" xfId="0" applyFont="1" applyBorder="1" applyAlignment="1">
      <alignment horizontal="center" vertical="center"/>
    </xf>
    <xf numFmtId="0" fontId="47" fillId="0" borderId="17" xfId="0" applyFont="1" applyBorder="1" applyAlignment="1">
      <alignment horizontal="center" vertical="center"/>
    </xf>
    <xf numFmtId="0" fontId="41" fillId="0" borderId="0" xfId="0" quotePrefix="1" applyFont="1" applyAlignment="1">
      <alignment horizontal="center" vertical="center"/>
    </xf>
    <xf numFmtId="0" fontId="60" fillId="3" borderId="2" xfId="0" quotePrefix="1" applyFont="1" applyFill="1" applyBorder="1" applyAlignment="1">
      <alignment horizontal="center" vertical="center"/>
    </xf>
    <xf numFmtId="4" fontId="31" fillId="2" borderId="2" xfId="0" applyNumberFormat="1" applyFont="1" applyFill="1" applyBorder="1"/>
    <xf numFmtId="0" fontId="0" fillId="0" borderId="2" xfId="0" quotePrefix="1" applyBorder="1" applyAlignment="1">
      <alignment horizontal="center" vertical="center"/>
    </xf>
    <xf numFmtId="0" fontId="38" fillId="0" borderId="2" xfId="0" applyFont="1" applyBorder="1" applyAlignment="1">
      <alignment horizontal="center"/>
    </xf>
    <xf numFmtId="0" fontId="38" fillId="16" borderId="2" xfId="0" applyFont="1" applyFill="1" applyBorder="1" applyAlignment="1">
      <alignment horizontal="center"/>
    </xf>
    <xf numFmtId="0" fontId="38" fillId="16" borderId="2" xfId="0" applyFont="1" applyFill="1" applyBorder="1" applyAlignment="1">
      <alignment horizontal="left"/>
    </xf>
    <xf numFmtId="4" fontId="0" fillId="2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0" fontId="0" fillId="17" borderId="2" xfId="0" applyFill="1" applyBorder="1" applyAlignment="1">
      <alignment horizontal="center"/>
    </xf>
    <xf numFmtId="0" fontId="67" fillId="17" borderId="2" xfId="0" applyFont="1" applyFill="1" applyBorder="1"/>
    <xf numFmtId="0" fontId="67" fillId="13" borderId="2" xfId="0" applyFont="1" applyFill="1" applyBorder="1" applyAlignment="1">
      <alignment horizontal="right"/>
    </xf>
    <xf numFmtId="0" fontId="67" fillId="9" borderId="2" xfId="0" applyFont="1" applyFill="1" applyBorder="1" applyAlignment="1">
      <alignment horizontal="right"/>
    </xf>
    <xf numFmtId="0" fontId="38" fillId="0" borderId="0" xfId="0" applyFont="1" applyAlignment="1">
      <alignment horizontal="center"/>
    </xf>
    <xf numFmtId="0" fontId="38" fillId="0" borderId="0" xfId="0" applyFont="1"/>
    <xf numFmtId="0" fontId="38" fillId="17" borderId="2" xfId="0" applyFont="1" applyFill="1" applyBorder="1" applyAlignment="1">
      <alignment horizontal="center"/>
    </xf>
    <xf numFmtId="4" fontId="38" fillId="3" borderId="2" xfId="0" applyNumberFormat="1" applyFont="1" applyFill="1" applyBorder="1"/>
    <xf numFmtId="4" fontId="38" fillId="0" borderId="0" xfId="0" applyNumberFormat="1" applyFont="1"/>
    <xf numFmtId="4" fontId="38" fillId="3" borderId="2" xfId="0" applyNumberFormat="1" applyFont="1" applyFill="1" applyBorder="1" applyAlignment="1">
      <alignment horizontal="center"/>
    </xf>
    <xf numFmtId="0" fontId="38" fillId="17" borderId="2" xfId="0" applyFont="1" applyFill="1" applyBorder="1" applyAlignment="1">
      <alignment horizontal="left"/>
    </xf>
    <xf numFmtId="0" fontId="71" fillId="18" borderId="2" xfId="0" applyFont="1" applyFill="1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38" fillId="16" borderId="2" xfId="0" applyFont="1" applyFill="1" applyBorder="1" applyAlignment="1">
      <alignment horizontal="left"/>
    </xf>
    <xf numFmtId="0" fontId="38" fillId="0" borderId="2" xfId="0" applyFont="1" applyBorder="1"/>
    <xf numFmtId="0" fontId="0" fillId="0" borderId="2" xfId="0" applyBorder="1"/>
    <xf numFmtId="0" fontId="0" fillId="4" borderId="2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4" borderId="13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4" borderId="1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4" borderId="3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4" borderId="29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4" borderId="35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19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10" borderId="2" xfId="0" applyFont="1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2" xfId="0" applyFill="1" applyBorder="1" applyAlignment="1">
      <alignment horizontal="right"/>
    </xf>
  </cellXfs>
  <cellStyles count="2">
    <cellStyle name="Link" xfId="1" builtinId="8"/>
    <cellStyle name="Standard" xfId="0" builtinId="0"/>
  </cellStyles>
  <dxfs count="3">
    <dxf>
      <font>
        <color theme="5" tint="-0.24994659260841701"/>
      </font>
      <fill>
        <patternFill>
          <bgColor theme="0" tint="-0.14996795556505021"/>
        </patternFill>
      </fill>
    </dxf>
    <dxf>
      <font>
        <color rgb="FF00B0F0"/>
      </font>
      <fill>
        <patternFill>
          <bgColor rgb="FF0070C0"/>
        </patternFill>
      </fill>
    </dxf>
    <dxf>
      <font>
        <color rgb="FF00B0F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Sinus_Cosinus!$D$9</c:f>
              <c:strCache>
                <c:ptCount val="1"/>
                <c:pt idx="0">
                  <c:v>sin(x) =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Sinus_Cosinus!$E$7:$AS$7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Sinus_Cosinus!$E$9:$AS$9</c:f>
              <c:numCache>
                <c:formatCode>#,##0.00</c:formatCode>
                <c:ptCount val="41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0.76604444311897801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0.98480775301220802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0.86602540378443871</c:v>
                </c:pt>
                <c:pt idx="13">
                  <c:v>0.76604444311897801</c:v>
                </c:pt>
                <c:pt idx="14">
                  <c:v>0.64278760968653947</c:v>
                </c:pt>
                <c:pt idx="15">
                  <c:v>0.49999999999999994</c:v>
                </c:pt>
                <c:pt idx="16">
                  <c:v>0.34202014332566888</c:v>
                </c:pt>
                <c:pt idx="17">
                  <c:v>0.17364817766693028</c:v>
                </c:pt>
                <c:pt idx="18">
                  <c:v>1.22514845490862E-16</c:v>
                </c:pt>
                <c:pt idx="19">
                  <c:v>-0.17364817766693047</c:v>
                </c:pt>
                <c:pt idx="20">
                  <c:v>-0.34202014332566866</c:v>
                </c:pt>
                <c:pt idx="21">
                  <c:v>-0.50000000000000011</c:v>
                </c:pt>
                <c:pt idx="22">
                  <c:v>-0.64278760968653925</c:v>
                </c:pt>
                <c:pt idx="23">
                  <c:v>-0.7660444431189779</c:v>
                </c:pt>
                <c:pt idx="24">
                  <c:v>-0.86602540378443837</c:v>
                </c:pt>
                <c:pt idx="25">
                  <c:v>-0.93969262078590821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-0.98480775301220813</c:v>
                </c:pt>
                <c:pt idx="29">
                  <c:v>-0.93969262078590854</c:v>
                </c:pt>
                <c:pt idx="30">
                  <c:v>-0.8660254037844386</c:v>
                </c:pt>
                <c:pt idx="31">
                  <c:v>-0.76604444311897812</c:v>
                </c:pt>
                <c:pt idx="32">
                  <c:v>-0.64278760968653958</c:v>
                </c:pt>
                <c:pt idx="33">
                  <c:v>-0.50000000000000044</c:v>
                </c:pt>
                <c:pt idx="34">
                  <c:v>-0.3420201433256686</c:v>
                </c:pt>
                <c:pt idx="35">
                  <c:v>-0.17364817766693127</c:v>
                </c:pt>
                <c:pt idx="36">
                  <c:v>-2.45029690981724E-16</c:v>
                </c:pt>
                <c:pt idx="37">
                  <c:v>0.17364817766692991</c:v>
                </c:pt>
                <c:pt idx="38">
                  <c:v>0.34202014332566893</c:v>
                </c:pt>
                <c:pt idx="39">
                  <c:v>0.49999999999999928</c:v>
                </c:pt>
                <c:pt idx="40">
                  <c:v>0.64278760968653914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59-49E2-8EC6-0E1D02C2600D}"/>
            </c:ext>
          </c:extLst>
        </c:ser>
        <c:ser>
          <c:idx val="1"/>
          <c:order val="1"/>
          <c:tx>
            <c:strRef>
              <c:f>Sinus_Cosinus!$D$10</c:f>
              <c:strCache>
                <c:ptCount val="1"/>
                <c:pt idx="0">
                  <c:v>cos(x) =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Sinus_Cosinus!$E$7:$AS$7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Sinus_Cosinus!$E$10:$AS$10</c:f>
              <c:numCache>
                <c:formatCode>#,##0.00</c:formatCode>
                <c:ptCount val="41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0.86602540378443871</c:v>
                </c:pt>
                <c:pt idx="4">
                  <c:v>0.76604444311897801</c:v>
                </c:pt>
                <c:pt idx="5">
                  <c:v>0.64278760968653936</c:v>
                </c:pt>
                <c:pt idx="6">
                  <c:v>0.50000000000000011</c:v>
                </c:pt>
                <c:pt idx="7">
                  <c:v>0.34202014332566882</c:v>
                </c:pt>
                <c:pt idx="8">
                  <c:v>0.17364817766693041</c:v>
                </c:pt>
                <c:pt idx="9">
                  <c:v>6.1257422745431001E-17</c:v>
                </c:pt>
                <c:pt idx="10">
                  <c:v>-0.1736481776669303</c:v>
                </c:pt>
                <c:pt idx="11">
                  <c:v>-0.34202014332566871</c:v>
                </c:pt>
                <c:pt idx="12">
                  <c:v>-0.49999999999999978</c:v>
                </c:pt>
                <c:pt idx="13">
                  <c:v>-0.64278760968653936</c:v>
                </c:pt>
                <c:pt idx="14">
                  <c:v>-0.7660444431189779</c:v>
                </c:pt>
                <c:pt idx="15">
                  <c:v>-0.86602540378443871</c:v>
                </c:pt>
                <c:pt idx="16">
                  <c:v>-0.93969262078590832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-0.93969262078590843</c:v>
                </c:pt>
                <c:pt idx="21">
                  <c:v>-0.8660254037844386</c:v>
                </c:pt>
                <c:pt idx="22">
                  <c:v>-0.76604444311897801</c:v>
                </c:pt>
                <c:pt idx="23">
                  <c:v>-0.64278760968653947</c:v>
                </c:pt>
                <c:pt idx="24">
                  <c:v>-0.50000000000000044</c:v>
                </c:pt>
                <c:pt idx="25">
                  <c:v>-0.34202014332566938</c:v>
                </c:pt>
                <c:pt idx="26">
                  <c:v>-0.17364817766693033</c:v>
                </c:pt>
                <c:pt idx="27">
                  <c:v>-1.83772268236293E-16</c:v>
                </c:pt>
                <c:pt idx="28">
                  <c:v>0.17364817766692997</c:v>
                </c:pt>
                <c:pt idx="29">
                  <c:v>0.34202014332566816</c:v>
                </c:pt>
                <c:pt idx="30">
                  <c:v>0.50000000000000011</c:v>
                </c:pt>
                <c:pt idx="31">
                  <c:v>0.64278760968653925</c:v>
                </c:pt>
                <c:pt idx="32">
                  <c:v>0.76604444311897779</c:v>
                </c:pt>
                <c:pt idx="33">
                  <c:v>0.86602540378443837</c:v>
                </c:pt>
                <c:pt idx="34">
                  <c:v>0.93969262078590843</c:v>
                </c:pt>
                <c:pt idx="35">
                  <c:v>0.98480775301220791</c:v>
                </c:pt>
                <c:pt idx="36">
                  <c:v>1</c:v>
                </c:pt>
                <c:pt idx="37">
                  <c:v>0.98480775301220813</c:v>
                </c:pt>
                <c:pt idx="38">
                  <c:v>0.93969262078590832</c:v>
                </c:pt>
                <c:pt idx="39">
                  <c:v>0.86602540378443904</c:v>
                </c:pt>
                <c:pt idx="40">
                  <c:v>0.76604444311897812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59-49E2-8EC6-0E1D02C26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66463"/>
        <c:axId val="88665983"/>
      </c:scatterChart>
      <c:valAx>
        <c:axId val="8866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665983"/>
        <c:crosses val="autoZero"/>
        <c:crossBetween val="midCat"/>
      </c:valAx>
      <c:valAx>
        <c:axId val="8866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66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'Fourierreihe (neu)'!$K$14</c:f>
              <c:strCache>
                <c:ptCount val="1"/>
                <c:pt idx="0">
                  <c:v>y0 =  sin(50*x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(neu)'!$N$14:$AZ$14</c:f>
              <c:numCache>
                <c:formatCode>0.00</c:formatCode>
                <c:ptCount val="39"/>
                <c:pt idx="0">
                  <c:v>0</c:v>
                </c:pt>
                <c:pt idx="1">
                  <c:v>0.2264807927470297</c:v>
                </c:pt>
                <c:pt idx="2">
                  <c:v>0.4411916647658925</c:v>
                </c:pt>
                <c:pt idx="3">
                  <c:v>0.63297436324192113</c:v>
                </c:pt>
                <c:pt idx="4">
                  <c:v>0.79186218357858906</c:v>
                </c:pt>
                <c:pt idx="5">
                  <c:v>0.9095979264463151</c:v>
                </c:pt>
                <c:pt idx="6">
                  <c:v>0.98006301400184337</c:v>
                </c:pt>
                <c:pt idx="7">
                  <c:v>0.9995954646503008</c:v>
                </c:pt>
                <c:pt idx="8">
                  <c:v>0.96718020160318463</c:v>
                </c:pt>
                <c:pt idx="9">
                  <c:v>0.88450180513690446</c:v>
                </c:pt>
                <c:pt idx="10">
                  <c:v>0.7558569670836327</c:v>
                </c:pt>
                <c:pt idx="11">
                  <c:v>0.58793119718399511</c:v>
                </c:pt>
                <c:pt idx="12">
                  <c:v>0.38945138559040571</c:v>
                </c:pt>
                <c:pt idx="13">
                  <c:v>0.1707322774088991</c:v>
                </c:pt>
                <c:pt idx="14">
                  <c:v>-5.6859571575342521E-2</c:v>
                </c:pt>
                <c:pt idx="15">
                  <c:v>-0.28149650044489249</c:v>
                </c:pt>
                <c:pt idx="16">
                  <c:v>-0.49150441174828846</c:v>
                </c:pt>
                <c:pt idx="17">
                  <c:v>-0.67596945959887422</c:v>
                </c:pt>
                <c:pt idx="18">
                  <c:v>-0.82530522846010546</c:v>
                </c:pt>
                <c:pt idx="19">
                  <c:v>-0.93175092705225615</c:v>
                </c:pt>
                <c:pt idx="20">
                  <c:v>-0.98977470687246749</c:v>
                </c:pt>
                <c:pt idx="21">
                  <c:v>-0.99636114537408982</c:v>
                </c:pt>
                <c:pt idx="22">
                  <c:v>-0.95116795366761209</c:v>
                </c:pt>
                <c:pt idx="23">
                  <c:v>-0.85654376484189831</c:v>
                </c:pt>
                <c:pt idx="24">
                  <c:v>-0.71740607846915339</c:v>
                </c:pt>
                <c:pt idx="25">
                  <c:v>-0.54098570436350835</c:v>
                </c:pt>
                <c:pt idx="26">
                  <c:v>-0.33645098652831829</c:v>
                </c:pt>
                <c:pt idx="27">
                  <c:v>-0.11443133589895869</c:v>
                </c:pt>
                <c:pt idx="28">
                  <c:v>0.11353516671733102</c:v>
                </c:pt>
                <c:pt idx="29">
                  <c:v>0.33560139012709572</c:v>
                </c:pt>
                <c:pt idx="30">
                  <c:v>0.54022683319452769</c:v>
                </c:pt>
                <c:pt idx="31">
                  <c:v>0.71677737010852471</c:v>
                </c:pt>
                <c:pt idx="32">
                  <c:v>0.85607789246899491</c:v>
                </c:pt>
                <c:pt idx="33">
                  <c:v>0.95088912808120352</c:v>
                </c:pt>
                <c:pt idx="34">
                  <c:v>0.99628385678771347</c:v>
                </c:pt>
                <c:pt idx="35">
                  <c:v>0.98990297187633303</c:v>
                </c:pt>
                <c:pt idx="36">
                  <c:v>0.93207807987612579</c:v>
                </c:pt>
                <c:pt idx="37">
                  <c:v>0.82581426738495356</c:v>
                </c:pt>
                <c:pt idx="38">
                  <c:v>0.67663393051475051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7-4BF7-A82C-D744D19A61BA}"/>
            </c:ext>
          </c:extLst>
        </c:ser>
        <c:ser>
          <c:idx val="1"/>
          <c:order val="1"/>
          <c:tx>
            <c:strRef>
              <c:f>'Fourierreihe (neu)'!$K$15</c:f>
              <c:strCache>
                <c:ptCount val="1"/>
                <c:pt idx="0">
                  <c:v>y0 = 0.33 * sin(150*x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(neu)'!$N$15:$AZ$15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7-4BF7-A82C-D744D19A61BA}"/>
            </c:ext>
          </c:extLst>
        </c:ser>
        <c:ser>
          <c:idx val="2"/>
          <c:order val="2"/>
          <c:tx>
            <c:strRef>
              <c:f>'Fourierreihe (neu)'!$K$16</c:f>
              <c:strCache>
                <c:ptCount val="1"/>
                <c:pt idx="0">
                  <c:v>y0 = 0.2 * sin(250*x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(neu)'!$N$16:$AZ$16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7-4BF7-A82C-D744D19A61BA}"/>
            </c:ext>
          </c:extLst>
        </c:ser>
        <c:ser>
          <c:idx val="3"/>
          <c:order val="3"/>
          <c:tx>
            <c:strRef>
              <c:f>'Fourierreihe (neu)'!$K$17</c:f>
              <c:strCache>
                <c:ptCount val="1"/>
                <c:pt idx="0">
                  <c:v>y0 = 0.14 * sin(100*x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(neu)'!$N$17:$AZ$17</c:f>
              <c:numCache>
                <c:formatCode>0.00</c:formatCode>
                <c:ptCount val="39"/>
                <c:pt idx="0">
                  <c:v>0</c:v>
                </c:pt>
                <c:pt idx="1">
                  <c:v>6.302738068084178E-2</c:v>
                </c:pt>
                <c:pt idx="2">
                  <c:v>0.11312316908265557</c:v>
                </c:pt>
                <c:pt idx="3">
                  <c:v>0.14000900200026334</c:v>
                </c:pt>
                <c:pt idx="4">
                  <c:v>0.13816860022902636</c:v>
                </c:pt>
                <c:pt idx="5">
                  <c:v>0.10797956672623324</c:v>
                </c:pt>
                <c:pt idx="6">
                  <c:v>5.5635912227200809E-2</c:v>
                </c:pt>
                <c:pt idx="7">
                  <c:v>-8.1227959393346452E-3</c:v>
                </c:pt>
                <c:pt idx="8">
                  <c:v>-7.0214915964041211E-2</c:v>
                </c:pt>
                <c:pt idx="9">
                  <c:v>-0.1179007469228722</c:v>
                </c:pt>
                <c:pt idx="10">
                  <c:v>-0.14139638669606677</c:v>
                </c:pt>
                <c:pt idx="11">
                  <c:v>-0.13588113623823028</c:v>
                </c:pt>
                <c:pt idx="12">
                  <c:v>-0.10248658263845048</c:v>
                </c:pt>
                <c:pt idx="13">
                  <c:v>-4.8064426646902608E-2</c:v>
                </c:pt>
                <c:pt idx="14">
                  <c:v>1.6219309531047287E-2</c:v>
                </c:pt>
                <c:pt idx="15">
                  <c:v>7.7175261884932525E-2</c:v>
                </c:pt>
                <c:pt idx="16">
                  <c:v>0.12229684178128498</c:v>
                </c:pt>
                <c:pt idx="17">
                  <c:v>0.14232626525538764</c:v>
                </c:pt>
                <c:pt idx="18">
                  <c:v>0.1331540114108751</c:v>
                </c:pt>
                <c:pt idx="19">
                  <c:v>9.6661990073535778E-2</c:v>
                </c:pt>
                <c:pt idx="20">
                  <c:v>4.0337422452223125E-2</c:v>
                </c:pt>
                <c:pt idx="21">
                  <c:v>-2.4263343467420984E-2</c:v>
                </c:pt>
                <c:pt idx="22">
                  <c:v>-8.3885897351956784E-2</c:v>
                </c:pt>
                <c:pt idx="23">
                  <c:v>-0.12629722952939074</c:v>
                </c:pt>
                <c:pt idx="24">
                  <c:v>-0.14279562893693476</c:v>
                </c:pt>
                <c:pt idx="25">
                  <c:v>-0.12999604970896328</c:v>
                </c:pt>
                <c:pt idx="26">
                  <c:v>-9.0524635247459032E-2</c:v>
                </c:pt>
                <c:pt idx="27">
                  <c:v>-3.2479901355853415E-2</c:v>
                </c:pt>
                <c:pt idx="28">
                  <c:v>3.2228870245392137E-2</c:v>
                </c:pt>
                <c:pt idx="29">
                  <c:v>9.0325109243742763E-2</c:v>
                </c:pt>
                <c:pt idx="30">
                  <c:v>0.12988896639977168</c:v>
                </c:pt>
                <c:pt idx="31">
                  <c:v>0.14280295905434306</c:v>
                </c:pt>
                <c:pt idx="32">
                  <c:v>0.12641746912243892</c:v>
                </c:pt>
                <c:pt idx="33">
                  <c:v>8.4094376358581413E-2</c:v>
                </c:pt>
                <c:pt idx="34">
                  <c:v>2.4517287374651871E-2</c:v>
                </c:pt>
                <c:pt idx="35">
                  <c:v>-4.0090116381872105E-2</c:v>
                </c:pt>
                <c:pt idx="36">
                  <c:v>-9.6472062664693131E-2</c:v>
                </c:pt>
                <c:pt idx="37">
                  <c:v>-0.13306043086731539</c:v>
                </c:pt>
                <c:pt idx="38">
                  <c:v>-0.14234823189007792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7-4BF7-A82C-D744D19A61BA}"/>
            </c:ext>
          </c:extLst>
        </c:ser>
        <c:ser>
          <c:idx val="4"/>
          <c:order val="4"/>
          <c:tx>
            <c:strRef>
              <c:f>'Fourierreihe (neu)'!$K$20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(neu)'!$N$20:$AZ$20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7-4BF7-A82C-D744D19A61BA}"/>
            </c:ext>
          </c:extLst>
        </c:ser>
        <c:ser>
          <c:idx val="5"/>
          <c:order val="5"/>
          <c:tx>
            <c:strRef>
              <c:f>'Fourierreihe (neu)'!$T$4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'Fourierreihe (neu)'!$X$5:$Y$5</c:f>
              <c:numCache>
                <c:formatCode>General</c:formatCode>
                <c:ptCount val="2"/>
                <c:pt idx="0">
                  <c:v>270</c:v>
                </c:pt>
                <c:pt idx="1">
                  <c:v>270</c:v>
                </c:pt>
              </c:numCache>
            </c:numRef>
          </c:xVal>
          <c:yVal>
            <c:numRef>
              <c:f>'Fourierreihe (neu)'!$X$6:$Y$6</c:f>
              <c:numCache>
                <c:formatCode>General</c:formatCode>
                <c:ptCount val="2"/>
                <c:pt idx="0">
                  <c:v>0</c:v>
                </c:pt>
                <c:pt idx="1">
                  <c:v>1.2741327090615151E-14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B1-4989-AFCF-57F35443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05293305049966E-2"/>
          <c:y val="2.429473953674088E-2"/>
          <c:w val="0.90193554992787428"/>
          <c:h val="0.758808364764036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Scheinleistung!$J$14</c:f>
              <c:strCache>
                <c:ptCount val="1"/>
                <c:pt idx="0">
                  <c:v>U = 20 * sin(50*x  + 0.52)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Scheinleistung!$M$14:$AY$14</c:f>
              <c:numCache>
                <c:formatCode>0.00</c:formatCode>
                <c:ptCount val="39"/>
                <c:pt idx="0">
                  <c:v>9.9999999999999982</c:v>
                </c:pt>
                <c:pt idx="1">
                  <c:v>17.320508075688757</c:v>
                </c:pt>
                <c:pt idx="2">
                  <c:v>20</c:v>
                </c:pt>
                <c:pt idx="3">
                  <c:v>17.320508075688743</c:v>
                </c:pt>
                <c:pt idx="4">
                  <c:v>10.000000000000025</c:v>
                </c:pt>
                <c:pt idx="5">
                  <c:v>-1.9598038469847978E-14</c:v>
                </c:pt>
                <c:pt idx="6">
                  <c:v>-10.00000000000006</c:v>
                </c:pt>
                <c:pt idx="7">
                  <c:v>-17.320508075688831</c:v>
                </c:pt>
                <c:pt idx="8">
                  <c:v>-20</c:v>
                </c:pt>
                <c:pt idx="9">
                  <c:v>-17.320508075688807</c:v>
                </c:pt>
                <c:pt idx="10">
                  <c:v>-10.000000000000263</c:v>
                </c:pt>
                <c:pt idx="11">
                  <c:v>-2.5482220500361308E-13</c:v>
                </c:pt>
                <c:pt idx="12">
                  <c:v>9.9999999999998206</c:v>
                </c:pt>
                <c:pt idx="13">
                  <c:v>17.320508075688409</c:v>
                </c:pt>
                <c:pt idx="14">
                  <c:v>20</c:v>
                </c:pt>
                <c:pt idx="15">
                  <c:v>17.320508075689087</c:v>
                </c:pt>
                <c:pt idx="16">
                  <c:v>10.000000000000501</c:v>
                </c:pt>
                <c:pt idx="17">
                  <c:v>-3.9191740131006014E-14</c:v>
                </c:pt>
                <c:pt idx="18">
                  <c:v>-9.9999999999995843</c:v>
                </c:pt>
                <c:pt idx="19">
                  <c:v>-17.320508075688842</c:v>
                </c:pt>
                <c:pt idx="20">
                  <c:v>-20</c:v>
                </c:pt>
                <c:pt idx="21">
                  <c:v>-17.320508075688938</c:v>
                </c:pt>
                <c:pt idx="22">
                  <c:v>-9.9999999999997531</c:v>
                </c:pt>
                <c:pt idx="23">
                  <c:v>9.0163987387370526E-13</c:v>
                </c:pt>
                <c:pt idx="24">
                  <c:v>10.00000000000033</c:v>
                </c:pt>
                <c:pt idx="25">
                  <c:v>17.320508075688707</c:v>
                </c:pt>
                <c:pt idx="26">
                  <c:v>20</c:v>
                </c:pt>
                <c:pt idx="27">
                  <c:v>17.320508075689361</c:v>
                </c:pt>
                <c:pt idx="28">
                  <c:v>9.9999999999994991</c:v>
                </c:pt>
                <c:pt idx="29">
                  <c:v>-5.878544179216405E-14</c:v>
                </c:pt>
                <c:pt idx="30">
                  <c:v>-9.9999999999996021</c:v>
                </c:pt>
                <c:pt idx="31">
                  <c:v>-17.320508075688853</c:v>
                </c:pt>
                <c:pt idx="32">
                  <c:v>-20</c:v>
                </c:pt>
                <c:pt idx="33">
                  <c:v>-17.320508075688078</c:v>
                </c:pt>
                <c:pt idx="34">
                  <c:v>-9.999999999999245</c:v>
                </c:pt>
                <c:pt idx="35">
                  <c:v>3.5279938692678314E-13</c:v>
                </c:pt>
                <c:pt idx="36">
                  <c:v>9.9999999999998561</c:v>
                </c:pt>
                <c:pt idx="37">
                  <c:v>17.320508075689567</c:v>
                </c:pt>
                <c:pt idx="3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D5-4B17-87D9-4BBF3EBE3CE3}"/>
            </c:ext>
          </c:extLst>
        </c:ser>
        <c:ser>
          <c:idx val="1"/>
          <c:order val="1"/>
          <c:tx>
            <c:strRef>
              <c:f>Scheinleistung!$J$15</c:f>
              <c:strCache>
                <c:ptCount val="1"/>
                <c:pt idx="0">
                  <c:v>I =  sin(50*x ) =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Scheinleistung!$M$15:$AY$15</c:f>
              <c:numCache>
                <c:formatCode>0.00</c:formatCode>
                <c:ptCount val="39"/>
                <c:pt idx="0">
                  <c:v>0</c:v>
                </c:pt>
                <c:pt idx="1">
                  <c:v>0.49999999999999906</c:v>
                </c:pt>
                <c:pt idx="2">
                  <c:v>0.8660254037844376</c:v>
                </c:pt>
                <c:pt idx="3">
                  <c:v>1</c:v>
                </c:pt>
                <c:pt idx="4">
                  <c:v>0.86602540378444082</c:v>
                </c:pt>
                <c:pt idx="5">
                  <c:v>0.50000000000000167</c:v>
                </c:pt>
                <c:pt idx="6">
                  <c:v>-4.898425415289509E-16</c:v>
                </c:pt>
                <c:pt idx="7">
                  <c:v>-0.50000000000000255</c:v>
                </c:pt>
                <c:pt idx="8">
                  <c:v>-0.86602540378443427</c:v>
                </c:pt>
                <c:pt idx="9">
                  <c:v>-1</c:v>
                </c:pt>
                <c:pt idx="10">
                  <c:v>-0.86602540378444059</c:v>
                </c:pt>
                <c:pt idx="11">
                  <c:v>-0.50000000000000122</c:v>
                </c:pt>
                <c:pt idx="12">
                  <c:v>9.7968508305790181E-16</c:v>
                </c:pt>
                <c:pt idx="13">
                  <c:v>0.49999999999997835</c:v>
                </c:pt>
                <c:pt idx="14">
                  <c:v>0.86602540378444159</c:v>
                </c:pt>
                <c:pt idx="15">
                  <c:v>1</c:v>
                </c:pt>
                <c:pt idx="16">
                  <c:v>0.86602540378444748</c:v>
                </c:pt>
                <c:pt idx="17">
                  <c:v>0.49999999999998856</c:v>
                </c:pt>
                <c:pt idx="18">
                  <c:v>1.2741327090615151E-14</c:v>
                </c:pt>
                <c:pt idx="19">
                  <c:v>-0.50000000000001565</c:v>
                </c:pt>
                <c:pt idx="20">
                  <c:v>-0.86602540378443471</c:v>
                </c:pt>
                <c:pt idx="21">
                  <c:v>-1</c:v>
                </c:pt>
                <c:pt idx="22">
                  <c:v>-0.86602540378444015</c:v>
                </c:pt>
                <c:pt idx="23">
                  <c:v>-0.4999999999999758</c:v>
                </c:pt>
                <c:pt idx="24">
                  <c:v>1.9593701661158036E-15</c:v>
                </c:pt>
                <c:pt idx="25">
                  <c:v>0.49999999999997918</c:v>
                </c:pt>
                <c:pt idx="26">
                  <c:v>0.86602540378441362</c:v>
                </c:pt>
                <c:pt idx="27">
                  <c:v>1</c:v>
                </c:pt>
                <c:pt idx="28">
                  <c:v>0.86602540378443271</c:v>
                </c:pt>
                <c:pt idx="29">
                  <c:v>0.50000000000001232</c:v>
                </c:pt>
                <c:pt idx="30">
                  <c:v>4.0183351437961257E-14</c:v>
                </c:pt>
                <c:pt idx="31">
                  <c:v>-0.49999999999999195</c:v>
                </c:pt>
                <c:pt idx="32">
                  <c:v>-0.86602540378442106</c:v>
                </c:pt>
                <c:pt idx="33">
                  <c:v>-1</c:v>
                </c:pt>
                <c:pt idx="34">
                  <c:v>-0.86602540378442538</c:v>
                </c:pt>
                <c:pt idx="35">
                  <c:v>-0.49999999999999956</c:v>
                </c:pt>
                <c:pt idx="36">
                  <c:v>-2.5482654181230302E-14</c:v>
                </c:pt>
                <c:pt idx="37">
                  <c:v>0.50000000000005385</c:v>
                </c:pt>
                <c:pt idx="38">
                  <c:v>0.8660254037844568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D5-4B17-87D9-4BBF3EBE3CE3}"/>
            </c:ext>
          </c:extLst>
        </c:ser>
        <c:ser>
          <c:idx val="2"/>
          <c:order val="2"/>
          <c:tx>
            <c:strRef>
              <c:f>Scheinleistung!$J$18</c:f>
              <c:strCache>
                <c:ptCount val="1"/>
                <c:pt idx="0">
                  <c:v>Leistung P = U *I = 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Scheinleistung!$M$18:$AY$18</c:f>
              <c:numCache>
                <c:formatCode>0.00</c:formatCode>
                <c:ptCount val="39"/>
                <c:pt idx="0">
                  <c:v>0</c:v>
                </c:pt>
                <c:pt idx="1">
                  <c:v>8.6602540378443624</c:v>
                </c:pt>
                <c:pt idx="2">
                  <c:v>17.320508075688753</c:v>
                </c:pt>
                <c:pt idx="3">
                  <c:v>17.320508075688743</c:v>
                </c:pt>
                <c:pt idx="4">
                  <c:v>8.6602540378444299</c:v>
                </c:pt>
                <c:pt idx="5">
                  <c:v>-9.7990192349240222E-15</c:v>
                </c:pt>
                <c:pt idx="6">
                  <c:v>4.898425415289539E-15</c:v>
                </c:pt>
                <c:pt idx="7">
                  <c:v>8.6602540378444601</c:v>
                </c:pt>
                <c:pt idx="8">
                  <c:v>17.320508075688686</c:v>
                </c:pt>
                <c:pt idx="9">
                  <c:v>17.320508075688807</c:v>
                </c:pt>
                <c:pt idx="10">
                  <c:v>8.6602540378446342</c:v>
                </c:pt>
                <c:pt idx="11">
                  <c:v>1.2741110250180684E-13</c:v>
                </c:pt>
                <c:pt idx="12">
                  <c:v>9.7968508305788429E-15</c:v>
                </c:pt>
                <c:pt idx="13">
                  <c:v>8.6602540378438295</c:v>
                </c:pt>
                <c:pt idx="14">
                  <c:v>17.320508075688831</c:v>
                </c:pt>
                <c:pt idx="15">
                  <c:v>17.320508075689087</c:v>
                </c:pt>
                <c:pt idx="16">
                  <c:v>8.6602540378449078</c:v>
                </c:pt>
                <c:pt idx="17">
                  <c:v>-1.9595870065502559E-14</c:v>
                </c:pt>
                <c:pt idx="18">
                  <c:v>-1.2741327090614621E-13</c:v>
                </c:pt>
                <c:pt idx="19">
                  <c:v>8.6602540378446928</c:v>
                </c:pt>
                <c:pt idx="20">
                  <c:v>17.320508075688693</c:v>
                </c:pt>
                <c:pt idx="21">
                  <c:v>17.320508075688938</c:v>
                </c:pt>
                <c:pt idx="22">
                  <c:v>8.6602540378441883</c:v>
                </c:pt>
                <c:pt idx="23">
                  <c:v>-4.5081993693683082E-13</c:v>
                </c:pt>
                <c:pt idx="24">
                  <c:v>1.9593701661158683E-14</c:v>
                </c:pt>
                <c:pt idx="25">
                  <c:v>8.6602540378439929</c:v>
                </c:pt>
                <c:pt idx="26">
                  <c:v>17.320508075688274</c:v>
                </c:pt>
                <c:pt idx="27">
                  <c:v>17.320508075689361</c:v>
                </c:pt>
                <c:pt idx="28">
                  <c:v>8.6602540378438935</c:v>
                </c:pt>
                <c:pt idx="29">
                  <c:v>-2.9392720896082751E-14</c:v>
                </c:pt>
                <c:pt idx="30">
                  <c:v>-4.0183351437959656E-13</c:v>
                </c:pt>
                <c:pt idx="31">
                  <c:v>8.6602540378442878</c:v>
                </c:pt>
                <c:pt idx="32">
                  <c:v>17.320508075688423</c:v>
                </c:pt>
                <c:pt idx="33">
                  <c:v>17.320508075688078</c:v>
                </c:pt>
                <c:pt idx="34">
                  <c:v>8.6602540378436004</c:v>
                </c:pt>
                <c:pt idx="35">
                  <c:v>-1.7639969346339142E-13</c:v>
                </c:pt>
                <c:pt idx="36">
                  <c:v>-2.5482654181229933E-13</c:v>
                </c:pt>
                <c:pt idx="37">
                  <c:v>8.660254037845716</c:v>
                </c:pt>
                <c:pt idx="38">
                  <c:v>17.320508075689137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D5-4B17-87D9-4BBF3EBE3CE3}"/>
            </c:ext>
          </c:extLst>
        </c:ser>
        <c:ser>
          <c:idx val="3"/>
          <c:order val="3"/>
          <c:tx>
            <c:strRef>
              <c:f>Scheinleistung!$S$4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triangl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Scheinleistung!$W$5:$X$5</c:f>
              <c:numCache>
                <c:formatCode>General</c:formatCode>
                <c:ptCount val="2"/>
                <c:pt idx="0">
                  <c:v>210</c:v>
                </c:pt>
                <c:pt idx="1">
                  <c:v>210</c:v>
                </c:pt>
              </c:numCache>
            </c:numRef>
          </c:xVal>
          <c:yVal>
            <c:numRef>
              <c:f>Scheinleistung!$W$6:$X$6</c:f>
              <c:numCache>
                <c:formatCode>0.00</c:formatCode>
                <c:ptCount val="2"/>
                <c:pt idx="0">
                  <c:v>0.86602540378444159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D5-4B17-87D9-4BBF3EBE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486639"/>
        <c:axId val="970485199"/>
      </c:scatterChart>
      <c:valAx>
        <c:axId val="97048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Phasenwinkel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5199"/>
        <c:crosses val="autoZero"/>
        <c:crossBetween val="midCat"/>
      </c:valAx>
      <c:valAx>
        <c:axId val="97048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Spannung / Stromstärke / Leistung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898518426161177E-2"/>
          <c:y val="0.84164438344576964"/>
          <c:w val="0.74177067188956602"/>
          <c:h val="0.1118117997654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Schiefeebene!$O$40</c:f>
              <c:strCache>
                <c:ptCount val="1"/>
                <c:pt idx="0">
                  <c:v>a = g⋅(sin(α)−μₖ​⋅cos(α))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C-4401-A6E2-D68B063C863F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6-066C-4401-A6E2-D68B063C863F}"/>
              </c:ext>
            </c:extLst>
          </c:dPt>
          <c:xVal>
            <c:numRef>
              <c:f>Schiefeebene!$Q$32:$AI$32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Schiefeebene!$Q$40:$AI$40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0.64386836127657632</c:v>
                </c:pt>
                <c:pt idx="4">
                  <c:v>1.5115406840428576</c:v>
                </c:pt>
                <c:pt idx="5">
                  <c:v>2.3677092695103545</c:v>
                </c:pt>
                <c:pt idx="6">
                  <c:v>3.205858157774931</c:v>
                </c:pt>
                <c:pt idx="7">
                  <c:v>4.0196085297087603</c:v>
                </c:pt>
                <c:pt idx="8">
                  <c:v>4.8027672536255155</c:v>
                </c:pt>
                <c:pt idx="9">
                  <c:v>5.5493740187520242</c:v>
                </c:pt>
                <c:pt idx="10">
                  <c:v>6.2537466967921844</c:v>
                </c:pt>
                <c:pt idx="11">
                  <c:v>6.9105245863542581</c:v>
                </c:pt>
                <c:pt idx="12">
                  <c:v>7.514709211125342</c:v>
                </c:pt>
                <c:pt idx="13">
                  <c:v>8.0617023612942837</c:v>
                </c:pt>
                <c:pt idx="14">
                  <c:v>8.5473410887047994</c:v>
                </c:pt>
                <c:pt idx="15">
                  <c:v>8.967929389404615</c:v>
                </c:pt>
                <c:pt idx="16">
                  <c:v>9.3202663324672432</c:v>
                </c:pt>
                <c:pt idx="17">
                  <c:v>9.6016704210091195</c:v>
                </c:pt>
                <c:pt idx="18">
                  <c:v>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6C-4401-A6E2-D68B063C863F}"/>
            </c:ext>
          </c:extLst>
        </c:ser>
        <c:ser>
          <c:idx val="1"/>
          <c:order val="1"/>
          <c:tx>
            <c:strRef>
              <c:f>Schiefeebene!$AH$41</c:f>
              <c:strCache>
                <c:ptCount val="1"/>
                <c:pt idx="0">
                  <c:v>Haften -&gt; Gleiten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Schiefeebene!$AI$41:$AK$41</c:f>
              <c:numCache>
                <c:formatCode>#,##0.00</c:formatCode>
                <c:ptCount val="3"/>
                <c:pt idx="0">
                  <c:v>0</c:v>
                </c:pt>
                <c:pt idx="1">
                  <c:v>30.963756532073521</c:v>
                </c:pt>
                <c:pt idx="2">
                  <c:v>30.963756532073521</c:v>
                </c:pt>
              </c:numCache>
            </c:numRef>
          </c:xVal>
          <c:yVal>
            <c:numRef>
              <c:f>Schiefeebene!$AI$42:$AK$42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3.3648022404960245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6C-4401-A6E2-D68B063C8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863008"/>
        <c:axId val="553868288"/>
      </c:scatterChart>
      <c:valAx>
        <c:axId val="55386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8288"/>
        <c:crosses val="autoZero"/>
        <c:crossBetween val="midCat"/>
      </c:valAx>
      <c:valAx>
        <c:axId val="5538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Vektoren!$Y$3</c:f>
              <c:strCache>
                <c:ptCount val="1"/>
                <c:pt idx="0">
                  <c:v>x-Achse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Vektoren!$Z$3:$AA$3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xVal>
          <c:yVal>
            <c:numRef>
              <c:f>Vektoren!$AB$3:$AC$3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86-44E6-995D-F084AE3590EA}"/>
            </c:ext>
          </c:extLst>
        </c:ser>
        <c:ser>
          <c:idx val="8"/>
          <c:order val="1"/>
          <c:tx>
            <c:strRef>
              <c:f>Vektoren!$Y$4</c:f>
              <c:strCache>
                <c:ptCount val="1"/>
                <c:pt idx="0">
                  <c:v>y-Achse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Vektoren!$Z$4:$AA$4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Vektoren!$AB$4:$AC$4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86-44E6-995D-F084AE3590EA}"/>
            </c:ext>
          </c:extLst>
        </c:ser>
        <c:ser>
          <c:idx val="0"/>
          <c:order val="2"/>
          <c:tx>
            <c:strRef>
              <c:f>Vektoren!$C$14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Vektoren!$P$14:$Q$14</c:f>
              <c:numCache>
                <c:formatCode>#,##0.00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Vektoren!$R$14:$S$14</c:f>
              <c:numCache>
                <c:formatCode>#,##0.00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6-44E6-995D-F084AE3590EA}"/>
            </c:ext>
          </c:extLst>
        </c:ser>
        <c:ser>
          <c:idx val="1"/>
          <c:order val="3"/>
          <c:tx>
            <c:strRef>
              <c:f>Vektoren!$C$15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Vektoren!$P$15:$Q$15</c:f>
              <c:numCache>
                <c:formatCode>#,##0.00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xVal>
          <c:yVal>
            <c:numRef>
              <c:f>Vektoren!$R$15:$S$15</c:f>
              <c:numCache>
                <c:formatCode>#,##0.00</c:formatCode>
                <c:ptCount val="2"/>
                <c:pt idx="0">
                  <c:v>5</c:v>
                </c:pt>
                <c:pt idx="1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86-44E6-995D-F084AE3590EA}"/>
            </c:ext>
          </c:extLst>
        </c:ser>
        <c:ser>
          <c:idx val="2"/>
          <c:order val="4"/>
          <c:tx>
            <c:strRef>
              <c:f>Vektoren!$C$16</c:f>
              <c:strCache>
                <c:ptCount val="1"/>
                <c:pt idx="0">
                  <c:v>F3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Vektoren!$P$16:$Q$16</c:f>
              <c:numCache>
                <c:formatCode>#,##0.00</c:formatCode>
                <c:ptCount val="2"/>
                <c:pt idx="0">
                  <c:v>20</c:v>
                </c:pt>
                <c:pt idx="1">
                  <c:v>12</c:v>
                </c:pt>
              </c:numCache>
            </c:numRef>
          </c:xVal>
          <c:yVal>
            <c:numRef>
              <c:f>Vektoren!$R$16:$S$16</c:f>
              <c:numCache>
                <c:formatCode>#,##0.00</c:formatCode>
                <c:ptCount val="2"/>
                <c:pt idx="0">
                  <c:v>-7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86-44E6-995D-F084AE3590EA}"/>
            </c:ext>
          </c:extLst>
        </c:ser>
        <c:ser>
          <c:idx val="3"/>
          <c:order val="5"/>
          <c:tx>
            <c:strRef>
              <c:f>Vektoren!$C$17</c:f>
              <c:strCache>
                <c:ptCount val="1"/>
                <c:pt idx="0">
                  <c:v>F4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Vektoren!$P$17:$Q$17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Vektoren!$R$17:$S$17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86-44E6-995D-F084AE3590EA}"/>
            </c:ext>
          </c:extLst>
        </c:ser>
        <c:ser>
          <c:idx val="4"/>
          <c:order val="6"/>
          <c:tx>
            <c:strRef>
              <c:f>Vektoren!$C$18</c:f>
              <c:strCache>
                <c:ptCount val="1"/>
                <c:pt idx="0">
                  <c:v>F5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Vektoren!$P$18:$Q$18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Vektoren!$R$18:$S$18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86-44E6-995D-F084AE3590EA}"/>
            </c:ext>
          </c:extLst>
        </c:ser>
        <c:ser>
          <c:idx val="5"/>
          <c:order val="7"/>
          <c:tx>
            <c:strRef>
              <c:f>Vektoren!$C$19</c:f>
              <c:strCache>
                <c:ptCount val="1"/>
                <c:pt idx="0">
                  <c:v>F6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Vektoren!$P$19:$Q$19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Vektoren!$R$19:$S$19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86-44E6-995D-F084AE3590EA}"/>
            </c:ext>
          </c:extLst>
        </c:ser>
        <c:ser>
          <c:idx val="6"/>
          <c:order val="8"/>
          <c:tx>
            <c:strRef>
              <c:f>Vektoren!$C$20</c:f>
              <c:strCache>
                <c:ptCount val="1"/>
                <c:pt idx="0">
                  <c:v>F7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Vektoren!$P$20:$Q$20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Vektoren!$R$20:$S$20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86-44E6-995D-F084AE359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8752"/>
        <c:axId val="11735872"/>
      </c:scatterChart>
      <c:valAx>
        <c:axId val="1173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5872"/>
        <c:crosses val="autoZero"/>
        <c:crossBetween val="midCat"/>
      </c:valAx>
      <c:valAx>
        <c:axId val="117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Vektor!$Q$13</c:f>
              <c:strCache>
                <c:ptCount val="1"/>
                <c:pt idx="0">
                  <c:v>Skala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Vektor!$R$15:$U$15</c:f>
              <c:numCache>
                <c:formatCode>#,##0.00</c:formatCode>
                <c:ptCount val="4"/>
                <c:pt idx="0">
                  <c:v>13.92648887430876</c:v>
                </c:pt>
                <c:pt idx="1">
                  <c:v>0</c:v>
                </c:pt>
                <c:pt idx="2">
                  <c:v>-13.92648887430876</c:v>
                </c:pt>
                <c:pt idx="3">
                  <c:v>0</c:v>
                </c:pt>
              </c:numCache>
            </c:numRef>
          </c:xVal>
          <c:yVal>
            <c:numRef>
              <c:f>Vektor!$R$16:$U$16</c:f>
              <c:numCache>
                <c:formatCode>#,##0.00</c:formatCode>
                <c:ptCount val="4"/>
                <c:pt idx="0">
                  <c:v>0</c:v>
                </c:pt>
                <c:pt idx="1">
                  <c:v>13.92648887430876</c:v>
                </c:pt>
                <c:pt idx="2">
                  <c:v>0</c:v>
                </c:pt>
                <c:pt idx="3">
                  <c:v>-13.92648887430876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9-40AC-9BAB-55E0AA1B41C8}"/>
            </c:ext>
          </c:extLst>
        </c:ser>
        <c:ser>
          <c:idx val="1"/>
          <c:order val="1"/>
          <c:tx>
            <c:strRef>
              <c:f>Vektor!$B$15</c:f>
              <c:strCache>
                <c:ptCount val="1"/>
                <c:pt idx="0">
                  <c:v>V1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Vektor!$L$15:$M$15</c:f>
              <c:numCache>
                <c:formatCode>#,##0.00</c:formatCode>
                <c:ptCount val="2"/>
                <c:pt idx="0">
                  <c:v>0</c:v>
                </c:pt>
                <c:pt idx="1">
                  <c:v>-6.4278760968653934</c:v>
                </c:pt>
              </c:numCache>
            </c:numRef>
          </c:xVal>
          <c:yVal>
            <c:numRef>
              <c:f>Vektor!$N$15:$O$15</c:f>
              <c:numCache>
                <c:formatCode>#,##0.00</c:formatCode>
                <c:ptCount val="2"/>
                <c:pt idx="0">
                  <c:v>0</c:v>
                </c:pt>
                <c:pt idx="1">
                  <c:v>7.6604444311897799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1-43FD-8953-C7BECB15F8F3}"/>
            </c:ext>
          </c:extLst>
        </c:ser>
        <c:ser>
          <c:idx val="2"/>
          <c:order val="2"/>
          <c:tx>
            <c:strRef>
              <c:f>Vektor!$B$16</c:f>
              <c:strCache>
                <c:ptCount val="1"/>
                <c:pt idx="0">
                  <c:v>V2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Vektor!$L$16:$M$16</c:f>
              <c:numCache>
                <c:formatCode>#,##0.00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Vektor!$N$16:$O$16</c:f>
              <c:numCache>
                <c:formatCode>#,##0.00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B1-43FD-8953-C7BECB15F8F3}"/>
            </c:ext>
          </c:extLst>
        </c:ser>
        <c:ser>
          <c:idx val="3"/>
          <c:order val="3"/>
          <c:tx>
            <c:strRef>
              <c:f>Vektor!$B$17</c:f>
              <c:strCache>
                <c:ptCount val="1"/>
                <c:pt idx="0">
                  <c:v>V1 + V2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Vektor!$L$17:$M$17</c:f>
              <c:numCache>
                <c:formatCode>#,##0.00</c:formatCode>
                <c:ptCount val="2"/>
                <c:pt idx="0">
                  <c:v>0</c:v>
                </c:pt>
                <c:pt idx="1">
                  <c:v>-5.4278760968653934</c:v>
                </c:pt>
              </c:numCache>
            </c:numRef>
          </c:xVal>
          <c:yVal>
            <c:numRef>
              <c:f>Vektor!$N$17:$O$17</c:f>
              <c:numCache>
                <c:formatCode>#,##0.00</c:formatCode>
                <c:ptCount val="2"/>
                <c:pt idx="0">
                  <c:v>0</c:v>
                </c:pt>
                <c:pt idx="1">
                  <c:v>12.660444431189781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E-4192-A1FE-08837BE60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030208"/>
        <c:axId val="697032608"/>
      </c:scatterChart>
      <c:valAx>
        <c:axId val="6970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032608"/>
        <c:crosses val="autoZero"/>
        <c:crossBetween val="midCat"/>
      </c:valAx>
      <c:valAx>
        <c:axId val="6970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03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65714040043902E-2"/>
          <c:y val="4.6025104602510462E-2"/>
          <c:w val="0.90531900207224802"/>
          <c:h val="0.856911013738345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Kinematik_1!$B$5</c:f>
              <c:strCache>
                <c:ptCount val="1"/>
                <c:pt idx="0">
                  <c:v>Weg s [m] gemessen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9E4-8CED-60D4545B8694}"/>
            </c:ext>
          </c:extLst>
        </c:ser>
        <c:ser>
          <c:idx val="1"/>
          <c:order val="1"/>
          <c:tx>
            <c:strRef>
              <c:f>Kinematik_1!$B$8</c:f>
              <c:strCache>
                <c:ptCount val="1"/>
                <c:pt idx="0">
                  <c:v>Weg s = v*t [m] gerechnet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Kinematik_1!$C$8:$F$8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9E4-8CED-60D4545B8694}"/>
            </c:ext>
          </c:extLst>
        </c:ser>
        <c:ser>
          <c:idx val="2"/>
          <c:order val="2"/>
          <c:tx>
            <c:strRef>
              <c:f>Kinematik_1!$I$18</c:f>
              <c:strCache>
                <c:ptCount val="1"/>
                <c:pt idx="0">
                  <c:v>y = ax + b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Kinematik_1!$J$17:$AO$17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Kinematik_1!$J$18:$AO$18</c:f>
              <c:numCache>
                <c:formatCode>General</c:formatCode>
                <c:ptCount val="32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  <c:pt idx="5">
                  <c:v>-2.5</c:v>
                </c:pt>
                <c:pt idx="6">
                  <c:v>-5</c:v>
                </c:pt>
                <c:pt idx="7">
                  <c:v>-7.5</c:v>
                </c:pt>
                <c:pt idx="8">
                  <c:v>-10</c:v>
                </c:pt>
                <c:pt idx="9">
                  <c:v>-12.5</c:v>
                </c:pt>
                <c:pt idx="10">
                  <c:v>-15</c:v>
                </c:pt>
                <c:pt idx="11">
                  <c:v>-17.5</c:v>
                </c:pt>
                <c:pt idx="12">
                  <c:v>-20</c:v>
                </c:pt>
                <c:pt idx="13">
                  <c:v>-22.5</c:v>
                </c:pt>
                <c:pt idx="14">
                  <c:v>-25</c:v>
                </c:pt>
                <c:pt idx="15">
                  <c:v>-27.5</c:v>
                </c:pt>
                <c:pt idx="16">
                  <c:v>-30</c:v>
                </c:pt>
                <c:pt idx="17">
                  <c:v>-32.5</c:v>
                </c:pt>
                <c:pt idx="18">
                  <c:v>-35</c:v>
                </c:pt>
                <c:pt idx="19">
                  <c:v>-37.5</c:v>
                </c:pt>
                <c:pt idx="20">
                  <c:v>-40</c:v>
                </c:pt>
                <c:pt idx="21">
                  <c:v>-42.5</c:v>
                </c:pt>
                <c:pt idx="22">
                  <c:v>-45</c:v>
                </c:pt>
                <c:pt idx="23">
                  <c:v>-47.5</c:v>
                </c:pt>
                <c:pt idx="24">
                  <c:v>-50</c:v>
                </c:pt>
                <c:pt idx="25">
                  <c:v>-52.5</c:v>
                </c:pt>
                <c:pt idx="26">
                  <c:v>-55</c:v>
                </c:pt>
                <c:pt idx="27">
                  <c:v>-57.5</c:v>
                </c:pt>
                <c:pt idx="28">
                  <c:v>-60</c:v>
                </c:pt>
                <c:pt idx="29">
                  <c:v>-62.5</c:v>
                </c:pt>
                <c:pt idx="30">
                  <c:v>-65</c:v>
                </c:pt>
                <c:pt idx="31">
                  <c:v>-67.5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6-4E7C-99EF-90C15DD1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4415"/>
        <c:axId val="866161535"/>
      </c:scatterChart>
      <c:valAx>
        <c:axId val="866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1535"/>
        <c:crosses val="autoZero"/>
        <c:crossBetween val="midCat"/>
      </c:valAx>
      <c:valAx>
        <c:axId val="866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4-42EA-895E-E3188ED26C61}"/>
            </c:ext>
          </c:extLst>
        </c:ser>
        <c:ser>
          <c:idx val="1"/>
          <c:order val="1"/>
          <c:tx>
            <c:strRef>
              <c:f>Kinematik_1!$B$44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63.999999999999993</c:v>
                </c:pt>
                <c:pt idx="19">
                  <c:v>61.999999999999986</c:v>
                </c:pt>
                <c:pt idx="20">
                  <c:v>59.999999999999993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4-42EA-895E-E3188ED2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Geschwindigkeit-Zeit</a:t>
            </a:r>
            <a:r>
              <a:rPr lang="de-CH" baseline="0"/>
              <a:t> Diagramm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Kinematik_2!$C$10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Kinematik_2!$E$10:$Y$10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B-4B4D-883F-3319D7F46756}"/>
            </c:ext>
          </c:extLst>
        </c:ser>
        <c:ser>
          <c:idx val="1"/>
          <c:order val="1"/>
          <c:tx>
            <c:strRef>
              <c:f>Kinematik_2!$M$2</c:f>
              <c:strCache>
                <c:ptCount val="1"/>
                <c:pt idx="0">
                  <c:v>Senkrechte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Kinematik_2!$M$3:$N$3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Kinematik_2!$M$4:$N$4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B-4B4D-883F-3319D7F46756}"/>
            </c:ext>
          </c:extLst>
        </c:ser>
        <c:ser>
          <c:idx val="2"/>
          <c:order val="2"/>
          <c:tx>
            <c:strRef>
              <c:f>Kinematik_2!$P$2</c:f>
              <c:strCache>
                <c:ptCount val="1"/>
                <c:pt idx="0">
                  <c:v>Vertikale Hilfslinie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Kinematik_2!$P$3:$Q$3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Kinematik_2!$P$4:$Q$4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B-4B4D-883F-3319D7F46756}"/>
            </c:ext>
          </c:extLst>
        </c:ser>
        <c:ser>
          <c:idx val="3"/>
          <c:order val="3"/>
          <c:tx>
            <c:strRef>
              <c:f>Kinematik_2!$S$2</c:f>
              <c:strCache>
                <c:ptCount val="1"/>
                <c:pt idx="0">
                  <c:v>Vertikale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Kinematik_2!$S$3:$T$3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Kinematik_2!$S$4:$T$4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0-4E87-B567-157405C2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05664"/>
        <c:axId val="1130406144"/>
      </c:scatterChart>
      <c:valAx>
        <c:axId val="113040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6144"/>
        <c:crosses val="autoZero"/>
        <c:crossBetween val="midCat"/>
      </c:valAx>
      <c:valAx>
        <c:axId val="1130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Geschwindigkeit 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Weg-Zeit Diagramm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Kinematik_2!$C$11</c:f>
              <c:strCache>
                <c:ptCount val="1"/>
                <c:pt idx="0">
                  <c:v>s = a/2 * t2 + v0*t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Kinematik_2!$E$11:$Y$11</c:f>
              <c:numCache>
                <c:formatCode>General</c:formatCode>
                <c:ptCount val="21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39</c:v>
                </c:pt>
                <c:pt idx="4">
                  <c:v>56</c:v>
                </c:pt>
                <c:pt idx="5">
                  <c:v>75</c:v>
                </c:pt>
                <c:pt idx="6">
                  <c:v>96</c:v>
                </c:pt>
                <c:pt idx="7">
                  <c:v>119</c:v>
                </c:pt>
                <c:pt idx="8">
                  <c:v>144</c:v>
                </c:pt>
                <c:pt idx="9">
                  <c:v>171</c:v>
                </c:pt>
                <c:pt idx="10">
                  <c:v>200</c:v>
                </c:pt>
                <c:pt idx="11">
                  <c:v>231</c:v>
                </c:pt>
                <c:pt idx="12">
                  <c:v>264</c:v>
                </c:pt>
                <c:pt idx="13">
                  <c:v>299</c:v>
                </c:pt>
                <c:pt idx="14">
                  <c:v>336</c:v>
                </c:pt>
                <c:pt idx="15">
                  <c:v>375</c:v>
                </c:pt>
                <c:pt idx="16">
                  <c:v>416</c:v>
                </c:pt>
                <c:pt idx="17">
                  <c:v>459</c:v>
                </c:pt>
                <c:pt idx="18">
                  <c:v>504</c:v>
                </c:pt>
                <c:pt idx="19">
                  <c:v>551</c:v>
                </c:pt>
                <c:pt idx="2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D-4EC4-B2CF-F9F2CB1F2A6C}"/>
            </c:ext>
          </c:extLst>
        </c:ser>
        <c:ser>
          <c:idx val="1"/>
          <c:order val="1"/>
          <c:tx>
            <c:strRef>
              <c:f>Kinematik_2!$W$2</c:f>
              <c:strCache>
                <c:ptCount val="1"/>
                <c:pt idx="0">
                  <c:v>Senkrechte_2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Kinematik_2!$W$3:$X$3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Kinematik_2!$W$4:$X$4</c:f>
              <c:numCache>
                <c:formatCode>General</c:formatCode>
                <c:ptCount val="2"/>
                <c:pt idx="0">
                  <c:v>0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4-4A3D-AC4F-58A3941EEC57}"/>
            </c:ext>
          </c:extLst>
        </c:ser>
        <c:ser>
          <c:idx val="2"/>
          <c:order val="2"/>
          <c:tx>
            <c:strRef>
              <c:f>Kinematik_2!$Z$2</c:f>
              <c:strCache>
                <c:ptCount val="1"/>
                <c:pt idx="0">
                  <c:v>Vertikale_2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Kinematik_2!$Z$3:$AA$3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Kinematik_2!$Z$4:$AA$4</c:f>
              <c:numCache>
                <c:formatCode>General</c:formatCode>
                <c:ptCount val="2"/>
                <c:pt idx="0">
                  <c:v>119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4-4A3D-AC4F-58A3941E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84816"/>
        <c:axId val="631581936"/>
      </c:scatterChart>
      <c:valAx>
        <c:axId val="6315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1936"/>
        <c:crosses val="autoZero"/>
        <c:crossBetween val="midCat"/>
      </c:valAx>
      <c:valAx>
        <c:axId val="631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Strecke</a:t>
                </a:r>
                <a:r>
                  <a:rPr lang="de-CH" baseline="0"/>
                  <a:t> s [m]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Fourierreihe!$J$14</c:f>
              <c:strCache>
                <c:ptCount val="1"/>
                <c:pt idx="0">
                  <c:v>y0 =  sin(x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Fourierreihe!$M$14:$AY$14</c:f>
              <c:numCache>
                <c:formatCode>0.00</c:formatCode>
                <c:ptCount val="39"/>
                <c:pt idx="0">
                  <c:v>0</c:v>
                </c:pt>
                <c:pt idx="1">
                  <c:v>0.25881904510252074</c:v>
                </c:pt>
                <c:pt idx="2">
                  <c:v>0.49999999999999994</c:v>
                </c:pt>
                <c:pt idx="3">
                  <c:v>0.70710678118654746</c:v>
                </c:pt>
                <c:pt idx="4">
                  <c:v>0.8660254037844386</c:v>
                </c:pt>
                <c:pt idx="5">
                  <c:v>0.96592582628906831</c:v>
                </c:pt>
                <c:pt idx="6">
                  <c:v>1</c:v>
                </c:pt>
                <c:pt idx="7">
                  <c:v>0.96592582628906831</c:v>
                </c:pt>
                <c:pt idx="8">
                  <c:v>0.86602540378443871</c:v>
                </c:pt>
                <c:pt idx="9">
                  <c:v>0.70710678118654757</c:v>
                </c:pt>
                <c:pt idx="10">
                  <c:v>0.49999999999999994</c:v>
                </c:pt>
                <c:pt idx="11">
                  <c:v>0.25881904510252102</c:v>
                </c:pt>
                <c:pt idx="12">
                  <c:v>1.22514845490862E-16</c:v>
                </c:pt>
                <c:pt idx="13">
                  <c:v>-0.25881904510252035</c:v>
                </c:pt>
                <c:pt idx="14">
                  <c:v>-0.50000000000000011</c:v>
                </c:pt>
                <c:pt idx="15">
                  <c:v>-0.70710678118654746</c:v>
                </c:pt>
                <c:pt idx="16">
                  <c:v>-0.86602540378443837</c:v>
                </c:pt>
                <c:pt idx="17">
                  <c:v>-0.96592582628906831</c:v>
                </c:pt>
                <c:pt idx="18">
                  <c:v>-1</c:v>
                </c:pt>
                <c:pt idx="19">
                  <c:v>-0.9659258262890682</c:v>
                </c:pt>
                <c:pt idx="20">
                  <c:v>-0.8660254037844386</c:v>
                </c:pt>
                <c:pt idx="21">
                  <c:v>-0.70710678118654768</c:v>
                </c:pt>
                <c:pt idx="22">
                  <c:v>-0.50000000000000044</c:v>
                </c:pt>
                <c:pt idx="23">
                  <c:v>-0.25881904510252068</c:v>
                </c:pt>
                <c:pt idx="24">
                  <c:v>-2.45029690981724E-16</c:v>
                </c:pt>
                <c:pt idx="25">
                  <c:v>0.25881904510252024</c:v>
                </c:pt>
                <c:pt idx="26">
                  <c:v>0.49999999999999928</c:v>
                </c:pt>
                <c:pt idx="27">
                  <c:v>0.70710678118654668</c:v>
                </c:pt>
                <c:pt idx="28">
                  <c:v>0.86602540378443882</c:v>
                </c:pt>
                <c:pt idx="29">
                  <c:v>0.96592582628906831</c:v>
                </c:pt>
                <c:pt idx="30">
                  <c:v>1</c:v>
                </c:pt>
                <c:pt idx="31">
                  <c:v>0.96592582628906842</c:v>
                </c:pt>
                <c:pt idx="32">
                  <c:v>0.86602540378443915</c:v>
                </c:pt>
                <c:pt idx="33">
                  <c:v>0.70710678118654713</c:v>
                </c:pt>
                <c:pt idx="34">
                  <c:v>0.49999999999999978</c:v>
                </c:pt>
                <c:pt idx="35">
                  <c:v>0.25881904510252079</c:v>
                </c:pt>
                <c:pt idx="36">
                  <c:v>3.67544536472586E-16</c:v>
                </c:pt>
                <c:pt idx="37">
                  <c:v>-0.25881904510252185</c:v>
                </c:pt>
                <c:pt idx="38">
                  <c:v>-0.50000000000000067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1-4407-96E2-6DE2CE948826}"/>
            </c:ext>
          </c:extLst>
        </c:ser>
        <c:ser>
          <c:idx val="1"/>
          <c:order val="1"/>
          <c:tx>
            <c:strRef>
              <c:f>Fourierreihe!$J$15</c:f>
              <c:strCache>
                <c:ptCount val="1"/>
                <c:pt idx="0">
                  <c:v>y0 = 0.33 * sin(3*x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Fourierreihe!$M$15:$AY$15</c:f>
              <c:numCache>
                <c:formatCode>0.00</c:formatCode>
                <c:ptCount val="39"/>
                <c:pt idx="0">
                  <c:v>0</c:v>
                </c:pt>
                <c:pt idx="1">
                  <c:v>0.23570226039551581</c:v>
                </c:pt>
                <c:pt idx="2">
                  <c:v>0.33333333333333331</c:v>
                </c:pt>
                <c:pt idx="3">
                  <c:v>0.23570226039551584</c:v>
                </c:pt>
                <c:pt idx="4">
                  <c:v>4.083828183028733E-17</c:v>
                </c:pt>
                <c:pt idx="5">
                  <c:v>-0.23570226039551581</c:v>
                </c:pt>
                <c:pt idx="6">
                  <c:v>-0.33333333333333331</c:v>
                </c:pt>
                <c:pt idx="7">
                  <c:v>-0.23570226039551567</c:v>
                </c:pt>
                <c:pt idx="8">
                  <c:v>-8.1676563660574659E-17</c:v>
                </c:pt>
                <c:pt idx="9">
                  <c:v>0.23570226039551578</c:v>
                </c:pt>
                <c:pt idx="10">
                  <c:v>0.33333333333333331</c:v>
                </c:pt>
                <c:pt idx="11">
                  <c:v>0.23570226039551612</c:v>
                </c:pt>
                <c:pt idx="12">
                  <c:v>1.22514845490862E-16</c:v>
                </c:pt>
                <c:pt idx="13">
                  <c:v>-0.23570226039551551</c:v>
                </c:pt>
                <c:pt idx="14">
                  <c:v>-0.33333333333333331</c:v>
                </c:pt>
                <c:pt idx="15">
                  <c:v>-0.23570226039551614</c:v>
                </c:pt>
                <c:pt idx="16">
                  <c:v>-1.6335312732114932E-16</c:v>
                </c:pt>
                <c:pt idx="17">
                  <c:v>0.23570226039551592</c:v>
                </c:pt>
                <c:pt idx="18">
                  <c:v>0.33333333333333331</c:v>
                </c:pt>
                <c:pt idx="19">
                  <c:v>0.23570226039551534</c:v>
                </c:pt>
                <c:pt idx="20">
                  <c:v>2.0419140915143666E-16</c:v>
                </c:pt>
                <c:pt idx="21">
                  <c:v>-0.23570226039551589</c:v>
                </c:pt>
                <c:pt idx="22">
                  <c:v>-0.33333333333333331</c:v>
                </c:pt>
                <c:pt idx="23">
                  <c:v>-0.23570226039551537</c:v>
                </c:pt>
                <c:pt idx="24">
                  <c:v>-2.45029690981724E-16</c:v>
                </c:pt>
                <c:pt idx="25">
                  <c:v>0.23570226039551503</c:v>
                </c:pt>
                <c:pt idx="26">
                  <c:v>0.33333333333333331</c:v>
                </c:pt>
                <c:pt idx="27">
                  <c:v>0.23570226039551623</c:v>
                </c:pt>
                <c:pt idx="28">
                  <c:v>-8.9836992012148897E-16</c:v>
                </c:pt>
                <c:pt idx="29">
                  <c:v>-0.23570226039551584</c:v>
                </c:pt>
                <c:pt idx="30">
                  <c:v>-0.33333333333333331</c:v>
                </c:pt>
                <c:pt idx="31">
                  <c:v>-0.23570226039551626</c:v>
                </c:pt>
                <c:pt idx="32">
                  <c:v>-3.2670625464229864E-16</c:v>
                </c:pt>
                <c:pt idx="33">
                  <c:v>0.23570226039551662</c:v>
                </c:pt>
                <c:pt idx="34">
                  <c:v>0.33333333333333331</c:v>
                </c:pt>
                <c:pt idx="35">
                  <c:v>0.23570226039551628</c:v>
                </c:pt>
                <c:pt idx="36">
                  <c:v>3.67544536472586E-16</c:v>
                </c:pt>
                <c:pt idx="37">
                  <c:v>-0.23570226039551662</c:v>
                </c:pt>
                <c:pt idx="38">
                  <c:v>-0.33333333333333331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1-4407-96E2-6DE2CE948826}"/>
            </c:ext>
          </c:extLst>
        </c:ser>
        <c:ser>
          <c:idx val="2"/>
          <c:order val="2"/>
          <c:tx>
            <c:strRef>
              <c:f>Fourierreihe!$J$16</c:f>
              <c:strCache>
                <c:ptCount val="1"/>
                <c:pt idx="0">
                  <c:v>y0 = 0.2 * sin(5*x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Fourierreihe!$M$16:$AY$16</c:f>
              <c:numCache>
                <c:formatCode>0.00</c:formatCode>
                <c:ptCount val="39"/>
                <c:pt idx="0">
                  <c:v>0</c:v>
                </c:pt>
                <c:pt idx="1">
                  <c:v>0.19318516525781365</c:v>
                </c:pt>
                <c:pt idx="2">
                  <c:v>0.10000000000000007</c:v>
                </c:pt>
                <c:pt idx="3">
                  <c:v>-0.1414213562373095</c:v>
                </c:pt>
                <c:pt idx="4">
                  <c:v>-0.17320508075688781</c:v>
                </c:pt>
                <c:pt idx="5">
                  <c:v>5.1763809020504217E-2</c:v>
                </c:pt>
                <c:pt idx="6">
                  <c:v>0.2</c:v>
                </c:pt>
                <c:pt idx="7">
                  <c:v>5.1763809020504162E-2</c:v>
                </c:pt>
                <c:pt idx="8">
                  <c:v>-0.17320508075688756</c:v>
                </c:pt>
                <c:pt idx="9">
                  <c:v>-0.1414213562373097</c:v>
                </c:pt>
                <c:pt idx="10">
                  <c:v>0.10000000000000012</c:v>
                </c:pt>
                <c:pt idx="11">
                  <c:v>0.19318516525781371</c:v>
                </c:pt>
                <c:pt idx="12">
                  <c:v>1.22514845490862E-16</c:v>
                </c:pt>
                <c:pt idx="13">
                  <c:v>-0.19318516525781348</c:v>
                </c:pt>
                <c:pt idx="14">
                  <c:v>-0.10000000000000003</c:v>
                </c:pt>
                <c:pt idx="15">
                  <c:v>0.14142135623730953</c:v>
                </c:pt>
                <c:pt idx="16">
                  <c:v>0.17320508075688806</c:v>
                </c:pt>
                <c:pt idx="17">
                  <c:v>-5.1763809020504273E-2</c:v>
                </c:pt>
                <c:pt idx="18">
                  <c:v>-0.2</c:v>
                </c:pt>
                <c:pt idx="19">
                  <c:v>-5.176380902050394E-2</c:v>
                </c:pt>
                <c:pt idx="20">
                  <c:v>0.1732050807568879</c:v>
                </c:pt>
                <c:pt idx="21">
                  <c:v>0.14142135623730978</c:v>
                </c:pt>
                <c:pt idx="22">
                  <c:v>-9.99999999999997E-2</c:v>
                </c:pt>
                <c:pt idx="23">
                  <c:v>-0.19318516525781373</c:v>
                </c:pt>
                <c:pt idx="24">
                  <c:v>-2.45029690981724E-16</c:v>
                </c:pt>
                <c:pt idx="25">
                  <c:v>0.1931851652578136</c:v>
                </c:pt>
                <c:pt idx="26">
                  <c:v>0.10000000000000137</c:v>
                </c:pt>
                <c:pt idx="27">
                  <c:v>-0.14142135623730842</c:v>
                </c:pt>
                <c:pt idx="28">
                  <c:v>-0.17320508075688779</c:v>
                </c:pt>
                <c:pt idx="29">
                  <c:v>5.1763809020504148E-2</c:v>
                </c:pt>
                <c:pt idx="30">
                  <c:v>0.2</c:v>
                </c:pt>
                <c:pt idx="31">
                  <c:v>5.1763809020505439E-2</c:v>
                </c:pt>
                <c:pt idx="32">
                  <c:v>-0.17320508075688712</c:v>
                </c:pt>
                <c:pt idx="33">
                  <c:v>-0.14142135623730936</c:v>
                </c:pt>
                <c:pt idx="34">
                  <c:v>0.10000000000000023</c:v>
                </c:pt>
                <c:pt idx="35">
                  <c:v>0.1931851652578136</c:v>
                </c:pt>
                <c:pt idx="36">
                  <c:v>1.0780872722326862E-15</c:v>
                </c:pt>
                <c:pt idx="37">
                  <c:v>-0.19318516525781415</c:v>
                </c:pt>
                <c:pt idx="38">
                  <c:v>-9.9999999999999631E-2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1-4407-96E2-6DE2CE948826}"/>
            </c:ext>
          </c:extLst>
        </c:ser>
        <c:ser>
          <c:idx val="3"/>
          <c:order val="3"/>
          <c:tx>
            <c:strRef>
              <c:f>Fourierreihe!$J$17</c:f>
              <c:strCache>
                <c:ptCount val="1"/>
                <c:pt idx="0">
                  <c:v>y0 = 0.14 * sin(7*x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Fourierreihe!$M$17:$AY$17</c:f>
              <c:numCache>
                <c:formatCode>0.00</c:formatCode>
                <c:ptCount val="39"/>
                <c:pt idx="0">
                  <c:v>0</c:v>
                </c:pt>
                <c:pt idx="1">
                  <c:v>0.13798940375558119</c:v>
                </c:pt>
                <c:pt idx="2">
                  <c:v>-7.1428571428571383E-2</c:v>
                </c:pt>
                <c:pt idx="3">
                  <c:v>-0.1010152544552211</c:v>
                </c:pt>
                <c:pt idx="4">
                  <c:v>0.12371791482634834</c:v>
                </c:pt>
                <c:pt idx="5">
                  <c:v>3.697414930036011E-2</c:v>
                </c:pt>
                <c:pt idx="6">
                  <c:v>-0.14285714285714285</c:v>
                </c:pt>
                <c:pt idx="7">
                  <c:v>3.6974149300360241E-2</c:v>
                </c:pt>
                <c:pt idx="8">
                  <c:v>0.12371791482634846</c:v>
                </c:pt>
                <c:pt idx="9">
                  <c:v>-0.1010152544552211</c:v>
                </c:pt>
                <c:pt idx="10">
                  <c:v>-7.1428571428571438E-2</c:v>
                </c:pt>
                <c:pt idx="11">
                  <c:v>0.13798940375558116</c:v>
                </c:pt>
                <c:pt idx="12">
                  <c:v>1.22514845490862E-16</c:v>
                </c:pt>
                <c:pt idx="13">
                  <c:v>-0.13798940375558122</c:v>
                </c:pt>
                <c:pt idx="14">
                  <c:v>7.1428571428571661E-2</c:v>
                </c:pt>
                <c:pt idx="15">
                  <c:v>0.10101525445522126</c:v>
                </c:pt>
                <c:pt idx="16">
                  <c:v>-0.12371791482634821</c:v>
                </c:pt>
                <c:pt idx="17">
                  <c:v>-3.6974149300359985E-2</c:v>
                </c:pt>
                <c:pt idx="18">
                  <c:v>0.14285714285714285</c:v>
                </c:pt>
                <c:pt idx="19">
                  <c:v>-3.6974149300360609E-2</c:v>
                </c:pt>
                <c:pt idx="20">
                  <c:v>-0.12371791482634839</c:v>
                </c:pt>
                <c:pt idx="21">
                  <c:v>0.10101525445522065</c:v>
                </c:pt>
                <c:pt idx="22">
                  <c:v>7.142857142857155E-2</c:v>
                </c:pt>
                <c:pt idx="23">
                  <c:v>-0.13798940375558125</c:v>
                </c:pt>
                <c:pt idx="24">
                  <c:v>-2.45029690981724E-16</c:v>
                </c:pt>
                <c:pt idx="25">
                  <c:v>0.13798940375558139</c:v>
                </c:pt>
                <c:pt idx="26">
                  <c:v>-7.1428571428571119E-2</c:v>
                </c:pt>
                <c:pt idx="27">
                  <c:v>-0.10101525445522171</c:v>
                </c:pt>
                <c:pt idx="28">
                  <c:v>0.12371791482634865</c:v>
                </c:pt>
                <c:pt idx="29">
                  <c:v>3.6974149300360103E-2</c:v>
                </c:pt>
                <c:pt idx="30">
                  <c:v>-0.14285714285714285</c:v>
                </c:pt>
                <c:pt idx="31">
                  <c:v>3.6974149300360006E-2</c:v>
                </c:pt>
                <c:pt idx="32">
                  <c:v>0.1237179148263487</c:v>
                </c:pt>
                <c:pt idx="33">
                  <c:v>-0.10101525445522164</c:v>
                </c:pt>
                <c:pt idx="34">
                  <c:v>-7.1428571428571216E-2</c:v>
                </c:pt>
                <c:pt idx="35">
                  <c:v>0.13798940375558111</c:v>
                </c:pt>
                <c:pt idx="36">
                  <c:v>-1.399859890703427E-16</c:v>
                </c:pt>
                <c:pt idx="37">
                  <c:v>-0.13798940375558102</c:v>
                </c:pt>
                <c:pt idx="38">
                  <c:v>7.1428571428572327E-2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1-4407-96E2-6DE2CE948826}"/>
            </c:ext>
          </c:extLst>
        </c:ser>
        <c:ser>
          <c:idx val="4"/>
          <c:order val="4"/>
          <c:tx>
            <c:strRef>
              <c:f>Fourierreihe!$J$20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Fourierreihe!$M$20:$AY$20</c:f>
              <c:numCache>
                <c:formatCode>0.00</c:formatCode>
                <c:ptCount val="39"/>
                <c:pt idx="0">
                  <c:v>0</c:v>
                </c:pt>
                <c:pt idx="1">
                  <c:v>0.82569587451143145</c:v>
                </c:pt>
                <c:pt idx="2">
                  <c:v>0.86190476190476195</c:v>
                </c:pt>
                <c:pt idx="3">
                  <c:v>0.70037243088953283</c:v>
                </c:pt>
                <c:pt idx="4">
                  <c:v>0.81653823785389912</c:v>
                </c:pt>
                <c:pt idx="5">
                  <c:v>0.81896152421441692</c:v>
                </c:pt>
                <c:pt idx="6">
                  <c:v>0.7238095238095239</c:v>
                </c:pt>
                <c:pt idx="7">
                  <c:v>0.81896152421441704</c:v>
                </c:pt>
                <c:pt idx="8">
                  <c:v>0.81653823785389945</c:v>
                </c:pt>
                <c:pt idx="9">
                  <c:v>0.7003724308895326</c:v>
                </c:pt>
                <c:pt idx="10">
                  <c:v>0.86190476190476195</c:v>
                </c:pt>
                <c:pt idx="11">
                  <c:v>0.825695874511432</c:v>
                </c:pt>
                <c:pt idx="12">
                  <c:v>4.90059381963448E-16</c:v>
                </c:pt>
                <c:pt idx="13">
                  <c:v>-0.82569587451143056</c:v>
                </c:pt>
                <c:pt idx="14">
                  <c:v>-0.86190476190476195</c:v>
                </c:pt>
                <c:pt idx="15">
                  <c:v>-0.70037243088953272</c:v>
                </c:pt>
                <c:pt idx="16">
                  <c:v>-0.81653823785389867</c:v>
                </c:pt>
                <c:pt idx="17">
                  <c:v>-0.8189615242144167</c:v>
                </c:pt>
                <c:pt idx="18">
                  <c:v>-0.7238095238095239</c:v>
                </c:pt>
                <c:pt idx="19">
                  <c:v>-0.81896152421441737</c:v>
                </c:pt>
                <c:pt idx="20">
                  <c:v>-0.8165382378538989</c:v>
                </c:pt>
                <c:pt idx="21">
                  <c:v>-0.70037243088953316</c:v>
                </c:pt>
                <c:pt idx="22">
                  <c:v>-0.86190476190476184</c:v>
                </c:pt>
                <c:pt idx="23">
                  <c:v>-0.825695874511431</c:v>
                </c:pt>
                <c:pt idx="24">
                  <c:v>-9.8011876392689601E-16</c:v>
                </c:pt>
                <c:pt idx="25">
                  <c:v>0.82569587451143023</c:v>
                </c:pt>
                <c:pt idx="26">
                  <c:v>0.86190476190476284</c:v>
                </c:pt>
                <c:pt idx="27">
                  <c:v>0.70037243088953272</c:v>
                </c:pt>
                <c:pt idx="28">
                  <c:v>0.81653823785389879</c:v>
                </c:pt>
                <c:pt idx="29">
                  <c:v>0.81896152421441681</c:v>
                </c:pt>
                <c:pt idx="30">
                  <c:v>0.7238095238095239</c:v>
                </c:pt>
                <c:pt idx="31">
                  <c:v>0.8189615242144177</c:v>
                </c:pt>
                <c:pt idx="32">
                  <c:v>0.81653823785390034</c:v>
                </c:pt>
                <c:pt idx="33">
                  <c:v>0.70037243088953283</c:v>
                </c:pt>
                <c:pt idx="34">
                  <c:v>0.86190476190476206</c:v>
                </c:pt>
                <c:pt idx="35">
                  <c:v>0.82569587451143178</c:v>
                </c:pt>
                <c:pt idx="36">
                  <c:v>1.6731903561075154E-15</c:v>
                </c:pt>
                <c:pt idx="37">
                  <c:v>-0.82569587451143367</c:v>
                </c:pt>
                <c:pt idx="38">
                  <c:v>-0.86190476190476129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1-4407-96E2-6DE2CE948826}"/>
            </c:ext>
          </c:extLst>
        </c:ser>
        <c:ser>
          <c:idx val="5"/>
          <c:order val="5"/>
          <c:tx>
            <c:strRef>
              <c:f>Fourierreihe!$S$4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Fourierreihe!$W$5:$X$5</c:f>
              <c:numCache>
                <c:formatCode>General</c:formatCode>
                <c:ptCount val="2"/>
                <c:pt idx="0">
                  <c:v>270</c:v>
                </c:pt>
                <c:pt idx="1">
                  <c:v>270</c:v>
                </c:pt>
              </c:numCache>
            </c:numRef>
          </c:xVal>
          <c:yVal>
            <c:numRef>
              <c:f>Fourierreihe!$W$6:$X$6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1-4407-96E2-6DE2CE948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#TOC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1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hyperlink" Target="#TOC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hyperlink" Target="#TOC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hyperlink" Target="#TOC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hyperlink" Target="#TOC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0</xdr:row>
      <xdr:rowOff>95250</xdr:rowOff>
    </xdr:from>
    <xdr:to>
      <xdr:col>2</xdr:col>
      <xdr:colOff>335642</xdr:colOff>
      <xdr:row>0</xdr:row>
      <xdr:rowOff>417286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BBDB49-EB38-4740-9075-8244BDEC9CD0}"/>
            </a:ext>
          </a:extLst>
        </xdr:cNvPr>
        <xdr:cNvSpPr/>
      </xdr:nvSpPr>
      <xdr:spPr>
        <a:xfrm rot="10800000">
          <a:off x="171449" y="95250"/>
          <a:ext cx="508907" cy="32203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18143</xdr:colOff>
      <xdr:row>12</xdr:row>
      <xdr:rowOff>107950</xdr:rowOff>
    </xdr:from>
    <xdr:to>
      <xdr:col>44</xdr:col>
      <xdr:colOff>290285</xdr:colOff>
      <xdr:row>27</xdr:row>
      <xdr:rowOff>88900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F04A59B-F509-0AC1-9556-05B4DBAF6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511175</xdr:colOff>
      <xdr:row>12</xdr:row>
      <xdr:rowOff>69850</xdr:rowOff>
    </xdr:from>
    <xdr:to>
      <xdr:col>7</xdr:col>
      <xdr:colOff>511175</xdr:colOff>
      <xdr:row>27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7BD5F5-5D28-16D2-1DF8-B5ADC62C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12</xdr:row>
      <xdr:rowOff>76200</xdr:rowOff>
    </xdr:from>
    <xdr:to>
      <xdr:col>14</xdr:col>
      <xdr:colOff>28575</xdr:colOff>
      <xdr:row>27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4ACAE9-11DB-399B-D450-179027AD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173181</xdr:colOff>
      <xdr:row>1</xdr:row>
      <xdr:rowOff>184727</xdr:rowOff>
    </xdr:from>
    <xdr:to>
      <xdr:col>1</xdr:col>
      <xdr:colOff>323272</xdr:colOff>
      <xdr:row>4</xdr:row>
      <xdr:rowOff>92363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019828-5EEF-7C3C-87FD-5A5686701A01}"/>
            </a:ext>
          </a:extLst>
        </xdr:cNvPr>
        <xdr:cNvSpPr/>
      </xdr:nvSpPr>
      <xdr:spPr>
        <a:xfrm rot="10800000">
          <a:off x="173181" y="369454"/>
          <a:ext cx="912091" cy="65809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196273</xdr:colOff>
      <xdr:row>2</xdr:row>
      <xdr:rowOff>0</xdr:rowOff>
    </xdr:from>
    <xdr:to>
      <xdr:col>1</xdr:col>
      <xdr:colOff>496455</xdr:colOff>
      <xdr:row>5</xdr:row>
      <xdr:rowOff>230909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CE7423-1C55-19F3-001E-0A8DDA35D507}"/>
            </a:ext>
          </a:extLst>
        </xdr:cNvPr>
        <xdr:cNvSpPr/>
      </xdr:nvSpPr>
      <xdr:spPr>
        <a:xfrm rot="10800000">
          <a:off x="196273" y="484909"/>
          <a:ext cx="1062182" cy="79663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35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4C306D2-0024-4C5C-AEA7-52B189B0F8FB}"/>
            </a:ext>
          </a:extLst>
        </xdr:cNvPr>
        <xdr:cNvSpPr txBox="1"/>
      </xdr:nvSpPr>
      <xdr:spPr>
        <a:xfrm>
          <a:off x="17497425" y="715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721001</xdr:colOff>
      <xdr:row>22</xdr:row>
      <xdr:rowOff>183792</xdr:rowOff>
    </xdr:from>
    <xdr:to>
      <xdr:col>50</xdr:col>
      <xdr:colOff>412749</xdr:colOff>
      <xdr:row>68</xdr:row>
      <xdr:rowOff>158749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218199C-7D10-4562-AB6D-ACF7F2E50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4" name="Pfeil: nach recht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91508CB-38C0-4124-B355-A490A19399DF}"/>
            </a:ext>
          </a:extLst>
        </xdr:cNvPr>
        <xdr:cNvSpPr/>
      </xdr:nvSpPr>
      <xdr:spPr>
        <a:xfrm rot="10800000">
          <a:off x="615950" y="654050"/>
          <a:ext cx="1666875" cy="102235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0</xdr:colOff>
      <xdr:row>35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19C7CDC-79FA-429A-985A-B51FE475AB30}"/>
            </a:ext>
          </a:extLst>
        </xdr:cNvPr>
        <xdr:cNvSpPr txBox="1"/>
      </xdr:nvSpPr>
      <xdr:spPr>
        <a:xfrm>
          <a:off x="18059400" y="628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721001</xdr:colOff>
      <xdr:row>22</xdr:row>
      <xdr:rowOff>183792</xdr:rowOff>
    </xdr:from>
    <xdr:to>
      <xdr:col>51</xdr:col>
      <xdr:colOff>412749</xdr:colOff>
      <xdr:row>68</xdr:row>
      <xdr:rowOff>158749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0B33054-7231-4A97-A9F8-31B56B694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5" name="Pfeil: nach recht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62F0F8-E53B-58D8-0CBE-DC173F63560B}"/>
            </a:ext>
          </a:extLst>
        </xdr:cNvPr>
        <xdr:cNvSpPr/>
      </xdr:nvSpPr>
      <xdr:spPr>
        <a:xfrm rot="10800000">
          <a:off x="619125" y="650875"/>
          <a:ext cx="1682750" cy="106362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33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74F87DA-4D2B-484E-BB10-4B019F14C5F8}"/>
            </a:ext>
          </a:extLst>
        </xdr:cNvPr>
        <xdr:cNvSpPr txBox="1"/>
      </xdr:nvSpPr>
      <xdr:spPr>
        <a:xfrm>
          <a:off x="17468850" y="723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4" name="Pfeil: nach recht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03CD9-A559-4E04-9AFB-A307E4DE1344}"/>
            </a:ext>
          </a:extLst>
        </xdr:cNvPr>
        <xdr:cNvSpPr/>
      </xdr:nvSpPr>
      <xdr:spPr>
        <a:xfrm rot="10800000">
          <a:off x="619125" y="650875"/>
          <a:ext cx="1670050" cy="10318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127001</xdr:colOff>
      <xdr:row>20</xdr:row>
      <xdr:rowOff>57148</xdr:rowOff>
    </xdr:from>
    <xdr:to>
      <xdr:col>35</xdr:col>
      <xdr:colOff>381000</xdr:colOff>
      <xdr:row>51</xdr:row>
      <xdr:rowOff>80818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82D249E-353E-F6B6-8638-4DD3F5B79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549286</xdr:colOff>
      <xdr:row>28</xdr:row>
      <xdr:rowOff>21980</xdr:rowOff>
    </xdr:from>
    <xdr:to>
      <xdr:col>13</xdr:col>
      <xdr:colOff>236702</xdr:colOff>
      <xdr:row>39</xdr:row>
      <xdr:rowOff>190500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C9CA2E73-6C0B-433D-B82A-A91D57296E0E}"/>
            </a:ext>
          </a:extLst>
        </xdr:cNvPr>
        <xdr:cNvGrpSpPr/>
      </xdr:nvGrpSpPr>
      <xdr:grpSpPr>
        <a:xfrm>
          <a:off x="9693286" y="9769230"/>
          <a:ext cx="449416" cy="5058020"/>
          <a:chOff x="8934450" y="3259336"/>
          <a:chExt cx="459441" cy="1970228"/>
        </a:xfrm>
      </xdr:grpSpPr>
      <xdr:sp macro="" textlink="">
        <xdr:nvSpPr>
          <xdr:cNvPr id="3" name="Rechteck 2">
            <a:extLst>
              <a:ext uri="{FF2B5EF4-FFF2-40B4-BE49-F238E27FC236}">
                <a16:creationId xmlns:a16="http://schemas.microsoft.com/office/drawing/2014/main" id="{B6C291D7-D1CC-D413-7F33-8456AB113FAB}"/>
              </a:ext>
            </a:extLst>
          </xdr:cNvPr>
          <xdr:cNvSpPr/>
        </xdr:nvSpPr>
        <xdr:spPr>
          <a:xfrm>
            <a:off x="8967341" y="3670765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" name="Gerader Verbinder 3">
            <a:extLst>
              <a:ext uri="{FF2B5EF4-FFF2-40B4-BE49-F238E27FC236}">
                <a16:creationId xmlns:a16="http://schemas.microsoft.com/office/drawing/2014/main" id="{E0516A6C-46E8-BE1F-C4ED-9EF051F7D675}"/>
              </a:ext>
            </a:extLst>
          </xdr:cNvPr>
          <xdr:cNvCxnSpPr>
            <a:cxnSpLocks/>
            <a:endCxn id="3" idx="0"/>
          </xdr:cNvCxnSpPr>
        </xdr:nvCxnSpPr>
        <xdr:spPr>
          <a:xfrm flipH="1">
            <a:off x="9153078" y="3259336"/>
            <a:ext cx="6321" cy="41142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Gerader Verbinder 4">
            <a:extLst>
              <a:ext uri="{FF2B5EF4-FFF2-40B4-BE49-F238E27FC236}">
                <a16:creationId xmlns:a16="http://schemas.microsoft.com/office/drawing/2014/main" id="{D52E6FF7-FD77-5860-9AD4-5A7BCF9E9B01}"/>
              </a:ext>
            </a:extLst>
          </xdr:cNvPr>
          <xdr:cNvCxnSpPr>
            <a:stCxn id="3" idx="2"/>
          </xdr:cNvCxnSpPr>
        </xdr:nvCxnSpPr>
        <xdr:spPr>
          <a:xfrm flipH="1">
            <a:off x="9150437" y="4747090"/>
            <a:ext cx="2642" cy="482474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9ED66A94-986F-EFDB-1761-286EDF7C2B3F}"/>
              </a:ext>
            </a:extLst>
          </xdr:cNvPr>
          <xdr:cNvSpPr txBox="1"/>
        </xdr:nvSpPr>
        <xdr:spPr>
          <a:xfrm>
            <a:off x="8934450" y="4010025"/>
            <a:ext cx="459441" cy="43370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</a:t>
            </a:r>
          </a:p>
        </xdr:txBody>
      </xdr:sp>
    </xdr:grpSp>
    <xdr:clientData/>
  </xdr:twoCellAnchor>
  <xdr:twoCellAnchor>
    <xdr:from>
      <xdr:col>13</xdr:col>
      <xdr:colOff>358771</xdr:colOff>
      <xdr:row>16</xdr:row>
      <xdr:rowOff>38099</xdr:rowOff>
    </xdr:from>
    <xdr:to>
      <xdr:col>14</xdr:col>
      <xdr:colOff>52537</xdr:colOff>
      <xdr:row>28</xdr:row>
      <xdr:rowOff>3173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3FD35CD0-025F-4E25-A335-0736E6576A63}"/>
            </a:ext>
          </a:extLst>
        </xdr:cNvPr>
        <xdr:cNvGrpSpPr/>
      </xdr:nvGrpSpPr>
      <xdr:grpSpPr>
        <a:xfrm>
          <a:off x="10264771" y="4451349"/>
          <a:ext cx="455766" cy="5299074"/>
          <a:chOff x="8934450" y="3310662"/>
          <a:chExt cx="463177" cy="2140980"/>
        </a:xfrm>
      </xdr:grpSpPr>
      <xdr:sp macro="" textlink="">
        <xdr:nvSpPr>
          <xdr:cNvPr id="8" name="Rechteck 7">
            <a:extLst>
              <a:ext uri="{FF2B5EF4-FFF2-40B4-BE49-F238E27FC236}">
                <a16:creationId xmlns:a16="http://schemas.microsoft.com/office/drawing/2014/main" id="{48E5D1AE-E9D4-7EF3-72A8-26934DE550D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" name="Gerader Verbinder 8">
            <a:extLst>
              <a:ext uri="{FF2B5EF4-FFF2-40B4-BE49-F238E27FC236}">
                <a16:creationId xmlns:a16="http://schemas.microsoft.com/office/drawing/2014/main" id="{97AB5AFA-CF0A-FA89-42BD-AF67D5C1DF6A}"/>
              </a:ext>
            </a:extLst>
          </xdr:cNvPr>
          <xdr:cNvCxnSpPr>
            <a:endCxn id="8" idx="0"/>
          </xdr:cNvCxnSpPr>
        </xdr:nvCxnSpPr>
        <xdr:spPr>
          <a:xfrm flipH="1">
            <a:off x="9145588" y="3310662"/>
            <a:ext cx="3302" cy="46758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Gerader Verbinder 9">
            <a:extLst>
              <a:ext uri="{FF2B5EF4-FFF2-40B4-BE49-F238E27FC236}">
                <a16:creationId xmlns:a16="http://schemas.microsoft.com/office/drawing/2014/main" id="{33E747D4-4D3F-7AB0-C551-B36A7E030ADE}"/>
              </a:ext>
            </a:extLst>
          </xdr:cNvPr>
          <xdr:cNvCxnSpPr>
            <a:stCxn id="8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1" name="Textfeld 10">
            <a:extLst>
              <a:ext uri="{FF2B5EF4-FFF2-40B4-BE49-F238E27FC236}">
                <a16:creationId xmlns:a16="http://schemas.microsoft.com/office/drawing/2014/main" id="{87139A27-4A55-AE34-1795-0B8312D7F5F7}"/>
              </a:ext>
            </a:extLst>
          </xdr:cNvPr>
          <xdr:cNvSpPr txBox="1"/>
        </xdr:nvSpPr>
        <xdr:spPr>
          <a:xfrm>
            <a:off x="8934450" y="4010025"/>
            <a:ext cx="463177" cy="41931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3</a:t>
            </a:r>
          </a:p>
        </xdr:txBody>
      </xdr:sp>
    </xdr:grpSp>
    <xdr:clientData/>
  </xdr:twoCellAnchor>
  <xdr:twoCellAnchor>
    <xdr:from>
      <xdr:col>12</xdr:col>
      <xdr:colOff>171450</xdr:colOff>
      <xdr:row>16</xdr:row>
      <xdr:rowOff>30080</xdr:rowOff>
    </xdr:from>
    <xdr:to>
      <xdr:col>12</xdr:col>
      <xdr:colOff>627216</xdr:colOff>
      <xdr:row>28</xdr:row>
      <xdr:rowOff>9525</xdr:rowOff>
    </xdr:to>
    <xdr:grpSp>
      <xdr:nvGrpSpPr>
        <xdr:cNvPr id="12" name="Gruppieren 11">
          <a:extLst>
            <a:ext uri="{FF2B5EF4-FFF2-40B4-BE49-F238E27FC236}">
              <a16:creationId xmlns:a16="http://schemas.microsoft.com/office/drawing/2014/main" id="{788D343F-5EC0-40EE-A54F-D5B5231A1561}"/>
            </a:ext>
          </a:extLst>
        </xdr:cNvPr>
        <xdr:cNvGrpSpPr/>
      </xdr:nvGrpSpPr>
      <xdr:grpSpPr>
        <a:xfrm>
          <a:off x="9315450" y="4443330"/>
          <a:ext cx="455766" cy="5313445"/>
          <a:chOff x="8934450" y="3378101"/>
          <a:chExt cx="455766" cy="2073541"/>
        </a:xfrm>
      </xdr:grpSpPr>
      <xdr:sp macro="" textlink="">
        <xdr:nvSpPr>
          <xdr:cNvPr id="13" name="Rechteck 12">
            <a:extLst>
              <a:ext uri="{FF2B5EF4-FFF2-40B4-BE49-F238E27FC236}">
                <a16:creationId xmlns:a16="http://schemas.microsoft.com/office/drawing/2014/main" id="{2251E6FD-FC51-40A9-F7DE-15CAB986AC9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4" name="Gerader Verbinder 13">
            <a:extLst>
              <a:ext uri="{FF2B5EF4-FFF2-40B4-BE49-F238E27FC236}">
                <a16:creationId xmlns:a16="http://schemas.microsoft.com/office/drawing/2014/main" id="{BAE997CA-FAAF-BF70-3A5C-60B1EEA5410F}"/>
              </a:ext>
            </a:extLst>
          </xdr:cNvPr>
          <xdr:cNvCxnSpPr>
            <a:endCxn id="13" idx="0"/>
          </xdr:cNvCxnSpPr>
        </xdr:nvCxnSpPr>
        <xdr:spPr>
          <a:xfrm>
            <a:off x="9144000" y="3378101"/>
            <a:ext cx="1588" cy="40014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Gerader Verbinder 14">
            <a:extLst>
              <a:ext uri="{FF2B5EF4-FFF2-40B4-BE49-F238E27FC236}">
                <a16:creationId xmlns:a16="http://schemas.microsoft.com/office/drawing/2014/main" id="{FBECA9A9-A515-7AB0-3E32-68E2318E196E}"/>
              </a:ext>
            </a:extLst>
          </xdr:cNvPr>
          <xdr:cNvCxnSpPr>
            <a:stCxn id="1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" name="Textfeld 15">
            <a:extLst>
              <a:ext uri="{FF2B5EF4-FFF2-40B4-BE49-F238E27FC236}">
                <a16:creationId xmlns:a16="http://schemas.microsoft.com/office/drawing/2014/main" id="{A1EDCC6D-3C09-B382-201E-4981D438A986}"/>
              </a:ext>
            </a:extLst>
          </xdr:cNvPr>
          <xdr:cNvSpPr txBox="1"/>
        </xdr:nvSpPr>
        <xdr:spPr>
          <a:xfrm>
            <a:off x="8934450" y="4010025"/>
            <a:ext cx="455766" cy="41433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2</a:t>
            </a:r>
          </a:p>
        </xdr:txBody>
      </xdr:sp>
    </xdr:grpSp>
    <xdr:clientData/>
  </xdr:twoCellAnchor>
  <xdr:twoCellAnchor>
    <xdr:from>
      <xdr:col>9</xdr:col>
      <xdr:colOff>533400</xdr:colOff>
      <xdr:row>16</xdr:row>
      <xdr:rowOff>11258</xdr:rowOff>
    </xdr:from>
    <xdr:to>
      <xdr:col>10</xdr:col>
      <xdr:colOff>227166</xdr:colOff>
      <xdr:row>39</xdr:row>
      <xdr:rowOff>183173</xdr:rowOff>
    </xdr:to>
    <xdr:grpSp>
      <xdr:nvGrpSpPr>
        <xdr:cNvPr id="17" name="Gruppieren 16">
          <a:extLst>
            <a:ext uri="{FF2B5EF4-FFF2-40B4-BE49-F238E27FC236}">
              <a16:creationId xmlns:a16="http://schemas.microsoft.com/office/drawing/2014/main" id="{F651E0F5-4314-4A8D-934D-DDE6B8A595FC}"/>
            </a:ext>
          </a:extLst>
        </xdr:cNvPr>
        <xdr:cNvGrpSpPr/>
      </xdr:nvGrpSpPr>
      <xdr:grpSpPr>
        <a:xfrm>
          <a:off x="7391400" y="4424508"/>
          <a:ext cx="455766" cy="10395415"/>
          <a:chOff x="8934450" y="1116547"/>
          <a:chExt cx="455766" cy="4229676"/>
        </a:xfrm>
      </xdr:grpSpPr>
      <xdr:cxnSp macro="">
        <xdr:nvCxnSpPr>
          <xdr:cNvPr id="19" name="Gerader Verbinder 18">
            <a:extLst>
              <a:ext uri="{FF2B5EF4-FFF2-40B4-BE49-F238E27FC236}">
                <a16:creationId xmlns:a16="http://schemas.microsoft.com/office/drawing/2014/main" id="{CE726624-081B-9AB0-3B21-C2F2998B53CD}"/>
              </a:ext>
            </a:extLst>
          </xdr:cNvPr>
          <xdr:cNvCxnSpPr>
            <a:endCxn id="18" idx="0"/>
          </xdr:cNvCxnSpPr>
        </xdr:nvCxnSpPr>
        <xdr:spPr>
          <a:xfrm flipH="1">
            <a:off x="9196877" y="1116547"/>
            <a:ext cx="16396" cy="25935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" name="Gerader Verbinder 19">
            <a:extLst>
              <a:ext uri="{FF2B5EF4-FFF2-40B4-BE49-F238E27FC236}">
                <a16:creationId xmlns:a16="http://schemas.microsoft.com/office/drawing/2014/main" id="{6BF118E1-F6D4-24A8-8781-4FD689DFBD85}"/>
              </a:ext>
            </a:extLst>
          </xdr:cNvPr>
          <xdr:cNvCxnSpPr>
            <a:stCxn id="18" idx="2"/>
          </xdr:cNvCxnSpPr>
        </xdr:nvCxnSpPr>
        <xdr:spPr>
          <a:xfrm>
            <a:off x="9196877" y="4786418"/>
            <a:ext cx="2808" cy="55980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" name="Textfeld 20">
            <a:extLst>
              <a:ext uri="{FF2B5EF4-FFF2-40B4-BE49-F238E27FC236}">
                <a16:creationId xmlns:a16="http://schemas.microsoft.com/office/drawing/2014/main" id="{5233C419-2A9E-DADC-770A-06F56ECC9B34}"/>
              </a:ext>
            </a:extLst>
          </xdr:cNvPr>
          <xdr:cNvSpPr txBox="1"/>
        </xdr:nvSpPr>
        <xdr:spPr>
          <a:xfrm>
            <a:off x="8934450" y="4010025"/>
            <a:ext cx="455766" cy="425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</a:t>
            </a:r>
          </a:p>
        </xdr:txBody>
      </xdr:sp>
      <xdr:sp macro="" textlink="">
        <xdr:nvSpPr>
          <xdr:cNvPr id="18" name="Rechteck 17">
            <a:extLst>
              <a:ext uri="{FF2B5EF4-FFF2-40B4-BE49-F238E27FC236}">
                <a16:creationId xmlns:a16="http://schemas.microsoft.com/office/drawing/2014/main" id="{67683963-2CCB-8186-24FD-BD96F74267F2}"/>
              </a:ext>
            </a:extLst>
          </xdr:cNvPr>
          <xdr:cNvSpPr/>
        </xdr:nvSpPr>
        <xdr:spPr>
          <a:xfrm>
            <a:off x="9011139" y="3710093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</xdr:grpSp>
    <xdr:clientData/>
  </xdr:twoCellAnchor>
  <xdr:twoCellAnchor>
    <xdr:from>
      <xdr:col>10</xdr:col>
      <xdr:colOff>542925</xdr:colOff>
      <xdr:row>16</xdr:row>
      <xdr:rowOff>6350</xdr:rowOff>
    </xdr:from>
    <xdr:to>
      <xdr:col>11</xdr:col>
      <xdr:colOff>236691</xdr:colOff>
      <xdr:row>39</xdr:row>
      <xdr:rowOff>171449</xdr:rowOff>
    </xdr:to>
    <xdr:grpSp>
      <xdr:nvGrpSpPr>
        <xdr:cNvPr id="22" name="Gruppieren 21">
          <a:extLst>
            <a:ext uri="{FF2B5EF4-FFF2-40B4-BE49-F238E27FC236}">
              <a16:creationId xmlns:a16="http://schemas.microsoft.com/office/drawing/2014/main" id="{09D19D0B-4397-4318-A5E0-B0680656387E}"/>
            </a:ext>
          </a:extLst>
        </xdr:cNvPr>
        <xdr:cNvGrpSpPr/>
      </xdr:nvGrpSpPr>
      <xdr:grpSpPr>
        <a:xfrm>
          <a:off x="8162925" y="4419600"/>
          <a:ext cx="455766" cy="10388599"/>
          <a:chOff x="8934450" y="1108047"/>
          <a:chExt cx="455766" cy="4343595"/>
        </a:xfrm>
      </xdr:grpSpPr>
      <xdr:sp macro="" textlink="">
        <xdr:nvSpPr>
          <xdr:cNvPr id="23" name="Rechteck 22">
            <a:extLst>
              <a:ext uri="{FF2B5EF4-FFF2-40B4-BE49-F238E27FC236}">
                <a16:creationId xmlns:a16="http://schemas.microsoft.com/office/drawing/2014/main" id="{2ED27C57-3DB1-D123-7053-DAB4DBE18751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4" name="Gerader Verbinder 23">
            <a:extLst>
              <a:ext uri="{FF2B5EF4-FFF2-40B4-BE49-F238E27FC236}">
                <a16:creationId xmlns:a16="http://schemas.microsoft.com/office/drawing/2014/main" id="{FBE8E08A-4CDB-C4FF-3DED-02CEC854EDDA}"/>
              </a:ext>
            </a:extLst>
          </xdr:cNvPr>
          <xdr:cNvCxnSpPr>
            <a:endCxn id="23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Gerader Verbinder 24">
            <a:extLst>
              <a:ext uri="{FF2B5EF4-FFF2-40B4-BE49-F238E27FC236}">
                <a16:creationId xmlns:a16="http://schemas.microsoft.com/office/drawing/2014/main" id="{A448CB53-5326-BE33-D02D-16D56050692E}"/>
              </a:ext>
            </a:extLst>
          </xdr:cNvPr>
          <xdr:cNvCxnSpPr>
            <a:stCxn id="2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6" name="Textfeld 25">
            <a:extLst>
              <a:ext uri="{FF2B5EF4-FFF2-40B4-BE49-F238E27FC236}">
                <a16:creationId xmlns:a16="http://schemas.microsoft.com/office/drawing/2014/main" id="{EAB4258E-F7EE-AA28-9EE1-36D27578D582}"/>
              </a:ext>
            </a:extLst>
          </xdr:cNvPr>
          <xdr:cNvSpPr txBox="1"/>
        </xdr:nvSpPr>
        <xdr:spPr>
          <a:xfrm>
            <a:off x="8934450" y="4010025"/>
            <a:ext cx="455766" cy="4280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5</a:t>
            </a:r>
          </a:p>
        </xdr:txBody>
      </xdr:sp>
    </xdr:grpSp>
    <xdr:clientData/>
  </xdr:twoCellAnchor>
  <xdr:twoCellAnchor>
    <xdr:from>
      <xdr:col>10</xdr:col>
      <xdr:colOff>561987</xdr:colOff>
      <xdr:row>4</xdr:row>
      <xdr:rowOff>21771</xdr:rowOff>
    </xdr:from>
    <xdr:to>
      <xdr:col>11</xdr:col>
      <xdr:colOff>255753</xdr:colOff>
      <xdr:row>16</xdr:row>
      <xdr:rowOff>9523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F79CA652-6F5D-4C5E-8E9A-BDE773339019}"/>
            </a:ext>
          </a:extLst>
        </xdr:cNvPr>
        <xdr:cNvGrpSpPr/>
      </xdr:nvGrpSpPr>
      <xdr:grpSpPr>
        <a:xfrm>
          <a:off x="8181987" y="926646"/>
          <a:ext cx="455766" cy="3496127"/>
          <a:chOff x="8934450" y="3281431"/>
          <a:chExt cx="448531" cy="2170211"/>
        </a:xfrm>
      </xdr:grpSpPr>
      <xdr:sp macro="" textlink="">
        <xdr:nvSpPr>
          <xdr:cNvPr id="28" name="Rechteck 27">
            <a:extLst>
              <a:ext uri="{FF2B5EF4-FFF2-40B4-BE49-F238E27FC236}">
                <a16:creationId xmlns:a16="http://schemas.microsoft.com/office/drawing/2014/main" id="{14BA0D7C-CACA-ED52-BC5F-932A16CC5394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9" name="Gerader Verbinder 28">
            <a:extLst>
              <a:ext uri="{FF2B5EF4-FFF2-40B4-BE49-F238E27FC236}">
                <a16:creationId xmlns:a16="http://schemas.microsoft.com/office/drawing/2014/main" id="{0729A5C8-1015-4CCC-2EF1-4C8BFF068AA2}"/>
              </a:ext>
            </a:extLst>
          </xdr:cNvPr>
          <xdr:cNvCxnSpPr>
            <a:endCxn id="28" idx="0"/>
          </xdr:cNvCxnSpPr>
        </xdr:nvCxnSpPr>
        <xdr:spPr>
          <a:xfrm>
            <a:off x="9136657" y="3281431"/>
            <a:ext cx="5756" cy="4968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Gerader Verbinder 29">
            <a:extLst>
              <a:ext uri="{FF2B5EF4-FFF2-40B4-BE49-F238E27FC236}">
                <a16:creationId xmlns:a16="http://schemas.microsoft.com/office/drawing/2014/main" id="{8C3B192D-CB8A-B652-FBF0-F96670770175}"/>
              </a:ext>
            </a:extLst>
          </xdr:cNvPr>
          <xdr:cNvCxnSpPr>
            <a:stCxn id="28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" name="Textfeld 30">
            <a:extLst>
              <a:ext uri="{FF2B5EF4-FFF2-40B4-BE49-F238E27FC236}">
                <a16:creationId xmlns:a16="http://schemas.microsoft.com/office/drawing/2014/main" id="{21387352-0F71-091D-22C1-7B9CFC064E0D}"/>
              </a:ext>
            </a:extLst>
          </xdr:cNvPr>
          <xdr:cNvSpPr txBox="1"/>
        </xdr:nvSpPr>
        <xdr:spPr>
          <a:xfrm>
            <a:off x="8934450" y="4010025"/>
            <a:ext cx="448531" cy="4018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4</xdr:col>
      <xdr:colOff>552450</xdr:colOff>
      <xdr:row>4</xdr:row>
      <xdr:rowOff>28575</xdr:rowOff>
    </xdr:from>
    <xdr:to>
      <xdr:col>5</xdr:col>
      <xdr:colOff>246216</xdr:colOff>
      <xdr:row>39</xdr:row>
      <xdr:rowOff>190500</xdr:rowOff>
    </xdr:to>
    <xdr:grpSp>
      <xdr:nvGrpSpPr>
        <xdr:cNvPr id="32" name="Gruppieren 31">
          <a:extLst>
            <a:ext uri="{FF2B5EF4-FFF2-40B4-BE49-F238E27FC236}">
              <a16:creationId xmlns:a16="http://schemas.microsoft.com/office/drawing/2014/main" id="{C671B817-CF8D-4FAF-9921-9C092ABAEEAC}"/>
            </a:ext>
          </a:extLst>
        </xdr:cNvPr>
        <xdr:cNvGrpSpPr/>
      </xdr:nvGrpSpPr>
      <xdr:grpSpPr>
        <a:xfrm>
          <a:off x="3600450" y="933450"/>
          <a:ext cx="455766" cy="13893800"/>
          <a:chOff x="8934450" y="1094414"/>
          <a:chExt cx="455766" cy="6412628"/>
        </a:xfrm>
      </xdr:grpSpPr>
      <xdr:sp macro="" textlink="">
        <xdr:nvSpPr>
          <xdr:cNvPr id="33" name="Rechteck 32">
            <a:extLst>
              <a:ext uri="{FF2B5EF4-FFF2-40B4-BE49-F238E27FC236}">
                <a16:creationId xmlns:a16="http://schemas.microsoft.com/office/drawing/2014/main" id="{9D5FC9B0-F3A7-F0CE-8E1F-1DEB6079290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34" name="Gerader Verbinder 33">
            <a:extLst>
              <a:ext uri="{FF2B5EF4-FFF2-40B4-BE49-F238E27FC236}">
                <a16:creationId xmlns:a16="http://schemas.microsoft.com/office/drawing/2014/main" id="{E947AFAC-73E5-AB04-B621-64290E97DA26}"/>
              </a:ext>
            </a:extLst>
          </xdr:cNvPr>
          <xdr:cNvCxnSpPr>
            <a:endCxn id="33" idx="0"/>
          </xdr:cNvCxnSpPr>
        </xdr:nvCxnSpPr>
        <xdr:spPr>
          <a:xfrm flipH="1">
            <a:off x="9145588" y="1094414"/>
            <a:ext cx="7937" cy="26838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Gerader Verbinder 34">
            <a:extLst>
              <a:ext uri="{FF2B5EF4-FFF2-40B4-BE49-F238E27FC236}">
                <a16:creationId xmlns:a16="http://schemas.microsoft.com/office/drawing/2014/main" id="{DAA46AE3-DEBF-011D-4141-9145F3A4FDEE}"/>
              </a:ext>
            </a:extLst>
          </xdr:cNvPr>
          <xdr:cNvCxnSpPr>
            <a:stCxn id="33" idx="2"/>
          </xdr:cNvCxnSpPr>
        </xdr:nvCxnSpPr>
        <xdr:spPr>
          <a:xfrm flipH="1">
            <a:off x="9144000" y="4854575"/>
            <a:ext cx="1588" cy="265246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6" name="Textfeld 35">
            <a:extLst>
              <a:ext uri="{FF2B5EF4-FFF2-40B4-BE49-F238E27FC236}">
                <a16:creationId xmlns:a16="http://schemas.microsoft.com/office/drawing/2014/main" id="{36392F6D-AEE8-DF8D-768F-FFAB3C17A31B}"/>
              </a:ext>
            </a:extLst>
          </xdr:cNvPr>
          <xdr:cNvSpPr txBox="1"/>
        </xdr:nvSpPr>
        <xdr:spPr>
          <a:xfrm>
            <a:off x="8934450" y="4010025"/>
            <a:ext cx="455766" cy="4184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9</a:t>
            </a:r>
          </a:p>
        </xdr:txBody>
      </xdr:sp>
    </xdr:grpSp>
    <xdr:clientData/>
  </xdr:twoCellAnchor>
  <xdr:twoCellAnchor>
    <xdr:from>
      <xdr:col>5</xdr:col>
      <xdr:colOff>561975</xdr:colOff>
      <xdr:row>4</xdr:row>
      <xdr:rowOff>25400</xdr:rowOff>
    </xdr:from>
    <xdr:to>
      <xdr:col>6</xdr:col>
      <xdr:colOff>255741</xdr:colOff>
      <xdr:row>23</xdr:row>
      <xdr:rowOff>133349</xdr:rowOff>
    </xdr:to>
    <xdr:grpSp>
      <xdr:nvGrpSpPr>
        <xdr:cNvPr id="37" name="Gruppieren 36">
          <a:extLst>
            <a:ext uri="{FF2B5EF4-FFF2-40B4-BE49-F238E27FC236}">
              <a16:creationId xmlns:a16="http://schemas.microsoft.com/office/drawing/2014/main" id="{5B11633B-30C4-4867-9D92-5E29F23A9E1F}"/>
            </a:ext>
          </a:extLst>
        </xdr:cNvPr>
        <xdr:cNvGrpSpPr/>
      </xdr:nvGrpSpPr>
      <xdr:grpSpPr>
        <a:xfrm>
          <a:off x="4371975" y="930275"/>
          <a:ext cx="455766" cy="6727824"/>
          <a:chOff x="8934450" y="1892573"/>
          <a:chExt cx="455766" cy="3559069"/>
        </a:xfrm>
      </xdr:grpSpPr>
      <xdr:sp macro="" textlink="">
        <xdr:nvSpPr>
          <xdr:cNvPr id="38" name="Rechteck 37">
            <a:extLst>
              <a:ext uri="{FF2B5EF4-FFF2-40B4-BE49-F238E27FC236}">
                <a16:creationId xmlns:a16="http://schemas.microsoft.com/office/drawing/2014/main" id="{85E8EA8B-4A70-7AB0-2ADD-743C1BECFD64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39" name="Gerader Verbinder 38">
            <a:extLst>
              <a:ext uri="{FF2B5EF4-FFF2-40B4-BE49-F238E27FC236}">
                <a16:creationId xmlns:a16="http://schemas.microsoft.com/office/drawing/2014/main" id="{ADD912D7-1E6D-BF74-BBF4-8F18176E1D7D}"/>
              </a:ext>
            </a:extLst>
          </xdr:cNvPr>
          <xdr:cNvCxnSpPr>
            <a:endCxn id="38" idx="0"/>
          </xdr:cNvCxnSpPr>
        </xdr:nvCxnSpPr>
        <xdr:spPr>
          <a:xfrm flipH="1">
            <a:off x="9145588" y="1892573"/>
            <a:ext cx="1587" cy="188567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Gerader Verbinder 39">
            <a:extLst>
              <a:ext uri="{FF2B5EF4-FFF2-40B4-BE49-F238E27FC236}">
                <a16:creationId xmlns:a16="http://schemas.microsoft.com/office/drawing/2014/main" id="{E03DA228-80CC-DD14-39B8-669B28487188}"/>
              </a:ext>
            </a:extLst>
          </xdr:cNvPr>
          <xdr:cNvCxnSpPr>
            <a:stCxn id="38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1" name="Textfeld 40">
            <a:extLst>
              <a:ext uri="{FF2B5EF4-FFF2-40B4-BE49-F238E27FC236}">
                <a16:creationId xmlns:a16="http://schemas.microsoft.com/office/drawing/2014/main" id="{33373026-10FB-5FB6-511B-863BDFA78670}"/>
              </a:ext>
            </a:extLst>
          </xdr:cNvPr>
          <xdr:cNvSpPr txBox="1"/>
        </xdr:nvSpPr>
        <xdr:spPr>
          <a:xfrm>
            <a:off x="8934450" y="4010025"/>
            <a:ext cx="455766" cy="4071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</a:t>
            </a:r>
          </a:p>
        </xdr:txBody>
      </xdr:sp>
    </xdr:grpSp>
    <xdr:clientData/>
  </xdr:twoCellAnchor>
  <xdr:twoCellAnchor>
    <xdr:from>
      <xdr:col>5</xdr:col>
      <xdr:colOff>561986</xdr:colOff>
      <xdr:row>23</xdr:row>
      <xdr:rowOff>107949</xdr:rowOff>
    </xdr:from>
    <xdr:to>
      <xdr:col>6</xdr:col>
      <xdr:colOff>255752</xdr:colOff>
      <xdr:row>39</xdr:row>
      <xdr:rowOff>190499</xdr:rowOff>
    </xdr:to>
    <xdr:grpSp>
      <xdr:nvGrpSpPr>
        <xdr:cNvPr id="42" name="Gruppieren 41">
          <a:extLst>
            <a:ext uri="{FF2B5EF4-FFF2-40B4-BE49-F238E27FC236}">
              <a16:creationId xmlns:a16="http://schemas.microsoft.com/office/drawing/2014/main" id="{62206634-A6F7-4A16-8592-FE7DE7081C75}"/>
            </a:ext>
          </a:extLst>
        </xdr:cNvPr>
        <xdr:cNvGrpSpPr/>
      </xdr:nvGrpSpPr>
      <xdr:grpSpPr>
        <a:xfrm>
          <a:off x="4371986" y="7632699"/>
          <a:ext cx="455766" cy="7194550"/>
          <a:chOff x="8934450" y="3254331"/>
          <a:chExt cx="448588" cy="2885570"/>
        </a:xfrm>
      </xdr:grpSpPr>
      <xdr:sp macro="" textlink="">
        <xdr:nvSpPr>
          <xdr:cNvPr id="43" name="Rechteck 42">
            <a:extLst>
              <a:ext uri="{FF2B5EF4-FFF2-40B4-BE49-F238E27FC236}">
                <a16:creationId xmlns:a16="http://schemas.microsoft.com/office/drawing/2014/main" id="{879F0E16-0A21-0B8A-F2A7-BFFAA1EF1C19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4" name="Gerader Verbinder 43">
            <a:extLst>
              <a:ext uri="{FF2B5EF4-FFF2-40B4-BE49-F238E27FC236}">
                <a16:creationId xmlns:a16="http://schemas.microsoft.com/office/drawing/2014/main" id="{1E91B0BB-92F4-B775-0005-2314E29141EE}"/>
              </a:ext>
            </a:extLst>
          </xdr:cNvPr>
          <xdr:cNvCxnSpPr>
            <a:endCxn id="4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5" name="Gerader Verbinder 44">
            <a:extLst>
              <a:ext uri="{FF2B5EF4-FFF2-40B4-BE49-F238E27FC236}">
                <a16:creationId xmlns:a16="http://schemas.microsoft.com/office/drawing/2014/main" id="{6BB156C4-E782-DA60-06B5-C739B052E842}"/>
              </a:ext>
            </a:extLst>
          </xdr:cNvPr>
          <xdr:cNvCxnSpPr>
            <a:stCxn id="43" idx="2"/>
          </xdr:cNvCxnSpPr>
        </xdr:nvCxnSpPr>
        <xdr:spPr>
          <a:xfrm>
            <a:off x="9145588" y="4854575"/>
            <a:ext cx="150" cy="128532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6" name="Textfeld 45">
            <a:extLst>
              <a:ext uri="{FF2B5EF4-FFF2-40B4-BE49-F238E27FC236}">
                <a16:creationId xmlns:a16="http://schemas.microsoft.com/office/drawing/2014/main" id="{0ED4AF75-0CB9-1AB2-EEFF-EDA4010E59D8}"/>
              </a:ext>
            </a:extLst>
          </xdr:cNvPr>
          <xdr:cNvSpPr txBox="1"/>
        </xdr:nvSpPr>
        <xdr:spPr>
          <a:xfrm>
            <a:off x="8934450" y="4010025"/>
            <a:ext cx="448588" cy="43123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8</a:t>
            </a:r>
          </a:p>
        </xdr:txBody>
      </xdr:sp>
    </xdr:grpSp>
    <xdr:clientData/>
  </xdr:twoCellAnchor>
  <xdr:twoCellAnchor>
    <xdr:from>
      <xdr:col>1</xdr:col>
      <xdr:colOff>536074</xdr:colOff>
      <xdr:row>4</xdr:row>
      <xdr:rowOff>9525</xdr:rowOff>
    </xdr:from>
    <xdr:to>
      <xdr:col>2</xdr:col>
      <xdr:colOff>271390</xdr:colOff>
      <xdr:row>20</xdr:row>
      <xdr:rowOff>21772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BB70D6C6-7269-4E17-B54F-A59AFA12BB10}"/>
            </a:ext>
          </a:extLst>
        </xdr:cNvPr>
        <xdr:cNvGrpSpPr/>
      </xdr:nvGrpSpPr>
      <xdr:grpSpPr>
        <a:xfrm>
          <a:off x="1298074" y="914400"/>
          <a:ext cx="497316" cy="5298622"/>
          <a:chOff x="8911345" y="3254331"/>
          <a:chExt cx="497612" cy="3010540"/>
        </a:xfrm>
      </xdr:grpSpPr>
      <xdr:sp macro="" textlink="">
        <xdr:nvSpPr>
          <xdr:cNvPr id="48" name="Rechteck 47">
            <a:extLst>
              <a:ext uri="{FF2B5EF4-FFF2-40B4-BE49-F238E27FC236}">
                <a16:creationId xmlns:a16="http://schemas.microsoft.com/office/drawing/2014/main" id="{F344003A-F92A-009A-8DFD-920D4C307DDB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9" name="Gerader Verbinder 48">
            <a:extLst>
              <a:ext uri="{FF2B5EF4-FFF2-40B4-BE49-F238E27FC236}">
                <a16:creationId xmlns:a16="http://schemas.microsoft.com/office/drawing/2014/main" id="{F6454916-4ABF-F970-C9D4-E99D726CB2EA}"/>
              </a:ext>
            </a:extLst>
          </xdr:cNvPr>
          <xdr:cNvCxnSpPr>
            <a:endCxn id="48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0" name="Gerader Verbinder 49">
            <a:extLst>
              <a:ext uri="{FF2B5EF4-FFF2-40B4-BE49-F238E27FC236}">
                <a16:creationId xmlns:a16="http://schemas.microsoft.com/office/drawing/2014/main" id="{297E9592-4C63-8C57-85AC-1DBF373ADF8E}"/>
              </a:ext>
            </a:extLst>
          </xdr:cNvPr>
          <xdr:cNvCxnSpPr>
            <a:stCxn id="48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1" name="Textfeld 50">
            <a:extLst>
              <a:ext uri="{FF2B5EF4-FFF2-40B4-BE49-F238E27FC236}">
                <a16:creationId xmlns:a16="http://schemas.microsoft.com/office/drawing/2014/main" id="{6C6A0C52-9FAF-E357-A0FC-82CC508FC418}"/>
              </a:ext>
            </a:extLst>
          </xdr:cNvPr>
          <xdr:cNvSpPr txBox="1"/>
        </xdr:nvSpPr>
        <xdr:spPr>
          <a:xfrm>
            <a:off x="8911345" y="3999822"/>
            <a:ext cx="497612" cy="3582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  <a:endParaRPr lang="de-CH" sz="1800" baseline="-25000"/>
          </a:p>
        </xdr:txBody>
      </xdr:sp>
    </xdr:grpSp>
    <xdr:clientData/>
  </xdr:twoCellAnchor>
  <xdr:twoCellAnchor>
    <xdr:from>
      <xdr:col>2</xdr:col>
      <xdr:colOff>6350</xdr:colOff>
      <xdr:row>4</xdr:row>
      <xdr:rowOff>6350</xdr:rowOff>
    </xdr:from>
    <xdr:to>
      <xdr:col>11</xdr:col>
      <xdr:colOff>9525</xdr:colOff>
      <xdr:row>4</xdr:row>
      <xdr:rowOff>19050</xdr:rowOff>
    </xdr:to>
    <xdr:cxnSp macro="">
      <xdr:nvCxnSpPr>
        <xdr:cNvPr id="52" name="Gerader Verbinder 51">
          <a:extLst>
            <a:ext uri="{FF2B5EF4-FFF2-40B4-BE49-F238E27FC236}">
              <a16:creationId xmlns:a16="http://schemas.microsoft.com/office/drawing/2014/main" id="{A2A29466-BC73-4CA9-A4E5-FFA702BB7A43}"/>
            </a:ext>
          </a:extLst>
        </xdr:cNvPr>
        <xdr:cNvCxnSpPr/>
      </xdr:nvCxnSpPr>
      <xdr:spPr>
        <a:xfrm flipH="1" flipV="1">
          <a:off x="1533525" y="733425"/>
          <a:ext cx="6854825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406400</xdr:colOff>
      <xdr:row>21</xdr:row>
      <xdr:rowOff>99332</xdr:rowOff>
    </xdr:from>
    <xdr:to>
      <xdr:col>2</xdr:col>
      <xdr:colOff>263534</xdr:colOff>
      <xdr:row>21</xdr:row>
      <xdr:rowOff>105682</xdr:rowOff>
    </xdr:to>
    <xdr:cxnSp macro="">
      <xdr:nvCxnSpPr>
        <xdr:cNvPr id="53" name="Gerader Verbinder 52">
          <a:extLst>
            <a:ext uri="{FF2B5EF4-FFF2-40B4-BE49-F238E27FC236}">
              <a16:creationId xmlns:a16="http://schemas.microsoft.com/office/drawing/2014/main" id="{DC7347B6-9D46-43A8-9AAB-2594136191F9}"/>
            </a:ext>
          </a:extLst>
        </xdr:cNvPr>
        <xdr:cNvCxnSpPr/>
      </xdr:nvCxnSpPr>
      <xdr:spPr>
        <a:xfrm flipH="1">
          <a:off x="1171575" y="3902982"/>
          <a:ext cx="615959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597354</xdr:colOff>
      <xdr:row>20</xdr:row>
      <xdr:rowOff>58512</xdr:rowOff>
    </xdr:from>
    <xdr:to>
      <xdr:col>2</xdr:col>
      <xdr:colOff>130629</xdr:colOff>
      <xdr:row>20</xdr:row>
      <xdr:rowOff>58512</xdr:rowOff>
    </xdr:to>
    <xdr:cxnSp macro="">
      <xdr:nvCxnSpPr>
        <xdr:cNvPr id="54" name="Gerader Verbinder 53">
          <a:extLst>
            <a:ext uri="{FF2B5EF4-FFF2-40B4-BE49-F238E27FC236}">
              <a16:creationId xmlns:a16="http://schemas.microsoft.com/office/drawing/2014/main" id="{EA27FEF3-E034-473F-9395-D916E386915E}"/>
            </a:ext>
          </a:extLst>
        </xdr:cNvPr>
        <xdr:cNvCxnSpPr/>
      </xdr:nvCxnSpPr>
      <xdr:spPr>
        <a:xfrm flipH="1">
          <a:off x="1362529" y="3678012"/>
          <a:ext cx="2921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21</xdr:row>
      <xdr:rowOff>142875</xdr:rowOff>
    </xdr:from>
    <xdr:to>
      <xdr:col>2</xdr:col>
      <xdr:colOff>142875</xdr:colOff>
      <xdr:row>21</xdr:row>
      <xdr:rowOff>142875</xdr:rowOff>
    </xdr:to>
    <xdr:cxnSp macro="">
      <xdr:nvCxnSpPr>
        <xdr:cNvPr id="55" name="Gerader Verbinder 54">
          <a:extLst>
            <a:ext uri="{FF2B5EF4-FFF2-40B4-BE49-F238E27FC236}">
              <a16:creationId xmlns:a16="http://schemas.microsoft.com/office/drawing/2014/main" id="{070457DA-E664-47F4-A370-D5F10638D575}"/>
            </a:ext>
          </a:extLst>
        </xdr:cNvPr>
        <xdr:cNvCxnSpPr/>
      </xdr:nvCxnSpPr>
      <xdr:spPr>
        <a:xfrm flipH="1">
          <a:off x="1371600" y="3940175"/>
          <a:ext cx="2921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752475</xdr:colOff>
      <xdr:row>21</xdr:row>
      <xdr:rowOff>161925</xdr:rowOff>
    </xdr:from>
    <xdr:to>
      <xdr:col>1</xdr:col>
      <xdr:colOff>754673</xdr:colOff>
      <xdr:row>39</xdr:row>
      <xdr:rowOff>190500</xdr:rowOff>
    </xdr:to>
    <xdr:cxnSp macro="">
      <xdr:nvCxnSpPr>
        <xdr:cNvPr id="56" name="Gerader Verbinder 55">
          <a:extLst>
            <a:ext uri="{FF2B5EF4-FFF2-40B4-BE49-F238E27FC236}">
              <a16:creationId xmlns:a16="http://schemas.microsoft.com/office/drawing/2014/main" id="{14548A64-0CF7-454E-ABBC-F55A03BF7373}"/>
            </a:ext>
          </a:extLst>
        </xdr:cNvPr>
        <xdr:cNvCxnSpPr/>
      </xdr:nvCxnSpPr>
      <xdr:spPr>
        <a:xfrm>
          <a:off x="1514475" y="6910021"/>
          <a:ext cx="2198" cy="807353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742950</xdr:colOff>
      <xdr:row>39</xdr:row>
      <xdr:rowOff>171450</xdr:rowOff>
    </xdr:from>
    <xdr:to>
      <xdr:col>12</xdr:col>
      <xdr:colOff>754673</xdr:colOff>
      <xdr:row>39</xdr:row>
      <xdr:rowOff>183173</xdr:rowOff>
    </xdr:to>
    <xdr:cxnSp macro="">
      <xdr:nvCxnSpPr>
        <xdr:cNvPr id="57" name="Gerader Verbinder 56">
          <a:extLst>
            <a:ext uri="{FF2B5EF4-FFF2-40B4-BE49-F238E27FC236}">
              <a16:creationId xmlns:a16="http://schemas.microsoft.com/office/drawing/2014/main" id="{CDEEFD75-09DE-4330-8962-E13A5C574883}"/>
            </a:ext>
          </a:extLst>
        </xdr:cNvPr>
        <xdr:cNvCxnSpPr/>
      </xdr:nvCxnSpPr>
      <xdr:spPr>
        <a:xfrm flipH="1" flipV="1">
          <a:off x="1504950" y="14964508"/>
          <a:ext cx="8393723" cy="117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730250</xdr:colOff>
      <xdr:row>16</xdr:row>
      <xdr:rowOff>25400</xdr:rowOff>
    </xdr:from>
    <xdr:to>
      <xdr:col>13</xdr:col>
      <xdr:colOff>581025</xdr:colOff>
      <xdr:row>16</xdr:row>
      <xdr:rowOff>28575</xdr:rowOff>
    </xdr:to>
    <xdr:cxnSp macro="">
      <xdr:nvCxnSpPr>
        <xdr:cNvPr id="58" name="Gerader Verbinder 57">
          <a:extLst>
            <a:ext uri="{FF2B5EF4-FFF2-40B4-BE49-F238E27FC236}">
              <a16:creationId xmlns:a16="http://schemas.microsoft.com/office/drawing/2014/main" id="{2744BDFE-FDE5-4E0B-9C5E-8D0199C6ECDF}"/>
            </a:ext>
          </a:extLst>
        </xdr:cNvPr>
        <xdr:cNvCxnSpPr/>
      </xdr:nvCxnSpPr>
      <xdr:spPr>
        <a:xfrm flipH="1" flipV="1">
          <a:off x="7591425" y="2924175"/>
          <a:ext cx="2892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381000</xdr:colOff>
      <xdr:row>28</xdr:row>
      <xdr:rowOff>0</xdr:rowOff>
    </xdr:from>
    <xdr:to>
      <xdr:col>13</xdr:col>
      <xdr:colOff>571500</xdr:colOff>
      <xdr:row>28</xdr:row>
      <xdr:rowOff>6350</xdr:rowOff>
    </xdr:to>
    <xdr:cxnSp macro="">
      <xdr:nvCxnSpPr>
        <xdr:cNvPr id="59" name="Gerader Verbinder 58">
          <a:extLst>
            <a:ext uri="{FF2B5EF4-FFF2-40B4-BE49-F238E27FC236}">
              <a16:creationId xmlns:a16="http://schemas.microsoft.com/office/drawing/2014/main" id="{90159D6A-5C00-4FC8-A3B5-8C39E58A73A8}"/>
            </a:ext>
          </a:extLst>
        </xdr:cNvPr>
        <xdr:cNvCxnSpPr/>
      </xdr:nvCxnSpPr>
      <xdr:spPr>
        <a:xfrm flipH="1">
          <a:off x="9525000" y="5067300"/>
          <a:ext cx="952500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726167</xdr:colOff>
      <xdr:row>15</xdr:row>
      <xdr:rowOff>291353</xdr:rowOff>
    </xdr:from>
    <xdr:to>
      <xdr:col>11</xdr:col>
      <xdr:colOff>67234</xdr:colOff>
      <xdr:row>16</xdr:row>
      <xdr:rowOff>87539</xdr:rowOff>
    </xdr:to>
    <xdr:sp macro="" textlink="">
      <xdr:nvSpPr>
        <xdr:cNvPr id="62" name="Ellipse 61">
          <a:extLst>
            <a:ext uri="{FF2B5EF4-FFF2-40B4-BE49-F238E27FC236}">
              <a16:creationId xmlns:a16="http://schemas.microsoft.com/office/drawing/2014/main" id="{4BB271A2-30A8-477C-AE55-6FAA828A8FA3}"/>
            </a:ext>
          </a:extLst>
        </xdr:cNvPr>
        <xdr:cNvSpPr/>
      </xdr:nvSpPr>
      <xdr:spPr>
        <a:xfrm>
          <a:off x="8346167" y="4157382"/>
          <a:ext cx="103067" cy="9874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439057</xdr:colOff>
      <xdr:row>20</xdr:row>
      <xdr:rowOff>12246</xdr:rowOff>
    </xdr:from>
    <xdr:to>
      <xdr:col>2</xdr:col>
      <xdr:colOff>296191</xdr:colOff>
      <xdr:row>20</xdr:row>
      <xdr:rowOff>18596</xdr:rowOff>
    </xdr:to>
    <xdr:cxnSp macro="">
      <xdr:nvCxnSpPr>
        <xdr:cNvPr id="70" name="Gerader Verbinder 69">
          <a:extLst>
            <a:ext uri="{FF2B5EF4-FFF2-40B4-BE49-F238E27FC236}">
              <a16:creationId xmlns:a16="http://schemas.microsoft.com/office/drawing/2014/main" id="{D3FE5053-3D1E-4DFA-AA08-81E4579D4582}"/>
            </a:ext>
          </a:extLst>
        </xdr:cNvPr>
        <xdr:cNvCxnSpPr/>
      </xdr:nvCxnSpPr>
      <xdr:spPr>
        <a:xfrm flipH="1">
          <a:off x="1201057" y="3628571"/>
          <a:ext cx="615959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754289</xdr:colOff>
      <xdr:row>20</xdr:row>
      <xdr:rowOff>65314</xdr:rowOff>
    </xdr:from>
    <xdr:to>
      <xdr:col>2</xdr:col>
      <xdr:colOff>0</xdr:colOff>
      <xdr:row>21</xdr:row>
      <xdr:rowOff>106589</xdr:rowOff>
    </xdr:to>
    <xdr:cxnSp macro="">
      <xdr:nvCxnSpPr>
        <xdr:cNvPr id="71" name="Gerader Verbinder 70">
          <a:extLst>
            <a:ext uri="{FF2B5EF4-FFF2-40B4-BE49-F238E27FC236}">
              <a16:creationId xmlns:a16="http://schemas.microsoft.com/office/drawing/2014/main" id="{F7BC80C0-F92A-4FB5-BC69-CC352CC02D88}"/>
            </a:ext>
          </a:extLst>
        </xdr:cNvPr>
        <xdr:cNvCxnSpPr/>
      </xdr:nvCxnSpPr>
      <xdr:spPr>
        <a:xfrm flipH="1">
          <a:off x="1513114" y="3687989"/>
          <a:ext cx="10886" cy="215900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514649</xdr:colOff>
      <xdr:row>69</xdr:row>
      <xdr:rowOff>128186</xdr:rowOff>
    </xdr:from>
    <xdr:to>
      <xdr:col>13</xdr:col>
      <xdr:colOff>208415</xdr:colOff>
      <xdr:row>77</xdr:row>
      <xdr:rowOff>51831</xdr:rowOff>
    </xdr:to>
    <xdr:grpSp>
      <xdr:nvGrpSpPr>
        <xdr:cNvPr id="72" name="Gruppieren 71">
          <a:extLst>
            <a:ext uri="{FF2B5EF4-FFF2-40B4-BE49-F238E27FC236}">
              <a16:creationId xmlns:a16="http://schemas.microsoft.com/office/drawing/2014/main" id="{987A2552-79D4-4ABD-A7FC-602ACE4F2FEE}"/>
            </a:ext>
          </a:extLst>
        </xdr:cNvPr>
        <xdr:cNvGrpSpPr/>
      </xdr:nvGrpSpPr>
      <xdr:grpSpPr>
        <a:xfrm>
          <a:off x="9658649" y="22940561"/>
          <a:ext cx="455766" cy="1892145"/>
          <a:chOff x="8934450" y="3785005"/>
          <a:chExt cx="459441" cy="1387868"/>
        </a:xfrm>
      </xdr:grpSpPr>
      <xdr:sp macro="" textlink="">
        <xdr:nvSpPr>
          <xdr:cNvPr id="73" name="Rechteck 72">
            <a:extLst>
              <a:ext uri="{FF2B5EF4-FFF2-40B4-BE49-F238E27FC236}">
                <a16:creationId xmlns:a16="http://schemas.microsoft.com/office/drawing/2014/main" id="{B793B27C-39E9-13E0-6881-CCA9412F625C}"/>
              </a:ext>
            </a:extLst>
          </xdr:cNvPr>
          <xdr:cNvSpPr/>
        </xdr:nvSpPr>
        <xdr:spPr>
          <a:xfrm>
            <a:off x="8974482" y="3785005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75" name="Gerader Verbinder 74">
            <a:extLst>
              <a:ext uri="{FF2B5EF4-FFF2-40B4-BE49-F238E27FC236}">
                <a16:creationId xmlns:a16="http://schemas.microsoft.com/office/drawing/2014/main" id="{AF0F45CF-5CFE-ED44-6C9D-51D6355DE5E7}"/>
              </a:ext>
            </a:extLst>
          </xdr:cNvPr>
          <xdr:cNvCxnSpPr>
            <a:stCxn id="73" idx="2"/>
            <a:endCxn id="121" idx="0"/>
          </xdr:cNvCxnSpPr>
        </xdr:nvCxnSpPr>
        <xdr:spPr>
          <a:xfrm>
            <a:off x="9160220" y="4861330"/>
            <a:ext cx="1213" cy="31154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6" name="Textfeld 75">
            <a:extLst>
              <a:ext uri="{FF2B5EF4-FFF2-40B4-BE49-F238E27FC236}">
                <a16:creationId xmlns:a16="http://schemas.microsoft.com/office/drawing/2014/main" id="{007766BB-D102-A4F0-F05A-A88474491C25}"/>
              </a:ext>
            </a:extLst>
          </xdr:cNvPr>
          <xdr:cNvSpPr txBox="1"/>
        </xdr:nvSpPr>
        <xdr:spPr>
          <a:xfrm>
            <a:off x="8934450" y="4010025"/>
            <a:ext cx="459441" cy="4348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</a:t>
            </a:r>
          </a:p>
        </xdr:txBody>
      </xdr:sp>
    </xdr:grpSp>
    <xdr:clientData/>
  </xdr:twoCellAnchor>
  <xdr:twoCellAnchor>
    <xdr:from>
      <xdr:col>12</xdr:col>
      <xdr:colOff>566414</xdr:colOff>
      <xdr:row>56</xdr:row>
      <xdr:rowOff>74756</xdr:rowOff>
    </xdr:from>
    <xdr:to>
      <xdr:col>13</xdr:col>
      <xdr:colOff>292556</xdr:colOff>
      <xdr:row>69</xdr:row>
      <xdr:rowOff>128186</xdr:rowOff>
    </xdr:to>
    <xdr:grpSp>
      <xdr:nvGrpSpPr>
        <xdr:cNvPr id="77" name="Gruppieren 76">
          <a:extLst>
            <a:ext uri="{FF2B5EF4-FFF2-40B4-BE49-F238E27FC236}">
              <a16:creationId xmlns:a16="http://schemas.microsoft.com/office/drawing/2014/main" id="{3F5B8930-99D5-4424-B1DF-267DD02E87E0}"/>
            </a:ext>
          </a:extLst>
        </xdr:cNvPr>
        <xdr:cNvGrpSpPr/>
      </xdr:nvGrpSpPr>
      <xdr:grpSpPr>
        <a:xfrm>
          <a:off x="9710414" y="18759631"/>
          <a:ext cx="488142" cy="4180930"/>
          <a:chOff x="8959850" y="3254331"/>
          <a:chExt cx="481583" cy="2549202"/>
        </a:xfrm>
      </xdr:grpSpPr>
      <xdr:sp macro="" textlink="">
        <xdr:nvSpPr>
          <xdr:cNvPr id="78" name="Rechteck 77">
            <a:extLst>
              <a:ext uri="{FF2B5EF4-FFF2-40B4-BE49-F238E27FC236}">
                <a16:creationId xmlns:a16="http://schemas.microsoft.com/office/drawing/2014/main" id="{9AB7EDC7-D000-B0A3-B72C-4BEEC45CB717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79" name="Gerader Verbinder 78">
            <a:extLst>
              <a:ext uri="{FF2B5EF4-FFF2-40B4-BE49-F238E27FC236}">
                <a16:creationId xmlns:a16="http://schemas.microsoft.com/office/drawing/2014/main" id="{9625D2CE-DFB7-BFB5-2384-17525DB8574C}"/>
              </a:ext>
            </a:extLst>
          </xdr:cNvPr>
          <xdr:cNvCxnSpPr>
            <a:endCxn id="78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0" name="Gerader Verbinder 79">
            <a:extLst>
              <a:ext uri="{FF2B5EF4-FFF2-40B4-BE49-F238E27FC236}">
                <a16:creationId xmlns:a16="http://schemas.microsoft.com/office/drawing/2014/main" id="{3F970D69-8C36-319C-5E8F-BCB47E93C33B}"/>
              </a:ext>
            </a:extLst>
          </xdr:cNvPr>
          <xdr:cNvCxnSpPr>
            <a:stCxn id="78" idx="2"/>
            <a:endCxn id="73" idx="0"/>
          </xdr:cNvCxnSpPr>
        </xdr:nvCxnSpPr>
        <xdr:spPr>
          <a:xfrm flipH="1">
            <a:off x="9129735" y="4854575"/>
            <a:ext cx="15852" cy="94895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1" name="Textfeld 80">
            <a:extLst>
              <a:ext uri="{FF2B5EF4-FFF2-40B4-BE49-F238E27FC236}">
                <a16:creationId xmlns:a16="http://schemas.microsoft.com/office/drawing/2014/main" id="{E82CE0F1-60BE-14C1-279F-B15C4DB16387}"/>
              </a:ext>
            </a:extLst>
          </xdr:cNvPr>
          <xdr:cNvSpPr txBox="1"/>
        </xdr:nvSpPr>
        <xdr:spPr>
          <a:xfrm rot="5400000">
            <a:off x="8956766" y="3991364"/>
            <a:ext cx="507609" cy="4617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23</a:t>
            </a:r>
          </a:p>
        </xdr:txBody>
      </xdr:sp>
    </xdr:grpSp>
    <xdr:clientData/>
  </xdr:twoCellAnchor>
  <xdr:twoCellAnchor>
    <xdr:from>
      <xdr:col>10</xdr:col>
      <xdr:colOff>577270</xdr:colOff>
      <xdr:row>56</xdr:row>
      <xdr:rowOff>52532</xdr:rowOff>
    </xdr:from>
    <xdr:to>
      <xdr:col>11</xdr:col>
      <xdr:colOff>283283</xdr:colOff>
      <xdr:row>77</xdr:row>
      <xdr:rowOff>150833</xdr:rowOff>
    </xdr:to>
    <xdr:grpSp>
      <xdr:nvGrpSpPr>
        <xdr:cNvPr id="82" name="Gruppieren 81">
          <a:extLst>
            <a:ext uri="{FF2B5EF4-FFF2-40B4-BE49-F238E27FC236}">
              <a16:creationId xmlns:a16="http://schemas.microsoft.com/office/drawing/2014/main" id="{F101B3AC-540A-403C-9E37-5AE22697C424}"/>
            </a:ext>
          </a:extLst>
        </xdr:cNvPr>
        <xdr:cNvGrpSpPr/>
      </xdr:nvGrpSpPr>
      <xdr:grpSpPr>
        <a:xfrm>
          <a:off x="8197270" y="18737407"/>
          <a:ext cx="468013" cy="6194301"/>
          <a:chOff x="8957189" y="1108047"/>
          <a:chExt cx="467002" cy="4074160"/>
        </a:xfrm>
      </xdr:grpSpPr>
      <xdr:sp macro="" textlink="">
        <xdr:nvSpPr>
          <xdr:cNvPr id="83" name="Rechteck 82">
            <a:extLst>
              <a:ext uri="{FF2B5EF4-FFF2-40B4-BE49-F238E27FC236}">
                <a16:creationId xmlns:a16="http://schemas.microsoft.com/office/drawing/2014/main" id="{04AACBFD-C4D8-D17F-183F-0EF7BBD4C7A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84" name="Gerader Verbinder 83">
            <a:extLst>
              <a:ext uri="{FF2B5EF4-FFF2-40B4-BE49-F238E27FC236}">
                <a16:creationId xmlns:a16="http://schemas.microsoft.com/office/drawing/2014/main" id="{6D046719-DF66-124B-5D9C-A9AFB1452A12}"/>
              </a:ext>
            </a:extLst>
          </xdr:cNvPr>
          <xdr:cNvCxnSpPr>
            <a:endCxn id="83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5" name="Gerader Verbinder 84">
            <a:extLst>
              <a:ext uri="{FF2B5EF4-FFF2-40B4-BE49-F238E27FC236}">
                <a16:creationId xmlns:a16="http://schemas.microsoft.com/office/drawing/2014/main" id="{CB5DEA31-864A-CFEF-76FB-B91D0BFD7F47}"/>
              </a:ext>
            </a:extLst>
          </xdr:cNvPr>
          <xdr:cNvCxnSpPr>
            <a:stCxn id="83" idx="2"/>
            <a:endCxn id="120" idx="4"/>
          </xdr:cNvCxnSpPr>
        </xdr:nvCxnSpPr>
        <xdr:spPr>
          <a:xfrm>
            <a:off x="9145588" y="4854575"/>
            <a:ext cx="663" cy="32763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6" name="Textfeld 85">
            <a:extLst>
              <a:ext uri="{FF2B5EF4-FFF2-40B4-BE49-F238E27FC236}">
                <a16:creationId xmlns:a16="http://schemas.microsoft.com/office/drawing/2014/main" id="{F155BA14-CD05-3FEA-CD30-4260228381A1}"/>
              </a:ext>
            </a:extLst>
          </xdr:cNvPr>
          <xdr:cNvSpPr txBox="1"/>
        </xdr:nvSpPr>
        <xdr:spPr>
          <a:xfrm rot="5400000">
            <a:off x="8933428" y="3991616"/>
            <a:ext cx="514524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45</a:t>
            </a:r>
          </a:p>
        </xdr:txBody>
      </xdr:sp>
    </xdr:grpSp>
    <xdr:clientData/>
  </xdr:twoCellAnchor>
  <xdr:twoCellAnchor>
    <xdr:from>
      <xdr:col>10</xdr:col>
      <xdr:colOff>565131</xdr:colOff>
      <xdr:row>46</xdr:row>
      <xdr:rowOff>21771</xdr:rowOff>
    </xdr:from>
    <xdr:to>
      <xdr:col>11</xdr:col>
      <xdr:colOff>258897</xdr:colOff>
      <xdr:row>58</xdr:row>
      <xdr:rowOff>9523</xdr:rowOff>
    </xdr:to>
    <xdr:grpSp>
      <xdr:nvGrpSpPr>
        <xdr:cNvPr id="87" name="Gruppieren 86">
          <a:extLst>
            <a:ext uri="{FF2B5EF4-FFF2-40B4-BE49-F238E27FC236}">
              <a16:creationId xmlns:a16="http://schemas.microsoft.com/office/drawing/2014/main" id="{1D771FE0-DF60-4910-9BE9-E0CE03A66212}"/>
            </a:ext>
          </a:extLst>
        </xdr:cNvPr>
        <xdr:cNvGrpSpPr/>
      </xdr:nvGrpSpPr>
      <xdr:grpSpPr>
        <a:xfrm>
          <a:off x="8185131" y="16325396"/>
          <a:ext cx="455766" cy="2972252"/>
          <a:chOff x="8934450" y="3281431"/>
          <a:chExt cx="448997" cy="2170211"/>
        </a:xfrm>
      </xdr:grpSpPr>
      <xdr:sp macro="" textlink="">
        <xdr:nvSpPr>
          <xdr:cNvPr id="88" name="Rechteck 87">
            <a:extLst>
              <a:ext uri="{FF2B5EF4-FFF2-40B4-BE49-F238E27FC236}">
                <a16:creationId xmlns:a16="http://schemas.microsoft.com/office/drawing/2014/main" id="{476E7D71-B534-BD27-8520-84A1FB39E0A2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89" name="Gerader Verbinder 88">
            <a:extLst>
              <a:ext uri="{FF2B5EF4-FFF2-40B4-BE49-F238E27FC236}">
                <a16:creationId xmlns:a16="http://schemas.microsoft.com/office/drawing/2014/main" id="{9C1B384A-6478-022D-329A-FC1D36C5302A}"/>
              </a:ext>
            </a:extLst>
          </xdr:cNvPr>
          <xdr:cNvCxnSpPr>
            <a:endCxn id="88" idx="0"/>
          </xdr:cNvCxnSpPr>
        </xdr:nvCxnSpPr>
        <xdr:spPr>
          <a:xfrm>
            <a:off x="9136657" y="3281431"/>
            <a:ext cx="5756" cy="4968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90" name="Gerader Verbinder 89">
            <a:extLst>
              <a:ext uri="{FF2B5EF4-FFF2-40B4-BE49-F238E27FC236}">
                <a16:creationId xmlns:a16="http://schemas.microsoft.com/office/drawing/2014/main" id="{423F1F0A-6043-C7C4-6DE3-C5958326C924}"/>
              </a:ext>
            </a:extLst>
          </xdr:cNvPr>
          <xdr:cNvCxnSpPr>
            <a:stCxn id="88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1" name="Textfeld 90">
            <a:extLst>
              <a:ext uri="{FF2B5EF4-FFF2-40B4-BE49-F238E27FC236}">
                <a16:creationId xmlns:a16="http://schemas.microsoft.com/office/drawing/2014/main" id="{8D94A4C6-EBAA-6292-E64D-D2D2F3B7D99B}"/>
              </a:ext>
            </a:extLst>
          </xdr:cNvPr>
          <xdr:cNvSpPr txBox="1"/>
        </xdr:nvSpPr>
        <xdr:spPr>
          <a:xfrm>
            <a:off x="8934450" y="4010025"/>
            <a:ext cx="448997" cy="4292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4</xdr:col>
      <xdr:colOff>552450</xdr:colOff>
      <xdr:row>46</xdr:row>
      <xdr:rowOff>28575</xdr:rowOff>
    </xdr:from>
    <xdr:to>
      <xdr:col>5</xdr:col>
      <xdr:colOff>246216</xdr:colOff>
      <xdr:row>77</xdr:row>
      <xdr:rowOff>156277</xdr:rowOff>
    </xdr:to>
    <xdr:grpSp>
      <xdr:nvGrpSpPr>
        <xdr:cNvPr id="92" name="Gruppieren 91">
          <a:extLst>
            <a:ext uri="{FF2B5EF4-FFF2-40B4-BE49-F238E27FC236}">
              <a16:creationId xmlns:a16="http://schemas.microsoft.com/office/drawing/2014/main" id="{E98F5540-E339-46FB-A3F5-31396610CE1A}"/>
            </a:ext>
          </a:extLst>
        </xdr:cNvPr>
        <xdr:cNvGrpSpPr/>
      </xdr:nvGrpSpPr>
      <xdr:grpSpPr>
        <a:xfrm>
          <a:off x="3600450" y="16332200"/>
          <a:ext cx="455766" cy="8604952"/>
          <a:chOff x="8934450" y="1094414"/>
          <a:chExt cx="455766" cy="5820587"/>
        </a:xfrm>
      </xdr:grpSpPr>
      <xdr:sp macro="" textlink="">
        <xdr:nvSpPr>
          <xdr:cNvPr id="93" name="Rechteck 92">
            <a:extLst>
              <a:ext uri="{FF2B5EF4-FFF2-40B4-BE49-F238E27FC236}">
                <a16:creationId xmlns:a16="http://schemas.microsoft.com/office/drawing/2014/main" id="{9DC4299E-9B33-C9E4-8523-59152E7C058B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4" name="Gerader Verbinder 93">
            <a:extLst>
              <a:ext uri="{FF2B5EF4-FFF2-40B4-BE49-F238E27FC236}">
                <a16:creationId xmlns:a16="http://schemas.microsoft.com/office/drawing/2014/main" id="{C6CD0426-8F9E-31D0-ED2C-158E153AA8CF}"/>
              </a:ext>
            </a:extLst>
          </xdr:cNvPr>
          <xdr:cNvCxnSpPr>
            <a:endCxn id="93" idx="0"/>
          </xdr:cNvCxnSpPr>
        </xdr:nvCxnSpPr>
        <xdr:spPr>
          <a:xfrm flipH="1">
            <a:off x="9145588" y="1094414"/>
            <a:ext cx="7937" cy="26838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95" name="Gerader Verbinder 94">
            <a:extLst>
              <a:ext uri="{FF2B5EF4-FFF2-40B4-BE49-F238E27FC236}">
                <a16:creationId xmlns:a16="http://schemas.microsoft.com/office/drawing/2014/main" id="{BF44E216-47BD-6AAA-EEB6-C4E6E63DA4DC}"/>
              </a:ext>
            </a:extLst>
          </xdr:cNvPr>
          <xdr:cNvCxnSpPr>
            <a:stCxn id="93" idx="2"/>
            <a:endCxn id="119" idx="4"/>
          </xdr:cNvCxnSpPr>
        </xdr:nvCxnSpPr>
        <xdr:spPr>
          <a:xfrm flipH="1">
            <a:off x="9145566" y="4854575"/>
            <a:ext cx="22" cy="206042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6" name="Textfeld 95">
            <a:extLst>
              <a:ext uri="{FF2B5EF4-FFF2-40B4-BE49-F238E27FC236}">
                <a16:creationId xmlns:a16="http://schemas.microsoft.com/office/drawing/2014/main" id="{775A4C14-A06E-021C-FA20-568825BDD35B}"/>
              </a:ext>
            </a:extLst>
          </xdr:cNvPr>
          <xdr:cNvSpPr txBox="1"/>
        </xdr:nvSpPr>
        <xdr:spPr>
          <a:xfrm>
            <a:off x="8934450" y="4010025"/>
            <a:ext cx="455766" cy="4294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9</a:t>
            </a:r>
          </a:p>
        </xdr:txBody>
      </xdr:sp>
    </xdr:grpSp>
    <xdr:clientData/>
  </xdr:twoCellAnchor>
  <xdr:twoCellAnchor>
    <xdr:from>
      <xdr:col>5</xdr:col>
      <xdr:colOff>564688</xdr:colOff>
      <xdr:row>46</xdr:row>
      <xdr:rowOff>57150</xdr:rowOff>
    </xdr:from>
    <xdr:to>
      <xdr:col>6</xdr:col>
      <xdr:colOff>302669</xdr:colOff>
      <xdr:row>77</xdr:row>
      <xdr:rowOff>161721</xdr:rowOff>
    </xdr:to>
    <xdr:grpSp>
      <xdr:nvGrpSpPr>
        <xdr:cNvPr id="97" name="Gruppieren 96">
          <a:extLst>
            <a:ext uri="{FF2B5EF4-FFF2-40B4-BE49-F238E27FC236}">
              <a16:creationId xmlns:a16="http://schemas.microsoft.com/office/drawing/2014/main" id="{31E3BCD0-5084-4761-B50B-3578CB44EE0F}"/>
            </a:ext>
          </a:extLst>
        </xdr:cNvPr>
        <xdr:cNvGrpSpPr/>
      </xdr:nvGrpSpPr>
      <xdr:grpSpPr>
        <a:xfrm>
          <a:off x="4374688" y="16360775"/>
          <a:ext cx="499981" cy="8581821"/>
          <a:chOff x="8948330" y="1114406"/>
          <a:chExt cx="498901" cy="5842881"/>
        </a:xfrm>
      </xdr:grpSpPr>
      <xdr:sp macro="" textlink="">
        <xdr:nvSpPr>
          <xdr:cNvPr id="98" name="Rechteck 97">
            <a:extLst>
              <a:ext uri="{FF2B5EF4-FFF2-40B4-BE49-F238E27FC236}">
                <a16:creationId xmlns:a16="http://schemas.microsoft.com/office/drawing/2014/main" id="{5845AB6F-3134-8FBD-25E8-0814BA67B67D}"/>
              </a:ext>
            </a:extLst>
          </xdr:cNvPr>
          <xdr:cNvSpPr/>
        </xdr:nvSpPr>
        <xdr:spPr>
          <a:xfrm>
            <a:off x="8948330" y="3847567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9" name="Gerader Verbinder 98">
            <a:extLst>
              <a:ext uri="{FF2B5EF4-FFF2-40B4-BE49-F238E27FC236}">
                <a16:creationId xmlns:a16="http://schemas.microsoft.com/office/drawing/2014/main" id="{9CF2D7C0-E511-FEE5-F122-A1C141A051A0}"/>
              </a:ext>
            </a:extLst>
          </xdr:cNvPr>
          <xdr:cNvCxnSpPr>
            <a:stCxn id="115" idx="4"/>
            <a:endCxn id="98" idx="0"/>
          </xdr:cNvCxnSpPr>
        </xdr:nvCxnSpPr>
        <xdr:spPr>
          <a:xfrm flipH="1">
            <a:off x="9134068" y="1114406"/>
            <a:ext cx="20652" cy="273316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0" name="Gerader Verbinder 99">
            <a:extLst>
              <a:ext uri="{FF2B5EF4-FFF2-40B4-BE49-F238E27FC236}">
                <a16:creationId xmlns:a16="http://schemas.microsoft.com/office/drawing/2014/main" id="{B79B14ED-B3A8-BD66-AC70-9138A5FD51A7}"/>
              </a:ext>
            </a:extLst>
          </xdr:cNvPr>
          <xdr:cNvCxnSpPr>
            <a:stCxn id="98" idx="2"/>
            <a:endCxn id="118" idx="4"/>
          </xdr:cNvCxnSpPr>
        </xdr:nvCxnSpPr>
        <xdr:spPr>
          <a:xfrm>
            <a:off x="9134068" y="4923892"/>
            <a:ext cx="29004" cy="203339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1" name="Textfeld 100">
            <a:extLst>
              <a:ext uri="{FF2B5EF4-FFF2-40B4-BE49-F238E27FC236}">
                <a16:creationId xmlns:a16="http://schemas.microsoft.com/office/drawing/2014/main" id="{9AC538A7-2036-A551-5A82-AEB6D55D9EF7}"/>
              </a:ext>
            </a:extLst>
          </xdr:cNvPr>
          <xdr:cNvSpPr txBox="1"/>
        </xdr:nvSpPr>
        <xdr:spPr>
          <a:xfrm rot="5400000">
            <a:off x="8955007" y="3992838"/>
            <a:ext cx="517445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78</a:t>
            </a:r>
          </a:p>
        </xdr:txBody>
      </xdr:sp>
    </xdr:grpSp>
    <xdr:clientData/>
  </xdr:twoCellAnchor>
  <xdr:twoCellAnchor>
    <xdr:from>
      <xdr:col>1</xdr:col>
      <xdr:colOff>508148</xdr:colOff>
      <xdr:row>46</xdr:row>
      <xdr:rowOff>6350</xdr:rowOff>
    </xdr:from>
    <xdr:to>
      <xdr:col>2</xdr:col>
      <xdr:colOff>305548</xdr:colOff>
      <xdr:row>62</xdr:row>
      <xdr:rowOff>21772</xdr:rowOff>
    </xdr:to>
    <xdr:grpSp>
      <xdr:nvGrpSpPr>
        <xdr:cNvPr id="102" name="Gruppieren 101">
          <a:extLst>
            <a:ext uri="{FF2B5EF4-FFF2-40B4-BE49-F238E27FC236}">
              <a16:creationId xmlns:a16="http://schemas.microsoft.com/office/drawing/2014/main" id="{6B8E58F5-F742-4F97-8E7D-7D3372AE8F9E}"/>
            </a:ext>
          </a:extLst>
        </xdr:cNvPr>
        <xdr:cNvGrpSpPr/>
      </xdr:nvGrpSpPr>
      <xdr:grpSpPr>
        <a:xfrm>
          <a:off x="1270148" y="16309975"/>
          <a:ext cx="559400" cy="4428672"/>
          <a:chOff x="8879803" y="3254331"/>
          <a:chExt cx="563543" cy="3010540"/>
        </a:xfrm>
      </xdr:grpSpPr>
      <xdr:sp macro="" textlink="">
        <xdr:nvSpPr>
          <xdr:cNvPr id="103" name="Rechteck 102">
            <a:extLst>
              <a:ext uri="{FF2B5EF4-FFF2-40B4-BE49-F238E27FC236}">
                <a16:creationId xmlns:a16="http://schemas.microsoft.com/office/drawing/2014/main" id="{300EBCD0-EF4C-EB02-495B-FB7F0E5A26A4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04" name="Gerader Verbinder 103">
            <a:extLst>
              <a:ext uri="{FF2B5EF4-FFF2-40B4-BE49-F238E27FC236}">
                <a16:creationId xmlns:a16="http://schemas.microsoft.com/office/drawing/2014/main" id="{82117A7C-CCE5-4C08-5630-446B95B34F1A}"/>
              </a:ext>
            </a:extLst>
          </xdr:cNvPr>
          <xdr:cNvCxnSpPr>
            <a:endCxn id="10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5" name="Gerader Verbinder 104">
            <a:extLst>
              <a:ext uri="{FF2B5EF4-FFF2-40B4-BE49-F238E27FC236}">
                <a16:creationId xmlns:a16="http://schemas.microsoft.com/office/drawing/2014/main" id="{E500007C-F407-2229-45FF-22641B917420}"/>
              </a:ext>
            </a:extLst>
          </xdr:cNvPr>
          <xdr:cNvCxnSpPr>
            <a:stCxn id="103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6" name="Textfeld 105">
            <a:extLst>
              <a:ext uri="{FF2B5EF4-FFF2-40B4-BE49-F238E27FC236}">
                <a16:creationId xmlns:a16="http://schemas.microsoft.com/office/drawing/2014/main" id="{E8C28716-AF63-F1B8-ECED-AED65AAF6198}"/>
              </a:ext>
            </a:extLst>
          </xdr:cNvPr>
          <xdr:cNvSpPr txBox="1"/>
        </xdr:nvSpPr>
        <xdr:spPr>
          <a:xfrm rot="5400000">
            <a:off x="8942990" y="3925579"/>
            <a:ext cx="437170" cy="5635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2</xdr:col>
      <xdr:colOff>9525</xdr:colOff>
      <xdr:row>46</xdr:row>
      <xdr:rowOff>9525</xdr:rowOff>
    </xdr:from>
    <xdr:to>
      <xdr:col>11</xdr:col>
      <xdr:colOff>6350</xdr:colOff>
      <xdr:row>46</xdr:row>
      <xdr:rowOff>19050</xdr:rowOff>
    </xdr:to>
    <xdr:cxnSp macro="">
      <xdr:nvCxnSpPr>
        <xdr:cNvPr id="107" name="Gerader Verbinder 106">
          <a:extLst>
            <a:ext uri="{FF2B5EF4-FFF2-40B4-BE49-F238E27FC236}">
              <a16:creationId xmlns:a16="http://schemas.microsoft.com/office/drawing/2014/main" id="{CCB505F4-2990-4FFA-8B5E-B0D9F85972E3}"/>
            </a:ext>
          </a:extLst>
        </xdr:cNvPr>
        <xdr:cNvCxnSpPr/>
      </xdr:nvCxnSpPr>
      <xdr:spPr>
        <a:xfrm flipH="1" flipV="1">
          <a:off x="1530350" y="9598025"/>
          <a:ext cx="6861175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409575</xdr:colOff>
      <xdr:row>63</xdr:row>
      <xdr:rowOff>102507</xdr:rowOff>
    </xdr:from>
    <xdr:to>
      <xdr:col>2</xdr:col>
      <xdr:colOff>263534</xdr:colOff>
      <xdr:row>63</xdr:row>
      <xdr:rowOff>102507</xdr:rowOff>
    </xdr:to>
    <xdr:cxnSp macro="">
      <xdr:nvCxnSpPr>
        <xdr:cNvPr id="108" name="Gerader Verbinder 107">
          <a:extLst>
            <a:ext uri="{FF2B5EF4-FFF2-40B4-BE49-F238E27FC236}">
              <a16:creationId xmlns:a16="http://schemas.microsoft.com/office/drawing/2014/main" id="{708F6FE9-59E8-4780-8592-0E432A8B9910}"/>
            </a:ext>
          </a:extLst>
        </xdr:cNvPr>
        <xdr:cNvCxnSpPr/>
      </xdr:nvCxnSpPr>
      <xdr:spPr>
        <a:xfrm flipH="1">
          <a:off x="1168400" y="12773932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600529</xdr:colOff>
      <xdr:row>62</xdr:row>
      <xdr:rowOff>58512</xdr:rowOff>
    </xdr:from>
    <xdr:to>
      <xdr:col>2</xdr:col>
      <xdr:colOff>130629</xdr:colOff>
      <xdr:row>62</xdr:row>
      <xdr:rowOff>58512</xdr:rowOff>
    </xdr:to>
    <xdr:cxnSp macro="">
      <xdr:nvCxnSpPr>
        <xdr:cNvPr id="109" name="Gerader Verbinder 108">
          <a:extLst>
            <a:ext uri="{FF2B5EF4-FFF2-40B4-BE49-F238E27FC236}">
              <a16:creationId xmlns:a16="http://schemas.microsoft.com/office/drawing/2014/main" id="{88514293-BAAC-47FA-BC0D-A2DC8B2E1C2E}"/>
            </a:ext>
          </a:extLst>
        </xdr:cNvPr>
        <xdr:cNvCxnSpPr/>
      </xdr:nvCxnSpPr>
      <xdr:spPr>
        <a:xfrm flipH="1">
          <a:off x="1359354" y="12545787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63</xdr:row>
      <xdr:rowOff>139700</xdr:rowOff>
    </xdr:from>
    <xdr:to>
      <xdr:col>2</xdr:col>
      <xdr:colOff>139700</xdr:colOff>
      <xdr:row>63</xdr:row>
      <xdr:rowOff>139700</xdr:rowOff>
    </xdr:to>
    <xdr:cxnSp macro="">
      <xdr:nvCxnSpPr>
        <xdr:cNvPr id="110" name="Gerader Verbinder 109">
          <a:extLst>
            <a:ext uri="{FF2B5EF4-FFF2-40B4-BE49-F238E27FC236}">
              <a16:creationId xmlns:a16="http://schemas.microsoft.com/office/drawing/2014/main" id="{33ED34F7-BBFD-4390-9B3A-305E0631D087}"/>
            </a:ext>
          </a:extLst>
        </xdr:cNvPr>
        <xdr:cNvCxnSpPr/>
      </xdr:nvCxnSpPr>
      <xdr:spPr>
        <a:xfrm flipH="1">
          <a:off x="1371600" y="12811125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752475</xdr:colOff>
      <xdr:row>63</xdr:row>
      <xdr:rowOff>161925</xdr:rowOff>
    </xdr:from>
    <xdr:to>
      <xdr:col>2</xdr:col>
      <xdr:colOff>0</xdr:colOff>
      <xdr:row>77</xdr:row>
      <xdr:rowOff>90714</xdr:rowOff>
    </xdr:to>
    <xdr:cxnSp macro="">
      <xdr:nvCxnSpPr>
        <xdr:cNvPr id="111" name="Gerader Verbinder 110">
          <a:extLst>
            <a:ext uri="{FF2B5EF4-FFF2-40B4-BE49-F238E27FC236}">
              <a16:creationId xmlns:a16="http://schemas.microsoft.com/office/drawing/2014/main" id="{DA84748A-8BBB-442E-8C1D-E75621BA4052}"/>
            </a:ext>
          </a:extLst>
        </xdr:cNvPr>
        <xdr:cNvCxnSpPr/>
      </xdr:nvCxnSpPr>
      <xdr:spPr>
        <a:xfrm>
          <a:off x="1514475" y="13681982"/>
          <a:ext cx="9525" cy="267198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754495</xdr:colOff>
      <xdr:row>77</xdr:row>
      <xdr:rowOff>90632</xdr:rowOff>
    </xdr:from>
    <xdr:to>
      <xdr:col>13</xdr:col>
      <xdr:colOff>11545</xdr:colOff>
      <xdr:row>77</xdr:row>
      <xdr:rowOff>115455</xdr:rowOff>
    </xdr:to>
    <xdr:cxnSp macro="">
      <xdr:nvCxnSpPr>
        <xdr:cNvPr id="112" name="Gerader Verbinder 111">
          <a:extLst>
            <a:ext uri="{FF2B5EF4-FFF2-40B4-BE49-F238E27FC236}">
              <a16:creationId xmlns:a16="http://schemas.microsoft.com/office/drawing/2014/main" id="{FF5D0390-03B8-40FB-801F-D144DEE82921}"/>
            </a:ext>
          </a:extLst>
        </xdr:cNvPr>
        <xdr:cNvCxnSpPr/>
      </xdr:nvCxnSpPr>
      <xdr:spPr>
        <a:xfrm flipH="1" flipV="1">
          <a:off x="1516495" y="16358177"/>
          <a:ext cx="8401050" cy="248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10349</xdr:colOff>
      <xdr:row>56</xdr:row>
      <xdr:rowOff>34884</xdr:rowOff>
    </xdr:from>
    <xdr:to>
      <xdr:col>12</xdr:col>
      <xdr:colOff>757381</xdr:colOff>
      <xdr:row>56</xdr:row>
      <xdr:rowOff>54161</xdr:rowOff>
    </xdr:to>
    <xdr:cxnSp macro="">
      <xdr:nvCxnSpPr>
        <xdr:cNvPr id="113" name="Gerader Verbinder 112">
          <a:extLst>
            <a:ext uri="{FF2B5EF4-FFF2-40B4-BE49-F238E27FC236}">
              <a16:creationId xmlns:a16="http://schemas.microsoft.com/office/drawing/2014/main" id="{9D7E7AD1-54B5-4A2D-8A52-ECC31915305F}"/>
            </a:ext>
          </a:extLst>
        </xdr:cNvPr>
        <xdr:cNvCxnSpPr/>
      </xdr:nvCxnSpPr>
      <xdr:spPr>
        <a:xfrm flipH="1">
          <a:off x="8392349" y="11557248"/>
          <a:ext cx="1509032" cy="1927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714375</xdr:colOff>
      <xdr:row>45</xdr:row>
      <xdr:rowOff>139700</xdr:rowOff>
    </xdr:from>
    <xdr:to>
      <xdr:col>5</xdr:col>
      <xdr:colOff>47625</xdr:colOff>
      <xdr:row>46</xdr:row>
      <xdr:rowOff>66675</xdr:rowOff>
    </xdr:to>
    <xdr:sp macro="" textlink="">
      <xdr:nvSpPr>
        <xdr:cNvPr id="114" name="Ellipse 113">
          <a:extLst>
            <a:ext uri="{FF2B5EF4-FFF2-40B4-BE49-F238E27FC236}">
              <a16:creationId xmlns:a16="http://schemas.microsoft.com/office/drawing/2014/main" id="{5F44980E-FB55-42C6-9C9E-EAA1839A6D19}"/>
            </a:ext>
          </a:extLst>
        </xdr:cNvPr>
        <xdr:cNvSpPr/>
      </xdr:nvSpPr>
      <xdr:spPr>
        <a:xfrm>
          <a:off x="3759200" y="9553575"/>
          <a:ext cx="95250" cy="10160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723900</xdr:colOff>
      <xdr:row>45</xdr:row>
      <xdr:rowOff>130175</xdr:rowOff>
    </xdr:from>
    <xdr:to>
      <xdr:col>6</xdr:col>
      <xdr:colOff>57150</xdr:colOff>
      <xdr:row>46</xdr:row>
      <xdr:rowOff>57150</xdr:rowOff>
    </xdr:to>
    <xdr:sp macro="" textlink="">
      <xdr:nvSpPr>
        <xdr:cNvPr id="115" name="Ellipse 114">
          <a:extLst>
            <a:ext uri="{FF2B5EF4-FFF2-40B4-BE49-F238E27FC236}">
              <a16:creationId xmlns:a16="http://schemas.microsoft.com/office/drawing/2014/main" id="{4877C00A-C081-4937-AB0D-892D3F40829C}"/>
            </a:ext>
          </a:extLst>
        </xdr:cNvPr>
        <xdr:cNvSpPr/>
      </xdr:nvSpPr>
      <xdr:spPr>
        <a:xfrm>
          <a:off x="4533900" y="9540875"/>
          <a:ext cx="9525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727610</xdr:colOff>
      <xdr:row>56</xdr:row>
      <xdr:rowOff>13392</xdr:rowOff>
    </xdr:from>
    <xdr:to>
      <xdr:col>11</xdr:col>
      <xdr:colOff>59417</xdr:colOff>
      <xdr:row>56</xdr:row>
      <xdr:rowOff>87539</xdr:rowOff>
    </xdr:to>
    <xdr:sp macro="" textlink="">
      <xdr:nvSpPr>
        <xdr:cNvPr id="116" name="Ellipse 115">
          <a:extLst>
            <a:ext uri="{FF2B5EF4-FFF2-40B4-BE49-F238E27FC236}">
              <a16:creationId xmlns:a16="http://schemas.microsoft.com/office/drawing/2014/main" id="{6B50278C-7605-4EFD-A71D-DE52B27B7303}"/>
            </a:ext>
          </a:extLst>
        </xdr:cNvPr>
        <xdr:cNvSpPr/>
      </xdr:nvSpPr>
      <xdr:spPr>
        <a:xfrm>
          <a:off x="8347610" y="11535756"/>
          <a:ext cx="93807" cy="74147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704271</xdr:colOff>
      <xdr:row>56</xdr:row>
      <xdr:rowOff>0</xdr:rowOff>
    </xdr:from>
    <xdr:to>
      <xdr:col>13</xdr:col>
      <xdr:colOff>36078</xdr:colOff>
      <xdr:row>56</xdr:row>
      <xdr:rowOff>75046</xdr:rowOff>
    </xdr:to>
    <xdr:sp macro="" textlink="">
      <xdr:nvSpPr>
        <xdr:cNvPr id="117" name="Ellipse 116">
          <a:extLst>
            <a:ext uri="{FF2B5EF4-FFF2-40B4-BE49-F238E27FC236}">
              <a16:creationId xmlns:a16="http://schemas.microsoft.com/office/drawing/2014/main" id="{B4E22A94-4E09-45B4-9F57-B27A1EA8EF11}"/>
            </a:ext>
          </a:extLst>
        </xdr:cNvPr>
        <xdr:cNvSpPr/>
      </xdr:nvSpPr>
      <xdr:spPr>
        <a:xfrm>
          <a:off x="9848271" y="11522364"/>
          <a:ext cx="93807" cy="75046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732270</xdr:colOff>
      <xdr:row>77</xdr:row>
      <xdr:rowOff>44822</xdr:rowOff>
    </xdr:from>
    <xdr:to>
      <xdr:col>6</xdr:col>
      <xdr:colOff>65520</xdr:colOff>
      <xdr:row>77</xdr:row>
      <xdr:rowOff>161720</xdr:rowOff>
    </xdr:to>
    <xdr:sp macro="" textlink="">
      <xdr:nvSpPr>
        <xdr:cNvPr id="118" name="Ellipse 117">
          <a:extLst>
            <a:ext uri="{FF2B5EF4-FFF2-40B4-BE49-F238E27FC236}">
              <a16:creationId xmlns:a16="http://schemas.microsoft.com/office/drawing/2014/main" id="{F39EBE4D-9C5A-4791-BFED-28486902CB51}"/>
            </a:ext>
          </a:extLst>
        </xdr:cNvPr>
        <xdr:cNvSpPr/>
      </xdr:nvSpPr>
      <xdr:spPr>
        <a:xfrm>
          <a:off x="4542270" y="16312367"/>
          <a:ext cx="95250" cy="11689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715941</xdr:colOff>
      <xdr:row>77</xdr:row>
      <xdr:rowOff>42554</xdr:rowOff>
    </xdr:from>
    <xdr:to>
      <xdr:col>5</xdr:col>
      <xdr:colOff>49191</xdr:colOff>
      <xdr:row>77</xdr:row>
      <xdr:rowOff>156277</xdr:rowOff>
    </xdr:to>
    <xdr:sp macro="" textlink="">
      <xdr:nvSpPr>
        <xdr:cNvPr id="119" name="Ellipse 118">
          <a:extLst>
            <a:ext uri="{FF2B5EF4-FFF2-40B4-BE49-F238E27FC236}">
              <a16:creationId xmlns:a16="http://schemas.microsoft.com/office/drawing/2014/main" id="{390E1B5C-8DAD-4793-8A0D-BCDFED8DF89B}"/>
            </a:ext>
          </a:extLst>
        </xdr:cNvPr>
        <xdr:cNvSpPr/>
      </xdr:nvSpPr>
      <xdr:spPr>
        <a:xfrm>
          <a:off x="3763941" y="16310099"/>
          <a:ext cx="95250" cy="11372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719116</xdr:colOff>
      <xdr:row>77</xdr:row>
      <xdr:rowOff>43461</xdr:rowOff>
    </xdr:from>
    <xdr:to>
      <xdr:col>11</xdr:col>
      <xdr:colOff>52366</xdr:colOff>
      <xdr:row>77</xdr:row>
      <xdr:rowOff>150834</xdr:rowOff>
    </xdr:to>
    <xdr:sp macro="" textlink="">
      <xdr:nvSpPr>
        <xdr:cNvPr id="120" name="Ellipse 119">
          <a:extLst>
            <a:ext uri="{FF2B5EF4-FFF2-40B4-BE49-F238E27FC236}">
              <a16:creationId xmlns:a16="http://schemas.microsoft.com/office/drawing/2014/main" id="{7E7F31BC-C44B-487C-A7DC-C7D2C09474BE}"/>
            </a:ext>
          </a:extLst>
        </xdr:cNvPr>
        <xdr:cNvSpPr/>
      </xdr:nvSpPr>
      <xdr:spPr>
        <a:xfrm>
          <a:off x="8339116" y="16311006"/>
          <a:ext cx="95250" cy="10737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692191</xdr:colOff>
      <xdr:row>77</xdr:row>
      <xdr:rowOff>51831</xdr:rowOff>
    </xdr:from>
    <xdr:to>
      <xdr:col>13</xdr:col>
      <xdr:colOff>25441</xdr:colOff>
      <xdr:row>77</xdr:row>
      <xdr:rowOff>162379</xdr:rowOff>
    </xdr:to>
    <xdr:sp macro="" textlink="">
      <xdr:nvSpPr>
        <xdr:cNvPr id="121" name="Ellipse 120">
          <a:extLst>
            <a:ext uri="{FF2B5EF4-FFF2-40B4-BE49-F238E27FC236}">
              <a16:creationId xmlns:a16="http://schemas.microsoft.com/office/drawing/2014/main" id="{BF084887-BBFA-41A5-A9F1-B79A4E9AF87B}"/>
            </a:ext>
          </a:extLst>
        </xdr:cNvPr>
        <xdr:cNvSpPr/>
      </xdr:nvSpPr>
      <xdr:spPr>
        <a:xfrm>
          <a:off x="9836191" y="16319376"/>
          <a:ext cx="95250" cy="11054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439057</xdr:colOff>
      <xdr:row>62</xdr:row>
      <xdr:rowOff>9071</xdr:rowOff>
    </xdr:from>
    <xdr:to>
      <xdr:col>2</xdr:col>
      <xdr:colOff>293016</xdr:colOff>
      <xdr:row>62</xdr:row>
      <xdr:rowOff>18596</xdr:rowOff>
    </xdr:to>
    <xdr:cxnSp macro="">
      <xdr:nvCxnSpPr>
        <xdr:cNvPr id="122" name="Gerader Verbinder 121">
          <a:extLst>
            <a:ext uri="{FF2B5EF4-FFF2-40B4-BE49-F238E27FC236}">
              <a16:creationId xmlns:a16="http://schemas.microsoft.com/office/drawing/2014/main" id="{8E203255-FE21-447A-9D10-6FA4F73B3D8D}"/>
            </a:ext>
          </a:extLst>
        </xdr:cNvPr>
        <xdr:cNvCxnSpPr/>
      </xdr:nvCxnSpPr>
      <xdr:spPr>
        <a:xfrm flipH="1">
          <a:off x="1201057" y="12499521"/>
          <a:ext cx="619134" cy="63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751114</xdr:colOff>
      <xdr:row>62</xdr:row>
      <xdr:rowOff>68489</xdr:rowOff>
    </xdr:from>
    <xdr:to>
      <xdr:col>2</xdr:col>
      <xdr:colOff>0</xdr:colOff>
      <xdr:row>63</xdr:row>
      <xdr:rowOff>103414</xdr:rowOff>
    </xdr:to>
    <xdr:cxnSp macro="">
      <xdr:nvCxnSpPr>
        <xdr:cNvPr id="123" name="Gerader Verbinder 122">
          <a:extLst>
            <a:ext uri="{FF2B5EF4-FFF2-40B4-BE49-F238E27FC236}">
              <a16:creationId xmlns:a16="http://schemas.microsoft.com/office/drawing/2014/main" id="{B8C5A9E0-D4A2-4752-A434-6F29F959EE85}"/>
            </a:ext>
          </a:extLst>
        </xdr:cNvPr>
        <xdr:cNvCxnSpPr/>
      </xdr:nvCxnSpPr>
      <xdr:spPr>
        <a:xfrm flipH="1">
          <a:off x="1516289" y="12552589"/>
          <a:ext cx="7711" cy="222250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707572</xdr:colOff>
      <xdr:row>45</xdr:row>
      <xdr:rowOff>143329</xdr:rowOff>
    </xdr:from>
    <xdr:to>
      <xdr:col>11</xdr:col>
      <xdr:colOff>40822</xdr:colOff>
      <xdr:row>46</xdr:row>
      <xdr:rowOff>73479</xdr:rowOff>
    </xdr:to>
    <xdr:sp macro="" textlink="">
      <xdr:nvSpPr>
        <xdr:cNvPr id="124" name="Ellipse 123">
          <a:extLst>
            <a:ext uri="{FF2B5EF4-FFF2-40B4-BE49-F238E27FC236}">
              <a16:creationId xmlns:a16="http://schemas.microsoft.com/office/drawing/2014/main" id="{61F4DEDA-3D4A-44C0-98C7-C473C9FC99DF}"/>
            </a:ext>
          </a:extLst>
        </xdr:cNvPr>
        <xdr:cNvSpPr/>
      </xdr:nvSpPr>
      <xdr:spPr>
        <a:xfrm>
          <a:off x="8327572" y="9550854"/>
          <a:ext cx="95250" cy="11430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487671</xdr:colOff>
      <xdr:row>100</xdr:row>
      <xdr:rowOff>210002</xdr:rowOff>
    </xdr:from>
    <xdr:to>
      <xdr:col>13</xdr:col>
      <xdr:colOff>200034</xdr:colOff>
      <xdr:row>112</xdr:row>
      <xdr:rowOff>48298</xdr:rowOff>
    </xdr:to>
    <xdr:grpSp>
      <xdr:nvGrpSpPr>
        <xdr:cNvPr id="125" name="Gruppieren 124">
          <a:extLst>
            <a:ext uri="{FF2B5EF4-FFF2-40B4-BE49-F238E27FC236}">
              <a16:creationId xmlns:a16="http://schemas.microsoft.com/office/drawing/2014/main" id="{9460CB2C-7072-4A21-B375-D1E0792DA4AF}"/>
            </a:ext>
          </a:extLst>
        </xdr:cNvPr>
        <xdr:cNvGrpSpPr/>
      </xdr:nvGrpSpPr>
      <xdr:grpSpPr>
        <a:xfrm>
          <a:off x="9631671" y="29372377"/>
          <a:ext cx="474363" cy="2521171"/>
          <a:chOff x="8920180" y="3499704"/>
          <a:chExt cx="480926" cy="1951938"/>
        </a:xfrm>
      </xdr:grpSpPr>
      <xdr:sp macro="" textlink="">
        <xdr:nvSpPr>
          <xdr:cNvPr id="126" name="Rechteck 125">
            <a:extLst>
              <a:ext uri="{FF2B5EF4-FFF2-40B4-BE49-F238E27FC236}">
                <a16:creationId xmlns:a16="http://schemas.microsoft.com/office/drawing/2014/main" id="{DB0A9D0B-7DAD-B0F1-8EC3-FD2F0A94E06C}"/>
              </a:ext>
            </a:extLst>
          </xdr:cNvPr>
          <xdr:cNvSpPr/>
        </xdr:nvSpPr>
        <xdr:spPr>
          <a:xfrm>
            <a:off x="8959842" y="3778250"/>
            <a:ext cx="371474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27" name="Gerader Verbinder 126">
            <a:extLst>
              <a:ext uri="{FF2B5EF4-FFF2-40B4-BE49-F238E27FC236}">
                <a16:creationId xmlns:a16="http://schemas.microsoft.com/office/drawing/2014/main" id="{A6B43988-0D8B-431B-FC48-AE22B0A6D96E}"/>
              </a:ext>
            </a:extLst>
          </xdr:cNvPr>
          <xdr:cNvCxnSpPr>
            <a:stCxn id="154" idx="0"/>
            <a:endCxn id="126" idx="0"/>
          </xdr:cNvCxnSpPr>
        </xdr:nvCxnSpPr>
        <xdr:spPr>
          <a:xfrm>
            <a:off x="9144272" y="3499704"/>
            <a:ext cx="1308" cy="2785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28" name="Gerader Verbinder 127">
            <a:extLst>
              <a:ext uri="{FF2B5EF4-FFF2-40B4-BE49-F238E27FC236}">
                <a16:creationId xmlns:a16="http://schemas.microsoft.com/office/drawing/2014/main" id="{40D323D4-D9FA-7B48-344D-08A96DBBECB0}"/>
              </a:ext>
            </a:extLst>
          </xdr:cNvPr>
          <xdr:cNvCxnSpPr>
            <a:stCxn id="126" idx="2"/>
          </xdr:cNvCxnSpPr>
        </xdr:nvCxnSpPr>
        <xdr:spPr>
          <a:xfrm>
            <a:off x="9145589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29" name="Textfeld 128">
            <a:extLst>
              <a:ext uri="{FF2B5EF4-FFF2-40B4-BE49-F238E27FC236}">
                <a16:creationId xmlns:a16="http://schemas.microsoft.com/office/drawing/2014/main" id="{0E6B01E4-0556-509A-CB36-ABAB353354F9}"/>
              </a:ext>
            </a:extLst>
          </xdr:cNvPr>
          <xdr:cNvSpPr txBox="1"/>
        </xdr:nvSpPr>
        <xdr:spPr>
          <a:xfrm rot="5400000">
            <a:off x="8870650" y="3884124"/>
            <a:ext cx="579986" cy="4809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</a:t>
            </a:r>
          </a:p>
        </xdr:txBody>
      </xdr:sp>
    </xdr:grpSp>
    <xdr:clientData/>
  </xdr:twoCellAnchor>
  <xdr:twoCellAnchor>
    <xdr:from>
      <xdr:col>10</xdr:col>
      <xdr:colOff>521693</xdr:colOff>
      <xdr:row>100</xdr:row>
      <xdr:rowOff>261258</xdr:rowOff>
    </xdr:from>
    <xdr:to>
      <xdr:col>11</xdr:col>
      <xdr:colOff>221356</xdr:colOff>
      <xdr:row>111</xdr:row>
      <xdr:rowOff>152619</xdr:rowOff>
    </xdr:to>
    <xdr:grpSp>
      <xdr:nvGrpSpPr>
        <xdr:cNvPr id="130" name="Gruppieren 129">
          <a:extLst>
            <a:ext uri="{FF2B5EF4-FFF2-40B4-BE49-F238E27FC236}">
              <a16:creationId xmlns:a16="http://schemas.microsoft.com/office/drawing/2014/main" id="{6944798E-DD9E-49C3-8AE2-77E230291A08}"/>
            </a:ext>
          </a:extLst>
        </xdr:cNvPr>
        <xdr:cNvGrpSpPr/>
      </xdr:nvGrpSpPr>
      <xdr:grpSpPr>
        <a:xfrm>
          <a:off x="8141693" y="29423633"/>
          <a:ext cx="461663" cy="2383736"/>
          <a:chOff x="9527870" y="3599470"/>
          <a:chExt cx="467002" cy="1797691"/>
        </a:xfrm>
      </xdr:grpSpPr>
      <xdr:sp macro="" textlink="">
        <xdr:nvSpPr>
          <xdr:cNvPr id="131" name="Rechteck 130">
            <a:extLst>
              <a:ext uri="{FF2B5EF4-FFF2-40B4-BE49-F238E27FC236}">
                <a16:creationId xmlns:a16="http://schemas.microsoft.com/office/drawing/2014/main" id="{4B81DC39-9301-60CA-DFDF-46F703EE25B6}"/>
              </a:ext>
            </a:extLst>
          </xdr:cNvPr>
          <xdr:cNvSpPr/>
        </xdr:nvSpPr>
        <xdr:spPr>
          <a:xfrm>
            <a:off x="9534648" y="3723771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32" name="Gerader Verbinder 131">
            <a:extLst>
              <a:ext uri="{FF2B5EF4-FFF2-40B4-BE49-F238E27FC236}">
                <a16:creationId xmlns:a16="http://schemas.microsoft.com/office/drawing/2014/main" id="{8E1EDB74-B1AC-14FB-8337-156909887074}"/>
              </a:ext>
            </a:extLst>
          </xdr:cNvPr>
          <xdr:cNvCxnSpPr>
            <a:stCxn id="153" idx="0"/>
            <a:endCxn id="131" idx="0"/>
          </xdr:cNvCxnSpPr>
        </xdr:nvCxnSpPr>
        <xdr:spPr>
          <a:xfrm flipH="1">
            <a:off x="9720386" y="3599470"/>
            <a:ext cx="16618" cy="12430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33" name="Gerader Verbinder 132">
            <a:extLst>
              <a:ext uri="{FF2B5EF4-FFF2-40B4-BE49-F238E27FC236}">
                <a16:creationId xmlns:a16="http://schemas.microsoft.com/office/drawing/2014/main" id="{B4175276-3923-E1FC-30CA-E446F215FB9A}"/>
              </a:ext>
            </a:extLst>
          </xdr:cNvPr>
          <xdr:cNvCxnSpPr>
            <a:stCxn id="131" idx="2"/>
          </xdr:cNvCxnSpPr>
        </xdr:nvCxnSpPr>
        <xdr:spPr>
          <a:xfrm>
            <a:off x="9720386" y="4800095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4" name="Textfeld 133">
            <a:extLst>
              <a:ext uri="{FF2B5EF4-FFF2-40B4-BE49-F238E27FC236}">
                <a16:creationId xmlns:a16="http://schemas.microsoft.com/office/drawing/2014/main" id="{2C6205FF-4C81-C732-0AFD-49DCBF9B373C}"/>
              </a:ext>
            </a:extLst>
          </xdr:cNvPr>
          <xdr:cNvSpPr txBox="1"/>
        </xdr:nvSpPr>
        <xdr:spPr>
          <a:xfrm rot="5400000">
            <a:off x="9521244" y="3790501"/>
            <a:ext cx="480253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45</a:t>
            </a:r>
          </a:p>
        </xdr:txBody>
      </xdr:sp>
    </xdr:grpSp>
    <xdr:clientData/>
  </xdr:twoCellAnchor>
  <xdr:twoCellAnchor>
    <xdr:from>
      <xdr:col>5</xdr:col>
      <xdr:colOff>719508</xdr:colOff>
      <xdr:row>88</xdr:row>
      <xdr:rowOff>176646</xdr:rowOff>
    </xdr:from>
    <xdr:to>
      <xdr:col>6</xdr:col>
      <xdr:colOff>425521</xdr:colOff>
      <xdr:row>111</xdr:row>
      <xdr:rowOff>128164</xdr:rowOff>
    </xdr:to>
    <xdr:grpSp>
      <xdr:nvGrpSpPr>
        <xdr:cNvPr id="135" name="Gruppieren 134">
          <a:extLst>
            <a:ext uri="{FF2B5EF4-FFF2-40B4-BE49-F238E27FC236}">
              <a16:creationId xmlns:a16="http://schemas.microsoft.com/office/drawing/2014/main" id="{200066EE-7AF6-453A-A371-BCF986E6EC48}"/>
            </a:ext>
          </a:extLst>
        </xdr:cNvPr>
        <xdr:cNvGrpSpPr/>
      </xdr:nvGrpSpPr>
      <xdr:grpSpPr>
        <a:xfrm>
          <a:off x="4529508" y="26481521"/>
          <a:ext cx="468013" cy="5301393"/>
          <a:chOff x="8941283" y="3264625"/>
          <a:chExt cx="469428" cy="4311071"/>
        </a:xfrm>
      </xdr:grpSpPr>
      <xdr:sp macro="" textlink="">
        <xdr:nvSpPr>
          <xdr:cNvPr id="136" name="Rechteck 135">
            <a:extLst>
              <a:ext uri="{FF2B5EF4-FFF2-40B4-BE49-F238E27FC236}">
                <a16:creationId xmlns:a16="http://schemas.microsoft.com/office/drawing/2014/main" id="{F74C7D56-8712-6502-3DBE-AFC4196C3BEC}"/>
              </a:ext>
            </a:extLst>
          </xdr:cNvPr>
          <xdr:cNvSpPr/>
        </xdr:nvSpPr>
        <xdr:spPr>
          <a:xfrm>
            <a:off x="8959850" y="3706023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37" name="Gerader Verbinder 136">
            <a:extLst>
              <a:ext uri="{FF2B5EF4-FFF2-40B4-BE49-F238E27FC236}">
                <a16:creationId xmlns:a16="http://schemas.microsoft.com/office/drawing/2014/main" id="{D2D4F756-F07C-0998-0EFA-9944FA002B1A}"/>
              </a:ext>
            </a:extLst>
          </xdr:cNvPr>
          <xdr:cNvCxnSpPr>
            <a:stCxn id="152" idx="4"/>
            <a:endCxn id="136" idx="0"/>
          </xdr:cNvCxnSpPr>
        </xdr:nvCxnSpPr>
        <xdr:spPr>
          <a:xfrm flipH="1">
            <a:off x="9145588" y="3264625"/>
            <a:ext cx="3910" cy="44139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38" name="Gerader Verbinder 137">
            <a:extLst>
              <a:ext uri="{FF2B5EF4-FFF2-40B4-BE49-F238E27FC236}">
                <a16:creationId xmlns:a16="http://schemas.microsoft.com/office/drawing/2014/main" id="{E312C5A4-5E87-5BE1-8656-6AC39A2A50B6}"/>
              </a:ext>
            </a:extLst>
          </xdr:cNvPr>
          <xdr:cNvCxnSpPr>
            <a:stCxn id="136" idx="2"/>
            <a:endCxn id="314" idx="7"/>
          </xdr:cNvCxnSpPr>
        </xdr:nvCxnSpPr>
        <xdr:spPr>
          <a:xfrm flipH="1">
            <a:off x="9136444" y="4782348"/>
            <a:ext cx="9144" cy="279334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9" name="Textfeld 138">
            <a:extLst>
              <a:ext uri="{FF2B5EF4-FFF2-40B4-BE49-F238E27FC236}">
                <a16:creationId xmlns:a16="http://schemas.microsoft.com/office/drawing/2014/main" id="{EE4EB164-6E18-7DA5-68EB-1B7A152E3316}"/>
              </a:ext>
            </a:extLst>
          </xdr:cNvPr>
          <xdr:cNvSpPr txBox="1"/>
        </xdr:nvSpPr>
        <xdr:spPr>
          <a:xfrm rot="5400000">
            <a:off x="8880795" y="3904822"/>
            <a:ext cx="590404" cy="4694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789</a:t>
            </a:r>
          </a:p>
        </xdr:txBody>
      </xdr:sp>
    </xdr:grpSp>
    <xdr:clientData/>
  </xdr:twoCellAnchor>
  <xdr:twoCellAnchor>
    <xdr:from>
      <xdr:col>1</xdr:col>
      <xdr:colOff>525997</xdr:colOff>
      <xdr:row>88</xdr:row>
      <xdr:rowOff>169857</xdr:rowOff>
    </xdr:from>
    <xdr:to>
      <xdr:col>2</xdr:col>
      <xdr:colOff>232011</xdr:colOff>
      <xdr:row>104</xdr:row>
      <xdr:rowOff>169404</xdr:rowOff>
    </xdr:to>
    <xdr:grpSp>
      <xdr:nvGrpSpPr>
        <xdr:cNvPr id="140" name="Gruppieren 139">
          <a:extLst>
            <a:ext uri="{FF2B5EF4-FFF2-40B4-BE49-F238E27FC236}">
              <a16:creationId xmlns:a16="http://schemas.microsoft.com/office/drawing/2014/main" id="{05B30160-D525-41F2-84A2-DBCBF72533F6}"/>
            </a:ext>
          </a:extLst>
        </xdr:cNvPr>
        <xdr:cNvGrpSpPr/>
      </xdr:nvGrpSpPr>
      <xdr:grpSpPr>
        <a:xfrm>
          <a:off x="1287997" y="26474732"/>
          <a:ext cx="468014" cy="4015922"/>
          <a:chOff x="8945774" y="3254331"/>
          <a:chExt cx="471479" cy="3010540"/>
        </a:xfrm>
      </xdr:grpSpPr>
      <xdr:sp macro="" textlink="">
        <xdr:nvSpPr>
          <xdr:cNvPr id="141" name="Rechteck 140">
            <a:extLst>
              <a:ext uri="{FF2B5EF4-FFF2-40B4-BE49-F238E27FC236}">
                <a16:creationId xmlns:a16="http://schemas.microsoft.com/office/drawing/2014/main" id="{2AF0EDE1-D50C-AE91-D8AD-FE038CC9914E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42" name="Gerader Verbinder 141">
            <a:extLst>
              <a:ext uri="{FF2B5EF4-FFF2-40B4-BE49-F238E27FC236}">
                <a16:creationId xmlns:a16="http://schemas.microsoft.com/office/drawing/2014/main" id="{E869693A-F8FC-BA88-3242-F74A84CB883B}"/>
              </a:ext>
            </a:extLst>
          </xdr:cNvPr>
          <xdr:cNvCxnSpPr>
            <a:endCxn id="141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43" name="Gerader Verbinder 142">
            <a:extLst>
              <a:ext uri="{FF2B5EF4-FFF2-40B4-BE49-F238E27FC236}">
                <a16:creationId xmlns:a16="http://schemas.microsoft.com/office/drawing/2014/main" id="{1F8D820D-2879-5873-7B8B-2651B182FC18}"/>
              </a:ext>
            </a:extLst>
          </xdr:cNvPr>
          <xdr:cNvCxnSpPr>
            <a:stCxn id="141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44" name="Textfeld 143">
            <a:extLst>
              <a:ext uri="{FF2B5EF4-FFF2-40B4-BE49-F238E27FC236}">
                <a16:creationId xmlns:a16="http://schemas.microsoft.com/office/drawing/2014/main" id="{E47179F7-3F61-33EE-604C-DF1D5C1974D6}"/>
              </a:ext>
            </a:extLst>
          </xdr:cNvPr>
          <xdr:cNvSpPr txBox="1"/>
        </xdr:nvSpPr>
        <xdr:spPr>
          <a:xfrm rot="5400000">
            <a:off x="8942200" y="3826294"/>
            <a:ext cx="478628" cy="47147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1</xdr:col>
      <xdr:colOff>720725</xdr:colOff>
      <xdr:row>88</xdr:row>
      <xdr:rowOff>169857</xdr:rowOff>
    </xdr:from>
    <xdr:to>
      <xdr:col>10</xdr:col>
      <xdr:colOff>723900</xdr:colOff>
      <xdr:row>88</xdr:row>
      <xdr:rowOff>179382</xdr:rowOff>
    </xdr:to>
    <xdr:cxnSp macro="">
      <xdr:nvCxnSpPr>
        <xdr:cNvPr id="145" name="Gerader Verbinder 144">
          <a:extLst>
            <a:ext uri="{FF2B5EF4-FFF2-40B4-BE49-F238E27FC236}">
              <a16:creationId xmlns:a16="http://schemas.microsoft.com/office/drawing/2014/main" id="{181822FE-F81A-4AB0-9474-8304ED2B2F7B}"/>
            </a:ext>
          </a:extLst>
        </xdr:cNvPr>
        <xdr:cNvCxnSpPr/>
      </xdr:nvCxnSpPr>
      <xdr:spPr>
        <a:xfrm flipH="1" flipV="1">
          <a:off x="1482725" y="18086382"/>
          <a:ext cx="6861175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358775</xdr:colOff>
      <xdr:row>106</xdr:row>
      <xdr:rowOff>53289</xdr:rowOff>
    </xdr:from>
    <xdr:to>
      <xdr:col>2</xdr:col>
      <xdr:colOff>219084</xdr:colOff>
      <xdr:row>106</xdr:row>
      <xdr:rowOff>53289</xdr:rowOff>
    </xdr:to>
    <xdr:cxnSp macro="">
      <xdr:nvCxnSpPr>
        <xdr:cNvPr id="146" name="Gerader Verbinder 145">
          <a:extLst>
            <a:ext uri="{FF2B5EF4-FFF2-40B4-BE49-F238E27FC236}">
              <a16:creationId xmlns:a16="http://schemas.microsoft.com/office/drawing/2014/main" id="{E65F5531-835A-474F-A1B9-40CD568489D6}"/>
            </a:ext>
          </a:extLst>
        </xdr:cNvPr>
        <xdr:cNvCxnSpPr/>
      </xdr:nvCxnSpPr>
      <xdr:spPr>
        <a:xfrm flipH="1">
          <a:off x="1120775" y="21224189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549729</xdr:colOff>
      <xdr:row>105</xdr:row>
      <xdr:rowOff>34694</xdr:rowOff>
    </xdr:from>
    <xdr:to>
      <xdr:col>2</xdr:col>
      <xdr:colOff>86179</xdr:colOff>
      <xdr:row>105</xdr:row>
      <xdr:rowOff>34694</xdr:rowOff>
    </xdr:to>
    <xdr:cxnSp macro="">
      <xdr:nvCxnSpPr>
        <xdr:cNvPr id="147" name="Gerader Verbinder 146">
          <a:extLst>
            <a:ext uri="{FF2B5EF4-FFF2-40B4-BE49-F238E27FC236}">
              <a16:creationId xmlns:a16="http://schemas.microsoft.com/office/drawing/2014/main" id="{C9F4872B-67B9-4B7C-8F79-F1C102821658}"/>
            </a:ext>
          </a:extLst>
        </xdr:cNvPr>
        <xdr:cNvCxnSpPr/>
      </xdr:nvCxnSpPr>
      <xdr:spPr>
        <a:xfrm flipH="1">
          <a:off x="1311729" y="21024619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558800</xdr:colOff>
      <xdr:row>106</xdr:row>
      <xdr:rowOff>103182</xdr:rowOff>
    </xdr:from>
    <xdr:to>
      <xdr:col>2</xdr:col>
      <xdr:colOff>95250</xdr:colOff>
      <xdr:row>106</xdr:row>
      <xdr:rowOff>103182</xdr:rowOff>
    </xdr:to>
    <xdr:cxnSp macro="">
      <xdr:nvCxnSpPr>
        <xdr:cNvPr id="148" name="Gerader Verbinder 147">
          <a:extLst>
            <a:ext uri="{FF2B5EF4-FFF2-40B4-BE49-F238E27FC236}">
              <a16:creationId xmlns:a16="http://schemas.microsoft.com/office/drawing/2014/main" id="{30AA35CF-6F5D-4DA2-82AA-211DD76BE7C2}"/>
            </a:ext>
          </a:extLst>
        </xdr:cNvPr>
        <xdr:cNvCxnSpPr/>
      </xdr:nvCxnSpPr>
      <xdr:spPr>
        <a:xfrm flipH="1">
          <a:off x="1323975" y="21280432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701675</xdr:colOff>
      <xdr:row>106</xdr:row>
      <xdr:rowOff>131757</xdr:rowOff>
    </xdr:from>
    <xdr:to>
      <xdr:col>1</xdr:col>
      <xdr:colOff>714375</xdr:colOff>
      <xdr:row>111</xdr:row>
      <xdr:rowOff>174625</xdr:rowOff>
    </xdr:to>
    <xdr:cxnSp macro="">
      <xdr:nvCxnSpPr>
        <xdr:cNvPr id="149" name="Gerader Verbinder 148">
          <a:extLst>
            <a:ext uri="{FF2B5EF4-FFF2-40B4-BE49-F238E27FC236}">
              <a16:creationId xmlns:a16="http://schemas.microsoft.com/office/drawing/2014/main" id="{E6B11A79-5F54-4CC3-8240-CC063668EF20}"/>
            </a:ext>
          </a:extLst>
        </xdr:cNvPr>
        <xdr:cNvCxnSpPr/>
      </xdr:nvCxnSpPr>
      <xdr:spPr>
        <a:xfrm>
          <a:off x="1463675" y="22150382"/>
          <a:ext cx="12700" cy="99536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726849</xdr:colOff>
      <xdr:row>100</xdr:row>
      <xdr:rowOff>258082</xdr:rowOff>
    </xdr:from>
    <xdr:to>
      <xdr:col>12</xdr:col>
      <xdr:colOff>674006</xdr:colOff>
      <xdr:row>100</xdr:row>
      <xdr:rowOff>273263</xdr:rowOff>
    </xdr:to>
    <xdr:cxnSp macro="">
      <xdr:nvCxnSpPr>
        <xdr:cNvPr id="151" name="Gerader Verbinder 150">
          <a:extLst>
            <a:ext uri="{FF2B5EF4-FFF2-40B4-BE49-F238E27FC236}">
              <a16:creationId xmlns:a16="http://schemas.microsoft.com/office/drawing/2014/main" id="{2A5F2E8A-8DC6-4A6A-B7A6-B7D2ABC5F127}"/>
            </a:ext>
          </a:extLst>
        </xdr:cNvPr>
        <xdr:cNvCxnSpPr>
          <a:stCxn id="154" idx="2"/>
          <a:endCxn id="153" idx="0"/>
        </xdr:cNvCxnSpPr>
      </xdr:nvCxnSpPr>
      <xdr:spPr>
        <a:xfrm flipH="1" flipV="1">
          <a:off x="8346849" y="22910264"/>
          <a:ext cx="1471157" cy="1518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88</xdr:row>
      <xdr:rowOff>127000</xdr:rowOff>
    </xdr:from>
    <xdr:to>
      <xdr:col>6</xdr:col>
      <xdr:colOff>234950</xdr:colOff>
      <xdr:row>89</xdr:row>
      <xdr:rowOff>38100</xdr:rowOff>
    </xdr:to>
    <xdr:sp macro="" textlink="">
      <xdr:nvSpPr>
        <xdr:cNvPr id="152" name="Ellipse 151">
          <a:extLst>
            <a:ext uri="{FF2B5EF4-FFF2-40B4-BE49-F238E27FC236}">
              <a16:creationId xmlns:a16="http://schemas.microsoft.com/office/drawing/2014/main" id="{2BFCD440-4F1D-4B26-B010-7349B0B9D6E7}"/>
            </a:ext>
          </a:extLst>
        </xdr:cNvPr>
        <xdr:cNvSpPr/>
      </xdr:nvSpPr>
      <xdr:spPr>
        <a:xfrm>
          <a:off x="4667250" y="18751550"/>
          <a:ext cx="13970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678543</xdr:colOff>
      <xdr:row>100</xdr:row>
      <xdr:rowOff>261257</xdr:rowOff>
    </xdr:from>
    <xdr:to>
      <xdr:col>11</xdr:col>
      <xdr:colOff>16329</xdr:colOff>
      <xdr:row>101</xdr:row>
      <xdr:rowOff>66896</xdr:rowOff>
    </xdr:to>
    <xdr:sp macro="" textlink="">
      <xdr:nvSpPr>
        <xdr:cNvPr id="153" name="Ellipse 152">
          <a:extLst>
            <a:ext uri="{FF2B5EF4-FFF2-40B4-BE49-F238E27FC236}">
              <a16:creationId xmlns:a16="http://schemas.microsoft.com/office/drawing/2014/main" id="{41944E40-0241-426F-88A5-2743A8AD3611}"/>
            </a:ext>
          </a:extLst>
        </xdr:cNvPr>
        <xdr:cNvSpPr/>
      </xdr:nvSpPr>
      <xdr:spPr>
        <a:xfrm>
          <a:off x="8298543" y="22489886"/>
          <a:ext cx="99786" cy="13765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670831</xdr:colOff>
      <xdr:row>100</xdr:row>
      <xdr:rowOff>210002</xdr:rowOff>
    </xdr:from>
    <xdr:to>
      <xdr:col>12</xdr:col>
      <xdr:colOff>743403</xdr:colOff>
      <xdr:row>101</xdr:row>
      <xdr:rowOff>4303</xdr:rowOff>
    </xdr:to>
    <xdr:sp macro="" textlink="">
      <xdr:nvSpPr>
        <xdr:cNvPr id="154" name="Ellipse 153">
          <a:extLst>
            <a:ext uri="{FF2B5EF4-FFF2-40B4-BE49-F238E27FC236}">
              <a16:creationId xmlns:a16="http://schemas.microsoft.com/office/drawing/2014/main" id="{2DD53F97-06F9-4309-BB3A-8F46914F70BC}"/>
            </a:ext>
          </a:extLst>
        </xdr:cNvPr>
        <xdr:cNvSpPr/>
      </xdr:nvSpPr>
      <xdr:spPr>
        <a:xfrm>
          <a:off x="9814831" y="22438631"/>
          <a:ext cx="72572" cy="12631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388257</xdr:colOff>
      <xdr:row>104</xdr:row>
      <xdr:rowOff>169403</xdr:rowOff>
    </xdr:from>
    <xdr:to>
      <xdr:col>2</xdr:col>
      <xdr:colOff>248566</xdr:colOff>
      <xdr:row>104</xdr:row>
      <xdr:rowOff>178928</xdr:rowOff>
    </xdr:to>
    <xdr:cxnSp macro="">
      <xdr:nvCxnSpPr>
        <xdr:cNvPr id="158" name="Gerader Verbinder 157">
          <a:extLst>
            <a:ext uri="{FF2B5EF4-FFF2-40B4-BE49-F238E27FC236}">
              <a16:creationId xmlns:a16="http://schemas.microsoft.com/office/drawing/2014/main" id="{D3A4645F-56ED-495D-9594-AD493BE04380}"/>
            </a:ext>
          </a:extLst>
        </xdr:cNvPr>
        <xdr:cNvCxnSpPr/>
      </xdr:nvCxnSpPr>
      <xdr:spPr>
        <a:xfrm flipH="1">
          <a:off x="1153432" y="20981528"/>
          <a:ext cx="619134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706664</xdr:colOff>
      <xdr:row>105</xdr:row>
      <xdr:rowOff>25621</xdr:rowOff>
    </xdr:from>
    <xdr:to>
      <xdr:col>1</xdr:col>
      <xdr:colOff>711200</xdr:colOff>
      <xdr:row>106</xdr:row>
      <xdr:rowOff>73246</xdr:rowOff>
    </xdr:to>
    <xdr:cxnSp macro="">
      <xdr:nvCxnSpPr>
        <xdr:cNvPr id="159" name="Gerader Verbinder 158">
          <a:extLst>
            <a:ext uri="{FF2B5EF4-FFF2-40B4-BE49-F238E27FC236}">
              <a16:creationId xmlns:a16="http://schemas.microsoft.com/office/drawing/2014/main" id="{F04EA0E6-AB35-4F2A-BA9D-67B8CF441F13}"/>
            </a:ext>
          </a:extLst>
        </xdr:cNvPr>
        <xdr:cNvCxnSpPr/>
      </xdr:nvCxnSpPr>
      <xdr:spPr>
        <a:xfrm flipH="1">
          <a:off x="1468664" y="21021896"/>
          <a:ext cx="7711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656772</xdr:colOff>
      <xdr:row>88</xdr:row>
      <xdr:rowOff>97286</xdr:rowOff>
    </xdr:from>
    <xdr:to>
      <xdr:col>10</xdr:col>
      <xdr:colOff>752022</xdr:colOff>
      <xdr:row>89</xdr:row>
      <xdr:rowOff>52836</xdr:rowOff>
    </xdr:to>
    <xdr:sp macro="" textlink="">
      <xdr:nvSpPr>
        <xdr:cNvPr id="160" name="Ellipse 159">
          <a:extLst>
            <a:ext uri="{FF2B5EF4-FFF2-40B4-BE49-F238E27FC236}">
              <a16:creationId xmlns:a16="http://schemas.microsoft.com/office/drawing/2014/main" id="{B2F0D5CB-F8C3-40C2-ADD8-D9E1EB452909}"/>
            </a:ext>
          </a:extLst>
        </xdr:cNvPr>
        <xdr:cNvSpPr/>
      </xdr:nvSpPr>
      <xdr:spPr>
        <a:xfrm>
          <a:off x="8279947" y="18013811"/>
          <a:ext cx="95250" cy="1333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520907</xdr:colOff>
      <xdr:row>89</xdr:row>
      <xdr:rowOff>27891</xdr:rowOff>
    </xdr:from>
    <xdr:to>
      <xdr:col>11</xdr:col>
      <xdr:colOff>214673</xdr:colOff>
      <xdr:row>101</xdr:row>
      <xdr:rowOff>42524</xdr:rowOff>
    </xdr:to>
    <xdr:grpSp>
      <xdr:nvGrpSpPr>
        <xdr:cNvPr id="161" name="Gruppieren 160">
          <a:extLst>
            <a:ext uri="{FF2B5EF4-FFF2-40B4-BE49-F238E27FC236}">
              <a16:creationId xmlns:a16="http://schemas.microsoft.com/office/drawing/2014/main" id="{B74431DE-8D5E-43E5-ADA6-24D7CAD55F4F}"/>
            </a:ext>
          </a:extLst>
        </xdr:cNvPr>
        <xdr:cNvGrpSpPr/>
      </xdr:nvGrpSpPr>
      <xdr:grpSpPr>
        <a:xfrm>
          <a:off x="8140907" y="26523266"/>
          <a:ext cx="455766" cy="3062633"/>
          <a:chOff x="8934450" y="3237320"/>
          <a:chExt cx="448997" cy="2214322"/>
        </a:xfrm>
      </xdr:grpSpPr>
      <xdr:sp macro="" textlink="">
        <xdr:nvSpPr>
          <xdr:cNvPr id="162" name="Rechteck 161">
            <a:extLst>
              <a:ext uri="{FF2B5EF4-FFF2-40B4-BE49-F238E27FC236}">
                <a16:creationId xmlns:a16="http://schemas.microsoft.com/office/drawing/2014/main" id="{952E1648-E0B0-B5FD-952E-D3ACFCC78FBE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63" name="Gerader Verbinder 162">
            <a:extLst>
              <a:ext uri="{FF2B5EF4-FFF2-40B4-BE49-F238E27FC236}">
                <a16:creationId xmlns:a16="http://schemas.microsoft.com/office/drawing/2014/main" id="{9F6A15A8-BC82-B15A-3141-AC4BDEC0B391}"/>
              </a:ext>
            </a:extLst>
          </xdr:cNvPr>
          <xdr:cNvCxnSpPr>
            <a:stCxn id="160" idx="4"/>
            <a:endCxn id="162" idx="0"/>
          </xdr:cNvCxnSpPr>
        </xdr:nvCxnSpPr>
        <xdr:spPr>
          <a:xfrm flipH="1">
            <a:off x="9142412" y="3237320"/>
            <a:ext cx="2725" cy="540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64" name="Gerader Verbinder 163">
            <a:extLst>
              <a:ext uri="{FF2B5EF4-FFF2-40B4-BE49-F238E27FC236}">
                <a16:creationId xmlns:a16="http://schemas.microsoft.com/office/drawing/2014/main" id="{69EEFAEE-B9BD-C7AC-B06E-BEF7AA59F286}"/>
              </a:ext>
            </a:extLst>
          </xdr:cNvPr>
          <xdr:cNvCxnSpPr>
            <a:stCxn id="162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5" name="Textfeld 164">
            <a:extLst>
              <a:ext uri="{FF2B5EF4-FFF2-40B4-BE49-F238E27FC236}">
                <a16:creationId xmlns:a16="http://schemas.microsoft.com/office/drawing/2014/main" id="{540D5752-C2A3-42CC-4D04-E740F8C4AAD1}"/>
              </a:ext>
            </a:extLst>
          </xdr:cNvPr>
          <xdr:cNvSpPr txBox="1"/>
        </xdr:nvSpPr>
        <xdr:spPr>
          <a:xfrm>
            <a:off x="8934450" y="4010025"/>
            <a:ext cx="448997" cy="3758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11</xdr:col>
      <xdr:colOff>148640</xdr:colOff>
      <xdr:row>140</xdr:row>
      <xdr:rowOff>104215</xdr:rowOff>
    </xdr:from>
    <xdr:to>
      <xdr:col>11</xdr:col>
      <xdr:colOff>554072</xdr:colOff>
      <xdr:row>153</xdr:row>
      <xdr:rowOff>37645</xdr:rowOff>
    </xdr:to>
    <xdr:grpSp>
      <xdr:nvGrpSpPr>
        <xdr:cNvPr id="166" name="Gruppieren 165">
          <a:extLst>
            <a:ext uri="{FF2B5EF4-FFF2-40B4-BE49-F238E27FC236}">
              <a16:creationId xmlns:a16="http://schemas.microsoft.com/office/drawing/2014/main" id="{DED18BFE-2598-4365-85C4-2DE46C73BC52}"/>
            </a:ext>
          </a:extLst>
        </xdr:cNvPr>
        <xdr:cNvGrpSpPr/>
      </xdr:nvGrpSpPr>
      <xdr:grpSpPr>
        <a:xfrm>
          <a:off x="8530640" y="36346840"/>
          <a:ext cx="405432" cy="3473555"/>
          <a:chOff x="8934017" y="3167408"/>
          <a:chExt cx="408386" cy="2284234"/>
        </a:xfrm>
      </xdr:grpSpPr>
      <xdr:sp macro="" textlink="">
        <xdr:nvSpPr>
          <xdr:cNvPr id="167" name="Rechteck 166">
            <a:extLst>
              <a:ext uri="{FF2B5EF4-FFF2-40B4-BE49-F238E27FC236}">
                <a16:creationId xmlns:a16="http://schemas.microsoft.com/office/drawing/2014/main" id="{B0F52602-9E9F-629D-F459-2430C13345CA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68" name="Gerader Verbinder 167">
            <a:extLst>
              <a:ext uri="{FF2B5EF4-FFF2-40B4-BE49-F238E27FC236}">
                <a16:creationId xmlns:a16="http://schemas.microsoft.com/office/drawing/2014/main" id="{FFFC0E3A-A979-2081-3195-8E8D419F933B}"/>
              </a:ext>
            </a:extLst>
          </xdr:cNvPr>
          <xdr:cNvCxnSpPr>
            <a:stCxn id="195" idx="2"/>
            <a:endCxn id="167" idx="0"/>
          </xdr:cNvCxnSpPr>
        </xdr:nvCxnSpPr>
        <xdr:spPr>
          <a:xfrm>
            <a:off x="9137573" y="3167408"/>
            <a:ext cx="8014" cy="61084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69" name="Gerader Verbinder 168">
            <a:extLst>
              <a:ext uri="{FF2B5EF4-FFF2-40B4-BE49-F238E27FC236}">
                <a16:creationId xmlns:a16="http://schemas.microsoft.com/office/drawing/2014/main" id="{20643A44-C672-7B77-5DD5-011F68448A99}"/>
              </a:ext>
            </a:extLst>
          </xdr:cNvPr>
          <xdr:cNvCxnSpPr>
            <a:stCxn id="167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0" name="Textfeld 169">
            <a:extLst>
              <a:ext uri="{FF2B5EF4-FFF2-40B4-BE49-F238E27FC236}">
                <a16:creationId xmlns:a16="http://schemas.microsoft.com/office/drawing/2014/main" id="{FDC7320A-E1C8-BCBB-D8DB-BD3E005C95E1}"/>
              </a:ext>
            </a:extLst>
          </xdr:cNvPr>
          <xdr:cNvSpPr txBox="1"/>
        </xdr:nvSpPr>
        <xdr:spPr>
          <a:xfrm rot="5400000">
            <a:off x="8796809" y="4010254"/>
            <a:ext cx="682801" cy="4083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12345</a:t>
            </a:r>
          </a:p>
        </xdr:txBody>
      </xdr:sp>
    </xdr:grpSp>
    <xdr:clientData/>
  </xdr:twoCellAnchor>
  <xdr:twoCellAnchor>
    <xdr:from>
      <xdr:col>6</xdr:col>
      <xdr:colOff>163983</xdr:colOff>
      <xdr:row>131</xdr:row>
      <xdr:rowOff>102641</xdr:rowOff>
    </xdr:from>
    <xdr:to>
      <xdr:col>6</xdr:col>
      <xdr:colOff>563065</xdr:colOff>
      <xdr:row>153</xdr:row>
      <xdr:rowOff>117156</xdr:rowOff>
    </xdr:to>
    <xdr:grpSp>
      <xdr:nvGrpSpPr>
        <xdr:cNvPr id="171" name="Gruppieren 170">
          <a:extLst>
            <a:ext uri="{FF2B5EF4-FFF2-40B4-BE49-F238E27FC236}">
              <a16:creationId xmlns:a16="http://schemas.microsoft.com/office/drawing/2014/main" id="{1220E730-6CB8-407E-8AE4-53CA8BA18EBB}"/>
            </a:ext>
          </a:extLst>
        </xdr:cNvPr>
        <xdr:cNvGrpSpPr/>
      </xdr:nvGrpSpPr>
      <xdr:grpSpPr>
        <a:xfrm>
          <a:off x="4735983" y="33710016"/>
          <a:ext cx="399082" cy="6189890"/>
          <a:chOff x="8947344" y="3293238"/>
          <a:chExt cx="410723" cy="3638269"/>
        </a:xfrm>
      </xdr:grpSpPr>
      <xdr:sp macro="" textlink="">
        <xdr:nvSpPr>
          <xdr:cNvPr id="172" name="Rechteck 171">
            <a:extLst>
              <a:ext uri="{FF2B5EF4-FFF2-40B4-BE49-F238E27FC236}">
                <a16:creationId xmlns:a16="http://schemas.microsoft.com/office/drawing/2014/main" id="{6294B1EB-5BD0-F2C2-09A1-5ECCB359C75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73" name="Gerader Verbinder 172">
            <a:extLst>
              <a:ext uri="{FF2B5EF4-FFF2-40B4-BE49-F238E27FC236}">
                <a16:creationId xmlns:a16="http://schemas.microsoft.com/office/drawing/2014/main" id="{4EEF60C1-7703-0D8E-4BBA-DC9E7C703790}"/>
              </a:ext>
            </a:extLst>
          </xdr:cNvPr>
          <xdr:cNvCxnSpPr>
            <a:stCxn id="187" idx="4"/>
            <a:endCxn id="172" idx="0"/>
          </xdr:cNvCxnSpPr>
        </xdr:nvCxnSpPr>
        <xdr:spPr>
          <a:xfrm>
            <a:off x="9138015" y="3293238"/>
            <a:ext cx="7573" cy="48501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74" name="Gerader Verbinder 173">
            <a:extLst>
              <a:ext uri="{FF2B5EF4-FFF2-40B4-BE49-F238E27FC236}">
                <a16:creationId xmlns:a16="http://schemas.microsoft.com/office/drawing/2014/main" id="{31DD2C80-B851-7A4B-0B05-09752D0BCB6F}"/>
              </a:ext>
            </a:extLst>
          </xdr:cNvPr>
          <xdr:cNvCxnSpPr>
            <a:stCxn id="172" idx="2"/>
            <a:endCxn id="189" idx="4"/>
          </xdr:cNvCxnSpPr>
        </xdr:nvCxnSpPr>
        <xdr:spPr>
          <a:xfrm>
            <a:off x="9145588" y="4854576"/>
            <a:ext cx="5498" cy="207693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5" name="Textfeld 174">
            <a:extLst>
              <a:ext uri="{FF2B5EF4-FFF2-40B4-BE49-F238E27FC236}">
                <a16:creationId xmlns:a16="http://schemas.microsoft.com/office/drawing/2014/main" id="{C3AFFFE3-FF50-58F5-F51A-B605EC30DD19}"/>
              </a:ext>
            </a:extLst>
          </xdr:cNvPr>
          <xdr:cNvSpPr txBox="1"/>
        </xdr:nvSpPr>
        <xdr:spPr>
          <a:xfrm rot="5400000">
            <a:off x="8886648" y="3924984"/>
            <a:ext cx="532116" cy="4107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789</a:t>
            </a:r>
          </a:p>
        </xdr:txBody>
      </xdr:sp>
    </xdr:grpSp>
    <xdr:clientData/>
  </xdr:twoCellAnchor>
  <xdr:twoCellAnchor>
    <xdr:from>
      <xdr:col>2</xdr:col>
      <xdr:colOff>183832</xdr:colOff>
      <xdr:row>131</xdr:row>
      <xdr:rowOff>69396</xdr:rowOff>
    </xdr:from>
    <xdr:to>
      <xdr:col>2</xdr:col>
      <xdr:colOff>595008</xdr:colOff>
      <xdr:row>147</xdr:row>
      <xdr:rowOff>68943</xdr:rowOff>
    </xdr:to>
    <xdr:grpSp>
      <xdr:nvGrpSpPr>
        <xdr:cNvPr id="176" name="Gruppieren 175">
          <a:extLst>
            <a:ext uri="{FF2B5EF4-FFF2-40B4-BE49-F238E27FC236}">
              <a16:creationId xmlns:a16="http://schemas.microsoft.com/office/drawing/2014/main" id="{C46ACBA1-51A8-4F3D-A14F-F2BB06C039D9}"/>
            </a:ext>
          </a:extLst>
        </xdr:cNvPr>
        <xdr:cNvGrpSpPr/>
      </xdr:nvGrpSpPr>
      <xdr:grpSpPr>
        <a:xfrm>
          <a:off x="1707832" y="33676771"/>
          <a:ext cx="411176" cy="5031922"/>
          <a:chOff x="8959850" y="3254331"/>
          <a:chExt cx="416653" cy="3010540"/>
        </a:xfrm>
      </xdr:grpSpPr>
      <xdr:sp macro="" textlink="">
        <xdr:nvSpPr>
          <xdr:cNvPr id="177" name="Rechteck 176">
            <a:extLst>
              <a:ext uri="{FF2B5EF4-FFF2-40B4-BE49-F238E27FC236}">
                <a16:creationId xmlns:a16="http://schemas.microsoft.com/office/drawing/2014/main" id="{F41F6980-6838-F3F5-1A80-5CA10B535EE8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78" name="Gerader Verbinder 177">
            <a:extLst>
              <a:ext uri="{FF2B5EF4-FFF2-40B4-BE49-F238E27FC236}">
                <a16:creationId xmlns:a16="http://schemas.microsoft.com/office/drawing/2014/main" id="{1D0E69A8-D0E3-D2DC-8AA7-887CCB2532BD}"/>
              </a:ext>
            </a:extLst>
          </xdr:cNvPr>
          <xdr:cNvCxnSpPr>
            <a:endCxn id="177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79" name="Gerader Verbinder 178">
            <a:extLst>
              <a:ext uri="{FF2B5EF4-FFF2-40B4-BE49-F238E27FC236}">
                <a16:creationId xmlns:a16="http://schemas.microsoft.com/office/drawing/2014/main" id="{B60F6529-C57E-873A-A659-224199F025C9}"/>
              </a:ext>
            </a:extLst>
          </xdr:cNvPr>
          <xdr:cNvCxnSpPr>
            <a:stCxn id="177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80" name="Textfeld 179">
            <a:extLst>
              <a:ext uri="{FF2B5EF4-FFF2-40B4-BE49-F238E27FC236}">
                <a16:creationId xmlns:a16="http://schemas.microsoft.com/office/drawing/2014/main" id="{35F87FAA-71BA-6207-01FB-6A61BB8627B2}"/>
              </a:ext>
            </a:extLst>
          </xdr:cNvPr>
          <xdr:cNvSpPr txBox="1"/>
        </xdr:nvSpPr>
        <xdr:spPr>
          <a:xfrm rot="5400000">
            <a:off x="8937147" y="3982563"/>
            <a:ext cx="467880" cy="41083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131</xdr:row>
      <xdr:rowOff>72571</xdr:rowOff>
    </xdr:from>
    <xdr:to>
      <xdr:col>11</xdr:col>
      <xdr:colOff>365125</xdr:colOff>
      <xdr:row>131</xdr:row>
      <xdr:rowOff>88446</xdr:rowOff>
    </xdr:to>
    <xdr:cxnSp macro="">
      <xdr:nvCxnSpPr>
        <xdr:cNvPr id="181" name="Gerader Verbinder 180">
          <a:extLst>
            <a:ext uri="{FF2B5EF4-FFF2-40B4-BE49-F238E27FC236}">
              <a16:creationId xmlns:a16="http://schemas.microsoft.com/office/drawing/2014/main" id="{0882CC81-FE2F-43BC-AC2C-13C9BE654A11}"/>
            </a:ext>
          </a:extLst>
        </xdr:cNvPr>
        <xdr:cNvCxnSpPr/>
      </xdr:nvCxnSpPr>
      <xdr:spPr>
        <a:xfrm flipH="1" flipV="1">
          <a:off x="1885950" y="27758571"/>
          <a:ext cx="6864350" cy="158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148</xdr:row>
      <xdr:rowOff>128947</xdr:rowOff>
    </xdr:from>
    <xdr:to>
      <xdr:col>2</xdr:col>
      <xdr:colOff>622309</xdr:colOff>
      <xdr:row>148</xdr:row>
      <xdr:rowOff>128947</xdr:rowOff>
    </xdr:to>
    <xdr:cxnSp macro="">
      <xdr:nvCxnSpPr>
        <xdr:cNvPr id="182" name="Gerader Verbinder 181">
          <a:extLst>
            <a:ext uri="{FF2B5EF4-FFF2-40B4-BE49-F238E27FC236}">
              <a16:creationId xmlns:a16="http://schemas.microsoft.com/office/drawing/2014/main" id="{2BE0C322-B753-48A3-AB48-8D377290B5B8}"/>
            </a:ext>
          </a:extLst>
        </xdr:cNvPr>
        <xdr:cNvCxnSpPr/>
      </xdr:nvCxnSpPr>
      <xdr:spPr>
        <a:xfrm flipH="1">
          <a:off x="1524000" y="30891522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147</xdr:row>
      <xdr:rowOff>110352</xdr:rowOff>
    </xdr:from>
    <xdr:to>
      <xdr:col>2</xdr:col>
      <xdr:colOff>489404</xdr:colOff>
      <xdr:row>147</xdr:row>
      <xdr:rowOff>110352</xdr:rowOff>
    </xdr:to>
    <xdr:cxnSp macro="">
      <xdr:nvCxnSpPr>
        <xdr:cNvPr id="183" name="Gerader Verbinder 182">
          <a:extLst>
            <a:ext uri="{FF2B5EF4-FFF2-40B4-BE49-F238E27FC236}">
              <a16:creationId xmlns:a16="http://schemas.microsoft.com/office/drawing/2014/main" id="{38B2D312-D868-47FD-BD05-623B6FA73D85}"/>
            </a:ext>
          </a:extLst>
        </xdr:cNvPr>
        <xdr:cNvCxnSpPr/>
      </xdr:nvCxnSpPr>
      <xdr:spPr>
        <a:xfrm flipH="1">
          <a:off x="1714954" y="30691952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149</xdr:row>
      <xdr:rowOff>5896</xdr:rowOff>
    </xdr:from>
    <xdr:to>
      <xdr:col>2</xdr:col>
      <xdr:colOff>498475</xdr:colOff>
      <xdr:row>149</xdr:row>
      <xdr:rowOff>5896</xdr:rowOff>
    </xdr:to>
    <xdr:cxnSp macro="">
      <xdr:nvCxnSpPr>
        <xdr:cNvPr id="184" name="Gerader Verbinder 183">
          <a:extLst>
            <a:ext uri="{FF2B5EF4-FFF2-40B4-BE49-F238E27FC236}">
              <a16:creationId xmlns:a16="http://schemas.microsoft.com/office/drawing/2014/main" id="{CA232F66-062D-4968-A272-F06CEEC63614}"/>
            </a:ext>
          </a:extLst>
        </xdr:cNvPr>
        <xdr:cNvCxnSpPr/>
      </xdr:nvCxnSpPr>
      <xdr:spPr>
        <a:xfrm flipH="1">
          <a:off x="1720850" y="30955796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149</xdr:row>
      <xdr:rowOff>31296</xdr:rowOff>
    </xdr:from>
    <xdr:to>
      <xdr:col>2</xdr:col>
      <xdr:colOff>342900</xdr:colOff>
      <xdr:row>153</xdr:row>
      <xdr:rowOff>76200</xdr:rowOff>
    </xdr:to>
    <xdr:cxnSp macro="">
      <xdr:nvCxnSpPr>
        <xdr:cNvPr id="185" name="Gerader Verbinder 184">
          <a:extLst>
            <a:ext uri="{FF2B5EF4-FFF2-40B4-BE49-F238E27FC236}">
              <a16:creationId xmlns:a16="http://schemas.microsoft.com/office/drawing/2014/main" id="{7FA9236D-5E45-43D6-9D89-6BD7624E7ABB}"/>
            </a:ext>
          </a:extLst>
        </xdr:cNvPr>
        <xdr:cNvCxnSpPr/>
      </xdr:nvCxnSpPr>
      <xdr:spPr>
        <a:xfrm flipH="1">
          <a:off x="1857375" y="31530471"/>
          <a:ext cx="9525" cy="8450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153</xdr:row>
      <xdr:rowOff>50346</xdr:rowOff>
    </xdr:from>
    <xdr:to>
      <xdr:col>11</xdr:col>
      <xdr:colOff>402771</xdr:colOff>
      <xdr:row>153</xdr:row>
      <xdr:rowOff>65835</xdr:rowOff>
    </xdr:to>
    <xdr:cxnSp macro="">
      <xdr:nvCxnSpPr>
        <xdr:cNvPr id="186" name="Gerader Verbinder 185">
          <a:extLst>
            <a:ext uri="{FF2B5EF4-FFF2-40B4-BE49-F238E27FC236}">
              <a16:creationId xmlns:a16="http://schemas.microsoft.com/office/drawing/2014/main" id="{55F5153A-F1F6-4A1E-A247-9128DA598938}"/>
            </a:ext>
          </a:extLst>
        </xdr:cNvPr>
        <xdr:cNvCxnSpPr>
          <a:stCxn id="190" idx="6"/>
        </xdr:cNvCxnSpPr>
      </xdr:nvCxnSpPr>
      <xdr:spPr>
        <a:xfrm flipH="1" flipV="1">
          <a:off x="1866900" y="32349621"/>
          <a:ext cx="6917871" cy="1548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131</xdr:row>
      <xdr:rowOff>5896</xdr:rowOff>
    </xdr:from>
    <xdr:to>
      <xdr:col>6</xdr:col>
      <xdr:colOff>409575</xdr:colOff>
      <xdr:row>131</xdr:row>
      <xdr:rowOff>108990</xdr:rowOff>
    </xdr:to>
    <xdr:sp macro="" textlink="">
      <xdr:nvSpPr>
        <xdr:cNvPr id="187" name="Ellipse 186">
          <a:extLst>
            <a:ext uri="{FF2B5EF4-FFF2-40B4-BE49-F238E27FC236}">
              <a16:creationId xmlns:a16="http://schemas.microsoft.com/office/drawing/2014/main" id="{A5C8B922-181F-4467-A014-82AB5E7D788B}"/>
            </a:ext>
          </a:extLst>
        </xdr:cNvPr>
        <xdr:cNvSpPr/>
      </xdr:nvSpPr>
      <xdr:spPr>
        <a:xfrm>
          <a:off x="4883150" y="27698246"/>
          <a:ext cx="95250" cy="967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323850</xdr:colOff>
      <xdr:row>153</xdr:row>
      <xdr:rowOff>26761</xdr:rowOff>
    </xdr:from>
    <xdr:to>
      <xdr:col>6</xdr:col>
      <xdr:colOff>419100</xdr:colOff>
      <xdr:row>153</xdr:row>
      <xdr:rowOff>117155</xdr:rowOff>
    </xdr:to>
    <xdr:sp macro="" textlink="">
      <xdr:nvSpPr>
        <xdr:cNvPr id="189" name="Ellipse 188">
          <a:extLst>
            <a:ext uri="{FF2B5EF4-FFF2-40B4-BE49-F238E27FC236}">
              <a16:creationId xmlns:a16="http://schemas.microsoft.com/office/drawing/2014/main" id="{36AFEAA0-DE57-4CCD-9170-A64F0F8461DA}"/>
            </a:ext>
          </a:extLst>
        </xdr:cNvPr>
        <xdr:cNvSpPr/>
      </xdr:nvSpPr>
      <xdr:spPr>
        <a:xfrm>
          <a:off x="4895850" y="32326036"/>
          <a:ext cx="95250" cy="9039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304346</xdr:colOff>
      <xdr:row>153</xdr:row>
      <xdr:rowOff>19050</xdr:rowOff>
    </xdr:from>
    <xdr:to>
      <xdr:col>11</xdr:col>
      <xdr:colOff>399596</xdr:colOff>
      <xdr:row>153</xdr:row>
      <xdr:rowOff>106269</xdr:rowOff>
    </xdr:to>
    <xdr:sp macro="" textlink="">
      <xdr:nvSpPr>
        <xdr:cNvPr id="190" name="Ellipse 189">
          <a:extLst>
            <a:ext uri="{FF2B5EF4-FFF2-40B4-BE49-F238E27FC236}">
              <a16:creationId xmlns:a16="http://schemas.microsoft.com/office/drawing/2014/main" id="{10DC8C68-7B25-4517-859F-D847D195EFBF}"/>
            </a:ext>
          </a:extLst>
        </xdr:cNvPr>
        <xdr:cNvSpPr/>
      </xdr:nvSpPr>
      <xdr:spPr>
        <a:xfrm>
          <a:off x="8686346" y="32318325"/>
          <a:ext cx="95250" cy="8721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29308</xdr:colOff>
      <xdr:row>147</xdr:row>
      <xdr:rowOff>68942</xdr:rowOff>
    </xdr:from>
    <xdr:to>
      <xdr:col>2</xdr:col>
      <xdr:colOff>654966</xdr:colOff>
      <xdr:row>147</xdr:row>
      <xdr:rowOff>73269</xdr:rowOff>
    </xdr:to>
    <xdr:cxnSp macro="">
      <xdr:nvCxnSpPr>
        <xdr:cNvPr id="191" name="Gerader Verbinder 190">
          <a:extLst>
            <a:ext uri="{FF2B5EF4-FFF2-40B4-BE49-F238E27FC236}">
              <a16:creationId xmlns:a16="http://schemas.microsoft.com/office/drawing/2014/main" id="{D359FF8A-3BCF-40CD-A286-FBEB106141E3}"/>
            </a:ext>
          </a:extLst>
        </xdr:cNvPr>
        <xdr:cNvCxnSpPr/>
      </xdr:nvCxnSpPr>
      <xdr:spPr>
        <a:xfrm flipH="1">
          <a:off x="1550133" y="30650542"/>
          <a:ext cx="632008" cy="750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347889</xdr:colOff>
      <xdr:row>147</xdr:row>
      <xdr:rowOff>107629</xdr:rowOff>
    </xdr:from>
    <xdr:to>
      <xdr:col>2</xdr:col>
      <xdr:colOff>352425</xdr:colOff>
      <xdr:row>148</xdr:row>
      <xdr:rowOff>155254</xdr:rowOff>
    </xdr:to>
    <xdr:cxnSp macro="">
      <xdr:nvCxnSpPr>
        <xdr:cNvPr id="192" name="Gerader Verbinder 191">
          <a:extLst>
            <a:ext uri="{FF2B5EF4-FFF2-40B4-BE49-F238E27FC236}">
              <a16:creationId xmlns:a16="http://schemas.microsoft.com/office/drawing/2014/main" id="{6F854997-B5DA-4CE4-BFF8-CB4FB967F1C1}"/>
            </a:ext>
          </a:extLst>
        </xdr:cNvPr>
        <xdr:cNvCxnSpPr/>
      </xdr:nvCxnSpPr>
      <xdr:spPr>
        <a:xfrm flipH="1">
          <a:off x="1875064" y="30689229"/>
          <a:ext cx="0" cy="23177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297997</xdr:colOff>
      <xdr:row>131</xdr:row>
      <xdr:rowOff>0</xdr:rowOff>
    </xdr:from>
    <xdr:to>
      <xdr:col>11</xdr:col>
      <xdr:colOff>393247</xdr:colOff>
      <xdr:row>131</xdr:row>
      <xdr:rowOff>128494</xdr:rowOff>
    </xdr:to>
    <xdr:sp macro="" textlink="">
      <xdr:nvSpPr>
        <xdr:cNvPr id="193" name="Ellipse 192">
          <a:extLst>
            <a:ext uri="{FF2B5EF4-FFF2-40B4-BE49-F238E27FC236}">
              <a16:creationId xmlns:a16="http://schemas.microsoft.com/office/drawing/2014/main" id="{6C1AB6AD-1650-4BD6-BFD9-AE2763BC9FAE}"/>
            </a:ext>
          </a:extLst>
        </xdr:cNvPr>
        <xdr:cNvSpPr/>
      </xdr:nvSpPr>
      <xdr:spPr>
        <a:xfrm>
          <a:off x="8676822" y="27689175"/>
          <a:ext cx="95250" cy="12531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127874</xdr:colOff>
      <xdr:row>131</xdr:row>
      <xdr:rowOff>131669</xdr:rowOff>
    </xdr:from>
    <xdr:to>
      <xdr:col>11</xdr:col>
      <xdr:colOff>534566</xdr:colOff>
      <xdr:row>140</xdr:row>
      <xdr:rowOff>101896</xdr:rowOff>
    </xdr:to>
    <xdr:grpSp>
      <xdr:nvGrpSpPr>
        <xdr:cNvPr id="194" name="Gruppieren 193">
          <a:extLst>
            <a:ext uri="{FF2B5EF4-FFF2-40B4-BE49-F238E27FC236}">
              <a16:creationId xmlns:a16="http://schemas.microsoft.com/office/drawing/2014/main" id="{E306F9A4-271B-4656-A060-A29BBC3FA228}"/>
            </a:ext>
          </a:extLst>
        </xdr:cNvPr>
        <xdr:cNvGrpSpPr/>
      </xdr:nvGrpSpPr>
      <xdr:grpSpPr>
        <a:xfrm>
          <a:off x="8509874" y="33739044"/>
          <a:ext cx="406692" cy="2605477"/>
          <a:chOff x="8924231" y="3237320"/>
          <a:chExt cx="403919" cy="1617255"/>
        </a:xfrm>
      </xdr:grpSpPr>
      <xdr:sp macro="" textlink="">
        <xdr:nvSpPr>
          <xdr:cNvPr id="195" name="Rechteck 194">
            <a:extLst>
              <a:ext uri="{FF2B5EF4-FFF2-40B4-BE49-F238E27FC236}">
                <a16:creationId xmlns:a16="http://schemas.microsoft.com/office/drawing/2014/main" id="{A8F7CA95-0034-13CE-A862-0D2D43664E79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96" name="Gerader Verbinder 195">
            <a:extLst>
              <a:ext uri="{FF2B5EF4-FFF2-40B4-BE49-F238E27FC236}">
                <a16:creationId xmlns:a16="http://schemas.microsoft.com/office/drawing/2014/main" id="{9BEB0025-BEDF-112E-D29B-3EE27A39E6D6}"/>
              </a:ext>
            </a:extLst>
          </xdr:cNvPr>
          <xdr:cNvCxnSpPr>
            <a:stCxn id="193" idx="4"/>
            <a:endCxn id="195" idx="0"/>
          </xdr:cNvCxnSpPr>
        </xdr:nvCxnSpPr>
        <xdr:spPr>
          <a:xfrm flipH="1">
            <a:off x="9142412" y="3237320"/>
            <a:ext cx="2725" cy="540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8" name="Textfeld 197">
            <a:extLst>
              <a:ext uri="{FF2B5EF4-FFF2-40B4-BE49-F238E27FC236}">
                <a16:creationId xmlns:a16="http://schemas.microsoft.com/office/drawing/2014/main" id="{CED70750-9D26-F5FE-60DA-1D62C5107283}"/>
              </a:ext>
            </a:extLst>
          </xdr:cNvPr>
          <xdr:cNvSpPr txBox="1"/>
        </xdr:nvSpPr>
        <xdr:spPr>
          <a:xfrm rot="5400000">
            <a:off x="8938018" y="3980913"/>
            <a:ext cx="375094" cy="4026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6</a:t>
            </a:r>
          </a:p>
        </xdr:txBody>
      </xdr:sp>
    </xdr:grpSp>
    <xdr:clientData/>
  </xdr:twoCellAnchor>
  <xdr:twoCellAnchor>
    <xdr:from>
      <xdr:col>7</xdr:col>
      <xdr:colOff>614080</xdr:colOff>
      <xdr:row>171</xdr:row>
      <xdr:rowOff>105476</xdr:rowOff>
    </xdr:from>
    <xdr:to>
      <xdr:col>8</xdr:col>
      <xdr:colOff>328974</xdr:colOff>
      <xdr:row>191</xdr:row>
      <xdr:rowOff>120651</xdr:rowOff>
    </xdr:to>
    <xdr:grpSp>
      <xdr:nvGrpSpPr>
        <xdr:cNvPr id="199" name="Gruppieren 198">
          <a:extLst>
            <a:ext uri="{FF2B5EF4-FFF2-40B4-BE49-F238E27FC236}">
              <a16:creationId xmlns:a16="http://schemas.microsoft.com/office/drawing/2014/main" id="{F995D911-EDA8-4888-87BE-87FD6AC5D704}"/>
            </a:ext>
          </a:extLst>
        </xdr:cNvPr>
        <xdr:cNvGrpSpPr/>
      </xdr:nvGrpSpPr>
      <xdr:grpSpPr>
        <a:xfrm>
          <a:off x="5948080" y="41809101"/>
          <a:ext cx="476894" cy="5269800"/>
          <a:chOff x="8959850" y="3318320"/>
          <a:chExt cx="465916" cy="4346414"/>
        </a:xfrm>
      </xdr:grpSpPr>
      <xdr:sp macro="" textlink="">
        <xdr:nvSpPr>
          <xdr:cNvPr id="200" name="Rechteck 199">
            <a:extLst>
              <a:ext uri="{FF2B5EF4-FFF2-40B4-BE49-F238E27FC236}">
                <a16:creationId xmlns:a16="http://schemas.microsoft.com/office/drawing/2014/main" id="{D2F77EA9-22DC-40AF-295D-36B9DAD475C8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01" name="Gerader Verbinder 200">
            <a:extLst>
              <a:ext uri="{FF2B5EF4-FFF2-40B4-BE49-F238E27FC236}">
                <a16:creationId xmlns:a16="http://schemas.microsoft.com/office/drawing/2014/main" id="{31A0BA4A-9D66-D66F-1846-34261AAA51C0}"/>
              </a:ext>
            </a:extLst>
          </xdr:cNvPr>
          <xdr:cNvCxnSpPr>
            <a:stCxn id="224" idx="4"/>
            <a:endCxn id="200" idx="0"/>
          </xdr:cNvCxnSpPr>
        </xdr:nvCxnSpPr>
        <xdr:spPr>
          <a:xfrm flipH="1">
            <a:off x="9145588" y="3318320"/>
            <a:ext cx="809" cy="459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2" name="Gerader Verbinder 201">
            <a:extLst>
              <a:ext uri="{FF2B5EF4-FFF2-40B4-BE49-F238E27FC236}">
                <a16:creationId xmlns:a16="http://schemas.microsoft.com/office/drawing/2014/main" id="{DD01A19C-C130-8A9A-064E-59EA887A392C}"/>
              </a:ext>
            </a:extLst>
          </xdr:cNvPr>
          <xdr:cNvCxnSpPr>
            <a:stCxn id="200" idx="2"/>
          </xdr:cNvCxnSpPr>
        </xdr:nvCxnSpPr>
        <xdr:spPr>
          <a:xfrm flipH="1">
            <a:off x="9123021" y="4854574"/>
            <a:ext cx="22567" cy="281016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3" name="Textfeld 202">
            <a:extLst>
              <a:ext uri="{FF2B5EF4-FFF2-40B4-BE49-F238E27FC236}">
                <a16:creationId xmlns:a16="http://schemas.microsoft.com/office/drawing/2014/main" id="{36435FE7-C2D9-2BFA-2D75-AAF114A7CD53}"/>
              </a:ext>
            </a:extLst>
          </xdr:cNvPr>
          <xdr:cNvSpPr txBox="1"/>
        </xdr:nvSpPr>
        <xdr:spPr>
          <a:xfrm rot="5400000">
            <a:off x="8751998" y="4008615"/>
            <a:ext cx="884094" cy="463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123456</a:t>
            </a:r>
          </a:p>
        </xdr:txBody>
      </xdr:sp>
    </xdr:grpSp>
    <xdr:clientData/>
  </xdr:twoCellAnchor>
  <xdr:twoCellAnchor>
    <xdr:from>
      <xdr:col>6</xdr:col>
      <xdr:colOff>172893</xdr:colOff>
      <xdr:row>171</xdr:row>
      <xdr:rowOff>102639</xdr:rowOff>
    </xdr:from>
    <xdr:to>
      <xdr:col>6</xdr:col>
      <xdr:colOff>592945</xdr:colOff>
      <xdr:row>191</xdr:row>
      <xdr:rowOff>85726</xdr:rowOff>
    </xdr:to>
    <xdr:grpSp>
      <xdr:nvGrpSpPr>
        <xdr:cNvPr id="204" name="Gruppieren 203">
          <a:extLst>
            <a:ext uri="{FF2B5EF4-FFF2-40B4-BE49-F238E27FC236}">
              <a16:creationId xmlns:a16="http://schemas.microsoft.com/office/drawing/2014/main" id="{F38047DF-0EDF-4CE3-9A04-E68789210C06}"/>
            </a:ext>
          </a:extLst>
        </xdr:cNvPr>
        <xdr:cNvGrpSpPr/>
      </xdr:nvGrpSpPr>
      <xdr:grpSpPr>
        <a:xfrm>
          <a:off x="4744893" y="41806264"/>
          <a:ext cx="420052" cy="5237712"/>
          <a:chOff x="8962537" y="3292557"/>
          <a:chExt cx="411552" cy="3962878"/>
        </a:xfrm>
      </xdr:grpSpPr>
      <xdr:sp macro="" textlink="">
        <xdr:nvSpPr>
          <xdr:cNvPr id="205" name="Rechteck 204">
            <a:extLst>
              <a:ext uri="{FF2B5EF4-FFF2-40B4-BE49-F238E27FC236}">
                <a16:creationId xmlns:a16="http://schemas.microsoft.com/office/drawing/2014/main" id="{32543ED6-E5FA-A2FE-3A58-149B428F9885}"/>
              </a:ext>
            </a:extLst>
          </xdr:cNvPr>
          <xdr:cNvSpPr/>
        </xdr:nvSpPr>
        <xdr:spPr>
          <a:xfrm>
            <a:off x="8962537" y="3779798"/>
            <a:ext cx="369068" cy="1075901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06" name="Gerader Verbinder 205">
            <a:extLst>
              <a:ext uri="{FF2B5EF4-FFF2-40B4-BE49-F238E27FC236}">
                <a16:creationId xmlns:a16="http://schemas.microsoft.com/office/drawing/2014/main" id="{CDBB4975-F86F-9934-9FA9-D7AD4EC39050}"/>
              </a:ext>
            </a:extLst>
          </xdr:cNvPr>
          <xdr:cNvCxnSpPr>
            <a:stCxn id="220" idx="4"/>
            <a:endCxn id="205" idx="0"/>
          </xdr:cNvCxnSpPr>
        </xdr:nvCxnSpPr>
        <xdr:spPr>
          <a:xfrm>
            <a:off x="9144658" y="3292557"/>
            <a:ext cx="2414" cy="48724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7" name="Gerader Verbinder 206">
            <a:extLst>
              <a:ext uri="{FF2B5EF4-FFF2-40B4-BE49-F238E27FC236}">
                <a16:creationId xmlns:a16="http://schemas.microsoft.com/office/drawing/2014/main" id="{A9A82670-0FDA-D367-7EE9-AB81D9FA1BE6}"/>
              </a:ext>
            </a:extLst>
          </xdr:cNvPr>
          <xdr:cNvCxnSpPr>
            <a:stCxn id="205" idx="2"/>
          </xdr:cNvCxnSpPr>
        </xdr:nvCxnSpPr>
        <xdr:spPr>
          <a:xfrm flipH="1">
            <a:off x="9129104" y="4855699"/>
            <a:ext cx="17968" cy="23997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8" name="Textfeld 207">
            <a:extLst>
              <a:ext uri="{FF2B5EF4-FFF2-40B4-BE49-F238E27FC236}">
                <a16:creationId xmlns:a16="http://schemas.microsoft.com/office/drawing/2014/main" id="{1E8E5C81-F876-E383-D588-ABCB45D0CB2C}"/>
              </a:ext>
            </a:extLst>
          </xdr:cNvPr>
          <xdr:cNvSpPr txBox="1"/>
        </xdr:nvSpPr>
        <xdr:spPr>
          <a:xfrm rot="5400000">
            <a:off x="8935183" y="3943138"/>
            <a:ext cx="477994" cy="39981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789</a:t>
            </a:r>
          </a:p>
        </xdr:txBody>
      </xdr:sp>
    </xdr:grpSp>
    <xdr:clientData/>
  </xdr:twoCellAnchor>
  <xdr:twoCellAnchor>
    <xdr:from>
      <xdr:col>2</xdr:col>
      <xdr:colOff>183822</xdr:colOff>
      <xdr:row>171</xdr:row>
      <xdr:rowOff>69396</xdr:rowOff>
    </xdr:from>
    <xdr:to>
      <xdr:col>2</xdr:col>
      <xdr:colOff>610530</xdr:colOff>
      <xdr:row>187</xdr:row>
      <xdr:rowOff>68943</xdr:rowOff>
    </xdr:to>
    <xdr:grpSp>
      <xdr:nvGrpSpPr>
        <xdr:cNvPr id="209" name="Gruppieren 208">
          <a:extLst>
            <a:ext uri="{FF2B5EF4-FFF2-40B4-BE49-F238E27FC236}">
              <a16:creationId xmlns:a16="http://schemas.microsoft.com/office/drawing/2014/main" id="{F5EC0718-07B1-4E57-B891-01B6A170B751}"/>
            </a:ext>
          </a:extLst>
        </xdr:cNvPr>
        <xdr:cNvGrpSpPr/>
      </xdr:nvGrpSpPr>
      <xdr:grpSpPr>
        <a:xfrm>
          <a:off x="1707822" y="41773021"/>
          <a:ext cx="426708" cy="4349297"/>
          <a:chOff x="8959850" y="3254331"/>
          <a:chExt cx="439393" cy="3010540"/>
        </a:xfrm>
      </xdr:grpSpPr>
      <xdr:sp macro="" textlink="">
        <xdr:nvSpPr>
          <xdr:cNvPr id="210" name="Rechteck 209">
            <a:extLst>
              <a:ext uri="{FF2B5EF4-FFF2-40B4-BE49-F238E27FC236}">
                <a16:creationId xmlns:a16="http://schemas.microsoft.com/office/drawing/2014/main" id="{A3562E13-4177-5780-4738-FAEE497EF4FA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11" name="Gerader Verbinder 210">
            <a:extLst>
              <a:ext uri="{FF2B5EF4-FFF2-40B4-BE49-F238E27FC236}">
                <a16:creationId xmlns:a16="http://schemas.microsoft.com/office/drawing/2014/main" id="{1F098B79-B118-B4FA-0B03-0D7FA586F417}"/>
              </a:ext>
            </a:extLst>
          </xdr:cNvPr>
          <xdr:cNvCxnSpPr>
            <a:endCxn id="210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12" name="Gerader Verbinder 211">
            <a:extLst>
              <a:ext uri="{FF2B5EF4-FFF2-40B4-BE49-F238E27FC236}">
                <a16:creationId xmlns:a16="http://schemas.microsoft.com/office/drawing/2014/main" id="{54BAEF03-DB82-CAAD-E0A7-72AB83C208D4}"/>
              </a:ext>
            </a:extLst>
          </xdr:cNvPr>
          <xdr:cNvCxnSpPr>
            <a:stCxn id="210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3" name="Textfeld 212">
            <a:extLst>
              <a:ext uri="{FF2B5EF4-FFF2-40B4-BE49-F238E27FC236}">
                <a16:creationId xmlns:a16="http://schemas.microsoft.com/office/drawing/2014/main" id="{EAFF9617-70B5-EA95-6A3E-86CAF79EEE87}"/>
              </a:ext>
            </a:extLst>
          </xdr:cNvPr>
          <xdr:cNvSpPr txBox="1"/>
        </xdr:nvSpPr>
        <xdr:spPr>
          <a:xfrm rot="5400000">
            <a:off x="8969083" y="3981791"/>
            <a:ext cx="442835" cy="41748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171</xdr:row>
      <xdr:rowOff>61377</xdr:rowOff>
    </xdr:from>
    <xdr:to>
      <xdr:col>8</xdr:col>
      <xdr:colOff>21375</xdr:colOff>
      <xdr:row>171</xdr:row>
      <xdr:rowOff>66221</xdr:rowOff>
    </xdr:to>
    <xdr:cxnSp macro="">
      <xdr:nvCxnSpPr>
        <xdr:cNvPr id="214" name="Gerader Verbinder 213">
          <a:extLst>
            <a:ext uri="{FF2B5EF4-FFF2-40B4-BE49-F238E27FC236}">
              <a16:creationId xmlns:a16="http://schemas.microsoft.com/office/drawing/2014/main" id="{7DC20548-4F80-4A87-8A97-D4C53159207A}"/>
            </a:ext>
          </a:extLst>
        </xdr:cNvPr>
        <xdr:cNvCxnSpPr>
          <a:stCxn id="224" idx="6"/>
        </xdr:cNvCxnSpPr>
      </xdr:nvCxnSpPr>
      <xdr:spPr>
        <a:xfrm flipH="1">
          <a:off x="1885950" y="35897602"/>
          <a:ext cx="4231425" cy="484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188</xdr:row>
      <xdr:rowOff>122597</xdr:rowOff>
    </xdr:from>
    <xdr:to>
      <xdr:col>2</xdr:col>
      <xdr:colOff>615959</xdr:colOff>
      <xdr:row>188</xdr:row>
      <xdr:rowOff>122597</xdr:rowOff>
    </xdr:to>
    <xdr:cxnSp macro="">
      <xdr:nvCxnSpPr>
        <xdr:cNvPr id="215" name="Gerader Verbinder 214">
          <a:extLst>
            <a:ext uri="{FF2B5EF4-FFF2-40B4-BE49-F238E27FC236}">
              <a16:creationId xmlns:a16="http://schemas.microsoft.com/office/drawing/2014/main" id="{ED87840F-5354-45CC-8184-5489CB61337D}"/>
            </a:ext>
          </a:extLst>
        </xdr:cNvPr>
        <xdr:cNvCxnSpPr/>
      </xdr:nvCxnSpPr>
      <xdr:spPr>
        <a:xfrm flipH="1">
          <a:off x="1524000" y="39035397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187</xdr:row>
      <xdr:rowOff>104002</xdr:rowOff>
    </xdr:from>
    <xdr:to>
      <xdr:col>2</xdr:col>
      <xdr:colOff>483054</xdr:colOff>
      <xdr:row>187</xdr:row>
      <xdr:rowOff>104002</xdr:rowOff>
    </xdr:to>
    <xdr:cxnSp macro="">
      <xdr:nvCxnSpPr>
        <xdr:cNvPr id="216" name="Gerader Verbinder 215">
          <a:extLst>
            <a:ext uri="{FF2B5EF4-FFF2-40B4-BE49-F238E27FC236}">
              <a16:creationId xmlns:a16="http://schemas.microsoft.com/office/drawing/2014/main" id="{0DDF0A28-C692-43FC-B3A4-C3F83F0DAC82}"/>
            </a:ext>
          </a:extLst>
        </xdr:cNvPr>
        <xdr:cNvCxnSpPr/>
      </xdr:nvCxnSpPr>
      <xdr:spPr>
        <a:xfrm flipH="1">
          <a:off x="1714954" y="38835827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188</xdr:row>
      <xdr:rowOff>170996</xdr:rowOff>
    </xdr:from>
    <xdr:to>
      <xdr:col>2</xdr:col>
      <xdr:colOff>476250</xdr:colOff>
      <xdr:row>188</xdr:row>
      <xdr:rowOff>170996</xdr:rowOff>
    </xdr:to>
    <xdr:cxnSp macro="">
      <xdr:nvCxnSpPr>
        <xdr:cNvPr id="217" name="Gerader Verbinder 216">
          <a:extLst>
            <a:ext uri="{FF2B5EF4-FFF2-40B4-BE49-F238E27FC236}">
              <a16:creationId xmlns:a16="http://schemas.microsoft.com/office/drawing/2014/main" id="{76C59095-DA85-428E-8640-7C5B9B517FF9}"/>
            </a:ext>
          </a:extLst>
        </xdr:cNvPr>
        <xdr:cNvCxnSpPr/>
      </xdr:nvCxnSpPr>
      <xdr:spPr>
        <a:xfrm flipH="1">
          <a:off x="1695450" y="40014071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352425</xdr:colOff>
      <xdr:row>188</xdr:row>
      <xdr:rowOff>190500</xdr:rowOff>
    </xdr:from>
    <xdr:to>
      <xdr:col>2</xdr:col>
      <xdr:colOff>354750</xdr:colOff>
      <xdr:row>191</xdr:row>
      <xdr:rowOff>95155</xdr:rowOff>
    </xdr:to>
    <xdr:cxnSp macro="">
      <xdr:nvCxnSpPr>
        <xdr:cNvPr id="218" name="Gerader Verbinder 217">
          <a:extLst>
            <a:ext uri="{FF2B5EF4-FFF2-40B4-BE49-F238E27FC236}">
              <a16:creationId xmlns:a16="http://schemas.microsoft.com/office/drawing/2014/main" id="{3AFA8C21-4AA7-4007-95DE-582BF8255A5D}"/>
            </a:ext>
          </a:extLst>
        </xdr:cNvPr>
        <xdr:cNvCxnSpPr>
          <a:endCxn id="226" idx="4"/>
        </xdr:cNvCxnSpPr>
      </xdr:nvCxnSpPr>
      <xdr:spPr>
        <a:xfrm>
          <a:off x="1876425" y="40033575"/>
          <a:ext cx="2325" cy="100955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191</xdr:row>
      <xdr:rowOff>69395</xdr:rowOff>
    </xdr:from>
    <xdr:to>
      <xdr:col>7</xdr:col>
      <xdr:colOff>715451</xdr:colOff>
      <xdr:row>191</xdr:row>
      <xdr:rowOff>106518</xdr:rowOff>
    </xdr:to>
    <xdr:cxnSp macro="">
      <xdr:nvCxnSpPr>
        <xdr:cNvPr id="219" name="Gerader Verbinder 218">
          <a:extLst>
            <a:ext uri="{FF2B5EF4-FFF2-40B4-BE49-F238E27FC236}">
              <a16:creationId xmlns:a16="http://schemas.microsoft.com/office/drawing/2014/main" id="{6B33C268-E793-489F-B53B-8E28197B5D0D}"/>
            </a:ext>
          </a:extLst>
        </xdr:cNvPr>
        <xdr:cNvCxnSpPr>
          <a:cxnSpLocks/>
          <a:stCxn id="225" idx="5"/>
        </xdr:cNvCxnSpPr>
      </xdr:nvCxnSpPr>
      <xdr:spPr>
        <a:xfrm flipH="1" flipV="1">
          <a:off x="1857375" y="41017370"/>
          <a:ext cx="4192076" cy="371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171</xdr:row>
      <xdr:rowOff>12246</xdr:rowOff>
    </xdr:from>
    <xdr:to>
      <xdr:col>6</xdr:col>
      <xdr:colOff>409575</xdr:colOff>
      <xdr:row>171</xdr:row>
      <xdr:rowOff>102640</xdr:rowOff>
    </xdr:to>
    <xdr:sp macro="" textlink="">
      <xdr:nvSpPr>
        <xdr:cNvPr id="220" name="Ellipse 219">
          <a:extLst>
            <a:ext uri="{FF2B5EF4-FFF2-40B4-BE49-F238E27FC236}">
              <a16:creationId xmlns:a16="http://schemas.microsoft.com/office/drawing/2014/main" id="{D4308A23-A7C1-4D63-AD96-3982ABD1D02E}"/>
            </a:ext>
          </a:extLst>
        </xdr:cNvPr>
        <xdr:cNvSpPr/>
      </xdr:nvSpPr>
      <xdr:spPr>
        <a:xfrm>
          <a:off x="4883150" y="35842121"/>
          <a:ext cx="95250" cy="967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314325</xdr:colOff>
      <xdr:row>191</xdr:row>
      <xdr:rowOff>45810</xdr:rowOff>
    </xdr:from>
    <xdr:to>
      <xdr:col>6</xdr:col>
      <xdr:colOff>409575</xdr:colOff>
      <xdr:row>191</xdr:row>
      <xdr:rowOff>136204</xdr:rowOff>
    </xdr:to>
    <xdr:sp macro="" textlink="">
      <xdr:nvSpPr>
        <xdr:cNvPr id="221" name="Ellipse 220">
          <a:extLst>
            <a:ext uri="{FF2B5EF4-FFF2-40B4-BE49-F238E27FC236}">
              <a16:creationId xmlns:a16="http://schemas.microsoft.com/office/drawing/2014/main" id="{E174DE91-76D0-48A6-9EA1-4F500765EA3C}"/>
            </a:ext>
          </a:extLst>
        </xdr:cNvPr>
        <xdr:cNvSpPr/>
      </xdr:nvSpPr>
      <xdr:spPr>
        <a:xfrm>
          <a:off x="4886325" y="40993785"/>
          <a:ext cx="95250" cy="9039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73269</xdr:colOff>
      <xdr:row>187</xdr:row>
      <xdr:rowOff>65943</xdr:rowOff>
    </xdr:from>
    <xdr:to>
      <xdr:col>2</xdr:col>
      <xdr:colOff>654966</xdr:colOff>
      <xdr:row>187</xdr:row>
      <xdr:rowOff>68942</xdr:rowOff>
    </xdr:to>
    <xdr:cxnSp macro="">
      <xdr:nvCxnSpPr>
        <xdr:cNvPr id="222" name="Gerader Verbinder 221">
          <a:extLst>
            <a:ext uri="{FF2B5EF4-FFF2-40B4-BE49-F238E27FC236}">
              <a16:creationId xmlns:a16="http://schemas.microsoft.com/office/drawing/2014/main" id="{CF2EFF0F-AC3E-453B-AC00-77A94185D518}"/>
            </a:ext>
          </a:extLst>
        </xdr:cNvPr>
        <xdr:cNvCxnSpPr/>
      </xdr:nvCxnSpPr>
      <xdr:spPr>
        <a:xfrm flipH="1" flipV="1">
          <a:off x="1597269" y="38797768"/>
          <a:ext cx="584872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351064</xdr:colOff>
      <xdr:row>187</xdr:row>
      <xdr:rowOff>104454</xdr:rowOff>
    </xdr:from>
    <xdr:to>
      <xdr:col>2</xdr:col>
      <xdr:colOff>352425</xdr:colOff>
      <xdr:row>188</xdr:row>
      <xdr:rowOff>123825</xdr:rowOff>
    </xdr:to>
    <xdr:cxnSp macro="">
      <xdr:nvCxnSpPr>
        <xdr:cNvPr id="223" name="Gerader Verbinder 222">
          <a:extLst>
            <a:ext uri="{FF2B5EF4-FFF2-40B4-BE49-F238E27FC236}">
              <a16:creationId xmlns:a16="http://schemas.microsoft.com/office/drawing/2014/main" id="{BD1D44ED-7BB7-45B9-ACB5-205DEF0BB48D}"/>
            </a:ext>
          </a:extLst>
        </xdr:cNvPr>
        <xdr:cNvCxnSpPr/>
      </xdr:nvCxnSpPr>
      <xdr:spPr>
        <a:xfrm>
          <a:off x="1875064" y="39566529"/>
          <a:ext cx="1361" cy="400371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688125</xdr:colOff>
      <xdr:row>171</xdr:row>
      <xdr:rowOff>17279</xdr:rowOff>
    </xdr:from>
    <xdr:to>
      <xdr:col>8</xdr:col>
      <xdr:colOff>21375</xdr:colOff>
      <xdr:row>171</xdr:row>
      <xdr:rowOff>102300</xdr:rowOff>
    </xdr:to>
    <xdr:sp macro="" textlink="">
      <xdr:nvSpPr>
        <xdr:cNvPr id="224" name="Ellipse 223">
          <a:extLst>
            <a:ext uri="{FF2B5EF4-FFF2-40B4-BE49-F238E27FC236}">
              <a16:creationId xmlns:a16="http://schemas.microsoft.com/office/drawing/2014/main" id="{263255F5-61F7-4019-80D1-24664C605C6B}"/>
            </a:ext>
          </a:extLst>
        </xdr:cNvPr>
        <xdr:cNvSpPr/>
      </xdr:nvSpPr>
      <xdr:spPr>
        <a:xfrm>
          <a:off x="6022125" y="35850329"/>
          <a:ext cx="95250" cy="88196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637325</xdr:colOff>
      <xdr:row>191</xdr:row>
      <xdr:rowOff>18073</xdr:rowOff>
    </xdr:from>
    <xdr:to>
      <xdr:col>7</xdr:col>
      <xdr:colOff>732575</xdr:colOff>
      <xdr:row>191</xdr:row>
      <xdr:rowOff>122144</xdr:rowOff>
    </xdr:to>
    <xdr:sp macro="" textlink="">
      <xdr:nvSpPr>
        <xdr:cNvPr id="225" name="Ellipse 224">
          <a:extLst>
            <a:ext uri="{FF2B5EF4-FFF2-40B4-BE49-F238E27FC236}">
              <a16:creationId xmlns:a16="http://schemas.microsoft.com/office/drawing/2014/main" id="{EA49E4E9-B81C-4465-9A2D-A5D621B664EE}"/>
            </a:ext>
          </a:extLst>
        </xdr:cNvPr>
        <xdr:cNvSpPr/>
      </xdr:nvSpPr>
      <xdr:spPr>
        <a:xfrm>
          <a:off x="5971325" y="40966048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307125</xdr:colOff>
      <xdr:row>190</xdr:row>
      <xdr:rowOff>381609</xdr:rowOff>
    </xdr:from>
    <xdr:to>
      <xdr:col>2</xdr:col>
      <xdr:colOff>402375</xdr:colOff>
      <xdr:row>191</xdr:row>
      <xdr:rowOff>95155</xdr:rowOff>
    </xdr:to>
    <xdr:sp macro="" textlink="">
      <xdr:nvSpPr>
        <xdr:cNvPr id="226" name="Ellipse 225">
          <a:extLst>
            <a:ext uri="{FF2B5EF4-FFF2-40B4-BE49-F238E27FC236}">
              <a16:creationId xmlns:a16="http://schemas.microsoft.com/office/drawing/2014/main" id="{6E551A18-706D-436D-A9A5-D20C9745BD49}"/>
            </a:ext>
          </a:extLst>
        </xdr:cNvPr>
        <xdr:cNvSpPr/>
      </xdr:nvSpPr>
      <xdr:spPr>
        <a:xfrm>
          <a:off x="1831125" y="40939059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541573</xdr:colOff>
      <xdr:row>214</xdr:row>
      <xdr:rowOff>83704</xdr:rowOff>
    </xdr:from>
    <xdr:to>
      <xdr:col>8</xdr:col>
      <xdr:colOff>266550</xdr:colOff>
      <xdr:row>236</xdr:row>
      <xdr:rowOff>190500</xdr:rowOff>
    </xdr:to>
    <xdr:grpSp>
      <xdr:nvGrpSpPr>
        <xdr:cNvPr id="227" name="Gruppieren 226">
          <a:extLst>
            <a:ext uri="{FF2B5EF4-FFF2-40B4-BE49-F238E27FC236}">
              <a16:creationId xmlns:a16="http://schemas.microsoft.com/office/drawing/2014/main" id="{CE35614E-2981-4322-A02D-0976D488B0BA}"/>
            </a:ext>
          </a:extLst>
        </xdr:cNvPr>
        <xdr:cNvGrpSpPr/>
      </xdr:nvGrpSpPr>
      <xdr:grpSpPr>
        <a:xfrm>
          <a:off x="5875573" y="50232829"/>
          <a:ext cx="486977" cy="5551921"/>
          <a:chOff x="8959850" y="2289804"/>
          <a:chExt cx="495429" cy="5374930"/>
        </a:xfrm>
      </xdr:grpSpPr>
      <xdr:sp macro="" textlink="">
        <xdr:nvSpPr>
          <xdr:cNvPr id="228" name="Rechteck 227">
            <a:extLst>
              <a:ext uri="{FF2B5EF4-FFF2-40B4-BE49-F238E27FC236}">
                <a16:creationId xmlns:a16="http://schemas.microsoft.com/office/drawing/2014/main" id="{5A711B8F-BB6C-A73F-62C8-77FC98DE0F76}"/>
              </a:ext>
            </a:extLst>
          </xdr:cNvPr>
          <xdr:cNvSpPr/>
        </xdr:nvSpPr>
        <xdr:spPr>
          <a:xfrm>
            <a:off x="8959850" y="3778250"/>
            <a:ext cx="396148" cy="1420372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29" name="Gerader Verbinder 228">
            <a:extLst>
              <a:ext uri="{FF2B5EF4-FFF2-40B4-BE49-F238E27FC236}">
                <a16:creationId xmlns:a16="http://schemas.microsoft.com/office/drawing/2014/main" id="{4CE35CA0-DBB8-F2FE-7BCE-B8D666ADFCAA}"/>
              </a:ext>
            </a:extLst>
          </xdr:cNvPr>
          <xdr:cNvCxnSpPr>
            <a:stCxn id="245" idx="4"/>
            <a:endCxn id="228" idx="0"/>
          </xdr:cNvCxnSpPr>
        </xdr:nvCxnSpPr>
        <xdr:spPr>
          <a:xfrm>
            <a:off x="9154515" y="2289804"/>
            <a:ext cx="3409" cy="14884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30" name="Gerader Verbinder 229">
            <a:extLst>
              <a:ext uri="{FF2B5EF4-FFF2-40B4-BE49-F238E27FC236}">
                <a16:creationId xmlns:a16="http://schemas.microsoft.com/office/drawing/2014/main" id="{F8E19461-3A15-4F10-9E6C-29D2173DC9D2}"/>
              </a:ext>
            </a:extLst>
          </xdr:cNvPr>
          <xdr:cNvCxnSpPr>
            <a:stCxn id="228" idx="2"/>
          </xdr:cNvCxnSpPr>
        </xdr:nvCxnSpPr>
        <xdr:spPr>
          <a:xfrm flipH="1">
            <a:off x="9123021" y="5198622"/>
            <a:ext cx="34903" cy="246611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1" name="Textfeld 230">
            <a:extLst>
              <a:ext uri="{FF2B5EF4-FFF2-40B4-BE49-F238E27FC236}">
                <a16:creationId xmlns:a16="http://schemas.microsoft.com/office/drawing/2014/main" id="{28B878FC-A94D-3D3E-2413-6B3F9F855466}"/>
              </a:ext>
            </a:extLst>
          </xdr:cNvPr>
          <xdr:cNvSpPr txBox="1"/>
        </xdr:nvSpPr>
        <xdr:spPr>
          <a:xfrm rot="5400000">
            <a:off x="8365960" y="4423745"/>
            <a:ext cx="1705171" cy="47346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123456789</a:t>
            </a:r>
          </a:p>
        </xdr:txBody>
      </xdr:sp>
    </xdr:grpSp>
    <xdr:clientData/>
  </xdr:twoCellAnchor>
  <xdr:twoCellAnchor>
    <xdr:from>
      <xdr:col>2</xdr:col>
      <xdr:colOff>164181</xdr:colOff>
      <xdr:row>214</xdr:row>
      <xdr:rowOff>53975</xdr:rowOff>
    </xdr:from>
    <xdr:to>
      <xdr:col>2</xdr:col>
      <xdr:colOff>637920</xdr:colOff>
      <xdr:row>230</xdr:row>
      <xdr:rowOff>50347</xdr:rowOff>
    </xdr:to>
    <xdr:grpSp>
      <xdr:nvGrpSpPr>
        <xdr:cNvPr id="232" name="Gruppieren 231">
          <a:extLst>
            <a:ext uri="{FF2B5EF4-FFF2-40B4-BE49-F238E27FC236}">
              <a16:creationId xmlns:a16="http://schemas.microsoft.com/office/drawing/2014/main" id="{162CA9EB-077B-435A-A434-4A3FEB5FF94B}"/>
            </a:ext>
          </a:extLst>
        </xdr:cNvPr>
        <xdr:cNvGrpSpPr/>
      </xdr:nvGrpSpPr>
      <xdr:grpSpPr>
        <a:xfrm>
          <a:off x="1688181" y="50203100"/>
          <a:ext cx="473739" cy="4092122"/>
          <a:chOff x="8939955" y="3254331"/>
          <a:chExt cx="487058" cy="3010540"/>
        </a:xfrm>
      </xdr:grpSpPr>
      <xdr:sp macro="" textlink="">
        <xdr:nvSpPr>
          <xdr:cNvPr id="233" name="Rechteck 232">
            <a:extLst>
              <a:ext uri="{FF2B5EF4-FFF2-40B4-BE49-F238E27FC236}">
                <a16:creationId xmlns:a16="http://schemas.microsoft.com/office/drawing/2014/main" id="{C702BAC5-E5F8-62C5-9A42-D08FB22E486E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34" name="Gerader Verbinder 233">
            <a:extLst>
              <a:ext uri="{FF2B5EF4-FFF2-40B4-BE49-F238E27FC236}">
                <a16:creationId xmlns:a16="http://schemas.microsoft.com/office/drawing/2014/main" id="{03B1E5B0-8EA3-EB1D-9FD8-A8A14425E899}"/>
              </a:ext>
            </a:extLst>
          </xdr:cNvPr>
          <xdr:cNvCxnSpPr>
            <a:endCxn id="23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35" name="Gerader Verbinder 234">
            <a:extLst>
              <a:ext uri="{FF2B5EF4-FFF2-40B4-BE49-F238E27FC236}">
                <a16:creationId xmlns:a16="http://schemas.microsoft.com/office/drawing/2014/main" id="{27409DA4-3FD8-F4E3-8A31-BB3980E26573}"/>
              </a:ext>
            </a:extLst>
          </xdr:cNvPr>
          <xdr:cNvCxnSpPr>
            <a:stCxn id="233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6" name="Textfeld 235">
            <a:extLst>
              <a:ext uri="{FF2B5EF4-FFF2-40B4-BE49-F238E27FC236}">
                <a16:creationId xmlns:a16="http://schemas.microsoft.com/office/drawing/2014/main" id="{CF1CE4F1-2705-51F4-4E46-D16FEBB6E4F1}"/>
              </a:ext>
            </a:extLst>
          </xdr:cNvPr>
          <xdr:cNvSpPr txBox="1"/>
        </xdr:nvSpPr>
        <xdr:spPr>
          <a:xfrm rot="5400000">
            <a:off x="8968748" y="3866702"/>
            <a:ext cx="429471" cy="4870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214</xdr:row>
      <xdr:rowOff>55481</xdr:rowOff>
    </xdr:from>
    <xdr:to>
      <xdr:col>8</xdr:col>
      <xdr:colOff>21375</xdr:colOff>
      <xdr:row>214</xdr:row>
      <xdr:rowOff>55481</xdr:rowOff>
    </xdr:to>
    <xdr:cxnSp macro="">
      <xdr:nvCxnSpPr>
        <xdr:cNvPr id="237" name="Gerader Verbinder 236">
          <a:extLst>
            <a:ext uri="{FF2B5EF4-FFF2-40B4-BE49-F238E27FC236}">
              <a16:creationId xmlns:a16="http://schemas.microsoft.com/office/drawing/2014/main" id="{04ADF779-7DE1-473C-8750-C4237A57A0F0}"/>
            </a:ext>
          </a:extLst>
        </xdr:cNvPr>
        <xdr:cNvCxnSpPr>
          <a:stCxn id="245" idx="6"/>
        </xdr:cNvCxnSpPr>
      </xdr:nvCxnSpPr>
      <xdr:spPr>
        <a:xfrm flipH="1">
          <a:off x="1885950" y="45299231"/>
          <a:ext cx="4231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231</xdr:row>
      <xdr:rowOff>110351</xdr:rowOff>
    </xdr:from>
    <xdr:to>
      <xdr:col>2</xdr:col>
      <xdr:colOff>615959</xdr:colOff>
      <xdr:row>231</xdr:row>
      <xdr:rowOff>110351</xdr:rowOff>
    </xdr:to>
    <xdr:cxnSp macro="">
      <xdr:nvCxnSpPr>
        <xdr:cNvPr id="238" name="Gerader Verbinder 237">
          <a:extLst>
            <a:ext uri="{FF2B5EF4-FFF2-40B4-BE49-F238E27FC236}">
              <a16:creationId xmlns:a16="http://schemas.microsoft.com/office/drawing/2014/main" id="{E40AFB32-7E1A-45C4-B2D3-F0F94F825461}"/>
            </a:ext>
          </a:extLst>
        </xdr:cNvPr>
        <xdr:cNvCxnSpPr/>
      </xdr:nvCxnSpPr>
      <xdr:spPr>
        <a:xfrm flipH="1">
          <a:off x="1524000" y="48427501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230</xdr:row>
      <xdr:rowOff>91756</xdr:rowOff>
    </xdr:from>
    <xdr:to>
      <xdr:col>2</xdr:col>
      <xdr:colOff>483054</xdr:colOff>
      <xdr:row>230</xdr:row>
      <xdr:rowOff>91756</xdr:rowOff>
    </xdr:to>
    <xdr:cxnSp macro="">
      <xdr:nvCxnSpPr>
        <xdr:cNvPr id="239" name="Gerader Verbinder 238">
          <a:extLst>
            <a:ext uri="{FF2B5EF4-FFF2-40B4-BE49-F238E27FC236}">
              <a16:creationId xmlns:a16="http://schemas.microsoft.com/office/drawing/2014/main" id="{A95FEC27-8A2A-43FE-B258-C11CC3D75A2C}"/>
            </a:ext>
          </a:extLst>
        </xdr:cNvPr>
        <xdr:cNvCxnSpPr/>
      </xdr:nvCxnSpPr>
      <xdr:spPr>
        <a:xfrm flipH="1">
          <a:off x="1714954" y="48227931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232</xdr:row>
      <xdr:rowOff>0</xdr:rowOff>
    </xdr:from>
    <xdr:to>
      <xdr:col>2</xdr:col>
      <xdr:colOff>504825</xdr:colOff>
      <xdr:row>232</xdr:row>
      <xdr:rowOff>0</xdr:rowOff>
    </xdr:to>
    <xdr:cxnSp macro="">
      <xdr:nvCxnSpPr>
        <xdr:cNvPr id="240" name="Gerader Verbinder 239">
          <a:extLst>
            <a:ext uri="{FF2B5EF4-FFF2-40B4-BE49-F238E27FC236}">
              <a16:creationId xmlns:a16="http://schemas.microsoft.com/office/drawing/2014/main" id="{B8CEDCF9-074A-4AA2-9C1F-E4FC2ACA2F16}"/>
            </a:ext>
          </a:extLst>
        </xdr:cNvPr>
        <xdr:cNvCxnSpPr/>
      </xdr:nvCxnSpPr>
      <xdr:spPr>
        <a:xfrm flipH="1">
          <a:off x="1720850" y="48501300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232</xdr:row>
      <xdr:rowOff>15875</xdr:rowOff>
    </xdr:from>
    <xdr:to>
      <xdr:col>2</xdr:col>
      <xdr:colOff>342900</xdr:colOff>
      <xdr:row>236</xdr:row>
      <xdr:rowOff>180975</xdr:rowOff>
    </xdr:to>
    <xdr:cxnSp macro="">
      <xdr:nvCxnSpPr>
        <xdr:cNvPr id="241" name="Gerader Verbinder 240">
          <a:extLst>
            <a:ext uri="{FF2B5EF4-FFF2-40B4-BE49-F238E27FC236}">
              <a16:creationId xmlns:a16="http://schemas.microsoft.com/office/drawing/2014/main" id="{C5986D69-4D56-4D8D-A63A-172E63E1F8FF}"/>
            </a:ext>
          </a:extLst>
        </xdr:cNvPr>
        <xdr:cNvCxnSpPr/>
      </xdr:nvCxnSpPr>
      <xdr:spPr>
        <a:xfrm flipH="1">
          <a:off x="1857375" y="49174400"/>
          <a:ext cx="9525" cy="9652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236</xdr:row>
      <xdr:rowOff>155574</xdr:rowOff>
    </xdr:from>
    <xdr:to>
      <xdr:col>7</xdr:col>
      <xdr:colOff>715451</xdr:colOff>
      <xdr:row>236</xdr:row>
      <xdr:rowOff>192697</xdr:rowOff>
    </xdr:to>
    <xdr:cxnSp macro="">
      <xdr:nvCxnSpPr>
        <xdr:cNvPr id="242" name="Gerader Verbinder 241">
          <a:extLst>
            <a:ext uri="{FF2B5EF4-FFF2-40B4-BE49-F238E27FC236}">
              <a16:creationId xmlns:a16="http://schemas.microsoft.com/office/drawing/2014/main" id="{B818C33C-08AE-4644-BE1D-47736C300BD4}"/>
            </a:ext>
          </a:extLst>
        </xdr:cNvPr>
        <xdr:cNvCxnSpPr>
          <a:cxnSpLocks/>
        </xdr:cNvCxnSpPr>
      </xdr:nvCxnSpPr>
      <xdr:spPr>
        <a:xfrm flipH="1" flipV="1">
          <a:off x="1857375" y="49476024"/>
          <a:ext cx="4192076" cy="371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51288</xdr:colOff>
      <xdr:row>230</xdr:row>
      <xdr:rowOff>50346</xdr:rowOff>
    </xdr:from>
    <xdr:to>
      <xdr:col>2</xdr:col>
      <xdr:colOff>654966</xdr:colOff>
      <xdr:row>230</xdr:row>
      <xdr:rowOff>51289</xdr:rowOff>
    </xdr:to>
    <xdr:cxnSp macro="">
      <xdr:nvCxnSpPr>
        <xdr:cNvPr id="243" name="Gerader Verbinder 242">
          <a:extLst>
            <a:ext uri="{FF2B5EF4-FFF2-40B4-BE49-F238E27FC236}">
              <a16:creationId xmlns:a16="http://schemas.microsoft.com/office/drawing/2014/main" id="{F5EDF239-C2A6-4BAC-A2C5-0024E87A77CD}"/>
            </a:ext>
          </a:extLst>
        </xdr:cNvPr>
        <xdr:cNvCxnSpPr/>
      </xdr:nvCxnSpPr>
      <xdr:spPr>
        <a:xfrm flipH="1">
          <a:off x="1572113" y="48186521"/>
          <a:ext cx="610028" cy="94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354239</xdr:colOff>
      <xdr:row>230</xdr:row>
      <xdr:rowOff>95383</xdr:rowOff>
    </xdr:from>
    <xdr:to>
      <xdr:col>2</xdr:col>
      <xdr:colOff>354239</xdr:colOff>
      <xdr:row>231</xdr:row>
      <xdr:rowOff>143008</xdr:rowOff>
    </xdr:to>
    <xdr:cxnSp macro="">
      <xdr:nvCxnSpPr>
        <xdr:cNvPr id="244" name="Gerader Verbinder 243">
          <a:extLst>
            <a:ext uri="{FF2B5EF4-FFF2-40B4-BE49-F238E27FC236}">
              <a16:creationId xmlns:a16="http://schemas.microsoft.com/office/drawing/2014/main" id="{D4CDCCB0-BF2B-4CEE-BEF2-B541FEBBF313}"/>
            </a:ext>
          </a:extLst>
        </xdr:cNvPr>
        <xdr:cNvCxnSpPr/>
      </xdr:nvCxnSpPr>
      <xdr:spPr>
        <a:xfrm flipH="1">
          <a:off x="1875064" y="48234733"/>
          <a:ext cx="0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688125</xdr:colOff>
      <xdr:row>214</xdr:row>
      <xdr:rowOff>5033</xdr:rowOff>
    </xdr:from>
    <xdr:to>
      <xdr:col>8</xdr:col>
      <xdr:colOff>21375</xdr:colOff>
      <xdr:row>214</xdr:row>
      <xdr:rowOff>90054</xdr:rowOff>
    </xdr:to>
    <xdr:sp macro="" textlink="">
      <xdr:nvSpPr>
        <xdr:cNvPr id="245" name="Ellipse 244">
          <a:extLst>
            <a:ext uri="{FF2B5EF4-FFF2-40B4-BE49-F238E27FC236}">
              <a16:creationId xmlns:a16="http://schemas.microsoft.com/office/drawing/2014/main" id="{82B3B459-A157-41EC-A758-0CE5286039B0}"/>
            </a:ext>
          </a:extLst>
        </xdr:cNvPr>
        <xdr:cNvSpPr/>
      </xdr:nvSpPr>
      <xdr:spPr>
        <a:xfrm>
          <a:off x="6022125" y="45251958"/>
          <a:ext cx="95250" cy="786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656375</xdr:colOff>
      <xdr:row>236</xdr:row>
      <xdr:rowOff>113777</xdr:rowOff>
    </xdr:from>
    <xdr:to>
      <xdr:col>7</xdr:col>
      <xdr:colOff>751625</xdr:colOff>
      <xdr:row>237</xdr:row>
      <xdr:rowOff>17823</xdr:rowOff>
    </xdr:to>
    <xdr:sp macro="" textlink="">
      <xdr:nvSpPr>
        <xdr:cNvPr id="246" name="Ellipse 245">
          <a:extLst>
            <a:ext uri="{FF2B5EF4-FFF2-40B4-BE49-F238E27FC236}">
              <a16:creationId xmlns:a16="http://schemas.microsoft.com/office/drawing/2014/main" id="{C984CF36-EE41-4B8B-8B35-81B6C93F960A}"/>
            </a:ext>
          </a:extLst>
        </xdr:cNvPr>
        <xdr:cNvSpPr/>
      </xdr:nvSpPr>
      <xdr:spPr>
        <a:xfrm>
          <a:off x="5990375" y="50072402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297600</xdr:colOff>
      <xdr:row>236</xdr:row>
      <xdr:rowOff>86788</xdr:rowOff>
    </xdr:from>
    <xdr:to>
      <xdr:col>2</xdr:col>
      <xdr:colOff>392850</xdr:colOff>
      <xdr:row>236</xdr:row>
      <xdr:rowOff>190859</xdr:rowOff>
    </xdr:to>
    <xdr:sp macro="" textlink="">
      <xdr:nvSpPr>
        <xdr:cNvPr id="247" name="Ellipse 246">
          <a:extLst>
            <a:ext uri="{FF2B5EF4-FFF2-40B4-BE49-F238E27FC236}">
              <a16:creationId xmlns:a16="http://schemas.microsoft.com/office/drawing/2014/main" id="{247615D7-8CE4-43FB-A3C4-BE0CBA8A148D}"/>
            </a:ext>
          </a:extLst>
        </xdr:cNvPr>
        <xdr:cNvSpPr/>
      </xdr:nvSpPr>
      <xdr:spPr>
        <a:xfrm>
          <a:off x="1821600" y="50045413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542357</xdr:colOff>
      <xdr:row>265</xdr:row>
      <xdr:rowOff>66676</xdr:rowOff>
    </xdr:from>
    <xdr:to>
      <xdr:col>8</xdr:col>
      <xdr:colOff>254720</xdr:colOff>
      <xdr:row>279</xdr:row>
      <xdr:rowOff>177801</xdr:rowOff>
    </xdr:to>
    <xdr:grpSp>
      <xdr:nvGrpSpPr>
        <xdr:cNvPr id="248" name="Gruppieren 247">
          <a:extLst>
            <a:ext uri="{FF2B5EF4-FFF2-40B4-BE49-F238E27FC236}">
              <a16:creationId xmlns:a16="http://schemas.microsoft.com/office/drawing/2014/main" id="{9BC03B36-D2B5-4D26-87DA-4E416B13A31E}"/>
            </a:ext>
          </a:extLst>
        </xdr:cNvPr>
        <xdr:cNvGrpSpPr/>
      </xdr:nvGrpSpPr>
      <xdr:grpSpPr>
        <a:xfrm>
          <a:off x="5876357" y="58058051"/>
          <a:ext cx="474363" cy="3159125"/>
          <a:chOff x="8959665" y="2585803"/>
          <a:chExt cx="463443" cy="3651126"/>
        </a:xfrm>
      </xdr:grpSpPr>
      <xdr:sp macro="" textlink="">
        <xdr:nvSpPr>
          <xdr:cNvPr id="249" name="Rechteck 248">
            <a:extLst>
              <a:ext uri="{FF2B5EF4-FFF2-40B4-BE49-F238E27FC236}">
                <a16:creationId xmlns:a16="http://schemas.microsoft.com/office/drawing/2014/main" id="{03622AEA-1518-178A-8723-C8349C2D6BEF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50" name="Gerader Verbinder 249">
            <a:extLst>
              <a:ext uri="{FF2B5EF4-FFF2-40B4-BE49-F238E27FC236}">
                <a16:creationId xmlns:a16="http://schemas.microsoft.com/office/drawing/2014/main" id="{D7FE6F77-F216-303A-6BB0-46191EF7AE20}"/>
              </a:ext>
            </a:extLst>
          </xdr:cNvPr>
          <xdr:cNvCxnSpPr>
            <a:endCxn id="249" idx="0"/>
          </xdr:cNvCxnSpPr>
        </xdr:nvCxnSpPr>
        <xdr:spPr>
          <a:xfrm flipH="1">
            <a:off x="9145587" y="2585803"/>
            <a:ext cx="10053" cy="119244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51" name="Gerader Verbinder 250">
            <a:extLst>
              <a:ext uri="{FF2B5EF4-FFF2-40B4-BE49-F238E27FC236}">
                <a16:creationId xmlns:a16="http://schemas.microsoft.com/office/drawing/2014/main" id="{D4E552A6-1188-4AC3-8B6F-B6E06BBAC693}"/>
              </a:ext>
            </a:extLst>
          </xdr:cNvPr>
          <xdr:cNvCxnSpPr>
            <a:stCxn id="249" idx="2"/>
          </xdr:cNvCxnSpPr>
        </xdr:nvCxnSpPr>
        <xdr:spPr>
          <a:xfrm flipH="1">
            <a:off x="9133927" y="4854576"/>
            <a:ext cx="11660" cy="138235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2" name="Textfeld 251">
            <a:extLst>
              <a:ext uri="{FF2B5EF4-FFF2-40B4-BE49-F238E27FC236}">
                <a16:creationId xmlns:a16="http://schemas.microsoft.com/office/drawing/2014/main" id="{73824CC5-EFD7-6BC4-40E9-F48E9657CFC4}"/>
              </a:ext>
            </a:extLst>
          </xdr:cNvPr>
          <xdr:cNvSpPr txBox="1"/>
        </xdr:nvSpPr>
        <xdr:spPr>
          <a:xfrm rot="5400000">
            <a:off x="8927696" y="4017507"/>
            <a:ext cx="527381" cy="463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Tot</a:t>
            </a:r>
          </a:p>
        </xdr:txBody>
      </xdr:sp>
    </xdr:grpSp>
    <xdr:clientData/>
  </xdr:twoCellAnchor>
  <xdr:twoCellAnchor>
    <xdr:from>
      <xdr:col>2</xdr:col>
      <xdr:colOff>353493</xdr:colOff>
      <xdr:row>265</xdr:row>
      <xdr:rowOff>66675</xdr:rowOff>
    </xdr:from>
    <xdr:to>
      <xdr:col>2</xdr:col>
      <xdr:colOff>400050</xdr:colOff>
      <xdr:row>274</xdr:row>
      <xdr:rowOff>35790</xdr:rowOff>
    </xdr:to>
    <xdr:cxnSp macro="">
      <xdr:nvCxnSpPr>
        <xdr:cNvPr id="253" name="Gerader Verbinder 252">
          <a:extLst>
            <a:ext uri="{FF2B5EF4-FFF2-40B4-BE49-F238E27FC236}">
              <a16:creationId xmlns:a16="http://schemas.microsoft.com/office/drawing/2014/main" id="{DD9644D4-4AB1-4669-B0CE-5C144F167D8C}"/>
            </a:ext>
          </a:extLst>
        </xdr:cNvPr>
        <xdr:cNvCxnSpPr>
          <a:cxnSpLocks/>
        </xdr:cNvCxnSpPr>
      </xdr:nvCxnSpPr>
      <xdr:spPr>
        <a:xfrm flipH="1">
          <a:off x="1877493" y="55959375"/>
          <a:ext cx="46557" cy="208366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323850</xdr:colOff>
      <xdr:row>265</xdr:row>
      <xdr:rowOff>50448</xdr:rowOff>
    </xdr:from>
    <xdr:to>
      <xdr:col>7</xdr:col>
      <xdr:colOff>745275</xdr:colOff>
      <xdr:row>265</xdr:row>
      <xdr:rowOff>50448</xdr:rowOff>
    </xdr:to>
    <xdr:cxnSp macro="">
      <xdr:nvCxnSpPr>
        <xdr:cNvPr id="254" name="Gerader Verbinder 253">
          <a:extLst>
            <a:ext uri="{FF2B5EF4-FFF2-40B4-BE49-F238E27FC236}">
              <a16:creationId xmlns:a16="http://schemas.microsoft.com/office/drawing/2014/main" id="{577FFF10-EBFB-4F7B-9680-8412EB868DCD}"/>
            </a:ext>
          </a:extLst>
        </xdr:cNvPr>
        <xdr:cNvCxnSpPr/>
      </xdr:nvCxnSpPr>
      <xdr:spPr>
        <a:xfrm flipH="1">
          <a:off x="1847850" y="55943148"/>
          <a:ext cx="4231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275</xdr:row>
      <xdr:rowOff>92618</xdr:rowOff>
    </xdr:from>
    <xdr:to>
      <xdr:col>2</xdr:col>
      <xdr:colOff>615959</xdr:colOff>
      <xdr:row>275</xdr:row>
      <xdr:rowOff>92618</xdr:rowOff>
    </xdr:to>
    <xdr:cxnSp macro="">
      <xdr:nvCxnSpPr>
        <xdr:cNvPr id="255" name="Gerader Verbinder 254">
          <a:extLst>
            <a:ext uri="{FF2B5EF4-FFF2-40B4-BE49-F238E27FC236}">
              <a16:creationId xmlns:a16="http://schemas.microsoft.com/office/drawing/2014/main" id="{2D350255-4570-44D9-9F3C-6CDEB5A3A08E}"/>
            </a:ext>
          </a:extLst>
        </xdr:cNvPr>
        <xdr:cNvCxnSpPr/>
      </xdr:nvCxnSpPr>
      <xdr:spPr>
        <a:xfrm flipH="1">
          <a:off x="1524000" y="56918768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274</xdr:row>
      <xdr:rowOff>74023</xdr:rowOff>
    </xdr:from>
    <xdr:to>
      <xdr:col>2</xdr:col>
      <xdr:colOff>483054</xdr:colOff>
      <xdr:row>274</xdr:row>
      <xdr:rowOff>74023</xdr:rowOff>
    </xdr:to>
    <xdr:cxnSp macro="">
      <xdr:nvCxnSpPr>
        <xdr:cNvPr id="256" name="Gerader Verbinder 255">
          <a:extLst>
            <a:ext uri="{FF2B5EF4-FFF2-40B4-BE49-F238E27FC236}">
              <a16:creationId xmlns:a16="http://schemas.microsoft.com/office/drawing/2014/main" id="{113DEC6E-45CD-4236-BA6F-0F735B7348DF}"/>
            </a:ext>
          </a:extLst>
        </xdr:cNvPr>
        <xdr:cNvCxnSpPr/>
      </xdr:nvCxnSpPr>
      <xdr:spPr>
        <a:xfrm flipH="1">
          <a:off x="1714954" y="56719198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275</xdr:row>
      <xdr:rowOff>179117</xdr:rowOff>
    </xdr:from>
    <xdr:to>
      <xdr:col>2</xdr:col>
      <xdr:colOff>504825</xdr:colOff>
      <xdr:row>275</xdr:row>
      <xdr:rowOff>179117</xdr:rowOff>
    </xdr:to>
    <xdr:cxnSp macro="">
      <xdr:nvCxnSpPr>
        <xdr:cNvPr id="257" name="Gerader Verbinder 256">
          <a:extLst>
            <a:ext uri="{FF2B5EF4-FFF2-40B4-BE49-F238E27FC236}">
              <a16:creationId xmlns:a16="http://schemas.microsoft.com/office/drawing/2014/main" id="{3941BCA9-7336-450E-B938-8C7CD608622C}"/>
            </a:ext>
          </a:extLst>
        </xdr:cNvPr>
        <xdr:cNvCxnSpPr/>
      </xdr:nvCxnSpPr>
      <xdr:spPr>
        <a:xfrm flipH="1">
          <a:off x="1720850" y="57008442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276</xdr:row>
      <xdr:rowOff>7667</xdr:rowOff>
    </xdr:from>
    <xdr:to>
      <xdr:col>2</xdr:col>
      <xdr:colOff>342900</xdr:colOff>
      <xdr:row>279</xdr:row>
      <xdr:rowOff>133350</xdr:rowOff>
    </xdr:to>
    <xdr:cxnSp macro="">
      <xdr:nvCxnSpPr>
        <xdr:cNvPr id="258" name="Gerader Verbinder 257">
          <a:extLst>
            <a:ext uri="{FF2B5EF4-FFF2-40B4-BE49-F238E27FC236}">
              <a16:creationId xmlns:a16="http://schemas.microsoft.com/office/drawing/2014/main" id="{D1F6B4C0-7EBB-4323-8F5B-82BFC30BF87A}"/>
            </a:ext>
          </a:extLst>
        </xdr:cNvPr>
        <xdr:cNvCxnSpPr/>
      </xdr:nvCxnSpPr>
      <xdr:spPr>
        <a:xfrm flipH="1">
          <a:off x="1857375" y="57957767"/>
          <a:ext cx="9525" cy="7257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346982</xdr:colOff>
      <xdr:row>279</xdr:row>
      <xdr:rowOff>106998</xdr:rowOff>
    </xdr:from>
    <xdr:to>
      <xdr:col>7</xdr:col>
      <xdr:colOff>729058</xdr:colOff>
      <xdr:row>279</xdr:row>
      <xdr:rowOff>157728</xdr:rowOff>
    </xdr:to>
    <xdr:cxnSp macro="">
      <xdr:nvCxnSpPr>
        <xdr:cNvPr id="259" name="Gerader Verbinder 258">
          <a:extLst>
            <a:ext uri="{FF2B5EF4-FFF2-40B4-BE49-F238E27FC236}">
              <a16:creationId xmlns:a16="http://schemas.microsoft.com/office/drawing/2014/main" id="{B370FA0F-A41E-4DEC-B831-3C3C1054A0A1}"/>
            </a:ext>
          </a:extLst>
        </xdr:cNvPr>
        <xdr:cNvCxnSpPr>
          <a:cxnSpLocks/>
        </xdr:cNvCxnSpPr>
      </xdr:nvCxnSpPr>
      <xdr:spPr>
        <a:xfrm flipH="1" flipV="1">
          <a:off x="1870982" y="59692677"/>
          <a:ext cx="4192076" cy="5073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44938</xdr:colOff>
      <xdr:row>274</xdr:row>
      <xdr:rowOff>38963</xdr:rowOff>
    </xdr:from>
    <xdr:to>
      <xdr:col>2</xdr:col>
      <xdr:colOff>654966</xdr:colOff>
      <xdr:row>274</xdr:row>
      <xdr:rowOff>38963</xdr:rowOff>
    </xdr:to>
    <xdr:cxnSp macro="">
      <xdr:nvCxnSpPr>
        <xdr:cNvPr id="260" name="Gerader Verbinder 259">
          <a:extLst>
            <a:ext uri="{FF2B5EF4-FFF2-40B4-BE49-F238E27FC236}">
              <a16:creationId xmlns:a16="http://schemas.microsoft.com/office/drawing/2014/main" id="{1D4A9766-A70A-47F1-A4D0-BA61141488DC}"/>
            </a:ext>
          </a:extLst>
        </xdr:cNvPr>
        <xdr:cNvCxnSpPr/>
      </xdr:nvCxnSpPr>
      <xdr:spPr>
        <a:xfrm flipH="1">
          <a:off x="1572113" y="56684138"/>
          <a:ext cx="610028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354239</xdr:colOff>
      <xdr:row>274</xdr:row>
      <xdr:rowOff>84000</xdr:rowOff>
    </xdr:from>
    <xdr:to>
      <xdr:col>2</xdr:col>
      <xdr:colOff>354239</xdr:colOff>
      <xdr:row>275</xdr:row>
      <xdr:rowOff>131625</xdr:rowOff>
    </xdr:to>
    <xdr:cxnSp macro="">
      <xdr:nvCxnSpPr>
        <xdr:cNvPr id="261" name="Gerader Verbinder 260">
          <a:extLst>
            <a:ext uri="{FF2B5EF4-FFF2-40B4-BE49-F238E27FC236}">
              <a16:creationId xmlns:a16="http://schemas.microsoft.com/office/drawing/2014/main" id="{0E24E3E8-9404-46C7-8009-4C826FBA90BC}"/>
            </a:ext>
          </a:extLst>
        </xdr:cNvPr>
        <xdr:cNvCxnSpPr/>
      </xdr:nvCxnSpPr>
      <xdr:spPr>
        <a:xfrm flipH="1">
          <a:off x="1875064" y="56732350"/>
          <a:ext cx="0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697650</xdr:colOff>
      <xdr:row>265</xdr:row>
      <xdr:rowOff>19050</xdr:rowOff>
    </xdr:from>
    <xdr:to>
      <xdr:col>8</xdr:col>
      <xdr:colOff>30900</xdr:colOff>
      <xdr:row>265</xdr:row>
      <xdr:rowOff>85021</xdr:rowOff>
    </xdr:to>
    <xdr:sp macro="" textlink="">
      <xdr:nvSpPr>
        <xdr:cNvPr id="262" name="Ellipse 261">
          <a:extLst>
            <a:ext uri="{FF2B5EF4-FFF2-40B4-BE49-F238E27FC236}">
              <a16:creationId xmlns:a16="http://schemas.microsoft.com/office/drawing/2014/main" id="{F8714C43-9CE7-4303-B308-65BFE799591F}"/>
            </a:ext>
          </a:extLst>
        </xdr:cNvPr>
        <xdr:cNvSpPr/>
      </xdr:nvSpPr>
      <xdr:spPr>
        <a:xfrm>
          <a:off x="6031650" y="55911750"/>
          <a:ext cx="95250" cy="659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665900</xdr:colOff>
      <xdr:row>279</xdr:row>
      <xdr:rowOff>105569</xdr:rowOff>
    </xdr:from>
    <xdr:to>
      <xdr:col>7</xdr:col>
      <xdr:colOff>761150</xdr:colOff>
      <xdr:row>280</xdr:row>
      <xdr:rowOff>9615</xdr:rowOff>
    </xdr:to>
    <xdr:sp macro="" textlink="">
      <xdr:nvSpPr>
        <xdr:cNvPr id="263" name="Ellipse 262">
          <a:extLst>
            <a:ext uri="{FF2B5EF4-FFF2-40B4-BE49-F238E27FC236}">
              <a16:creationId xmlns:a16="http://schemas.microsoft.com/office/drawing/2014/main" id="{43E2F0C3-69D2-4E76-8286-536B42FD4E0B}"/>
            </a:ext>
          </a:extLst>
        </xdr:cNvPr>
        <xdr:cNvSpPr/>
      </xdr:nvSpPr>
      <xdr:spPr>
        <a:xfrm>
          <a:off x="5999900" y="58655744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292954</xdr:colOff>
      <xdr:row>279</xdr:row>
      <xdr:rowOff>48069</xdr:rowOff>
    </xdr:from>
    <xdr:to>
      <xdr:col>2</xdr:col>
      <xdr:colOff>388204</xdr:colOff>
      <xdr:row>279</xdr:row>
      <xdr:rowOff>152140</xdr:rowOff>
    </xdr:to>
    <xdr:sp macro="" textlink="">
      <xdr:nvSpPr>
        <xdr:cNvPr id="264" name="Ellipse 263">
          <a:extLst>
            <a:ext uri="{FF2B5EF4-FFF2-40B4-BE49-F238E27FC236}">
              <a16:creationId xmlns:a16="http://schemas.microsoft.com/office/drawing/2014/main" id="{BE739B1A-7F2B-4B66-BBDA-67831122BBE7}"/>
            </a:ext>
          </a:extLst>
        </xdr:cNvPr>
        <xdr:cNvSpPr/>
      </xdr:nvSpPr>
      <xdr:spPr>
        <a:xfrm>
          <a:off x="1816954" y="58598244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345457</xdr:colOff>
      <xdr:row>265</xdr:row>
      <xdr:rowOff>17114</xdr:rowOff>
    </xdr:from>
    <xdr:to>
      <xdr:col>2</xdr:col>
      <xdr:colOff>440707</xdr:colOff>
      <xdr:row>265</xdr:row>
      <xdr:rowOff>76735</xdr:rowOff>
    </xdr:to>
    <xdr:sp macro="" textlink="">
      <xdr:nvSpPr>
        <xdr:cNvPr id="265" name="Ellipse 264">
          <a:extLst>
            <a:ext uri="{FF2B5EF4-FFF2-40B4-BE49-F238E27FC236}">
              <a16:creationId xmlns:a16="http://schemas.microsoft.com/office/drawing/2014/main" id="{A32B36B3-949E-4E22-A9BD-A01BC1BF26EA}"/>
            </a:ext>
          </a:extLst>
        </xdr:cNvPr>
        <xdr:cNvSpPr/>
      </xdr:nvSpPr>
      <xdr:spPr>
        <a:xfrm>
          <a:off x="1869457" y="55909814"/>
          <a:ext cx="95250" cy="5962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0</xdr:col>
      <xdr:colOff>470647</xdr:colOff>
      <xdr:row>1</xdr:row>
      <xdr:rowOff>67236</xdr:rowOff>
    </xdr:from>
    <xdr:to>
      <xdr:col>1</xdr:col>
      <xdr:colOff>440204</xdr:colOff>
      <xdr:row>3</xdr:row>
      <xdr:rowOff>145676</xdr:rowOff>
    </xdr:to>
    <xdr:sp macro="" textlink="">
      <xdr:nvSpPr>
        <xdr:cNvPr id="266" name="Pfeil: nach rechts 26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9A57B2-6062-4514-876F-CB4DDC039A61}"/>
            </a:ext>
          </a:extLst>
        </xdr:cNvPr>
        <xdr:cNvSpPr/>
      </xdr:nvSpPr>
      <xdr:spPr>
        <a:xfrm rot="10800000">
          <a:off x="470647" y="246530"/>
          <a:ext cx="731557" cy="59391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161636</xdr:colOff>
      <xdr:row>18</xdr:row>
      <xdr:rowOff>103909</xdr:rowOff>
    </xdr:from>
    <xdr:to>
      <xdr:col>1</xdr:col>
      <xdr:colOff>161636</xdr:colOff>
      <xdr:row>24</xdr:row>
      <xdr:rowOff>11546</xdr:rowOff>
    </xdr:to>
    <xdr:cxnSp macro="">
      <xdr:nvCxnSpPr>
        <xdr:cNvPr id="268" name="Gerade Verbindung mit Pfeil 267">
          <a:extLst>
            <a:ext uri="{FF2B5EF4-FFF2-40B4-BE49-F238E27FC236}">
              <a16:creationId xmlns:a16="http://schemas.microsoft.com/office/drawing/2014/main" id="{F3A7D8CD-E941-5137-ACD7-922F0F2F5C0A}"/>
            </a:ext>
          </a:extLst>
        </xdr:cNvPr>
        <xdr:cNvCxnSpPr/>
      </xdr:nvCxnSpPr>
      <xdr:spPr>
        <a:xfrm>
          <a:off x="923636" y="3810000"/>
          <a:ext cx="0" cy="1039091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181444</xdr:colOff>
      <xdr:row>18</xdr:row>
      <xdr:rowOff>217355</xdr:rowOff>
    </xdr:from>
    <xdr:to>
      <xdr:col>1</xdr:col>
      <xdr:colOff>135032</xdr:colOff>
      <xdr:row>21</xdr:row>
      <xdr:rowOff>161635</xdr:rowOff>
    </xdr:to>
    <xdr:sp macro="" textlink="">
      <xdr:nvSpPr>
        <xdr:cNvPr id="269" name="Textfeld 268">
          <a:extLst>
            <a:ext uri="{FF2B5EF4-FFF2-40B4-BE49-F238E27FC236}">
              <a16:creationId xmlns:a16="http://schemas.microsoft.com/office/drawing/2014/main" id="{93219C76-B9DF-2E04-AB52-191B06151378}"/>
            </a:ext>
          </a:extLst>
        </xdr:cNvPr>
        <xdr:cNvSpPr txBox="1"/>
      </xdr:nvSpPr>
      <xdr:spPr>
        <a:xfrm>
          <a:off x="181444" y="4119719"/>
          <a:ext cx="715588" cy="556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2400">
              <a:solidFill>
                <a:srgbClr val="00B0F0"/>
              </a:solidFill>
            </a:rPr>
            <a:t>U</a:t>
          </a:r>
          <a:r>
            <a:rPr lang="de-CH" sz="24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684696</xdr:colOff>
      <xdr:row>16</xdr:row>
      <xdr:rowOff>11043</xdr:rowOff>
    </xdr:from>
    <xdr:to>
      <xdr:col>2</xdr:col>
      <xdr:colOff>77304</xdr:colOff>
      <xdr:row>17</xdr:row>
      <xdr:rowOff>16565</xdr:rowOff>
    </xdr:to>
    <xdr:sp macro="" textlink="">
      <xdr:nvSpPr>
        <xdr:cNvPr id="270" name="Pfeil: nach oben 269">
          <a:extLst>
            <a:ext uri="{FF2B5EF4-FFF2-40B4-BE49-F238E27FC236}">
              <a16:creationId xmlns:a16="http://schemas.microsoft.com/office/drawing/2014/main" id="{4C6E30B6-468A-B7D9-A641-3015509039B3}"/>
            </a:ext>
          </a:extLst>
        </xdr:cNvPr>
        <xdr:cNvSpPr/>
      </xdr:nvSpPr>
      <xdr:spPr>
        <a:xfrm>
          <a:off x="1446696" y="3296478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219365</xdr:colOff>
      <xdr:row>15</xdr:row>
      <xdr:rowOff>127001</xdr:rowOff>
    </xdr:from>
    <xdr:to>
      <xdr:col>1</xdr:col>
      <xdr:colOff>712305</xdr:colOff>
      <xdr:row>17</xdr:row>
      <xdr:rowOff>104914</xdr:rowOff>
    </xdr:to>
    <xdr:sp macro="" textlink="">
      <xdr:nvSpPr>
        <xdr:cNvPr id="271" name="Textfeld 270">
          <a:extLst>
            <a:ext uri="{FF2B5EF4-FFF2-40B4-BE49-F238E27FC236}">
              <a16:creationId xmlns:a16="http://schemas.microsoft.com/office/drawing/2014/main" id="{F131651E-981E-B454-E958-A65A4BCE859F}"/>
            </a:ext>
          </a:extLst>
        </xdr:cNvPr>
        <xdr:cNvSpPr txBox="1"/>
      </xdr:nvSpPr>
      <xdr:spPr>
        <a:xfrm>
          <a:off x="981365" y="3371274"/>
          <a:ext cx="492940" cy="416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171946</xdr:colOff>
      <xdr:row>60</xdr:row>
      <xdr:rowOff>43170</xdr:rowOff>
    </xdr:from>
    <xdr:to>
      <xdr:col>1</xdr:col>
      <xdr:colOff>171946</xdr:colOff>
      <xdr:row>65</xdr:row>
      <xdr:rowOff>160633</xdr:rowOff>
    </xdr:to>
    <xdr:cxnSp macro="">
      <xdr:nvCxnSpPr>
        <xdr:cNvPr id="272" name="Gerade Verbindung mit Pfeil 271">
          <a:extLst>
            <a:ext uri="{FF2B5EF4-FFF2-40B4-BE49-F238E27FC236}">
              <a16:creationId xmlns:a16="http://schemas.microsoft.com/office/drawing/2014/main" id="{C6B0644D-9831-4E3E-92BF-9D0078B9D217}"/>
            </a:ext>
          </a:extLst>
        </xdr:cNvPr>
        <xdr:cNvCxnSpPr/>
      </xdr:nvCxnSpPr>
      <xdr:spPr>
        <a:xfrm>
          <a:off x="933946" y="11578083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480391</xdr:colOff>
      <xdr:row>62</xdr:row>
      <xdr:rowOff>11043</xdr:rowOff>
    </xdr:from>
    <xdr:to>
      <xdr:col>1</xdr:col>
      <xdr:colOff>433979</xdr:colOff>
      <xdr:row>64</xdr:row>
      <xdr:rowOff>108857</xdr:rowOff>
    </xdr:to>
    <xdr:sp macro="" textlink="">
      <xdr:nvSpPr>
        <xdr:cNvPr id="273" name="Textfeld 272">
          <a:extLst>
            <a:ext uri="{FF2B5EF4-FFF2-40B4-BE49-F238E27FC236}">
              <a16:creationId xmlns:a16="http://schemas.microsoft.com/office/drawing/2014/main" id="{F5E557CF-1666-415D-BB2D-FE16D9CA3F3F}"/>
            </a:ext>
          </a:extLst>
        </xdr:cNvPr>
        <xdr:cNvSpPr txBox="1"/>
      </xdr:nvSpPr>
      <xdr:spPr>
        <a:xfrm>
          <a:off x="480391" y="13545614"/>
          <a:ext cx="715588" cy="496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695006</xdr:colOff>
      <xdr:row>57</xdr:row>
      <xdr:rowOff>77304</xdr:rowOff>
    </xdr:from>
    <xdr:to>
      <xdr:col>2</xdr:col>
      <xdr:colOff>87614</xdr:colOff>
      <xdr:row>58</xdr:row>
      <xdr:rowOff>110435</xdr:rowOff>
    </xdr:to>
    <xdr:sp macro="" textlink="">
      <xdr:nvSpPr>
        <xdr:cNvPr id="274" name="Pfeil: nach oben 273">
          <a:extLst>
            <a:ext uri="{FF2B5EF4-FFF2-40B4-BE49-F238E27FC236}">
              <a16:creationId xmlns:a16="http://schemas.microsoft.com/office/drawing/2014/main" id="{8DF85F41-C811-44D7-839A-B7B6D3384C68}"/>
            </a:ext>
          </a:extLst>
        </xdr:cNvPr>
        <xdr:cNvSpPr/>
      </xdr:nvSpPr>
      <xdr:spPr>
        <a:xfrm>
          <a:off x="1457006" y="11065565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172357</xdr:colOff>
      <xdr:row>57</xdr:row>
      <xdr:rowOff>71783</xdr:rowOff>
    </xdr:from>
    <xdr:to>
      <xdr:col>1</xdr:col>
      <xdr:colOff>722614</xdr:colOff>
      <xdr:row>58</xdr:row>
      <xdr:rowOff>281215</xdr:rowOff>
    </xdr:to>
    <xdr:sp macro="" textlink="">
      <xdr:nvSpPr>
        <xdr:cNvPr id="275" name="Textfeld 274">
          <a:extLst>
            <a:ext uri="{FF2B5EF4-FFF2-40B4-BE49-F238E27FC236}">
              <a16:creationId xmlns:a16="http://schemas.microsoft.com/office/drawing/2014/main" id="{C5DFBA3C-981D-4F0A-935D-F686A35DC39E}"/>
            </a:ext>
          </a:extLst>
        </xdr:cNvPr>
        <xdr:cNvSpPr txBox="1"/>
      </xdr:nvSpPr>
      <xdr:spPr>
        <a:xfrm>
          <a:off x="934357" y="12000712"/>
          <a:ext cx="550257" cy="5450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122250</xdr:colOff>
      <xdr:row>103</xdr:row>
      <xdr:rowOff>15561</xdr:rowOff>
    </xdr:from>
    <xdr:to>
      <xdr:col>1</xdr:col>
      <xdr:colOff>122250</xdr:colOff>
      <xdr:row>108</xdr:row>
      <xdr:rowOff>133024</xdr:rowOff>
    </xdr:to>
    <xdr:cxnSp macro="">
      <xdr:nvCxnSpPr>
        <xdr:cNvPr id="276" name="Gerade Verbindung mit Pfeil 275">
          <a:extLst>
            <a:ext uri="{FF2B5EF4-FFF2-40B4-BE49-F238E27FC236}">
              <a16:creationId xmlns:a16="http://schemas.microsoft.com/office/drawing/2014/main" id="{AB8FFA72-51FB-46F9-9CA2-6C76883DC72E}"/>
            </a:ext>
          </a:extLst>
        </xdr:cNvPr>
        <xdr:cNvCxnSpPr/>
      </xdr:nvCxnSpPr>
      <xdr:spPr>
        <a:xfrm>
          <a:off x="884250" y="19534909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381000</xdr:colOff>
      <xdr:row>103</xdr:row>
      <xdr:rowOff>115454</xdr:rowOff>
    </xdr:from>
    <xdr:to>
      <xdr:col>1</xdr:col>
      <xdr:colOff>384283</xdr:colOff>
      <xdr:row>106</xdr:row>
      <xdr:rowOff>145071</xdr:rowOff>
    </xdr:to>
    <xdr:sp macro="" textlink="">
      <xdr:nvSpPr>
        <xdr:cNvPr id="277" name="Textfeld 276">
          <a:extLst>
            <a:ext uri="{FF2B5EF4-FFF2-40B4-BE49-F238E27FC236}">
              <a16:creationId xmlns:a16="http://schemas.microsoft.com/office/drawing/2014/main" id="{FE44B1BC-840A-4A37-907C-5A6753FAB478}"/>
            </a:ext>
          </a:extLst>
        </xdr:cNvPr>
        <xdr:cNvSpPr txBox="1"/>
      </xdr:nvSpPr>
      <xdr:spPr>
        <a:xfrm>
          <a:off x="381000" y="22005636"/>
          <a:ext cx="765283" cy="618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645310</xdr:colOff>
      <xdr:row>100</xdr:row>
      <xdr:rowOff>49695</xdr:rowOff>
    </xdr:from>
    <xdr:to>
      <xdr:col>2</xdr:col>
      <xdr:colOff>37918</xdr:colOff>
      <xdr:row>101</xdr:row>
      <xdr:rowOff>82826</xdr:rowOff>
    </xdr:to>
    <xdr:sp macro="" textlink="">
      <xdr:nvSpPr>
        <xdr:cNvPr id="278" name="Pfeil: nach oben 277">
          <a:extLst>
            <a:ext uri="{FF2B5EF4-FFF2-40B4-BE49-F238E27FC236}">
              <a16:creationId xmlns:a16="http://schemas.microsoft.com/office/drawing/2014/main" id="{87024B88-BA3C-4472-9D8E-5A25A1092B2A}"/>
            </a:ext>
          </a:extLst>
        </xdr:cNvPr>
        <xdr:cNvSpPr/>
      </xdr:nvSpPr>
      <xdr:spPr>
        <a:xfrm>
          <a:off x="1407310" y="19022391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196273</xdr:colOff>
      <xdr:row>98</xdr:row>
      <xdr:rowOff>311727</xdr:rowOff>
    </xdr:from>
    <xdr:to>
      <xdr:col>1</xdr:col>
      <xdr:colOff>672918</xdr:colOff>
      <xdr:row>101</xdr:row>
      <xdr:rowOff>171174</xdr:rowOff>
    </xdr:to>
    <xdr:sp macro="" textlink="">
      <xdr:nvSpPr>
        <xdr:cNvPr id="279" name="Textfeld 278">
          <a:extLst>
            <a:ext uri="{FF2B5EF4-FFF2-40B4-BE49-F238E27FC236}">
              <a16:creationId xmlns:a16="http://schemas.microsoft.com/office/drawing/2014/main" id="{9201322D-024F-4D64-B86B-D1FFB54C2D42}"/>
            </a:ext>
          </a:extLst>
        </xdr:cNvPr>
        <xdr:cNvSpPr txBox="1"/>
      </xdr:nvSpPr>
      <xdr:spPr>
        <a:xfrm>
          <a:off x="958273" y="21082000"/>
          <a:ext cx="476645" cy="586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525338</xdr:colOff>
      <xdr:row>145</xdr:row>
      <xdr:rowOff>54212</xdr:rowOff>
    </xdr:from>
    <xdr:to>
      <xdr:col>1</xdr:col>
      <xdr:colOff>525338</xdr:colOff>
      <xdr:row>150</xdr:row>
      <xdr:rowOff>171675</xdr:rowOff>
    </xdr:to>
    <xdr:cxnSp macro="">
      <xdr:nvCxnSpPr>
        <xdr:cNvPr id="280" name="Gerade Verbindung mit Pfeil 279">
          <a:extLst>
            <a:ext uri="{FF2B5EF4-FFF2-40B4-BE49-F238E27FC236}">
              <a16:creationId xmlns:a16="http://schemas.microsoft.com/office/drawing/2014/main" id="{2C13523F-1EF9-4370-B6D9-3F6BFCAA25FB}"/>
            </a:ext>
          </a:extLst>
        </xdr:cNvPr>
        <xdr:cNvCxnSpPr/>
      </xdr:nvCxnSpPr>
      <xdr:spPr>
        <a:xfrm>
          <a:off x="1287338" y="27375777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14179</xdr:colOff>
      <xdr:row>146</xdr:row>
      <xdr:rowOff>171763</xdr:rowOff>
    </xdr:from>
    <xdr:to>
      <xdr:col>1</xdr:col>
      <xdr:colOff>736117</xdr:colOff>
      <xdr:row>148</xdr:row>
      <xdr:rowOff>151182</xdr:rowOff>
    </xdr:to>
    <xdr:sp macro="" textlink="">
      <xdr:nvSpPr>
        <xdr:cNvPr id="281" name="Textfeld 280">
          <a:extLst>
            <a:ext uri="{FF2B5EF4-FFF2-40B4-BE49-F238E27FC236}">
              <a16:creationId xmlns:a16="http://schemas.microsoft.com/office/drawing/2014/main" id="{59210DCD-D4AC-489D-9FEB-4F183764D756}"/>
            </a:ext>
          </a:extLst>
        </xdr:cNvPr>
        <xdr:cNvSpPr txBox="1"/>
      </xdr:nvSpPr>
      <xdr:spPr>
        <a:xfrm>
          <a:off x="776179" y="31631477"/>
          <a:ext cx="721938" cy="3876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286398</xdr:colOff>
      <xdr:row>142</xdr:row>
      <xdr:rowOff>88346</xdr:rowOff>
    </xdr:from>
    <xdr:to>
      <xdr:col>2</xdr:col>
      <xdr:colOff>441006</xdr:colOff>
      <xdr:row>143</xdr:row>
      <xdr:rowOff>121477</xdr:rowOff>
    </xdr:to>
    <xdr:sp macro="" textlink="">
      <xdr:nvSpPr>
        <xdr:cNvPr id="282" name="Pfeil: nach oben 281">
          <a:extLst>
            <a:ext uri="{FF2B5EF4-FFF2-40B4-BE49-F238E27FC236}">
              <a16:creationId xmlns:a16="http://schemas.microsoft.com/office/drawing/2014/main" id="{48C1510F-7897-4EAF-8963-AEA07F70D55A}"/>
            </a:ext>
          </a:extLst>
        </xdr:cNvPr>
        <xdr:cNvSpPr/>
      </xdr:nvSpPr>
      <xdr:spPr>
        <a:xfrm>
          <a:off x="1810398" y="26863259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503464</xdr:colOff>
      <xdr:row>141</xdr:row>
      <xdr:rowOff>149678</xdr:rowOff>
    </xdr:from>
    <xdr:to>
      <xdr:col>2</xdr:col>
      <xdr:colOff>317181</xdr:colOff>
      <xdr:row>144</xdr:row>
      <xdr:rowOff>30782</xdr:rowOff>
    </xdr:to>
    <xdr:sp macro="" textlink="">
      <xdr:nvSpPr>
        <xdr:cNvPr id="283" name="Textfeld 282">
          <a:extLst>
            <a:ext uri="{FF2B5EF4-FFF2-40B4-BE49-F238E27FC236}">
              <a16:creationId xmlns:a16="http://schemas.microsoft.com/office/drawing/2014/main" id="{44BF3E1A-9638-4F63-A7C2-437D06AEB41A}"/>
            </a:ext>
          </a:extLst>
        </xdr:cNvPr>
        <xdr:cNvSpPr txBox="1"/>
      </xdr:nvSpPr>
      <xdr:spPr>
        <a:xfrm>
          <a:off x="1265464" y="30588857"/>
          <a:ext cx="575717" cy="49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525338</xdr:colOff>
      <xdr:row>185</xdr:row>
      <xdr:rowOff>37647</xdr:rowOff>
    </xdr:from>
    <xdr:to>
      <xdr:col>1</xdr:col>
      <xdr:colOff>525338</xdr:colOff>
      <xdr:row>190</xdr:row>
      <xdr:rowOff>155110</xdr:rowOff>
    </xdr:to>
    <xdr:cxnSp macro="">
      <xdr:nvCxnSpPr>
        <xdr:cNvPr id="284" name="Gerade Verbindung mit Pfeil 283">
          <a:extLst>
            <a:ext uri="{FF2B5EF4-FFF2-40B4-BE49-F238E27FC236}">
              <a16:creationId xmlns:a16="http://schemas.microsoft.com/office/drawing/2014/main" id="{31A24FC4-9BFB-4D73-97DE-9BF957E16EE9}"/>
            </a:ext>
          </a:extLst>
        </xdr:cNvPr>
        <xdr:cNvCxnSpPr/>
      </xdr:nvCxnSpPr>
      <xdr:spPr>
        <a:xfrm>
          <a:off x="1287338" y="34796995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27787</xdr:colOff>
      <xdr:row>186</xdr:row>
      <xdr:rowOff>144766</xdr:rowOff>
    </xdr:from>
    <xdr:to>
      <xdr:col>1</xdr:col>
      <xdr:colOff>749725</xdr:colOff>
      <xdr:row>188</xdr:row>
      <xdr:rowOff>82339</xdr:rowOff>
    </xdr:to>
    <xdr:sp macro="" textlink="">
      <xdr:nvSpPr>
        <xdr:cNvPr id="285" name="Textfeld 284">
          <a:extLst>
            <a:ext uri="{FF2B5EF4-FFF2-40B4-BE49-F238E27FC236}">
              <a16:creationId xmlns:a16="http://schemas.microsoft.com/office/drawing/2014/main" id="{C26B671C-1EF3-4D2A-B218-241A14112CDB}"/>
            </a:ext>
          </a:extLst>
        </xdr:cNvPr>
        <xdr:cNvSpPr txBox="1"/>
      </xdr:nvSpPr>
      <xdr:spPr>
        <a:xfrm>
          <a:off x="789787" y="39932052"/>
          <a:ext cx="721938" cy="3593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286398</xdr:colOff>
      <xdr:row>182</xdr:row>
      <xdr:rowOff>71781</xdr:rowOff>
    </xdr:from>
    <xdr:to>
      <xdr:col>2</xdr:col>
      <xdr:colOff>441006</xdr:colOff>
      <xdr:row>183</xdr:row>
      <xdr:rowOff>104912</xdr:rowOff>
    </xdr:to>
    <xdr:sp macro="" textlink="">
      <xdr:nvSpPr>
        <xdr:cNvPr id="286" name="Pfeil: nach oben 285">
          <a:extLst>
            <a:ext uri="{FF2B5EF4-FFF2-40B4-BE49-F238E27FC236}">
              <a16:creationId xmlns:a16="http://schemas.microsoft.com/office/drawing/2014/main" id="{099C31F0-C8FF-4EC7-9F42-68FE57C137C8}"/>
            </a:ext>
          </a:extLst>
        </xdr:cNvPr>
        <xdr:cNvSpPr/>
      </xdr:nvSpPr>
      <xdr:spPr>
        <a:xfrm>
          <a:off x="1810398" y="34284477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503464</xdr:colOff>
      <xdr:row>181</xdr:row>
      <xdr:rowOff>190500</xdr:rowOff>
    </xdr:from>
    <xdr:to>
      <xdr:col>2</xdr:col>
      <xdr:colOff>317181</xdr:colOff>
      <xdr:row>184</xdr:row>
      <xdr:rowOff>7868</xdr:rowOff>
    </xdr:to>
    <xdr:sp macro="" textlink="">
      <xdr:nvSpPr>
        <xdr:cNvPr id="287" name="Textfeld 286">
          <a:extLst>
            <a:ext uri="{FF2B5EF4-FFF2-40B4-BE49-F238E27FC236}">
              <a16:creationId xmlns:a16="http://schemas.microsoft.com/office/drawing/2014/main" id="{60678C1F-E980-418E-B1C1-95832E70CAE5}"/>
            </a:ext>
          </a:extLst>
        </xdr:cNvPr>
        <xdr:cNvSpPr txBox="1"/>
      </xdr:nvSpPr>
      <xdr:spPr>
        <a:xfrm>
          <a:off x="1265464" y="38957250"/>
          <a:ext cx="575717" cy="429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530860</xdr:colOff>
      <xdr:row>228</xdr:row>
      <xdr:rowOff>70778</xdr:rowOff>
    </xdr:from>
    <xdr:to>
      <xdr:col>1</xdr:col>
      <xdr:colOff>530860</xdr:colOff>
      <xdr:row>234</xdr:row>
      <xdr:rowOff>6024</xdr:rowOff>
    </xdr:to>
    <xdr:cxnSp macro="">
      <xdr:nvCxnSpPr>
        <xdr:cNvPr id="288" name="Gerade Verbindung mit Pfeil 287">
          <a:extLst>
            <a:ext uri="{FF2B5EF4-FFF2-40B4-BE49-F238E27FC236}">
              <a16:creationId xmlns:a16="http://schemas.microsoft.com/office/drawing/2014/main" id="{33BF8919-E250-4BB6-8530-5CD40966F287}"/>
            </a:ext>
          </a:extLst>
        </xdr:cNvPr>
        <xdr:cNvCxnSpPr/>
      </xdr:nvCxnSpPr>
      <xdr:spPr>
        <a:xfrm>
          <a:off x="1292860" y="42814561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36484</xdr:colOff>
      <xdr:row>229</xdr:row>
      <xdr:rowOff>188330</xdr:rowOff>
    </xdr:from>
    <xdr:to>
      <xdr:col>1</xdr:col>
      <xdr:colOff>748897</xdr:colOff>
      <xdr:row>231</xdr:row>
      <xdr:rowOff>167749</xdr:rowOff>
    </xdr:to>
    <xdr:sp macro="" textlink="">
      <xdr:nvSpPr>
        <xdr:cNvPr id="289" name="Textfeld 288">
          <a:extLst>
            <a:ext uri="{FF2B5EF4-FFF2-40B4-BE49-F238E27FC236}">
              <a16:creationId xmlns:a16="http://schemas.microsoft.com/office/drawing/2014/main" id="{20D41A9B-C72D-4EAB-92F4-0904A11BED03}"/>
            </a:ext>
          </a:extLst>
        </xdr:cNvPr>
        <xdr:cNvSpPr txBox="1"/>
      </xdr:nvSpPr>
      <xdr:spPr>
        <a:xfrm>
          <a:off x="798484" y="48942723"/>
          <a:ext cx="712413" cy="3876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291920</xdr:colOff>
      <xdr:row>225</xdr:row>
      <xdr:rowOff>104913</xdr:rowOff>
    </xdr:from>
    <xdr:to>
      <xdr:col>2</xdr:col>
      <xdr:colOff>446528</xdr:colOff>
      <xdr:row>226</xdr:row>
      <xdr:rowOff>138043</xdr:rowOff>
    </xdr:to>
    <xdr:sp macro="" textlink="">
      <xdr:nvSpPr>
        <xdr:cNvPr id="290" name="Pfeil: nach oben 289">
          <a:extLst>
            <a:ext uri="{FF2B5EF4-FFF2-40B4-BE49-F238E27FC236}">
              <a16:creationId xmlns:a16="http://schemas.microsoft.com/office/drawing/2014/main" id="{F1410EA6-A850-4B99-90F7-A7CFE196DEF4}"/>
            </a:ext>
          </a:extLst>
        </xdr:cNvPr>
        <xdr:cNvSpPr/>
      </xdr:nvSpPr>
      <xdr:spPr>
        <a:xfrm>
          <a:off x="1815920" y="42302043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544286</xdr:colOff>
      <xdr:row>225</xdr:row>
      <xdr:rowOff>13607</xdr:rowOff>
    </xdr:from>
    <xdr:to>
      <xdr:col>2</xdr:col>
      <xdr:colOff>316353</xdr:colOff>
      <xdr:row>227</xdr:row>
      <xdr:rowOff>47349</xdr:rowOff>
    </xdr:to>
    <xdr:sp macro="" textlink="">
      <xdr:nvSpPr>
        <xdr:cNvPr id="291" name="Textfeld 290">
          <a:extLst>
            <a:ext uri="{FF2B5EF4-FFF2-40B4-BE49-F238E27FC236}">
              <a16:creationId xmlns:a16="http://schemas.microsoft.com/office/drawing/2014/main" id="{603072BE-3927-4B6D-B924-0C8F93B116C9}"/>
            </a:ext>
          </a:extLst>
        </xdr:cNvPr>
        <xdr:cNvSpPr txBox="1"/>
      </xdr:nvSpPr>
      <xdr:spPr>
        <a:xfrm>
          <a:off x="1306286" y="47924357"/>
          <a:ext cx="534067" cy="455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508773</xdr:colOff>
      <xdr:row>271</xdr:row>
      <xdr:rowOff>148083</xdr:rowOff>
    </xdr:from>
    <xdr:to>
      <xdr:col>1</xdr:col>
      <xdr:colOff>508773</xdr:colOff>
      <xdr:row>277</xdr:row>
      <xdr:rowOff>83328</xdr:rowOff>
    </xdr:to>
    <xdr:cxnSp macro="">
      <xdr:nvCxnSpPr>
        <xdr:cNvPr id="296" name="Gerade Verbindung mit Pfeil 295">
          <a:extLst>
            <a:ext uri="{FF2B5EF4-FFF2-40B4-BE49-F238E27FC236}">
              <a16:creationId xmlns:a16="http://schemas.microsoft.com/office/drawing/2014/main" id="{1328C720-FE39-40DC-9851-A6E29511DF01}"/>
            </a:ext>
          </a:extLst>
        </xdr:cNvPr>
        <xdr:cNvCxnSpPr/>
      </xdr:nvCxnSpPr>
      <xdr:spPr>
        <a:xfrm>
          <a:off x="1270773" y="50876300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789</xdr:colOff>
      <xdr:row>273</xdr:row>
      <xdr:rowOff>102349</xdr:rowOff>
    </xdr:from>
    <xdr:to>
      <xdr:col>1</xdr:col>
      <xdr:colOff>719552</xdr:colOff>
      <xdr:row>275</xdr:row>
      <xdr:rowOff>81768</xdr:rowOff>
    </xdr:to>
    <xdr:sp macro="" textlink="">
      <xdr:nvSpPr>
        <xdr:cNvPr id="297" name="Textfeld 296">
          <a:extLst>
            <a:ext uri="{FF2B5EF4-FFF2-40B4-BE49-F238E27FC236}">
              <a16:creationId xmlns:a16="http://schemas.microsoft.com/office/drawing/2014/main" id="{8F9B733C-289E-436C-8E2B-00CFC0E240E5}"/>
            </a:ext>
          </a:extLst>
        </xdr:cNvPr>
        <xdr:cNvSpPr txBox="1"/>
      </xdr:nvSpPr>
      <xdr:spPr>
        <a:xfrm>
          <a:off x="762789" y="57987135"/>
          <a:ext cx="718763" cy="401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600">
              <a:solidFill>
                <a:srgbClr val="00B0F0"/>
              </a:solidFill>
            </a:rPr>
            <a:t>U</a:t>
          </a:r>
          <a:r>
            <a:rPr lang="de-CH" sz="16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269833</xdr:colOff>
      <xdr:row>268</xdr:row>
      <xdr:rowOff>182217</xdr:rowOff>
    </xdr:from>
    <xdr:to>
      <xdr:col>2</xdr:col>
      <xdr:colOff>424441</xdr:colOff>
      <xdr:row>270</xdr:row>
      <xdr:rowOff>33130</xdr:rowOff>
    </xdr:to>
    <xdr:sp macro="" textlink="">
      <xdr:nvSpPr>
        <xdr:cNvPr id="298" name="Pfeil: nach oben 297">
          <a:extLst>
            <a:ext uri="{FF2B5EF4-FFF2-40B4-BE49-F238E27FC236}">
              <a16:creationId xmlns:a16="http://schemas.microsoft.com/office/drawing/2014/main" id="{A154736E-E81A-4FB7-B8F1-FF3086923150}"/>
            </a:ext>
          </a:extLst>
        </xdr:cNvPr>
        <xdr:cNvSpPr/>
      </xdr:nvSpPr>
      <xdr:spPr>
        <a:xfrm>
          <a:off x="1793833" y="50363782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462643</xdr:colOff>
      <xdr:row>268</xdr:row>
      <xdr:rowOff>81643</xdr:rowOff>
    </xdr:from>
    <xdr:to>
      <xdr:col>2</xdr:col>
      <xdr:colOff>294266</xdr:colOff>
      <xdr:row>270</xdr:row>
      <xdr:rowOff>124653</xdr:rowOff>
    </xdr:to>
    <xdr:sp macro="" textlink="">
      <xdr:nvSpPr>
        <xdr:cNvPr id="299" name="Textfeld 298">
          <a:extLst>
            <a:ext uri="{FF2B5EF4-FFF2-40B4-BE49-F238E27FC236}">
              <a16:creationId xmlns:a16="http://schemas.microsoft.com/office/drawing/2014/main" id="{CB4C7DB5-A4E5-4034-897F-6AE2311B85CF}"/>
            </a:ext>
          </a:extLst>
        </xdr:cNvPr>
        <xdr:cNvSpPr txBox="1"/>
      </xdr:nvSpPr>
      <xdr:spPr>
        <a:xfrm>
          <a:off x="1224643" y="56932286"/>
          <a:ext cx="593623" cy="451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600" baseline="0">
              <a:solidFill>
                <a:srgbClr val="FF0000"/>
              </a:solidFill>
            </a:rPr>
            <a:t>I</a:t>
          </a:r>
          <a:r>
            <a:rPr lang="de-CH" sz="16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692150</xdr:colOff>
      <xdr:row>111</xdr:row>
      <xdr:rowOff>153982</xdr:rowOff>
    </xdr:from>
    <xdr:to>
      <xdr:col>12</xdr:col>
      <xdr:colOff>711200</xdr:colOff>
      <xdr:row>112</xdr:row>
      <xdr:rowOff>1582</xdr:rowOff>
    </xdr:to>
    <xdr:cxnSp macro="">
      <xdr:nvCxnSpPr>
        <xdr:cNvPr id="313" name="Gerader Verbinder 312">
          <a:extLst>
            <a:ext uri="{FF2B5EF4-FFF2-40B4-BE49-F238E27FC236}">
              <a16:creationId xmlns:a16="http://schemas.microsoft.com/office/drawing/2014/main" id="{19AF9F94-8328-CF17-7274-986CD7DFA080}"/>
            </a:ext>
          </a:extLst>
        </xdr:cNvPr>
        <xdr:cNvCxnSpPr/>
      </xdr:nvCxnSpPr>
      <xdr:spPr>
        <a:xfrm flipH="1" flipV="1">
          <a:off x="1454150" y="23125107"/>
          <a:ext cx="8401050" cy="38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111</xdr:row>
      <xdr:rowOff>114300</xdr:rowOff>
    </xdr:from>
    <xdr:to>
      <xdr:col>6</xdr:col>
      <xdr:colOff>165100</xdr:colOff>
      <xdr:row>112</xdr:row>
      <xdr:rowOff>12701</xdr:rowOff>
    </xdr:to>
    <xdr:sp macro="" textlink="">
      <xdr:nvSpPr>
        <xdr:cNvPr id="314" name="Ellipse 313">
          <a:extLst>
            <a:ext uri="{FF2B5EF4-FFF2-40B4-BE49-F238E27FC236}">
              <a16:creationId xmlns:a16="http://schemas.microsoft.com/office/drawing/2014/main" id="{E6CB9E18-BF70-904C-AEA8-B50E029E19EF}"/>
            </a:ext>
          </a:extLst>
        </xdr:cNvPr>
        <xdr:cNvSpPr/>
      </xdr:nvSpPr>
      <xdr:spPr>
        <a:xfrm>
          <a:off x="4648200" y="23647400"/>
          <a:ext cx="88900" cy="9525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660400</xdr:colOff>
      <xdr:row>111</xdr:row>
      <xdr:rowOff>119743</xdr:rowOff>
    </xdr:from>
    <xdr:to>
      <xdr:col>10</xdr:col>
      <xdr:colOff>749300</xdr:colOff>
      <xdr:row>112</xdr:row>
      <xdr:rowOff>18144</xdr:rowOff>
    </xdr:to>
    <xdr:sp macro="" textlink="">
      <xdr:nvSpPr>
        <xdr:cNvPr id="332" name="Ellipse 331">
          <a:extLst>
            <a:ext uri="{FF2B5EF4-FFF2-40B4-BE49-F238E27FC236}">
              <a16:creationId xmlns:a16="http://schemas.microsoft.com/office/drawing/2014/main" id="{6E3A6A7D-3C60-B4C4-4EB5-AF4B036EA643}"/>
            </a:ext>
          </a:extLst>
        </xdr:cNvPr>
        <xdr:cNvSpPr/>
      </xdr:nvSpPr>
      <xdr:spPr>
        <a:xfrm>
          <a:off x="8280400" y="23563943"/>
          <a:ext cx="88900" cy="943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656771</xdr:colOff>
      <xdr:row>111</xdr:row>
      <xdr:rowOff>152400</xdr:rowOff>
    </xdr:from>
    <xdr:to>
      <xdr:col>12</xdr:col>
      <xdr:colOff>745671</xdr:colOff>
      <xdr:row>112</xdr:row>
      <xdr:rowOff>50801</xdr:rowOff>
    </xdr:to>
    <xdr:sp macro="" textlink="">
      <xdr:nvSpPr>
        <xdr:cNvPr id="333" name="Ellipse 332">
          <a:extLst>
            <a:ext uri="{FF2B5EF4-FFF2-40B4-BE49-F238E27FC236}">
              <a16:creationId xmlns:a16="http://schemas.microsoft.com/office/drawing/2014/main" id="{F189DBA0-5D9A-7849-BB6D-068C6D98CA39}"/>
            </a:ext>
          </a:extLst>
        </xdr:cNvPr>
        <xdr:cNvSpPr/>
      </xdr:nvSpPr>
      <xdr:spPr>
        <a:xfrm>
          <a:off x="9800771" y="23596600"/>
          <a:ext cx="88900" cy="943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330128</xdr:colOff>
      <xdr:row>15</xdr:row>
      <xdr:rowOff>284501</xdr:rowOff>
    </xdr:from>
    <xdr:to>
      <xdr:col>12</xdr:col>
      <xdr:colOff>430020</xdr:colOff>
      <xdr:row>16</xdr:row>
      <xdr:rowOff>74337</xdr:rowOff>
    </xdr:to>
    <xdr:sp macro="" textlink="">
      <xdr:nvSpPr>
        <xdr:cNvPr id="150" name="Ellipse 149">
          <a:extLst>
            <a:ext uri="{FF2B5EF4-FFF2-40B4-BE49-F238E27FC236}">
              <a16:creationId xmlns:a16="http://schemas.microsoft.com/office/drawing/2014/main" id="{DE367366-5C5F-32EF-4C47-3209D4B739F5}"/>
            </a:ext>
          </a:extLst>
        </xdr:cNvPr>
        <xdr:cNvSpPr/>
      </xdr:nvSpPr>
      <xdr:spPr>
        <a:xfrm>
          <a:off x="9474128" y="4164685"/>
          <a:ext cx="99892" cy="9563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13</xdr:col>
      <xdr:colOff>518790</xdr:colOff>
      <xdr:row>15</xdr:row>
      <xdr:rowOff>289515</xdr:rowOff>
    </xdr:from>
    <xdr:to>
      <xdr:col>13</xdr:col>
      <xdr:colOff>612332</xdr:colOff>
      <xdr:row>16</xdr:row>
      <xdr:rowOff>79351</xdr:rowOff>
    </xdr:to>
    <xdr:sp macro="" textlink="">
      <xdr:nvSpPr>
        <xdr:cNvPr id="155" name="Ellipse 154">
          <a:extLst>
            <a:ext uri="{FF2B5EF4-FFF2-40B4-BE49-F238E27FC236}">
              <a16:creationId xmlns:a16="http://schemas.microsoft.com/office/drawing/2014/main" id="{BCCAD656-3D18-00B8-D836-7465A6F38C3C}"/>
            </a:ext>
          </a:extLst>
        </xdr:cNvPr>
        <xdr:cNvSpPr/>
      </xdr:nvSpPr>
      <xdr:spPr>
        <a:xfrm>
          <a:off x="10424790" y="4169699"/>
          <a:ext cx="93542" cy="9563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727441</xdr:colOff>
      <xdr:row>3</xdr:row>
      <xdr:rowOff>172829</xdr:rowOff>
    </xdr:from>
    <xdr:to>
      <xdr:col>6</xdr:col>
      <xdr:colOff>58983</xdr:colOff>
      <xdr:row>4</xdr:row>
      <xdr:rowOff>67768</xdr:rowOff>
    </xdr:to>
    <xdr:sp macro="" textlink="">
      <xdr:nvSpPr>
        <xdr:cNvPr id="293" name="Ellipse 292">
          <a:extLst>
            <a:ext uri="{FF2B5EF4-FFF2-40B4-BE49-F238E27FC236}">
              <a16:creationId xmlns:a16="http://schemas.microsoft.com/office/drawing/2014/main" id="{22CDDD38-3204-8B35-B88C-5D68FC2E3E24}"/>
            </a:ext>
          </a:extLst>
        </xdr:cNvPr>
        <xdr:cNvSpPr/>
      </xdr:nvSpPr>
      <xdr:spPr>
        <a:xfrm>
          <a:off x="4537441" y="901984"/>
          <a:ext cx="93542" cy="9200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730616</xdr:colOff>
      <xdr:row>3</xdr:row>
      <xdr:rowOff>159691</xdr:rowOff>
    </xdr:from>
    <xdr:to>
      <xdr:col>5</xdr:col>
      <xdr:colOff>58983</xdr:colOff>
      <xdr:row>4</xdr:row>
      <xdr:rowOff>51455</xdr:rowOff>
    </xdr:to>
    <xdr:sp macro="" textlink="">
      <xdr:nvSpPr>
        <xdr:cNvPr id="300" name="Ellipse 299">
          <a:extLst>
            <a:ext uri="{FF2B5EF4-FFF2-40B4-BE49-F238E27FC236}">
              <a16:creationId xmlns:a16="http://schemas.microsoft.com/office/drawing/2014/main" id="{200CFCCA-5AE6-05FB-77E4-681D583B78C8}"/>
            </a:ext>
          </a:extLst>
        </xdr:cNvPr>
        <xdr:cNvSpPr/>
      </xdr:nvSpPr>
      <xdr:spPr>
        <a:xfrm>
          <a:off x="3778616" y="888846"/>
          <a:ext cx="90367" cy="8883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742854</xdr:colOff>
      <xdr:row>15</xdr:row>
      <xdr:rowOff>190499</xdr:rowOff>
    </xdr:from>
    <xdr:to>
      <xdr:col>10</xdr:col>
      <xdr:colOff>92075</xdr:colOff>
      <xdr:row>16</xdr:row>
      <xdr:rowOff>62877</xdr:rowOff>
    </xdr:to>
    <xdr:sp macro="" textlink="">
      <xdr:nvSpPr>
        <xdr:cNvPr id="60" name="Ellipse 59">
          <a:extLst>
            <a:ext uri="{FF2B5EF4-FFF2-40B4-BE49-F238E27FC236}">
              <a16:creationId xmlns:a16="http://schemas.microsoft.com/office/drawing/2014/main" id="{91091990-449F-3D28-C293-AD9F70AFD940}"/>
            </a:ext>
          </a:extLst>
        </xdr:cNvPr>
        <xdr:cNvSpPr/>
      </xdr:nvSpPr>
      <xdr:spPr>
        <a:xfrm>
          <a:off x="7600854" y="4435928"/>
          <a:ext cx="111221" cy="7648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709394</xdr:colOff>
      <xdr:row>3</xdr:row>
      <xdr:rowOff>190500</xdr:rowOff>
    </xdr:from>
    <xdr:to>
      <xdr:col>11</xdr:col>
      <xdr:colOff>55440</xdr:colOff>
      <xdr:row>4</xdr:row>
      <xdr:rowOff>66053</xdr:rowOff>
    </xdr:to>
    <xdr:sp macro="" textlink="">
      <xdr:nvSpPr>
        <xdr:cNvPr id="61" name="Ellipse 60">
          <a:extLst>
            <a:ext uri="{FF2B5EF4-FFF2-40B4-BE49-F238E27FC236}">
              <a16:creationId xmlns:a16="http://schemas.microsoft.com/office/drawing/2014/main" id="{E3E8292C-173F-648B-4C70-7E7FF3F7EF5C}"/>
            </a:ext>
          </a:extLst>
        </xdr:cNvPr>
        <xdr:cNvSpPr/>
      </xdr:nvSpPr>
      <xdr:spPr>
        <a:xfrm>
          <a:off x="8329394" y="923192"/>
          <a:ext cx="108046" cy="7338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718039</xdr:colOff>
      <xdr:row>27</xdr:row>
      <xdr:rowOff>417635</xdr:rowOff>
    </xdr:from>
    <xdr:to>
      <xdr:col>13</xdr:col>
      <xdr:colOff>62281</xdr:colOff>
      <xdr:row>28</xdr:row>
      <xdr:rowOff>53606</xdr:rowOff>
    </xdr:to>
    <xdr:sp macro="" textlink="">
      <xdr:nvSpPr>
        <xdr:cNvPr id="301" name="Ellipse 300">
          <a:extLst>
            <a:ext uri="{FF2B5EF4-FFF2-40B4-BE49-F238E27FC236}">
              <a16:creationId xmlns:a16="http://schemas.microsoft.com/office/drawing/2014/main" id="{E909EC2C-3A5B-5642-2406-5EDA22D3E5F4}"/>
            </a:ext>
          </a:extLst>
        </xdr:cNvPr>
        <xdr:cNvSpPr/>
      </xdr:nvSpPr>
      <xdr:spPr>
        <a:xfrm>
          <a:off x="9862039" y="9847385"/>
          <a:ext cx="106242" cy="8291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703385</xdr:colOff>
      <xdr:row>39</xdr:row>
      <xdr:rowOff>131885</xdr:rowOff>
    </xdr:from>
    <xdr:to>
      <xdr:col>5</xdr:col>
      <xdr:colOff>47627</xdr:colOff>
      <xdr:row>39</xdr:row>
      <xdr:rowOff>214798</xdr:rowOff>
    </xdr:to>
    <xdr:sp macro="" textlink="">
      <xdr:nvSpPr>
        <xdr:cNvPr id="302" name="Ellipse 301">
          <a:extLst>
            <a:ext uri="{FF2B5EF4-FFF2-40B4-BE49-F238E27FC236}">
              <a16:creationId xmlns:a16="http://schemas.microsoft.com/office/drawing/2014/main" id="{278BA440-586D-5C8C-ACC1-C4DE6CE926B4}"/>
            </a:ext>
          </a:extLst>
        </xdr:cNvPr>
        <xdr:cNvSpPr/>
      </xdr:nvSpPr>
      <xdr:spPr>
        <a:xfrm>
          <a:off x="3751385" y="14924943"/>
          <a:ext cx="106242" cy="8291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692884</xdr:colOff>
      <xdr:row>39</xdr:row>
      <xdr:rowOff>139212</xdr:rowOff>
    </xdr:from>
    <xdr:to>
      <xdr:col>13</xdr:col>
      <xdr:colOff>43476</xdr:colOff>
      <xdr:row>39</xdr:row>
      <xdr:rowOff>218950</xdr:rowOff>
    </xdr:to>
    <xdr:sp macro="" textlink="">
      <xdr:nvSpPr>
        <xdr:cNvPr id="303" name="Ellipse 302">
          <a:extLst>
            <a:ext uri="{FF2B5EF4-FFF2-40B4-BE49-F238E27FC236}">
              <a16:creationId xmlns:a16="http://schemas.microsoft.com/office/drawing/2014/main" id="{7F2DB4EF-7D64-14AD-3E4B-44469E1BC325}"/>
            </a:ext>
          </a:extLst>
        </xdr:cNvPr>
        <xdr:cNvSpPr/>
      </xdr:nvSpPr>
      <xdr:spPr>
        <a:xfrm>
          <a:off x="9836884" y="14932270"/>
          <a:ext cx="112592" cy="7973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696058</xdr:colOff>
      <xdr:row>39</xdr:row>
      <xdr:rowOff>117231</xdr:rowOff>
    </xdr:from>
    <xdr:to>
      <xdr:col>11</xdr:col>
      <xdr:colOff>43475</xdr:colOff>
      <xdr:row>39</xdr:row>
      <xdr:rowOff>203319</xdr:rowOff>
    </xdr:to>
    <xdr:sp macro="" textlink="">
      <xdr:nvSpPr>
        <xdr:cNvPr id="304" name="Ellipse 303">
          <a:extLst>
            <a:ext uri="{FF2B5EF4-FFF2-40B4-BE49-F238E27FC236}">
              <a16:creationId xmlns:a16="http://schemas.microsoft.com/office/drawing/2014/main" id="{76195015-FDA5-7FE8-56E7-C03FF2AD4DE9}"/>
            </a:ext>
          </a:extLst>
        </xdr:cNvPr>
        <xdr:cNvSpPr/>
      </xdr:nvSpPr>
      <xdr:spPr>
        <a:xfrm>
          <a:off x="8316058" y="14910289"/>
          <a:ext cx="109417" cy="8608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732693</xdr:colOff>
      <xdr:row>39</xdr:row>
      <xdr:rowOff>109904</xdr:rowOff>
    </xdr:from>
    <xdr:to>
      <xdr:col>10</xdr:col>
      <xdr:colOff>80110</xdr:colOff>
      <xdr:row>39</xdr:row>
      <xdr:rowOff>195992</xdr:rowOff>
    </xdr:to>
    <xdr:sp macro="" textlink="">
      <xdr:nvSpPr>
        <xdr:cNvPr id="305" name="Ellipse 304">
          <a:extLst>
            <a:ext uri="{FF2B5EF4-FFF2-40B4-BE49-F238E27FC236}">
              <a16:creationId xmlns:a16="http://schemas.microsoft.com/office/drawing/2014/main" id="{8381E6AD-78CC-BBAD-2F59-403FC5151E14}"/>
            </a:ext>
          </a:extLst>
        </xdr:cNvPr>
        <xdr:cNvSpPr/>
      </xdr:nvSpPr>
      <xdr:spPr>
        <a:xfrm>
          <a:off x="7590693" y="14902962"/>
          <a:ext cx="109417" cy="8608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718039</xdr:colOff>
      <xdr:row>39</xdr:row>
      <xdr:rowOff>117231</xdr:rowOff>
    </xdr:from>
    <xdr:to>
      <xdr:col>6</xdr:col>
      <xdr:colOff>65456</xdr:colOff>
      <xdr:row>39</xdr:row>
      <xdr:rowOff>203319</xdr:rowOff>
    </xdr:to>
    <xdr:sp macro="" textlink="">
      <xdr:nvSpPr>
        <xdr:cNvPr id="306" name="Ellipse 305">
          <a:extLst>
            <a:ext uri="{FF2B5EF4-FFF2-40B4-BE49-F238E27FC236}">
              <a16:creationId xmlns:a16="http://schemas.microsoft.com/office/drawing/2014/main" id="{A99482C0-BF57-B1AC-3C53-5BEF5CD93B7F}"/>
            </a:ext>
          </a:extLst>
        </xdr:cNvPr>
        <xdr:cNvSpPr/>
      </xdr:nvSpPr>
      <xdr:spPr>
        <a:xfrm>
          <a:off x="4528039" y="14910289"/>
          <a:ext cx="109417" cy="8608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D7223-AAE0-4314-8311-2AE59115A6A3}"/>
            </a:ext>
          </a:extLst>
        </xdr:cNvPr>
        <xdr:cNvSpPr/>
      </xdr:nvSpPr>
      <xdr:spPr>
        <a:xfrm rot="10800000">
          <a:off x="559707" y="143329"/>
          <a:ext cx="5832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1358348</xdr:colOff>
      <xdr:row>2</xdr:row>
      <xdr:rowOff>65244</xdr:rowOff>
    </xdr:from>
    <xdr:to>
      <xdr:col>8</xdr:col>
      <xdr:colOff>531105</xdr:colOff>
      <xdr:row>13</xdr:row>
      <xdr:rowOff>115956</xdr:rowOff>
    </xdr:to>
    <xdr:cxnSp macro="">
      <xdr:nvCxnSpPr>
        <xdr:cNvPr id="5" name="Gerader Verbinder 4">
          <a:extLst>
            <a:ext uri="{FF2B5EF4-FFF2-40B4-BE49-F238E27FC236}">
              <a16:creationId xmlns:a16="http://schemas.microsoft.com/office/drawing/2014/main" id="{6A075162-981A-2E77-68B9-B48F7E906F39}"/>
            </a:ext>
          </a:extLst>
        </xdr:cNvPr>
        <xdr:cNvCxnSpPr/>
      </xdr:nvCxnSpPr>
      <xdr:spPr>
        <a:xfrm flipV="1">
          <a:off x="3288196" y="901787"/>
          <a:ext cx="4548170" cy="2055104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550589</xdr:colOff>
      <xdr:row>1</xdr:row>
      <xdr:rowOff>332565</xdr:rowOff>
    </xdr:from>
    <xdr:to>
      <xdr:col>7</xdr:col>
      <xdr:colOff>520653</xdr:colOff>
      <xdr:row>5</xdr:row>
      <xdr:rowOff>128672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ADEBC53F-BC44-6809-F2F1-79521F047BE0}"/>
            </a:ext>
          </a:extLst>
        </xdr:cNvPr>
        <xdr:cNvSpPr/>
      </xdr:nvSpPr>
      <xdr:spPr>
        <a:xfrm rot="20134171">
          <a:off x="4927076" y="838894"/>
          <a:ext cx="1524143" cy="67341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2432593</xdr:colOff>
      <xdr:row>10</xdr:row>
      <xdr:rowOff>30118</xdr:rowOff>
    </xdr:from>
    <xdr:to>
      <xdr:col>5</xdr:col>
      <xdr:colOff>17562</xdr:colOff>
      <xdr:row>16</xdr:row>
      <xdr:rowOff>30119</xdr:rowOff>
    </xdr:to>
    <xdr:sp macro="" textlink="">
      <xdr:nvSpPr>
        <xdr:cNvPr id="12" name="Bogen 11">
          <a:extLst>
            <a:ext uri="{FF2B5EF4-FFF2-40B4-BE49-F238E27FC236}">
              <a16:creationId xmlns:a16="http://schemas.microsoft.com/office/drawing/2014/main" id="{0006415D-5647-0ADB-79D2-8A066439C59E}"/>
            </a:ext>
          </a:extLst>
        </xdr:cNvPr>
        <xdr:cNvSpPr/>
      </xdr:nvSpPr>
      <xdr:spPr>
        <a:xfrm>
          <a:off x="4362441" y="2324401"/>
          <a:ext cx="715795" cy="1093305"/>
        </a:xfrm>
        <a:prstGeom prst="arc">
          <a:avLst>
            <a:gd name="adj1" fmla="val 16200000"/>
            <a:gd name="adj2" fmla="val 595574"/>
          </a:avLst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3</xdr:col>
      <xdr:colOff>2214353</xdr:colOff>
      <xdr:row>10</xdr:row>
      <xdr:rowOff>56668</xdr:rowOff>
    </xdr:from>
    <xdr:ext cx="446597" cy="655885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262B1A52-B42B-BD35-B582-E8126A9ABBFF}"/>
            </a:ext>
          </a:extLst>
        </xdr:cNvPr>
        <xdr:cNvSpPr txBox="1"/>
      </xdr:nvSpPr>
      <xdr:spPr>
        <a:xfrm>
          <a:off x="4144201" y="2350951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6</xdr:col>
      <xdr:colOff>449035</xdr:colOff>
      <xdr:row>4</xdr:row>
      <xdr:rowOff>54428</xdr:rowOff>
    </xdr:from>
    <xdr:to>
      <xdr:col>6</xdr:col>
      <xdr:colOff>462642</xdr:colOff>
      <xdr:row>16</xdr:row>
      <xdr:rowOff>68036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AB142219-0A1D-3F2D-28A5-FFA84C08CF4E}"/>
            </a:ext>
          </a:extLst>
        </xdr:cNvPr>
        <xdr:cNvCxnSpPr/>
      </xdr:nvCxnSpPr>
      <xdr:spPr>
        <a:xfrm flipH="1">
          <a:off x="5361214" y="1251857"/>
          <a:ext cx="13607" cy="2136322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513180</xdr:colOff>
      <xdr:row>4</xdr:row>
      <xdr:rowOff>59941</xdr:rowOff>
    </xdr:from>
    <xdr:to>
      <xdr:col>6</xdr:col>
      <xdr:colOff>483219</xdr:colOff>
      <xdr:row>6</xdr:row>
      <xdr:rowOff>80211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5F08F951-EA5E-E463-A306-20BDBF63CAEA}"/>
            </a:ext>
          </a:extLst>
        </xdr:cNvPr>
        <xdr:cNvCxnSpPr/>
      </xdr:nvCxnSpPr>
      <xdr:spPr>
        <a:xfrm flipH="1">
          <a:off x="4889667" y="1263099"/>
          <a:ext cx="837315" cy="381217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424996</xdr:colOff>
      <xdr:row>7</xdr:row>
      <xdr:rowOff>68750</xdr:rowOff>
    </xdr:from>
    <xdr:ext cx="446597" cy="655885"/>
    <xdr:sp macro="" textlink="">
      <xdr:nvSpPr>
        <xdr:cNvPr id="23" name="Textfeld 22">
          <a:extLst>
            <a:ext uri="{FF2B5EF4-FFF2-40B4-BE49-F238E27FC236}">
              <a16:creationId xmlns:a16="http://schemas.microsoft.com/office/drawing/2014/main" id="{87E53FD8-EB5A-BCD2-7611-21D7BC4B3B34}"/>
            </a:ext>
          </a:extLst>
        </xdr:cNvPr>
        <xdr:cNvSpPr txBox="1"/>
      </xdr:nvSpPr>
      <xdr:spPr>
        <a:xfrm>
          <a:off x="5327864" y="1903566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5</xdr:col>
      <xdr:colOff>825881</xdr:colOff>
      <xdr:row>8</xdr:row>
      <xdr:rowOff>5753</xdr:rowOff>
    </xdr:from>
    <xdr:to>
      <xdr:col>7</xdr:col>
      <xdr:colOff>367344</xdr:colOff>
      <xdr:row>12</xdr:row>
      <xdr:rowOff>21916</xdr:rowOff>
    </xdr:to>
    <xdr:sp macro="" textlink="">
      <xdr:nvSpPr>
        <xdr:cNvPr id="24" name="Bogen 23">
          <a:extLst>
            <a:ext uri="{FF2B5EF4-FFF2-40B4-BE49-F238E27FC236}">
              <a16:creationId xmlns:a16="http://schemas.microsoft.com/office/drawing/2014/main" id="{4C480452-2F73-CFC9-3EDE-63DC4D9E2914}"/>
            </a:ext>
          </a:extLst>
        </xdr:cNvPr>
        <xdr:cNvSpPr/>
      </xdr:nvSpPr>
      <xdr:spPr>
        <a:xfrm rot="5042857">
          <a:off x="5040215" y="1752064"/>
          <a:ext cx="738057" cy="1095542"/>
        </a:xfrm>
        <a:prstGeom prst="arc">
          <a:avLst>
            <a:gd name="adj1" fmla="val 17493114"/>
            <a:gd name="adj2" fmla="val 956737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473076</xdr:colOff>
      <xdr:row>4</xdr:row>
      <xdr:rowOff>63333</xdr:rowOff>
    </xdr:from>
    <xdr:to>
      <xdr:col>7</xdr:col>
      <xdr:colOff>576513</xdr:colOff>
      <xdr:row>14</xdr:row>
      <xdr:rowOff>63333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C143CB27-5BE9-C2CD-CBB0-973A73E210FF}"/>
            </a:ext>
          </a:extLst>
        </xdr:cNvPr>
        <xdr:cNvCxnSpPr/>
      </xdr:nvCxnSpPr>
      <xdr:spPr>
        <a:xfrm>
          <a:off x="5375944" y="1266491"/>
          <a:ext cx="790240" cy="1804737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428171</xdr:colOff>
      <xdr:row>14</xdr:row>
      <xdr:rowOff>50536</xdr:rowOff>
    </xdr:from>
    <xdr:ext cx="590931" cy="655885"/>
    <xdr:sp macro="" textlink="">
      <xdr:nvSpPr>
        <xdr:cNvPr id="25" name="Textfeld 24">
          <a:extLst>
            <a:ext uri="{FF2B5EF4-FFF2-40B4-BE49-F238E27FC236}">
              <a16:creationId xmlns:a16="http://schemas.microsoft.com/office/drawing/2014/main" id="{D9506AED-37E0-C9BF-F13D-8D8ED815AA7C}"/>
            </a:ext>
          </a:extLst>
        </xdr:cNvPr>
        <xdr:cNvSpPr txBox="1"/>
      </xdr:nvSpPr>
      <xdr:spPr>
        <a:xfrm>
          <a:off x="5331039" y="3058431"/>
          <a:ext cx="590931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G</a:t>
          </a:r>
        </a:p>
      </xdr:txBody>
    </xdr:sp>
    <xdr:clientData/>
  </xdr:oneCellAnchor>
  <xdr:oneCellAnchor>
    <xdr:from>
      <xdr:col>7</xdr:col>
      <xdr:colOff>371188</xdr:colOff>
      <xdr:row>9</xdr:row>
      <xdr:rowOff>123896</xdr:rowOff>
    </xdr:from>
    <xdr:ext cx="595419" cy="655885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89E9751F-3065-BFD6-EEEF-2CDECFE2E8DA}"/>
            </a:ext>
          </a:extLst>
        </xdr:cNvPr>
        <xdr:cNvSpPr txBox="1"/>
      </xdr:nvSpPr>
      <xdr:spPr>
        <a:xfrm>
          <a:off x="5960859" y="2229422"/>
          <a:ext cx="59541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N</a:t>
          </a:r>
        </a:p>
      </xdr:txBody>
    </xdr:sp>
    <xdr:clientData/>
  </xdr:oneCellAnchor>
  <xdr:oneCellAnchor>
    <xdr:from>
      <xdr:col>5</xdr:col>
      <xdr:colOff>36425</xdr:colOff>
      <xdr:row>4</xdr:row>
      <xdr:rowOff>83979</xdr:rowOff>
    </xdr:from>
    <xdr:ext cx="588559" cy="655885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A5027D31-7662-64EA-3510-7AABDBF46D5E}"/>
            </a:ext>
          </a:extLst>
        </xdr:cNvPr>
        <xdr:cNvSpPr txBox="1"/>
      </xdr:nvSpPr>
      <xdr:spPr>
        <a:xfrm>
          <a:off x="4417925" y="1284957"/>
          <a:ext cx="58855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H</a:t>
          </a:r>
        </a:p>
      </xdr:txBody>
    </xdr:sp>
    <xdr:clientData/>
  </xdr:oneCellAnchor>
  <xdr:twoCellAnchor>
    <xdr:from>
      <xdr:col>3</xdr:col>
      <xdr:colOff>1391478</xdr:colOff>
      <xdr:row>13</xdr:row>
      <xdr:rowOff>50681</xdr:rowOff>
    </xdr:from>
    <xdr:to>
      <xdr:col>8</xdr:col>
      <xdr:colOff>876897</xdr:colOff>
      <xdr:row>13</xdr:row>
      <xdr:rowOff>115956</xdr:rowOff>
    </xdr:to>
    <xdr:cxnSp macro="">
      <xdr:nvCxnSpPr>
        <xdr:cNvPr id="6" name="Gerader Verbinder 5">
          <a:extLst>
            <a:ext uri="{FF2B5EF4-FFF2-40B4-BE49-F238E27FC236}">
              <a16:creationId xmlns:a16="http://schemas.microsoft.com/office/drawing/2014/main" id="{32AB031B-2CE0-E8ED-5B80-DA5F2264F388}"/>
            </a:ext>
          </a:extLst>
        </xdr:cNvPr>
        <xdr:cNvCxnSpPr/>
      </xdr:nvCxnSpPr>
      <xdr:spPr>
        <a:xfrm flipV="1">
          <a:off x="3321326" y="2891616"/>
          <a:ext cx="4860832" cy="65275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378039</xdr:colOff>
      <xdr:row>1</xdr:row>
      <xdr:rowOff>120720</xdr:rowOff>
    </xdr:from>
    <xdr:ext cx="553485" cy="655885"/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5F9B55E5-B3A3-DC9A-3D2B-6A1AB396F351}"/>
            </a:ext>
          </a:extLst>
        </xdr:cNvPr>
        <xdr:cNvSpPr txBox="1"/>
      </xdr:nvSpPr>
      <xdr:spPr>
        <a:xfrm>
          <a:off x="5621802" y="627049"/>
          <a:ext cx="553485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m</a:t>
          </a:r>
        </a:p>
      </xdr:txBody>
    </xdr:sp>
    <xdr:clientData/>
  </xdr:oneCellAnchor>
  <xdr:twoCellAnchor>
    <xdr:from>
      <xdr:col>6</xdr:col>
      <xdr:colOff>478459</xdr:colOff>
      <xdr:row>1</xdr:row>
      <xdr:rowOff>270151</xdr:rowOff>
    </xdr:from>
    <xdr:to>
      <xdr:col>8</xdr:col>
      <xdr:colOff>193676</xdr:colOff>
      <xdr:row>4</xdr:row>
      <xdr:rowOff>57978</xdr:rowOff>
    </xdr:to>
    <xdr:cxnSp macro="">
      <xdr:nvCxnSpPr>
        <xdr:cNvPr id="29" name="Gerade Verbindung mit Pfeil 28">
          <a:extLst>
            <a:ext uri="{FF2B5EF4-FFF2-40B4-BE49-F238E27FC236}">
              <a16:creationId xmlns:a16="http://schemas.microsoft.com/office/drawing/2014/main" id="{42BB58FC-2ADE-16E3-DC27-A5B8B1C4C2D8}"/>
            </a:ext>
          </a:extLst>
        </xdr:cNvPr>
        <xdr:cNvCxnSpPr/>
      </xdr:nvCxnSpPr>
      <xdr:spPr>
        <a:xfrm flipV="1">
          <a:off x="5729633" y="775390"/>
          <a:ext cx="1090130" cy="483566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661079</xdr:colOff>
      <xdr:row>0</xdr:row>
      <xdr:rowOff>203546</xdr:rowOff>
    </xdr:from>
    <xdr:ext cx="563872" cy="655885"/>
    <xdr:sp macro="" textlink="">
      <xdr:nvSpPr>
        <xdr:cNvPr id="32" name="Textfeld 31">
          <a:extLst>
            <a:ext uri="{FF2B5EF4-FFF2-40B4-BE49-F238E27FC236}">
              <a16:creationId xmlns:a16="http://schemas.microsoft.com/office/drawing/2014/main" id="{78927FB3-5D4A-52C9-1366-9D509B31F04F}"/>
            </a:ext>
          </a:extLst>
        </xdr:cNvPr>
        <xdr:cNvSpPr txBox="1"/>
      </xdr:nvSpPr>
      <xdr:spPr>
        <a:xfrm>
          <a:off x="6599709" y="203546"/>
          <a:ext cx="563872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R</a:t>
          </a:r>
        </a:p>
      </xdr:txBody>
    </xdr:sp>
    <xdr:clientData/>
  </xdr:oneCellAnchor>
  <xdr:twoCellAnchor>
    <xdr:from>
      <xdr:col>10</xdr:col>
      <xdr:colOff>19739</xdr:colOff>
      <xdr:row>6</xdr:row>
      <xdr:rowOff>52870</xdr:rowOff>
    </xdr:from>
    <xdr:to>
      <xdr:col>14</xdr:col>
      <xdr:colOff>965890</xdr:colOff>
      <xdr:row>17</xdr:row>
      <xdr:rowOff>149914</xdr:rowOff>
    </xdr:to>
    <xdr:graphicFrame macro="">
      <xdr:nvGraphicFramePr>
        <xdr:cNvPr id="37" name="Diagramm 36">
          <a:extLst>
            <a:ext uri="{FF2B5EF4-FFF2-40B4-BE49-F238E27FC236}">
              <a16:creationId xmlns:a16="http://schemas.microsoft.com/office/drawing/2014/main" id="{4EF2FF1A-34D0-C3C9-0AAD-C3A436B35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6</xdr:row>
      <xdr:rowOff>177800</xdr:rowOff>
    </xdr:from>
    <xdr:to>
      <xdr:col>10</xdr:col>
      <xdr:colOff>19050</xdr:colOff>
      <xdr:row>7</xdr:row>
      <xdr:rowOff>6350</xdr:rowOff>
    </xdr:to>
    <xdr:cxnSp macro="">
      <xdr:nvCxnSpPr>
        <xdr:cNvPr id="3" name="Gerader Verbinder 2">
          <a:extLst>
            <a:ext uri="{FF2B5EF4-FFF2-40B4-BE49-F238E27FC236}">
              <a16:creationId xmlns:a16="http://schemas.microsoft.com/office/drawing/2014/main" id="{2B4C6D80-4715-3C2D-AE72-DA0A1FC35414}"/>
            </a:ext>
          </a:extLst>
        </xdr:cNvPr>
        <xdr:cNvCxnSpPr/>
      </xdr:nvCxnSpPr>
      <xdr:spPr>
        <a:xfrm>
          <a:off x="3035300" y="1282700"/>
          <a:ext cx="4603750" cy="12700"/>
        </a:xfrm>
        <a:prstGeom prst="line">
          <a:avLst/>
        </a:prstGeom>
        <a:ln w="2222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555625</xdr:colOff>
      <xdr:row>3</xdr:row>
      <xdr:rowOff>95249</xdr:rowOff>
    </xdr:from>
    <xdr:to>
      <xdr:col>7</xdr:col>
      <xdr:colOff>567531</xdr:colOff>
      <xdr:row>5</xdr:row>
      <xdr:rowOff>3968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9C857341-5DA2-2A83-AF5E-C31B9C7C4515}"/>
            </a:ext>
          </a:extLst>
        </xdr:cNvPr>
        <xdr:cNvSpPr/>
      </xdr:nvSpPr>
      <xdr:spPr>
        <a:xfrm rot="21146159">
          <a:off x="5127625" y="642937"/>
          <a:ext cx="773906" cy="273844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758031</xdr:colOff>
      <xdr:row>3</xdr:row>
      <xdr:rowOff>57150</xdr:rowOff>
    </xdr:from>
    <xdr:to>
      <xdr:col>10</xdr:col>
      <xdr:colOff>31750</xdr:colOff>
      <xdr:row>7</xdr:row>
      <xdr:rowOff>0</xdr:rowOff>
    </xdr:to>
    <xdr:cxnSp macro="">
      <xdr:nvCxnSpPr>
        <xdr:cNvPr id="4" name="Gerader Verbinder 3">
          <a:extLst>
            <a:ext uri="{FF2B5EF4-FFF2-40B4-BE49-F238E27FC236}">
              <a16:creationId xmlns:a16="http://schemas.microsoft.com/office/drawing/2014/main" id="{8AA9A06E-94C4-49D2-4ECA-65694E6B89A5}"/>
            </a:ext>
          </a:extLst>
        </xdr:cNvPr>
        <xdr:cNvCxnSpPr/>
      </xdr:nvCxnSpPr>
      <xdr:spPr>
        <a:xfrm flipV="1">
          <a:off x="3044031" y="604838"/>
          <a:ext cx="4607719" cy="673100"/>
        </a:xfrm>
        <a:prstGeom prst="line">
          <a:avLst/>
        </a:prstGeom>
        <a:ln w="2222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198438</xdr:colOff>
      <xdr:row>4</xdr:row>
      <xdr:rowOff>47625</xdr:rowOff>
    </xdr:from>
    <xdr:to>
      <xdr:col>7</xdr:col>
      <xdr:colOff>206375</xdr:colOff>
      <xdr:row>9</xdr:row>
      <xdr:rowOff>35718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966C877C-336F-B0D4-6274-14558E383C4A}"/>
            </a:ext>
          </a:extLst>
        </xdr:cNvPr>
        <xdr:cNvCxnSpPr/>
      </xdr:nvCxnSpPr>
      <xdr:spPr>
        <a:xfrm>
          <a:off x="5532438" y="777875"/>
          <a:ext cx="7937" cy="9009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196273</xdr:colOff>
      <xdr:row>4</xdr:row>
      <xdr:rowOff>25977</xdr:rowOff>
    </xdr:from>
    <xdr:to>
      <xdr:col>7</xdr:col>
      <xdr:colOff>396875</xdr:colOff>
      <xdr:row>9</xdr:row>
      <xdr:rowOff>11905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363CB9E1-CACA-E947-507F-38E8B44F4D90}"/>
            </a:ext>
          </a:extLst>
        </xdr:cNvPr>
        <xdr:cNvCxnSpPr/>
      </xdr:nvCxnSpPr>
      <xdr:spPr>
        <a:xfrm>
          <a:off x="5530273" y="764886"/>
          <a:ext cx="200602" cy="9095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558992</xdr:colOff>
      <xdr:row>4</xdr:row>
      <xdr:rowOff>28864</xdr:rowOff>
    </xdr:from>
    <xdr:to>
      <xdr:col>7</xdr:col>
      <xdr:colOff>207818</xdr:colOff>
      <xdr:row>4</xdr:row>
      <xdr:rowOff>100545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8D3BC4D0-8EAB-E39D-EBF4-4663C84E5E1B}"/>
            </a:ext>
          </a:extLst>
        </xdr:cNvPr>
        <xdr:cNvCxnSpPr>
          <a:endCxn id="7" idx="1"/>
        </xdr:cNvCxnSpPr>
      </xdr:nvCxnSpPr>
      <xdr:spPr>
        <a:xfrm flipH="1">
          <a:off x="5130992" y="767773"/>
          <a:ext cx="410826" cy="716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277092</xdr:colOff>
      <xdr:row>3</xdr:row>
      <xdr:rowOff>11545</xdr:rowOff>
    </xdr:from>
    <xdr:ext cx="297325" cy="264560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49871A34-AF74-83AF-8960-6390ECED1D34}"/>
            </a:ext>
          </a:extLst>
        </xdr:cNvPr>
        <xdr:cNvSpPr txBox="1"/>
      </xdr:nvSpPr>
      <xdr:spPr>
        <a:xfrm>
          <a:off x="5611092" y="565727"/>
          <a:ext cx="2973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m</a:t>
          </a:r>
        </a:p>
      </xdr:txBody>
    </xdr:sp>
    <xdr:clientData/>
  </xdr:oneCellAnchor>
  <xdr:oneCellAnchor>
    <xdr:from>
      <xdr:col>6</xdr:col>
      <xdr:colOff>738910</xdr:colOff>
      <xdr:row>8</xdr:row>
      <xdr:rowOff>57728</xdr:rowOff>
    </xdr:from>
    <xdr:ext cx="308802" cy="264560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76CF922A-D5CD-2F4A-9CFD-F6DB1438CACD}"/>
            </a:ext>
          </a:extLst>
        </xdr:cNvPr>
        <xdr:cNvSpPr txBox="1"/>
      </xdr:nvSpPr>
      <xdr:spPr>
        <a:xfrm>
          <a:off x="5310910" y="1535546"/>
          <a:ext cx="3088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G</a:t>
          </a:r>
        </a:p>
      </xdr:txBody>
    </xdr:sp>
    <xdr:clientData/>
  </xdr:oneCellAnchor>
  <xdr:oneCellAnchor>
    <xdr:from>
      <xdr:col>6</xdr:col>
      <xdr:colOff>502228</xdr:colOff>
      <xdr:row>3</xdr:row>
      <xdr:rowOff>28864</xdr:rowOff>
    </xdr:from>
    <xdr:ext cx="308098" cy="264560"/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3EF053B8-9A75-D11E-EA6F-B069E3B15B59}"/>
            </a:ext>
          </a:extLst>
        </xdr:cNvPr>
        <xdr:cNvSpPr txBox="1"/>
      </xdr:nvSpPr>
      <xdr:spPr>
        <a:xfrm>
          <a:off x="5074228" y="583046"/>
          <a:ext cx="3080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H</a:t>
          </a:r>
        </a:p>
      </xdr:txBody>
    </xdr:sp>
    <xdr:clientData/>
  </xdr:oneCellAnchor>
  <xdr:oneCellAnchor>
    <xdr:from>
      <xdr:col>7</xdr:col>
      <xdr:colOff>369455</xdr:colOff>
      <xdr:row>7</xdr:row>
      <xdr:rowOff>80819</xdr:rowOff>
    </xdr:from>
    <xdr:ext cx="310213" cy="264560"/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7A444783-B347-1179-31C5-8FFE47884D1A}"/>
            </a:ext>
          </a:extLst>
        </xdr:cNvPr>
        <xdr:cNvSpPr txBox="1"/>
      </xdr:nvSpPr>
      <xdr:spPr>
        <a:xfrm>
          <a:off x="5703455" y="1373910"/>
          <a:ext cx="3102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N</a:t>
          </a:r>
        </a:p>
      </xdr:txBody>
    </xdr:sp>
    <xdr:clientData/>
  </xdr:oneCellAnchor>
  <xdr:twoCellAnchor>
    <xdr:from>
      <xdr:col>5</xdr:col>
      <xdr:colOff>666750</xdr:colOff>
      <xdr:row>5</xdr:row>
      <xdr:rowOff>170296</xdr:rowOff>
    </xdr:from>
    <xdr:to>
      <xdr:col>5</xdr:col>
      <xdr:colOff>750455</xdr:colOff>
      <xdr:row>7</xdr:row>
      <xdr:rowOff>181841</xdr:rowOff>
    </xdr:to>
    <xdr:sp macro="" textlink="">
      <xdr:nvSpPr>
        <xdr:cNvPr id="23" name="Bogen 22">
          <a:extLst>
            <a:ext uri="{FF2B5EF4-FFF2-40B4-BE49-F238E27FC236}">
              <a16:creationId xmlns:a16="http://schemas.microsoft.com/office/drawing/2014/main" id="{D4F41540-71BB-A8D8-63F9-107DE7AD76E0}"/>
            </a:ext>
          </a:extLst>
        </xdr:cNvPr>
        <xdr:cNvSpPr/>
      </xdr:nvSpPr>
      <xdr:spPr>
        <a:xfrm>
          <a:off x="4476750" y="1093932"/>
          <a:ext cx="83705" cy="381000"/>
        </a:xfrm>
        <a:prstGeom prst="arc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4041</xdr:colOff>
      <xdr:row>7</xdr:row>
      <xdr:rowOff>100493</xdr:rowOff>
    </xdr:from>
    <xdr:to>
      <xdr:col>7</xdr:col>
      <xdr:colOff>341412</xdr:colOff>
      <xdr:row>8</xdr:row>
      <xdr:rowOff>6942</xdr:rowOff>
    </xdr:to>
    <xdr:sp macro="" textlink="">
      <xdr:nvSpPr>
        <xdr:cNvPr id="24" name="Bogen 23">
          <a:extLst>
            <a:ext uri="{FF2B5EF4-FFF2-40B4-BE49-F238E27FC236}">
              <a16:creationId xmlns:a16="http://schemas.microsoft.com/office/drawing/2014/main" id="{8F56D97C-224B-E45D-F589-1F9AC4818A02}"/>
            </a:ext>
          </a:extLst>
        </xdr:cNvPr>
        <xdr:cNvSpPr/>
      </xdr:nvSpPr>
      <xdr:spPr>
        <a:xfrm rot="4991535">
          <a:off x="5461139" y="1270486"/>
          <a:ext cx="91176" cy="337371"/>
        </a:xfrm>
        <a:prstGeom prst="arc">
          <a:avLst>
            <a:gd name="adj1" fmla="val 16051881"/>
            <a:gd name="adj2" fmla="val 20412555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5</xdr:col>
      <xdr:colOff>447387</xdr:colOff>
      <xdr:row>5</xdr:row>
      <xdr:rowOff>135659</xdr:rowOff>
    </xdr:from>
    <xdr:ext cx="264688" cy="264560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246DCF9F-0578-A8A2-788C-4BE15888B1E5}"/>
            </a:ext>
          </a:extLst>
        </xdr:cNvPr>
        <xdr:cNvSpPr txBox="1"/>
      </xdr:nvSpPr>
      <xdr:spPr>
        <a:xfrm>
          <a:off x="4257387" y="1059295"/>
          <a:ext cx="2646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α</a:t>
          </a:r>
          <a:endParaRPr lang="de-CH" sz="1100"/>
        </a:p>
      </xdr:txBody>
    </xdr:sp>
    <xdr:clientData/>
  </xdr:oneCellAnchor>
  <xdr:oneCellAnchor>
    <xdr:from>
      <xdr:col>7</xdr:col>
      <xdr:colOff>124115</xdr:colOff>
      <xdr:row>6</xdr:row>
      <xdr:rowOff>109681</xdr:rowOff>
    </xdr:from>
    <xdr:ext cx="264688" cy="264560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E951EA93-D8B1-9A82-2628-1CF76B3BDC1B}"/>
            </a:ext>
          </a:extLst>
        </xdr:cNvPr>
        <xdr:cNvSpPr txBox="1"/>
      </xdr:nvSpPr>
      <xdr:spPr>
        <a:xfrm>
          <a:off x="5458115" y="1218045"/>
          <a:ext cx="2646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α</a:t>
          </a:r>
          <a:endParaRPr lang="de-CH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6685E7-DD9D-4FC1-A783-3F913E1DCD0F}"/>
            </a:ext>
          </a:extLst>
        </xdr:cNvPr>
        <xdr:cNvSpPr/>
      </xdr:nvSpPr>
      <xdr:spPr>
        <a:xfrm rot="10800000">
          <a:off x="1055007" y="143329"/>
          <a:ext cx="78014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340179</xdr:colOff>
      <xdr:row>22</xdr:row>
      <xdr:rowOff>2718</xdr:rowOff>
    </xdr:from>
    <xdr:to>
      <xdr:col>15</xdr:col>
      <xdr:colOff>639535</xdr:colOff>
      <xdr:row>65</xdr:row>
      <xdr:rowOff>13606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99A249A-84AD-F7FF-7BDA-CC35D5755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217783</xdr:colOff>
      <xdr:row>0</xdr:row>
      <xdr:rowOff>84713</xdr:rowOff>
    </xdr:from>
    <xdr:to>
      <xdr:col>1</xdr:col>
      <xdr:colOff>483576</xdr:colOff>
      <xdr:row>0</xdr:row>
      <xdr:rowOff>411284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65C605-A779-4B0C-B581-DD8FB8EF71DE}"/>
            </a:ext>
          </a:extLst>
        </xdr:cNvPr>
        <xdr:cNvSpPr/>
      </xdr:nvSpPr>
      <xdr:spPr>
        <a:xfrm rot="10800000">
          <a:off x="217783" y="84713"/>
          <a:ext cx="485601" cy="32657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116500</xdr:colOff>
      <xdr:row>20</xdr:row>
      <xdr:rowOff>1954</xdr:rowOff>
    </xdr:from>
    <xdr:to>
      <xdr:col>8</xdr:col>
      <xdr:colOff>609601</xdr:colOff>
      <xdr:row>37</xdr:row>
      <xdr:rowOff>135549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2B9101F-35D2-0198-F59B-0009C6BE9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52F81A-BC63-406A-A4EA-7EF30F633A1C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5DE7D7-4C50-4CCA-912A-904DFE9D8373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50056-721B-4F9A-9EA1-A278A399BB35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739774</xdr:colOff>
      <xdr:row>14</xdr:row>
      <xdr:rowOff>139700</xdr:rowOff>
    </xdr:from>
    <xdr:to>
      <xdr:col>6</xdr:col>
      <xdr:colOff>501649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97F07-73D1-15B4-87F8-2A3B55E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8</xdr:col>
      <xdr:colOff>598715</xdr:colOff>
      <xdr:row>65</xdr:row>
      <xdr:rowOff>21772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F3D2F2-E6F0-470D-9EC9-4EE547F4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616857</xdr:colOff>
      <xdr:row>1</xdr:row>
      <xdr:rowOff>117929</xdr:rowOff>
    </xdr:from>
    <xdr:to>
      <xdr:col>1</xdr:col>
      <xdr:colOff>544285</xdr:colOff>
      <xdr:row>1</xdr:row>
      <xdr:rowOff>598715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B6FBCA-4115-F363-0C1F-9B2DC4BB546F}"/>
            </a:ext>
          </a:extLst>
        </xdr:cNvPr>
        <xdr:cNvSpPr/>
      </xdr:nvSpPr>
      <xdr:spPr>
        <a:xfrm rot="10800000">
          <a:off x="616857" y="299358"/>
          <a:ext cx="689428" cy="48078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6683-FE2E-404D-B380-566552D5F12F}">
  <sheetPr>
    <tabColor rgb="FFFF0000"/>
  </sheetPr>
  <dimension ref="B2:D17"/>
  <sheetViews>
    <sheetView workbookViewId="0"/>
  </sheetViews>
  <sheetFormatPr baseColWidth="10" defaultRowHeight="14.5" x14ac:dyDescent="0.35"/>
  <cols>
    <col min="2" max="2" width="12.6328125" customWidth="1"/>
    <col min="3" max="3" width="23.26953125" customWidth="1"/>
  </cols>
  <sheetData>
    <row r="2" spans="2:4" ht="21" x14ac:dyDescent="0.5">
      <c r="B2" s="88" t="s">
        <v>106</v>
      </c>
    </row>
    <row r="5" spans="2:4" x14ac:dyDescent="0.35">
      <c r="B5" s="89">
        <v>45695</v>
      </c>
      <c r="C5" s="90" t="s">
        <v>107</v>
      </c>
    </row>
    <row r="6" spans="2:4" x14ac:dyDescent="0.35">
      <c r="B6" s="89">
        <v>45701</v>
      </c>
      <c r="C6" s="90" t="s">
        <v>108</v>
      </c>
    </row>
    <row r="7" spans="2:4" x14ac:dyDescent="0.35">
      <c r="B7" s="89">
        <v>45701</v>
      </c>
      <c r="C7" s="90" t="s">
        <v>109</v>
      </c>
    </row>
    <row r="8" spans="2:4" x14ac:dyDescent="0.35">
      <c r="B8" s="89">
        <v>45701</v>
      </c>
      <c r="C8" s="90" t="s">
        <v>110</v>
      </c>
    </row>
    <row r="9" spans="2:4" x14ac:dyDescent="0.35">
      <c r="B9" s="89">
        <v>45730</v>
      </c>
      <c r="C9" s="90" t="s">
        <v>111</v>
      </c>
      <c r="D9" s="89"/>
    </row>
    <row r="10" spans="2:4" x14ac:dyDescent="0.35">
      <c r="B10" s="89">
        <v>45737</v>
      </c>
      <c r="C10" s="90" t="s">
        <v>129</v>
      </c>
      <c r="D10" s="89"/>
    </row>
    <row r="11" spans="2:4" x14ac:dyDescent="0.35">
      <c r="B11" s="89">
        <v>45750</v>
      </c>
      <c r="C11" s="109" t="s">
        <v>138</v>
      </c>
    </row>
    <row r="12" spans="2:4" x14ac:dyDescent="0.35">
      <c r="B12" s="89">
        <v>45758</v>
      </c>
      <c r="C12" s="90" t="s">
        <v>198</v>
      </c>
    </row>
    <row r="13" spans="2:4" x14ac:dyDescent="0.35">
      <c r="B13" s="89">
        <v>45772</v>
      </c>
      <c r="C13" s="90" t="s">
        <v>352</v>
      </c>
    </row>
    <row r="14" spans="2:4" x14ac:dyDescent="0.35">
      <c r="B14" s="89">
        <v>45823</v>
      </c>
      <c r="C14" s="90" t="s">
        <v>350</v>
      </c>
    </row>
    <row r="15" spans="2:4" x14ac:dyDescent="0.35">
      <c r="B15" s="89">
        <v>45786</v>
      </c>
      <c r="C15" s="90" t="s">
        <v>252</v>
      </c>
    </row>
    <row r="16" spans="2:4" x14ac:dyDescent="0.35">
      <c r="B16" s="89">
        <v>45788</v>
      </c>
      <c r="C16" s="90" t="s">
        <v>331</v>
      </c>
    </row>
    <row r="17" spans="2:3" x14ac:dyDescent="0.35">
      <c r="B17" s="89">
        <v>45799</v>
      </c>
      <c r="C17" s="90" t="s">
        <v>342</v>
      </c>
    </row>
  </sheetData>
  <hyperlinks>
    <hyperlink ref="C5" location="Kinematik_1!A1" display="Kinematik 1" xr:uid="{9BFDC351-688D-4CF1-A81C-1D2AC11060FA}"/>
    <hyperlink ref="C6" location="Kinematik_2!E4" display="Kinematik_2" xr:uid="{0ED973E2-EF1D-49F0-BD37-E2FB8C64272F}"/>
    <hyperlink ref="C7" location="Kinematik_2_Berechnungen!A1" display="Kinematik 2 Berechnungen" xr:uid="{DB60A9A6-3C9B-4444-9F00-AC60502D68B3}"/>
    <hyperlink ref="C8" location="Fourierreihe!A1" display="Fouirierreihe" xr:uid="{CA7D746B-B699-4E02-BE38-0C7F996F76BD}"/>
    <hyperlink ref="C9" location="Flächenberechnungen!A1" display="Flächenberechnungen" xr:uid="{D5743AC9-A34F-4B3C-B139-43A4B498D6F8}"/>
    <hyperlink ref="C10" location="Scheinleistung!A1" display="Scheinleistung" xr:uid="{CAAE3E9B-0504-4F22-BE6A-F3547C6DB238}"/>
    <hyperlink ref="C11" location="'Einheiten umrechnen'!A1" display="Einheiten umrechnen" xr:uid="{63CF0BE5-46CF-4488-897E-89B66FF0D916}"/>
    <hyperlink ref="C12" location="Geburtstagsliste!A1" display="Geburtstagsliste" xr:uid="{951CF648-09E0-4733-A935-D9691C8D79E9}"/>
    <hyperlink ref="C13" location="Vektoren!A1" display="Vektoren" xr:uid="{898F9560-9AB3-43EE-B105-DB9C3B6E61A9}"/>
    <hyperlink ref="C15" location="Schiefeebene!A1" display="Schiefe Ebene" xr:uid="{ED253B79-5E32-4C6D-BC31-035CD76A77DC}"/>
    <hyperlink ref="C16" location="Sinus_Cosinus!A1" display="Sinus/Cosinus/Tangens" xr:uid="{9C72A74A-3681-4E08-BF54-03C3D64D9F80}"/>
    <hyperlink ref="C17" location="'Gemischte Schaltung'!A1" display="Gemischte Schaltungen" xr:uid="{F171CD12-4FA4-4323-8CBC-376135E9CBCD}"/>
    <hyperlink ref="C14" location="Vektor!A1" display="Vektor" xr:uid="{1D9A0842-7145-4C54-B55F-840F1885E41F}"/>
  </hyperlinks>
  <pageMargins left="0.7" right="0.7" top="0.78740157499999996" bottom="0.78740157499999996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17-1A1D-465A-AB11-E83075F9A2A8}">
  <dimension ref="B2:AO45"/>
  <sheetViews>
    <sheetView zoomScale="70" zoomScaleNormal="70" workbookViewId="0"/>
  </sheetViews>
  <sheetFormatPr baseColWidth="10" defaultRowHeight="14.5" x14ac:dyDescent="0.35"/>
  <cols>
    <col min="2" max="2" width="26.90625" customWidth="1"/>
    <col min="8" max="8" width="13.1796875" customWidth="1"/>
    <col min="9" max="9" width="15.453125" customWidth="1"/>
  </cols>
  <sheetData>
    <row r="2" spans="2:14" ht="64.5" customHeight="1" x14ac:dyDescent="0.35"/>
    <row r="3" spans="2:14" x14ac:dyDescent="0.35">
      <c r="B3" t="s">
        <v>5</v>
      </c>
    </row>
    <row r="4" spans="2:14" x14ac:dyDescent="0.35">
      <c r="B4" s="5" t="s">
        <v>2</v>
      </c>
      <c r="C4" s="4">
        <v>1</v>
      </c>
      <c r="D4" s="4">
        <v>2</v>
      </c>
      <c r="E4" s="4">
        <v>3</v>
      </c>
      <c r="F4" s="4">
        <v>4</v>
      </c>
    </row>
    <row r="5" spans="2:14" x14ac:dyDescent="0.35">
      <c r="B5" s="5" t="s">
        <v>4</v>
      </c>
      <c r="C5" s="4">
        <v>10</v>
      </c>
      <c r="D5" s="4">
        <v>19.899999999999999</v>
      </c>
      <c r="E5" s="4">
        <v>30.05</v>
      </c>
      <c r="F5" s="4">
        <v>40.5</v>
      </c>
    </row>
    <row r="7" spans="2:14" x14ac:dyDescent="0.35">
      <c r="B7" t="s">
        <v>6</v>
      </c>
      <c r="C7" s="3">
        <f>C5/C4</f>
        <v>10</v>
      </c>
      <c r="D7" s="3">
        <f>D5/D4</f>
        <v>9.9499999999999993</v>
      </c>
      <c r="E7" s="3">
        <f>E5/E4</f>
        <v>10.016666666666667</v>
      </c>
      <c r="F7" s="3">
        <f>F5/F4</f>
        <v>10.125</v>
      </c>
      <c r="H7" t="s">
        <v>3</v>
      </c>
      <c r="I7" s="3">
        <f>AVERAGE(C7:F7)</f>
        <v>10.022916666666667</v>
      </c>
    </row>
    <row r="8" spans="2:14" x14ac:dyDescent="0.35">
      <c r="B8" t="s">
        <v>7</v>
      </c>
      <c r="C8">
        <f>$I$7*C4</f>
        <v>10.022916666666667</v>
      </c>
      <c r="D8">
        <f>$I$7*D4</f>
        <v>20.045833333333334</v>
      </c>
      <c r="E8">
        <f>$I$7*E4</f>
        <v>30.068750000000001</v>
      </c>
      <c r="F8">
        <f>$I$7*F4</f>
        <v>40.091666666666669</v>
      </c>
    </row>
    <row r="10" spans="2:14" ht="15" thickBot="1" x14ac:dyDescent="0.4"/>
    <row r="11" spans="2:14" ht="26" x14ac:dyDescent="0.6">
      <c r="I11" s="6"/>
      <c r="J11" s="7" t="s">
        <v>9</v>
      </c>
      <c r="K11" s="8"/>
      <c r="L11" s="8"/>
      <c r="M11" s="9" t="s">
        <v>12</v>
      </c>
      <c r="N11" s="10"/>
    </row>
    <row r="12" spans="2:14" x14ac:dyDescent="0.35">
      <c r="I12" s="11"/>
      <c r="N12" s="12"/>
    </row>
    <row r="13" spans="2:14" x14ac:dyDescent="0.35">
      <c r="I13" s="11"/>
      <c r="J13" s="13" t="s">
        <v>10</v>
      </c>
      <c r="K13" s="13" t="s">
        <v>13</v>
      </c>
      <c r="L13" s="2">
        <v>-5</v>
      </c>
      <c r="N13" s="12"/>
    </row>
    <row r="14" spans="2:14" ht="15" thickBot="1" x14ac:dyDescent="0.4">
      <c r="I14" s="14"/>
      <c r="J14" s="15" t="s">
        <v>11</v>
      </c>
      <c r="K14" s="15" t="s">
        <v>14</v>
      </c>
      <c r="L14" s="16">
        <v>10</v>
      </c>
      <c r="M14" s="17"/>
      <c r="N14" s="18"/>
    </row>
    <row r="16" spans="2:14" x14ac:dyDescent="0.35">
      <c r="I16" s="1" t="s">
        <v>16</v>
      </c>
      <c r="J16" s="2">
        <v>0.5</v>
      </c>
    </row>
    <row r="17" spans="9:41" x14ac:dyDescent="0.35">
      <c r="I17" s="1" t="s">
        <v>0</v>
      </c>
      <c r="J17" s="2">
        <v>0</v>
      </c>
      <c r="K17">
        <f>$J$16+J17</f>
        <v>0.5</v>
      </c>
      <c r="L17">
        <f t="shared" ref="L17:AO17" si="0">$J$16+K17</f>
        <v>1</v>
      </c>
      <c r="M17">
        <f t="shared" si="0"/>
        <v>1.5</v>
      </c>
      <c r="N17">
        <f t="shared" si="0"/>
        <v>2</v>
      </c>
      <c r="O17">
        <f t="shared" si="0"/>
        <v>2.5</v>
      </c>
      <c r="P17">
        <f t="shared" si="0"/>
        <v>3</v>
      </c>
      <c r="Q17">
        <f t="shared" si="0"/>
        <v>3.5</v>
      </c>
      <c r="R17">
        <f t="shared" si="0"/>
        <v>4</v>
      </c>
      <c r="S17">
        <f t="shared" si="0"/>
        <v>4.5</v>
      </c>
      <c r="T17">
        <f t="shared" si="0"/>
        <v>5</v>
      </c>
      <c r="U17">
        <f t="shared" si="0"/>
        <v>5.5</v>
      </c>
      <c r="V17">
        <f t="shared" si="0"/>
        <v>6</v>
      </c>
      <c r="W17">
        <f t="shared" si="0"/>
        <v>6.5</v>
      </c>
      <c r="X17">
        <f t="shared" si="0"/>
        <v>7</v>
      </c>
      <c r="Y17">
        <f t="shared" si="0"/>
        <v>7.5</v>
      </c>
      <c r="Z17">
        <f t="shared" si="0"/>
        <v>8</v>
      </c>
      <c r="AA17">
        <f t="shared" si="0"/>
        <v>8.5</v>
      </c>
      <c r="AB17">
        <f t="shared" si="0"/>
        <v>9</v>
      </c>
      <c r="AC17">
        <f t="shared" si="0"/>
        <v>9.5</v>
      </c>
      <c r="AD17">
        <f t="shared" si="0"/>
        <v>10</v>
      </c>
      <c r="AE17">
        <f t="shared" si="0"/>
        <v>10.5</v>
      </c>
      <c r="AF17">
        <f t="shared" si="0"/>
        <v>11</v>
      </c>
      <c r="AG17">
        <f t="shared" si="0"/>
        <v>11.5</v>
      </c>
      <c r="AH17">
        <f t="shared" si="0"/>
        <v>12</v>
      </c>
      <c r="AI17">
        <f t="shared" si="0"/>
        <v>12.5</v>
      </c>
      <c r="AJ17">
        <f t="shared" si="0"/>
        <v>13</v>
      </c>
      <c r="AK17">
        <f t="shared" si="0"/>
        <v>13.5</v>
      </c>
      <c r="AL17">
        <f t="shared" si="0"/>
        <v>14</v>
      </c>
      <c r="AM17">
        <f t="shared" si="0"/>
        <v>14.5</v>
      </c>
      <c r="AN17">
        <f t="shared" si="0"/>
        <v>15</v>
      </c>
      <c r="AO17">
        <f t="shared" si="0"/>
        <v>15.5</v>
      </c>
    </row>
    <row r="18" spans="9:41" x14ac:dyDescent="0.35">
      <c r="I18" s="1" t="s">
        <v>15</v>
      </c>
      <c r="J18">
        <f>$L$13*J17+$L$14</f>
        <v>10</v>
      </c>
      <c r="K18">
        <f t="shared" ref="K18:AO18" si="1">$L$13*K17+$L$14</f>
        <v>7.5</v>
      </c>
      <c r="L18">
        <f t="shared" si="1"/>
        <v>5</v>
      </c>
      <c r="M18">
        <f t="shared" si="1"/>
        <v>2.5</v>
      </c>
      <c r="N18">
        <f t="shared" si="1"/>
        <v>0</v>
      </c>
      <c r="O18">
        <f t="shared" si="1"/>
        <v>-2.5</v>
      </c>
      <c r="P18">
        <f t="shared" si="1"/>
        <v>-5</v>
      </c>
      <c r="Q18">
        <f t="shared" si="1"/>
        <v>-7.5</v>
      </c>
      <c r="R18">
        <f t="shared" si="1"/>
        <v>-10</v>
      </c>
      <c r="S18">
        <f t="shared" si="1"/>
        <v>-12.5</v>
      </c>
      <c r="T18">
        <f t="shared" si="1"/>
        <v>-15</v>
      </c>
      <c r="U18">
        <f t="shared" si="1"/>
        <v>-17.5</v>
      </c>
      <c r="V18">
        <f t="shared" si="1"/>
        <v>-20</v>
      </c>
      <c r="W18">
        <f t="shared" si="1"/>
        <v>-22.5</v>
      </c>
      <c r="X18">
        <f t="shared" si="1"/>
        <v>-25</v>
      </c>
      <c r="Y18">
        <f t="shared" si="1"/>
        <v>-27.5</v>
      </c>
      <c r="Z18">
        <f t="shared" si="1"/>
        <v>-30</v>
      </c>
      <c r="AA18">
        <f t="shared" si="1"/>
        <v>-32.5</v>
      </c>
      <c r="AB18">
        <f t="shared" si="1"/>
        <v>-35</v>
      </c>
      <c r="AC18">
        <f t="shared" si="1"/>
        <v>-37.5</v>
      </c>
      <c r="AD18">
        <f t="shared" si="1"/>
        <v>-40</v>
      </c>
      <c r="AE18">
        <f t="shared" si="1"/>
        <v>-42.5</v>
      </c>
      <c r="AF18">
        <f t="shared" si="1"/>
        <v>-45</v>
      </c>
      <c r="AG18">
        <f t="shared" si="1"/>
        <v>-47.5</v>
      </c>
      <c r="AH18">
        <f t="shared" si="1"/>
        <v>-50</v>
      </c>
      <c r="AI18">
        <f t="shared" si="1"/>
        <v>-52.5</v>
      </c>
      <c r="AJ18">
        <f t="shared" si="1"/>
        <v>-55</v>
      </c>
      <c r="AK18">
        <f t="shared" si="1"/>
        <v>-57.5</v>
      </c>
      <c r="AL18">
        <f t="shared" si="1"/>
        <v>-60</v>
      </c>
      <c r="AM18">
        <f t="shared" si="1"/>
        <v>-62.5</v>
      </c>
      <c r="AN18">
        <f t="shared" si="1"/>
        <v>-65</v>
      </c>
      <c r="AO18">
        <f t="shared" si="1"/>
        <v>-67.5</v>
      </c>
    </row>
    <row r="40" spans="2:25" x14ac:dyDescent="0.35">
      <c r="E40" s="2">
        <v>0.1</v>
      </c>
    </row>
    <row r="41" spans="2:25" x14ac:dyDescent="0.35">
      <c r="C41" t="s">
        <v>17</v>
      </c>
      <c r="E41" s="2">
        <v>0</v>
      </c>
      <c r="F41">
        <f>E41+$E$40</f>
        <v>0.1</v>
      </c>
      <c r="G41">
        <f t="shared" ref="G41:Y41" si="2">F41+$E$40</f>
        <v>0.2</v>
      </c>
      <c r="H41">
        <f t="shared" si="2"/>
        <v>0.30000000000000004</v>
      </c>
      <c r="I41">
        <f t="shared" si="2"/>
        <v>0.4</v>
      </c>
      <c r="J41">
        <f t="shared" si="2"/>
        <v>0.5</v>
      </c>
      <c r="K41">
        <f t="shared" si="2"/>
        <v>0.6</v>
      </c>
      <c r="L41">
        <f t="shared" si="2"/>
        <v>0.7</v>
      </c>
      <c r="M41">
        <f t="shared" si="2"/>
        <v>0.79999999999999993</v>
      </c>
      <c r="N41">
        <f t="shared" si="2"/>
        <v>0.89999999999999991</v>
      </c>
      <c r="O41">
        <f t="shared" si="2"/>
        <v>0.99999999999999989</v>
      </c>
      <c r="P41">
        <f t="shared" si="2"/>
        <v>1.0999999999999999</v>
      </c>
      <c r="Q41">
        <f t="shared" si="2"/>
        <v>1.2</v>
      </c>
      <c r="R41">
        <f t="shared" si="2"/>
        <v>1.3</v>
      </c>
      <c r="S41">
        <f t="shared" si="2"/>
        <v>1.4000000000000001</v>
      </c>
      <c r="T41">
        <f t="shared" si="2"/>
        <v>1.5000000000000002</v>
      </c>
      <c r="U41">
        <f t="shared" si="2"/>
        <v>1.6000000000000003</v>
      </c>
      <c r="V41">
        <f t="shared" si="2"/>
        <v>1.7000000000000004</v>
      </c>
      <c r="W41">
        <f t="shared" si="2"/>
        <v>1.8000000000000005</v>
      </c>
      <c r="X41">
        <f t="shared" si="2"/>
        <v>1.9000000000000006</v>
      </c>
      <c r="Y41">
        <f t="shared" si="2"/>
        <v>2.0000000000000004</v>
      </c>
    </row>
    <row r="42" spans="2:25" ht="16.5" x14ac:dyDescent="0.45">
      <c r="B42" s="1" t="s">
        <v>18</v>
      </c>
      <c r="C42" t="s">
        <v>19</v>
      </c>
      <c r="D42" s="2">
        <v>35</v>
      </c>
      <c r="E42">
        <f>$D$42*E41</f>
        <v>0</v>
      </c>
      <c r="F42">
        <f t="shared" ref="F42:Y42" si="3">$D$42*F41</f>
        <v>3.5</v>
      </c>
      <c r="G42">
        <f t="shared" si="3"/>
        <v>7</v>
      </c>
      <c r="H42">
        <f t="shared" si="3"/>
        <v>10.500000000000002</v>
      </c>
      <c r="I42">
        <f t="shared" si="3"/>
        <v>14</v>
      </c>
      <c r="J42">
        <f t="shared" si="3"/>
        <v>17.5</v>
      </c>
      <c r="K42">
        <f t="shared" si="3"/>
        <v>21</v>
      </c>
      <c r="L42">
        <f t="shared" si="3"/>
        <v>24.5</v>
      </c>
      <c r="M42">
        <f t="shared" si="3"/>
        <v>27.999999999999996</v>
      </c>
      <c r="N42">
        <f t="shared" si="3"/>
        <v>31.499999999999996</v>
      </c>
      <c r="O42">
        <f t="shared" si="3"/>
        <v>34.999999999999993</v>
      </c>
      <c r="P42">
        <f t="shared" si="3"/>
        <v>38.499999999999993</v>
      </c>
      <c r="Q42">
        <f t="shared" si="3"/>
        <v>42</v>
      </c>
      <c r="R42">
        <f t="shared" si="3"/>
        <v>45.5</v>
      </c>
      <c r="S42">
        <f t="shared" si="3"/>
        <v>49.000000000000007</v>
      </c>
      <c r="T42">
        <f t="shared" si="3"/>
        <v>52.500000000000007</v>
      </c>
      <c r="U42">
        <f t="shared" si="3"/>
        <v>56.000000000000014</v>
      </c>
      <c r="V42">
        <f t="shared" si="3"/>
        <v>59.500000000000014</v>
      </c>
      <c r="W42">
        <f t="shared" si="3"/>
        <v>63.000000000000014</v>
      </c>
      <c r="X42">
        <f t="shared" si="3"/>
        <v>66.500000000000014</v>
      </c>
      <c r="Y42">
        <f t="shared" si="3"/>
        <v>70.000000000000014</v>
      </c>
    </row>
    <row r="44" spans="2:25" ht="16.5" x14ac:dyDescent="0.45">
      <c r="B44" s="1" t="s">
        <v>21</v>
      </c>
      <c r="C44" t="s">
        <v>20</v>
      </c>
      <c r="D44" s="2">
        <v>-20</v>
      </c>
      <c r="E44">
        <f>$D$44*E41+$D$45</f>
        <v>100</v>
      </c>
      <c r="F44">
        <f t="shared" ref="F44:Y44" si="4">$D$44*F41+$D$45</f>
        <v>98</v>
      </c>
      <c r="G44">
        <f t="shared" si="4"/>
        <v>96</v>
      </c>
      <c r="H44">
        <f t="shared" si="4"/>
        <v>94</v>
      </c>
      <c r="I44">
        <f t="shared" si="4"/>
        <v>92</v>
      </c>
      <c r="J44">
        <f t="shared" si="4"/>
        <v>90</v>
      </c>
      <c r="K44">
        <f t="shared" si="4"/>
        <v>88</v>
      </c>
      <c r="L44">
        <f t="shared" si="4"/>
        <v>86</v>
      </c>
      <c r="M44">
        <f t="shared" si="4"/>
        <v>84</v>
      </c>
      <c r="N44">
        <f t="shared" si="4"/>
        <v>82</v>
      </c>
      <c r="O44">
        <f t="shared" si="4"/>
        <v>80</v>
      </c>
      <c r="P44">
        <f t="shared" si="4"/>
        <v>78</v>
      </c>
      <c r="Q44">
        <f t="shared" si="4"/>
        <v>76</v>
      </c>
      <c r="R44">
        <f t="shared" si="4"/>
        <v>74</v>
      </c>
      <c r="S44">
        <f t="shared" si="4"/>
        <v>72</v>
      </c>
      <c r="T44">
        <f t="shared" si="4"/>
        <v>70</v>
      </c>
      <c r="U44">
        <f t="shared" si="4"/>
        <v>68</v>
      </c>
      <c r="V44">
        <f t="shared" si="4"/>
        <v>66</v>
      </c>
      <c r="W44">
        <f t="shared" si="4"/>
        <v>63.999999999999993</v>
      </c>
      <c r="X44">
        <f t="shared" si="4"/>
        <v>61.999999999999986</v>
      </c>
      <c r="Y44">
        <f t="shared" si="4"/>
        <v>59.999999999999993</v>
      </c>
    </row>
    <row r="45" spans="2:25" x14ac:dyDescent="0.35">
      <c r="C45" t="s">
        <v>22</v>
      </c>
      <c r="D45" s="2">
        <v>100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4B65-9415-4C8E-AE7F-C0B8FA4247A3}">
  <dimension ref="B2:AA11"/>
  <sheetViews>
    <sheetView showGridLines="0" zoomScale="55" zoomScaleNormal="55" workbookViewId="0">
      <selection activeCell="E4" sqref="E4"/>
    </sheetView>
  </sheetViews>
  <sheetFormatPr baseColWidth="10" defaultRowHeight="14.5" x14ac:dyDescent="0.35"/>
  <cols>
    <col min="4" max="4" width="17.54296875" customWidth="1"/>
    <col min="7" max="7" width="14" customWidth="1"/>
  </cols>
  <sheetData>
    <row r="2" spans="2:27" ht="24" thickBot="1" x14ac:dyDescent="0.6">
      <c r="B2" s="22" t="s">
        <v>36</v>
      </c>
      <c r="M2" s="5" t="s">
        <v>32</v>
      </c>
      <c r="N2" s="5"/>
      <c r="P2" s="5" t="s">
        <v>30</v>
      </c>
      <c r="Q2" s="5"/>
      <c r="S2" s="5" t="s">
        <v>31</v>
      </c>
      <c r="T2" s="5"/>
      <c r="W2" s="5" t="s">
        <v>33</v>
      </c>
      <c r="X2" s="5"/>
      <c r="Z2" s="5" t="s">
        <v>34</v>
      </c>
      <c r="AA2" s="5"/>
    </row>
    <row r="3" spans="2:27" ht="20" customHeight="1" thickBot="1" x14ac:dyDescent="0.6">
      <c r="B3" s="22"/>
      <c r="J3" s="20" t="s">
        <v>35</v>
      </c>
      <c r="K3" s="21">
        <v>7</v>
      </c>
      <c r="M3" s="5">
        <f>K3</f>
        <v>7</v>
      </c>
      <c r="N3" s="5">
        <f>M3</f>
        <v>7</v>
      </c>
      <c r="P3" s="5">
        <v>0</v>
      </c>
      <c r="Q3" s="5">
        <f>K3</f>
        <v>7</v>
      </c>
      <c r="S3" s="5">
        <v>0</v>
      </c>
      <c r="T3" s="5">
        <f>N3</f>
        <v>7</v>
      </c>
      <c r="W3" s="5">
        <f>Q3</f>
        <v>7</v>
      </c>
      <c r="X3" s="5">
        <f>W3</f>
        <v>7</v>
      </c>
      <c r="Z3" s="5">
        <v>0</v>
      </c>
      <c r="AA3" s="5">
        <f>X3</f>
        <v>7</v>
      </c>
    </row>
    <row r="4" spans="2:27" ht="15.5" customHeight="1" x14ac:dyDescent="0.55000000000000004">
      <c r="B4" s="22"/>
      <c r="C4" s="254" t="s">
        <v>26</v>
      </c>
      <c r="D4" s="255"/>
      <c r="E4" s="23">
        <v>2</v>
      </c>
      <c r="F4" s="24" t="s">
        <v>25</v>
      </c>
      <c r="M4" s="5">
        <v>0</v>
      </c>
      <c r="N4" s="5">
        <f>E4*K3+E5</f>
        <v>24</v>
      </c>
      <c r="P4" s="5">
        <f>E5</f>
        <v>10</v>
      </c>
      <c r="Q4" s="5">
        <f>E5</f>
        <v>10</v>
      </c>
      <c r="S4" s="5">
        <f>N4</f>
        <v>24</v>
      </c>
      <c r="T4" s="5">
        <f>S4</f>
        <v>24</v>
      </c>
      <c r="W4" s="5">
        <v>0</v>
      </c>
      <c r="X4" s="5">
        <f>$E$4/2 * $K$3^2 + $E$5*$K$3</f>
        <v>119</v>
      </c>
      <c r="Z4" s="5">
        <f>X4</f>
        <v>119</v>
      </c>
      <c r="AA4" s="5">
        <f>$E$4/2 * $K$3^2 + $E$5*$K$3</f>
        <v>119</v>
      </c>
    </row>
    <row r="5" spans="2:27" ht="15.5" customHeight="1" thickBot="1" x14ac:dyDescent="0.6">
      <c r="B5" s="22"/>
      <c r="C5" s="256" t="s">
        <v>27</v>
      </c>
      <c r="D5" s="257"/>
      <c r="E5" s="25">
        <v>10</v>
      </c>
      <c r="F5" s="26" t="s">
        <v>28</v>
      </c>
    </row>
    <row r="6" spans="2:27" ht="15.5" customHeight="1" x14ac:dyDescent="0.35"/>
    <row r="7" spans="2:27" ht="15.5" customHeight="1" x14ac:dyDescent="0.35"/>
    <row r="8" spans="2:27" ht="15.5" customHeight="1" x14ac:dyDescent="0.35">
      <c r="C8" s="252" t="s">
        <v>1</v>
      </c>
      <c r="D8" s="253"/>
      <c r="E8" s="4"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2:27" x14ac:dyDescent="0.35">
      <c r="C9" s="250" t="s">
        <v>24</v>
      </c>
      <c r="D9" s="250"/>
      <c r="E9" s="4">
        <v>0</v>
      </c>
      <c r="F9" s="27">
        <f>E9+$E$8</f>
        <v>1</v>
      </c>
      <c r="G9" s="27">
        <f t="shared" ref="G9:Y9" si="0">F9+$E$8</f>
        <v>2</v>
      </c>
      <c r="H9" s="27">
        <f t="shared" si="0"/>
        <v>3</v>
      </c>
      <c r="I9" s="27">
        <f t="shared" si="0"/>
        <v>4</v>
      </c>
      <c r="J9" s="27">
        <f t="shared" si="0"/>
        <v>5</v>
      </c>
      <c r="K9" s="27">
        <f t="shared" si="0"/>
        <v>6</v>
      </c>
      <c r="L9" s="27">
        <f t="shared" si="0"/>
        <v>7</v>
      </c>
      <c r="M9" s="27">
        <f t="shared" si="0"/>
        <v>8</v>
      </c>
      <c r="N9" s="27">
        <f t="shared" si="0"/>
        <v>9</v>
      </c>
      <c r="O9" s="27">
        <f t="shared" si="0"/>
        <v>10</v>
      </c>
      <c r="P9" s="27">
        <f t="shared" si="0"/>
        <v>11</v>
      </c>
      <c r="Q9" s="27">
        <f t="shared" si="0"/>
        <v>12</v>
      </c>
      <c r="R9" s="27">
        <f t="shared" si="0"/>
        <v>13</v>
      </c>
      <c r="S9" s="27">
        <f t="shared" si="0"/>
        <v>14</v>
      </c>
      <c r="T9" s="27">
        <f t="shared" si="0"/>
        <v>15</v>
      </c>
      <c r="U9" s="27">
        <f t="shared" si="0"/>
        <v>16</v>
      </c>
      <c r="V9" s="27">
        <f t="shared" si="0"/>
        <v>17</v>
      </c>
      <c r="W9" s="27">
        <f t="shared" si="0"/>
        <v>18</v>
      </c>
      <c r="X9" s="27">
        <f>W9+$E$8</f>
        <v>19</v>
      </c>
      <c r="Y9" s="27">
        <f t="shared" si="0"/>
        <v>20</v>
      </c>
      <c r="Z9" s="27">
        <f>Y9+$E$8</f>
        <v>21</v>
      </c>
      <c r="AA9" s="27">
        <f>Z9+$E$8</f>
        <v>22</v>
      </c>
    </row>
    <row r="10" spans="2:27" x14ac:dyDescent="0.35">
      <c r="C10" s="251" t="s">
        <v>29</v>
      </c>
      <c r="D10" s="251"/>
      <c r="E10" s="5">
        <f t="shared" ref="E10:Y10" si="1">$E$4*E9+$E$5</f>
        <v>10</v>
      </c>
      <c r="F10" s="5">
        <f t="shared" si="1"/>
        <v>12</v>
      </c>
      <c r="G10" s="5">
        <f t="shared" si="1"/>
        <v>14</v>
      </c>
      <c r="H10" s="5">
        <f t="shared" si="1"/>
        <v>16</v>
      </c>
      <c r="I10" s="5">
        <f t="shared" si="1"/>
        <v>18</v>
      </c>
      <c r="J10" s="5">
        <f t="shared" si="1"/>
        <v>20</v>
      </c>
      <c r="K10" s="5">
        <f t="shared" si="1"/>
        <v>22</v>
      </c>
      <c r="L10" s="5">
        <f t="shared" si="1"/>
        <v>24</v>
      </c>
      <c r="M10" s="5">
        <f t="shared" si="1"/>
        <v>26</v>
      </c>
      <c r="N10" s="5">
        <f t="shared" si="1"/>
        <v>28</v>
      </c>
      <c r="O10" s="5">
        <f t="shared" si="1"/>
        <v>30</v>
      </c>
      <c r="P10" s="5">
        <f t="shared" si="1"/>
        <v>32</v>
      </c>
      <c r="Q10" s="5">
        <f t="shared" si="1"/>
        <v>34</v>
      </c>
      <c r="R10" s="5">
        <f t="shared" si="1"/>
        <v>36</v>
      </c>
      <c r="S10" s="5">
        <f t="shared" si="1"/>
        <v>38</v>
      </c>
      <c r="T10" s="5">
        <f t="shared" si="1"/>
        <v>40</v>
      </c>
      <c r="U10" s="5">
        <f t="shared" si="1"/>
        <v>42</v>
      </c>
      <c r="V10" s="5">
        <f t="shared" si="1"/>
        <v>44</v>
      </c>
      <c r="W10" s="5">
        <f t="shared" si="1"/>
        <v>46</v>
      </c>
      <c r="X10" s="5">
        <f t="shared" si="1"/>
        <v>48</v>
      </c>
      <c r="Y10" s="5">
        <f t="shared" si="1"/>
        <v>50</v>
      </c>
      <c r="Z10" s="5">
        <f>$E$4*Z9+$E$5</f>
        <v>52</v>
      </c>
      <c r="AA10" s="5">
        <f>$E$4*AA9+$E$5</f>
        <v>54</v>
      </c>
    </row>
    <row r="11" spans="2:27" ht="16.5" x14ac:dyDescent="0.35">
      <c r="C11" s="251" t="s">
        <v>56</v>
      </c>
      <c r="D11" s="251"/>
      <c r="E11" s="5">
        <f t="shared" ref="E11:Y11" si="2">$E$4/2 * E9^2 + $E$5*E9</f>
        <v>0</v>
      </c>
      <c r="F11" s="5">
        <f t="shared" si="2"/>
        <v>11</v>
      </c>
      <c r="G11" s="5">
        <f t="shared" si="2"/>
        <v>24</v>
      </c>
      <c r="H11" s="5">
        <f t="shared" si="2"/>
        <v>39</v>
      </c>
      <c r="I11" s="5">
        <f t="shared" si="2"/>
        <v>56</v>
      </c>
      <c r="J11" s="5">
        <f t="shared" si="2"/>
        <v>75</v>
      </c>
      <c r="K11" s="5">
        <f t="shared" si="2"/>
        <v>96</v>
      </c>
      <c r="L11" s="5">
        <f t="shared" si="2"/>
        <v>119</v>
      </c>
      <c r="M11" s="5">
        <f t="shared" si="2"/>
        <v>144</v>
      </c>
      <c r="N11" s="5">
        <f t="shared" si="2"/>
        <v>171</v>
      </c>
      <c r="O11" s="5">
        <f t="shared" si="2"/>
        <v>200</v>
      </c>
      <c r="P11" s="5">
        <f t="shared" si="2"/>
        <v>231</v>
      </c>
      <c r="Q11" s="5">
        <f t="shared" si="2"/>
        <v>264</v>
      </c>
      <c r="R11" s="5">
        <f t="shared" si="2"/>
        <v>299</v>
      </c>
      <c r="S11" s="5">
        <f t="shared" si="2"/>
        <v>336</v>
      </c>
      <c r="T11" s="5">
        <f t="shared" si="2"/>
        <v>375</v>
      </c>
      <c r="U11" s="5">
        <f t="shared" si="2"/>
        <v>416</v>
      </c>
      <c r="V11" s="5">
        <f t="shared" si="2"/>
        <v>459</v>
      </c>
      <c r="W11" s="5">
        <f t="shared" si="2"/>
        <v>504</v>
      </c>
      <c r="X11" s="5">
        <f t="shared" si="2"/>
        <v>551</v>
      </c>
      <c r="Y11" s="5">
        <f t="shared" si="2"/>
        <v>600</v>
      </c>
      <c r="Z11" s="5">
        <f>$E$4/2 * Z9^2 + $E$5*Z9</f>
        <v>651</v>
      </c>
      <c r="AA11" s="5">
        <f>$E$4/2 * AA9^2 + $E$5*AA9</f>
        <v>704</v>
      </c>
    </row>
  </sheetData>
  <mergeCells count="6">
    <mergeCell ref="C9:D9"/>
    <mergeCell ref="C10:D10"/>
    <mergeCell ref="C11:D11"/>
    <mergeCell ref="C8:D8"/>
    <mergeCell ref="C4:D4"/>
    <mergeCell ref="C5:D5"/>
  </mergeCells>
  <pageMargins left="0.7" right="0.7" top="0.78740157499999996" bottom="0.78740157499999996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7A4D-486D-4722-8BC0-28E89D3D0FE7}">
  <sheetPr>
    <pageSetUpPr fitToPage="1"/>
  </sheetPr>
  <dimension ref="A2:S19"/>
  <sheetViews>
    <sheetView zoomScale="55" zoomScaleNormal="55" workbookViewId="0">
      <selection activeCell="E11" sqref="E11:F11"/>
    </sheetView>
  </sheetViews>
  <sheetFormatPr baseColWidth="10" defaultRowHeight="14.5" x14ac:dyDescent="0.35"/>
  <cols>
    <col min="3" max="3" width="23" customWidth="1"/>
    <col min="4" max="4" width="13" customWidth="1"/>
    <col min="5" max="5" width="23" customWidth="1"/>
    <col min="6" max="6" width="13" customWidth="1"/>
    <col min="7" max="7" width="23" customWidth="1"/>
    <col min="8" max="8" width="13" customWidth="1"/>
    <col min="9" max="9" width="26.1796875" customWidth="1"/>
    <col min="10" max="10" width="13" customWidth="1"/>
    <col min="11" max="11" width="23" customWidth="1"/>
    <col min="12" max="12" width="13" customWidth="1"/>
    <col min="14" max="14" width="15.54296875" customWidth="1"/>
    <col min="15" max="15" width="35.1796875" customWidth="1"/>
    <col min="18" max="18" width="5.6328125" customWidth="1"/>
  </cols>
  <sheetData>
    <row r="2" spans="1:19" ht="23.5" x14ac:dyDescent="0.55000000000000004">
      <c r="B2" s="22" t="s">
        <v>23</v>
      </c>
    </row>
    <row r="3" spans="1:19" x14ac:dyDescent="0.35">
      <c r="Q3" t="s">
        <v>104</v>
      </c>
    </row>
    <row r="4" spans="1:19" x14ac:dyDescent="0.35">
      <c r="J4" t="s">
        <v>55</v>
      </c>
      <c r="K4" t="s">
        <v>54</v>
      </c>
      <c r="Q4" s="85" t="s">
        <v>105</v>
      </c>
    </row>
    <row r="5" spans="1:19" ht="15" thickBot="1" x14ac:dyDescent="0.4"/>
    <row r="6" spans="1:19" ht="29" customHeight="1" thickBot="1" x14ac:dyDescent="0.4">
      <c r="C6" s="266" t="str">
        <f>$O$8</f>
        <v>Anfangs-Geschwindigkeit</v>
      </c>
      <c r="D6" s="267"/>
      <c r="E6" s="270" t="str">
        <f>$O$9</f>
        <v>Geschwindigkeit</v>
      </c>
      <c r="F6" s="267"/>
      <c r="G6" s="270" t="str">
        <f>$O$10</f>
        <v>Strecke</v>
      </c>
      <c r="H6" s="267"/>
      <c r="I6" s="270" t="str">
        <f>$O$11</f>
        <v>Zeit</v>
      </c>
      <c r="J6" s="267"/>
      <c r="K6" s="270" t="str">
        <f>$O$12</f>
        <v>Beschleunigung</v>
      </c>
      <c r="L6" s="271"/>
    </row>
    <row r="7" spans="1:19" ht="15" thickBot="1" x14ac:dyDescent="0.4">
      <c r="B7" s="28" t="s">
        <v>43</v>
      </c>
      <c r="C7" s="268" t="str">
        <f>$P$8</f>
        <v>v0 [m/s]</v>
      </c>
      <c r="D7" s="269"/>
      <c r="E7" s="272" t="str">
        <f>$P$9</f>
        <v>v [m/s]</v>
      </c>
      <c r="F7" s="269"/>
      <c r="G7" s="272" t="str">
        <f>$P$10</f>
        <v>s [m]</v>
      </c>
      <c r="H7" s="269"/>
      <c r="I7" s="272" t="str">
        <f>$P$11</f>
        <v>t [s]</v>
      </c>
      <c r="J7" s="269"/>
      <c r="K7" s="272" t="str">
        <f>$P$12</f>
        <v>a [m/s2]</v>
      </c>
      <c r="L7" s="273"/>
      <c r="O7" s="80"/>
      <c r="S7" s="63"/>
    </row>
    <row r="8" spans="1:19" s="34" customFormat="1" ht="38" customHeight="1" x14ac:dyDescent="0.35">
      <c r="A8" s="34">
        <v>28</v>
      </c>
      <c r="B8" s="36" t="s">
        <v>44</v>
      </c>
      <c r="C8" s="35" t="s">
        <v>64</v>
      </c>
      <c r="D8" s="29">
        <f>(G8-(K8/2)*I8^2)/I8</f>
        <v>10</v>
      </c>
      <c r="E8" s="29" t="s">
        <v>82</v>
      </c>
      <c r="F8" s="29">
        <f xml:space="preserve"> G8/I8 + K8*I8/2</f>
        <v>24</v>
      </c>
      <c r="G8" s="274">
        <v>119</v>
      </c>
      <c r="H8" s="279"/>
      <c r="I8" s="274">
        <v>7</v>
      </c>
      <c r="J8" s="279"/>
      <c r="K8" s="274">
        <v>2</v>
      </c>
      <c r="L8" s="275"/>
      <c r="N8" s="86" t="s">
        <v>104</v>
      </c>
      <c r="O8" s="80" t="s">
        <v>94</v>
      </c>
      <c r="P8" s="80" t="s">
        <v>95</v>
      </c>
      <c r="Q8" s="52">
        <f>IF(N8=$Q$3,1,0)</f>
        <v>1</v>
      </c>
      <c r="R8" s="52"/>
      <c r="S8" s="52"/>
    </row>
    <row r="9" spans="1:19" ht="38" customHeight="1" x14ac:dyDescent="0.35">
      <c r="A9">
        <v>26</v>
      </c>
      <c r="B9" s="30" t="s">
        <v>45</v>
      </c>
      <c r="C9" s="76" t="s">
        <v>57</v>
      </c>
      <c r="D9" s="31">
        <f>E9-K9*I9</f>
        <v>10</v>
      </c>
      <c r="E9" s="276">
        <v>24</v>
      </c>
      <c r="F9" s="280"/>
      <c r="G9" s="31" t="s">
        <v>83</v>
      </c>
      <c r="H9" s="31">
        <f>E9*I9 - K9*I9^2/2</f>
        <v>119</v>
      </c>
      <c r="I9" s="276">
        <v>7</v>
      </c>
      <c r="J9" s="280"/>
      <c r="K9" s="276">
        <v>2</v>
      </c>
      <c r="L9" s="277"/>
      <c r="N9" s="86" t="s">
        <v>104</v>
      </c>
      <c r="O9" s="80" t="s">
        <v>37</v>
      </c>
      <c r="P9" s="80" t="s">
        <v>41</v>
      </c>
      <c r="Q9" s="52">
        <f>IF(N9=$Q$3,2,0)</f>
        <v>2</v>
      </c>
      <c r="R9" s="52"/>
      <c r="S9" s="74"/>
    </row>
    <row r="10" spans="1:19" ht="38" customHeight="1" x14ac:dyDescent="0.35">
      <c r="A10">
        <v>22</v>
      </c>
      <c r="B10" s="30" t="s">
        <v>46</v>
      </c>
      <c r="C10" s="77" t="s">
        <v>86</v>
      </c>
      <c r="D10" s="31">
        <f>SQRT(E10^2 - 2*K10*G10)</f>
        <v>10</v>
      </c>
      <c r="E10" s="276">
        <v>24</v>
      </c>
      <c r="F10" s="280"/>
      <c r="G10" s="276">
        <v>119</v>
      </c>
      <c r="H10" s="280"/>
      <c r="I10" s="31" t="s">
        <v>84</v>
      </c>
      <c r="J10" s="31">
        <f>(E10 - SQRT(E10^2 - 2*K10*G10))/K10</f>
        <v>7</v>
      </c>
      <c r="K10" s="276">
        <v>2</v>
      </c>
      <c r="L10" s="277"/>
      <c r="N10" s="86" t="s">
        <v>104</v>
      </c>
      <c r="O10" s="80" t="s">
        <v>38</v>
      </c>
      <c r="P10" s="80" t="s">
        <v>42</v>
      </c>
      <c r="Q10" s="52">
        <f>IF(N10=$Q$3,4,0)</f>
        <v>4</v>
      </c>
      <c r="R10" s="74"/>
      <c r="S10" s="74"/>
    </row>
    <row r="11" spans="1:19" ht="38" customHeight="1" x14ac:dyDescent="0.35">
      <c r="A11">
        <v>14</v>
      </c>
      <c r="B11" s="30" t="s">
        <v>47</v>
      </c>
      <c r="C11" s="77" t="s">
        <v>87</v>
      </c>
      <c r="D11" s="31">
        <f>2*G11/I11 - E11</f>
        <v>10</v>
      </c>
      <c r="E11" s="276">
        <v>24</v>
      </c>
      <c r="F11" s="280"/>
      <c r="G11" s="276">
        <v>119</v>
      </c>
      <c r="H11" s="280"/>
      <c r="I11" s="276">
        <v>7</v>
      </c>
      <c r="J11" s="280"/>
      <c r="K11" s="31" t="s">
        <v>85</v>
      </c>
      <c r="L11" s="45">
        <f xml:space="preserve"> 2/I11 * (E11 - G11/I11)</f>
        <v>2</v>
      </c>
      <c r="N11" s="86" t="s">
        <v>105</v>
      </c>
      <c r="O11" s="80" t="s">
        <v>39</v>
      </c>
      <c r="P11" s="80" t="s">
        <v>24</v>
      </c>
      <c r="Q11" s="52">
        <f>IF(N11=$Q$3,8,0)</f>
        <v>0</v>
      </c>
      <c r="R11" s="74"/>
      <c r="S11" s="74"/>
    </row>
    <row r="12" spans="1:19" s="34" customFormat="1" ht="38" customHeight="1" x14ac:dyDescent="0.35">
      <c r="A12" s="34">
        <v>25</v>
      </c>
      <c r="B12" s="30" t="s">
        <v>48</v>
      </c>
      <c r="C12" s="282">
        <v>10</v>
      </c>
      <c r="D12" s="280"/>
      <c r="E12" s="32" t="s">
        <v>60</v>
      </c>
      <c r="F12" s="31">
        <f>K12*I12+C12</f>
        <v>24</v>
      </c>
      <c r="G12" s="33" t="s">
        <v>63</v>
      </c>
      <c r="H12" s="31">
        <f>K12/2 * I12^2 + C12*I12</f>
        <v>119</v>
      </c>
      <c r="I12" s="276">
        <v>7</v>
      </c>
      <c r="J12" s="280"/>
      <c r="K12" s="276">
        <v>2</v>
      </c>
      <c r="L12" s="277"/>
      <c r="N12" s="86" t="s">
        <v>105</v>
      </c>
      <c r="O12" s="80" t="s">
        <v>40</v>
      </c>
      <c r="P12" s="80" t="s">
        <v>65</v>
      </c>
      <c r="Q12" s="52">
        <f>IF(N12=$Q$3,16,0)</f>
        <v>0</v>
      </c>
      <c r="R12" s="74"/>
      <c r="S12" s="52">
        <f>SUM(Q8:Q12)</f>
        <v>7</v>
      </c>
    </row>
    <row r="13" spans="1:19" ht="38" customHeight="1" x14ac:dyDescent="0.35">
      <c r="A13">
        <v>21</v>
      </c>
      <c r="B13" s="30" t="s">
        <v>50</v>
      </c>
      <c r="C13" s="282">
        <v>10</v>
      </c>
      <c r="D13" s="280"/>
      <c r="E13" s="31" t="s">
        <v>88</v>
      </c>
      <c r="F13" s="31">
        <f>SQRT(C13^2 + 2*K13*G13)</f>
        <v>24</v>
      </c>
      <c r="G13" s="276">
        <v>119</v>
      </c>
      <c r="H13" s="280"/>
      <c r="I13" s="37" t="s">
        <v>62</v>
      </c>
      <c r="J13" s="31">
        <f xml:space="preserve"> (-C13 + SQRT(C13^2 + 2*K13*G13))/K13</f>
        <v>7</v>
      </c>
      <c r="K13" s="278">
        <v>2</v>
      </c>
      <c r="L13" s="277"/>
      <c r="O13" s="80" t="s">
        <v>97</v>
      </c>
      <c r="P13" s="81" t="s">
        <v>103</v>
      </c>
    </row>
    <row r="14" spans="1:19" ht="38" customHeight="1" x14ac:dyDescent="0.35">
      <c r="A14">
        <v>13</v>
      </c>
      <c r="B14" s="30" t="s">
        <v>49</v>
      </c>
      <c r="C14" s="282">
        <v>10</v>
      </c>
      <c r="D14" s="280"/>
      <c r="E14" s="31" t="s">
        <v>89</v>
      </c>
      <c r="F14" s="31">
        <f>2*G14/I14 - C14</f>
        <v>24</v>
      </c>
      <c r="G14" s="276">
        <v>119</v>
      </c>
      <c r="H14" s="280"/>
      <c r="I14" s="276">
        <v>7</v>
      </c>
      <c r="J14" s="281"/>
      <c r="K14" s="87" t="s">
        <v>61</v>
      </c>
      <c r="L14" s="45">
        <f>2*((G14-C14*I14)/I14^2)</f>
        <v>2</v>
      </c>
      <c r="O14" s="80" t="s">
        <v>98</v>
      </c>
      <c r="P14" s="81" t="s">
        <v>102</v>
      </c>
    </row>
    <row r="15" spans="1:19" ht="38" customHeight="1" x14ac:dyDescent="0.35">
      <c r="A15">
        <v>19</v>
      </c>
      <c r="B15" s="30" t="s">
        <v>51</v>
      </c>
      <c r="C15" s="282">
        <v>10</v>
      </c>
      <c r="D15" s="280"/>
      <c r="E15" s="276">
        <v>24</v>
      </c>
      <c r="F15" s="280"/>
      <c r="G15" s="31" t="s">
        <v>90</v>
      </c>
      <c r="H15" s="31">
        <f>(E15^2 - C15^2)/(2*K15)</f>
        <v>119</v>
      </c>
      <c r="I15" s="78" t="s">
        <v>59</v>
      </c>
      <c r="J15" s="31">
        <f>(E15-C15)/K15</f>
        <v>7</v>
      </c>
      <c r="K15" s="276">
        <v>2</v>
      </c>
      <c r="L15" s="277"/>
      <c r="O15" s="80" t="s">
        <v>99</v>
      </c>
      <c r="P15" s="81" t="s">
        <v>100</v>
      </c>
    </row>
    <row r="16" spans="1:19" ht="38" customHeight="1" x14ac:dyDescent="0.35">
      <c r="A16">
        <v>11</v>
      </c>
      <c r="B16" s="30" t="s">
        <v>52</v>
      </c>
      <c r="C16" s="282">
        <v>10</v>
      </c>
      <c r="D16" s="280"/>
      <c r="E16" s="276">
        <v>24</v>
      </c>
      <c r="F16" s="280"/>
      <c r="G16" s="31" t="s">
        <v>91</v>
      </c>
      <c r="H16" s="31">
        <f>(C16+E16)*I16/2</f>
        <v>119</v>
      </c>
      <c r="I16" s="276">
        <v>7</v>
      </c>
      <c r="J16" s="280"/>
      <c r="K16" s="78" t="s">
        <v>58</v>
      </c>
      <c r="L16" s="45">
        <f>(E16-C16)/I16</f>
        <v>2</v>
      </c>
      <c r="O16" s="80" t="s">
        <v>39</v>
      </c>
      <c r="P16" s="81" t="s">
        <v>24</v>
      </c>
    </row>
    <row r="17" spans="1:16" ht="38" customHeight="1" thickBot="1" x14ac:dyDescent="0.4">
      <c r="A17">
        <v>7</v>
      </c>
      <c r="B17" s="79" t="s">
        <v>53</v>
      </c>
      <c r="C17" s="284">
        <v>10</v>
      </c>
      <c r="D17" s="283"/>
      <c r="E17" s="278">
        <v>24</v>
      </c>
      <c r="F17" s="283"/>
      <c r="G17" s="278">
        <v>119</v>
      </c>
      <c r="H17" s="283"/>
      <c r="I17" s="83" t="s">
        <v>92</v>
      </c>
      <c r="J17" s="83">
        <f>2*G17/(C17+E17)</f>
        <v>7</v>
      </c>
      <c r="K17" s="83" t="s">
        <v>93</v>
      </c>
      <c r="L17" s="84">
        <f>(E17^2 - C17^2)/(2*G17)</f>
        <v>2</v>
      </c>
      <c r="O17" s="80" t="s">
        <v>96</v>
      </c>
      <c r="P17" s="81" t="s">
        <v>101</v>
      </c>
    </row>
    <row r="18" spans="1:16" ht="15" thickBot="1" x14ac:dyDescent="0.4">
      <c r="B18" s="82" t="s">
        <v>43</v>
      </c>
      <c r="C18" s="262" t="str">
        <f>P13</f>
        <v>ω0 [rad/s]</v>
      </c>
      <c r="D18" s="263"/>
      <c r="E18" s="264" t="str">
        <f>P14</f>
        <v>ω [rad/s]</v>
      </c>
      <c r="F18" s="263"/>
      <c r="G18" s="264" t="str">
        <f>P15</f>
        <v>φ [rad]</v>
      </c>
      <c r="H18" s="263"/>
      <c r="I18" s="264" t="str">
        <f>P16</f>
        <v>t [s]</v>
      </c>
      <c r="J18" s="263"/>
      <c r="K18" s="264" t="str">
        <f>P17</f>
        <v>α [rad/s2]</v>
      </c>
      <c r="L18" s="265"/>
    </row>
    <row r="19" spans="1:16" ht="29" customHeight="1" thickBot="1" x14ac:dyDescent="0.4">
      <c r="C19" s="258" t="str">
        <f>O13</f>
        <v>Anfangs-Winkelgeschwindigkeit</v>
      </c>
      <c r="D19" s="259"/>
      <c r="E19" s="260" t="str">
        <f>O14</f>
        <v>Winkelgeschwindigkeit</v>
      </c>
      <c r="F19" s="259"/>
      <c r="G19" s="260" t="str">
        <f>O15</f>
        <v>Winkel</v>
      </c>
      <c r="H19" s="259"/>
      <c r="I19" s="260" t="str">
        <f>O16</f>
        <v>Zeit</v>
      </c>
      <c r="J19" s="259"/>
      <c r="K19" s="260" t="str">
        <f>O17</f>
        <v>Winkelbeschleunigung</v>
      </c>
      <c r="L19" s="261"/>
    </row>
  </sheetData>
  <mergeCells count="50">
    <mergeCell ref="G17:H17"/>
    <mergeCell ref="E16:F16"/>
    <mergeCell ref="E17:F17"/>
    <mergeCell ref="C17:D17"/>
    <mergeCell ref="I16:J16"/>
    <mergeCell ref="G8:H8"/>
    <mergeCell ref="G10:H10"/>
    <mergeCell ref="G11:H11"/>
    <mergeCell ref="G13:H13"/>
    <mergeCell ref="G14:H14"/>
    <mergeCell ref="C12:D12"/>
    <mergeCell ref="C13:D13"/>
    <mergeCell ref="C14:D14"/>
    <mergeCell ref="C15:D15"/>
    <mergeCell ref="C16:D16"/>
    <mergeCell ref="E9:F9"/>
    <mergeCell ref="E10:F10"/>
    <mergeCell ref="E11:F11"/>
    <mergeCell ref="E15:F15"/>
    <mergeCell ref="K15:L15"/>
    <mergeCell ref="I8:J8"/>
    <mergeCell ref="I9:J9"/>
    <mergeCell ref="I11:J11"/>
    <mergeCell ref="I12:J12"/>
    <mergeCell ref="I14:J14"/>
    <mergeCell ref="K8:L8"/>
    <mergeCell ref="K9:L9"/>
    <mergeCell ref="K10:L10"/>
    <mergeCell ref="K12:L12"/>
    <mergeCell ref="K13:L13"/>
    <mergeCell ref="C6:D6"/>
    <mergeCell ref="C7:D7"/>
    <mergeCell ref="K6:L6"/>
    <mergeCell ref="K7:L7"/>
    <mergeCell ref="I6:J6"/>
    <mergeCell ref="I7:J7"/>
    <mergeCell ref="G6:H6"/>
    <mergeCell ref="G7:H7"/>
    <mergeCell ref="E6:F6"/>
    <mergeCell ref="E7:F7"/>
    <mergeCell ref="C18:D18"/>
    <mergeCell ref="E18:F18"/>
    <mergeCell ref="G18:H18"/>
    <mergeCell ref="I18:J18"/>
    <mergeCell ref="K18:L18"/>
    <mergeCell ref="C19:D19"/>
    <mergeCell ref="E19:F19"/>
    <mergeCell ref="G19:H19"/>
    <mergeCell ref="I19:J19"/>
    <mergeCell ref="K19:L19"/>
  </mergeCells>
  <dataValidations count="2">
    <dataValidation type="list" allowBlank="1" showInputMessage="1" showErrorMessage="1" sqref="E24" xr:uid="{F0227B52-6C3F-4B29-A45C-B261C0C0E4F1}">
      <formula1>$C$7:$L$7</formula1>
    </dataValidation>
    <dataValidation type="list" allowBlank="1" showInputMessage="1" showErrorMessage="1" sqref="N8:N12" xr:uid="{DCF60D17-7633-456A-A407-CB000447DE9C}">
      <formula1>$Q$3:$Q$4</formula1>
    </dataValidation>
  </dataValidations>
  <pageMargins left="0.7" right="0.7" top="0.78740157499999996" bottom="0.78740157499999996" header="0.3" footer="0.3"/>
  <pageSetup scale="40" orientation="landscape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8C6A7-D9CA-45C9-B9AD-2FD5B66265AC}">
  <sheetPr>
    <pageSetUpPr fitToPage="1"/>
  </sheetPr>
  <dimension ref="C1:AY21"/>
  <sheetViews>
    <sheetView showGridLines="0" zoomScale="40" zoomScaleNormal="40" workbookViewId="0"/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68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MAX(K14:K20)</f>
        <v>0.33333333333333331</v>
      </c>
      <c r="U5" s="5"/>
      <c r="V5" s="5"/>
      <c r="W5" s="5">
        <f>K12</f>
        <v>270</v>
      </c>
      <c r="X5" s="5">
        <f>W5</f>
        <v>270</v>
      </c>
    </row>
    <row r="6" spans="3:51" x14ac:dyDescent="0.35">
      <c r="R6" s="5"/>
      <c r="S6" s="19" t="s">
        <v>79</v>
      </c>
      <c r="T6" s="55">
        <f>MIN(K14:K20)</f>
        <v>-1</v>
      </c>
      <c r="U6" s="5"/>
      <c r="V6" s="5"/>
      <c r="W6" s="5">
        <v>0</v>
      </c>
      <c r="X6" s="5">
        <f>T7</f>
        <v>-1</v>
      </c>
    </row>
    <row r="7" spans="3:51" x14ac:dyDescent="0.35">
      <c r="R7" s="251" t="s">
        <v>81</v>
      </c>
      <c r="S7" s="251"/>
      <c r="T7" s="5">
        <f>IF(ABS(T5)&gt;ABS(T6),T5,T6)</f>
        <v>-1</v>
      </c>
      <c r="U7" s="5"/>
      <c r="V7" s="5"/>
      <c r="W7" s="5"/>
      <c r="X7" s="5"/>
      <c r="AI7" s="5" t="s">
        <v>72</v>
      </c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285"/>
      <c r="D11" s="285"/>
      <c r="E11" s="285"/>
      <c r="F11" s="285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286" t="s">
        <v>67</v>
      </c>
      <c r="D12" s="286"/>
      <c r="E12" s="286"/>
      <c r="F12" s="286"/>
      <c r="G12" s="47"/>
      <c r="H12" s="47"/>
      <c r="J12" s="57" t="s">
        <v>70</v>
      </c>
      <c r="K12" s="38">
        <v>270</v>
      </c>
      <c r="L12" s="287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>PI()*K12/180</f>
        <v>4.7123889803846897</v>
      </c>
      <c r="L13" s="288"/>
      <c r="M13" s="64">
        <f>PI()*M12/180</f>
        <v>0</v>
      </c>
      <c r="N13" s="64">
        <f t="shared" ref="N13:AY13" si="1">PI()*N12/180</f>
        <v>0.26179938779914941</v>
      </c>
      <c r="O13" s="64">
        <f t="shared" si="1"/>
        <v>0.52359877559829882</v>
      </c>
      <c r="P13" s="64">
        <f t="shared" si="1"/>
        <v>0.78539816339744828</v>
      </c>
      <c r="Q13" s="64">
        <f t="shared" si="1"/>
        <v>1.0471975511965976</v>
      </c>
      <c r="R13" s="64">
        <f t="shared" si="1"/>
        <v>1.3089969389957472</v>
      </c>
      <c r="S13" s="64">
        <f t="shared" si="1"/>
        <v>1.5707963267948966</v>
      </c>
      <c r="T13" s="64">
        <f t="shared" si="1"/>
        <v>1.8325957145940461</v>
      </c>
      <c r="U13" s="64">
        <f t="shared" si="1"/>
        <v>2.0943951023931953</v>
      </c>
      <c r="V13" s="64">
        <f t="shared" si="1"/>
        <v>2.3561944901923448</v>
      </c>
      <c r="W13" s="64">
        <f t="shared" si="1"/>
        <v>2.6179938779914944</v>
      </c>
      <c r="X13" s="64">
        <f t="shared" si="1"/>
        <v>2.8797932657906435</v>
      </c>
      <c r="Y13" s="64">
        <f t="shared" si="1"/>
        <v>3.1415926535897931</v>
      </c>
      <c r="Z13" s="64">
        <f t="shared" si="1"/>
        <v>3.4033920413889422</v>
      </c>
      <c r="AA13" s="64">
        <f t="shared" si="1"/>
        <v>3.6651914291880923</v>
      </c>
      <c r="AB13" s="64">
        <f t="shared" si="1"/>
        <v>3.9269908169872414</v>
      </c>
      <c r="AC13" s="64">
        <f t="shared" si="1"/>
        <v>4.1887902047863905</v>
      </c>
      <c r="AD13" s="64">
        <f t="shared" si="1"/>
        <v>4.4505895925855405</v>
      </c>
      <c r="AE13" s="64">
        <f t="shared" si="1"/>
        <v>4.7123889803846897</v>
      </c>
      <c r="AF13" s="64">
        <f t="shared" si="1"/>
        <v>4.9741883681838397</v>
      </c>
      <c r="AG13" s="64">
        <f t="shared" si="1"/>
        <v>5.2359877559829888</v>
      </c>
      <c r="AH13" s="64">
        <f t="shared" si="1"/>
        <v>5.497787143782138</v>
      </c>
      <c r="AI13" s="64">
        <f t="shared" si="1"/>
        <v>5.7595865315812871</v>
      </c>
      <c r="AJ13" s="64">
        <f t="shared" si="1"/>
        <v>6.0213859193804371</v>
      </c>
      <c r="AK13" s="64">
        <f t="shared" si="1"/>
        <v>6.2831853071795862</v>
      </c>
      <c r="AL13" s="64">
        <f t="shared" si="1"/>
        <v>6.5449846949787354</v>
      </c>
      <c r="AM13" s="64">
        <f t="shared" si="1"/>
        <v>6.8067840827778845</v>
      </c>
      <c r="AN13" s="64">
        <f t="shared" si="1"/>
        <v>7.0685834705770336</v>
      </c>
      <c r="AO13" s="64">
        <f t="shared" si="1"/>
        <v>7.3303828583761845</v>
      </c>
      <c r="AP13" s="64">
        <f t="shared" si="1"/>
        <v>7.5921822461753337</v>
      </c>
      <c r="AQ13" s="64">
        <f t="shared" si="1"/>
        <v>7.8539816339744828</v>
      </c>
      <c r="AR13" s="64">
        <f t="shared" si="1"/>
        <v>8.1157810217736319</v>
      </c>
      <c r="AS13" s="64">
        <f t="shared" si="1"/>
        <v>8.3775804095727811</v>
      </c>
      <c r="AT13" s="64">
        <f t="shared" si="1"/>
        <v>8.639379797371932</v>
      </c>
      <c r="AU13" s="64">
        <f t="shared" si="1"/>
        <v>8.9011791851710811</v>
      </c>
      <c r="AV13" s="64">
        <f t="shared" si="1"/>
        <v>9.1629785729702302</v>
      </c>
      <c r="AW13" s="64">
        <f t="shared" si="1"/>
        <v>9.4247779607693793</v>
      </c>
      <c r="AX13" s="64">
        <f t="shared" si="1"/>
        <v>9.6865773485685303</v>
      </c>
      <c r="AY13" s="64">
        <f t="shared" si="1"/>
        <v>9.9483767363676794</v>
      </c>
    </row>
    <row r="14" spans="3:51" x14ac:dyDescent="0.35">
      <c r="C14" s="42">
        <v>1</v>
      </c>
      <c r="D14" s="42">
        <v>1</v>
      </c>
      <c r="E14" s="42">
        <v>0</v>
      </c>
      <c r="F14" s="73">
        <f>PI()*E14/180</f>
        <v>0</v>
      </c>
      <c r="G14" s="56"/>
      <c r="H14" s="56"/>
      <c r="J14" s="58" t="str">
        <f>_xlfn.CONCAT("y0 = ",IF(C14&lt;&gt;1,_xlfn.CONCAT(ROUND(C14,2)," *"),"")," sin(",IF(D14&lt;&gt;1,_xlfn.CONCAT(ROUND(D14,2),"*"),""),"x ",IF(F14&lt;&gt;0,_xlfn.CONCAT(" + ",ROUND(F14,2),""),""),") = ")</f>
        <v xml:space="preserve">y0 =  sin(x ) = </v>
      </c>
      <c r="K14" s="66">
        <f>IF($L$14=$AI$7,$C$14*SIN($D$14*K13 + $F$14),"")</f>
        <v>-1</v>
      </c>
      <c r="L14" s="48" t="s">
        <v>72</v>
      </c>
      <c r="M14" s="54">
        <f>IF($L$14=$AI$7,$C$14*SIN($D$14*M13 + $F$14),"")</f>
        <v>0</v>
      </c>
      <c r="N14" s="54">
        <f t="shared" ref="N14:AY14" si="2">IF($L$14=$AI$7,$C$14*SIN($D$14*N13 + $F$14),"")</f>
        <v>0.25881904510252074</v>
      </c>
      <c r="O14" s="54">
        <f t="shared" si="2"/>
        <v>0.49999999999999994</v>
      </c>
      <c r="P14" s="54">
        <f t="shared" si="2"/>
        <v>0.70710678118654746</v>
      </c>
      <c r="Q14" s="54">
        <f t="shared" si="2"/>
        <v>0.8660254037844386</v>
      </c>
      <c r="R14" s="54">
        <f t="shared" si="2"/>
        <v>0.96592582628906831</v>
      </c>
      <c r="S14" s="54">
        <f t="shared" si="2"/>
        <v>1</v>
      </c>
      <c r="T14" s="54">
        <f t="shared" si="2"/>
        <v>0.96592582628906831</v>
      </c>
      <c r="U14" s="54">
        <f t="shared" si="2"/>
        <v>0.86602540378443871</v>
      </c>
      <c r="V14" s="54">
        <f t="shared" si="2"/>
        <v>0.70710678118654757</v>
      </c>
      <c r="W14" s="54">
        <f t="shared" si="2"/>
        <v>0.49999999999999994</v>
      </c>
      <c r="X14" s="54">
        <f t="shared" si="2"/>
        <v>0.25881904510252102</v>
      </c>
      <c r="Y14" s="54">
        <f t="shared" si="2"/>
        <v>1.22514845490862E-16</v>
      </c>
      <c r="Z14" s="54">
        <f t="shared" si="2"/>
        <v>-0.25881904510252035</v>
      </c>
      <c r="AA14" s="54">
        <f t="shared" si="2"/>
        <v>-0.50000000000000011</v>
      </c>
      <c r="AB14" s="54">
        <f t="shared" si="2"/>
        <v>-0.70710678118654746</v>
      </c>
      <c r="AC14" s="54">
        <f t="shared" si="2"/>
        <v>-0.86602540378443837</v>
      </c>
      <c r="AD14" s="54">
        <f t="shared" si="2"/>
        <v>-0.96592582628906831</v>
      </c>
      <c r="AE14" s="54">
        <f t="shared" si="2"/>
        <v>-1</v>
      </c>
      <c r="AF14" s="54">
        <f t="shared" si="2"/>
        <v>-0.9659258262890682</v>
      </c>
      <c r="AG14" s="54">
        <f t="shared" si="2"/>
        <v>-0.8660254037844386</v>
      </c>
      <c r="AH14" s="54">
        <f t="shared" si="2"/>
        <v>-0.70710678118654768</v>
      </c>
      <c r="AI14" s="54">
        <f t="shared" si="2"/>
        <v>-0.50000000000000044</v>
      </c>
      <c r="AJ14" s="54">
        <f t="shared" si="2"/>
        <v>-0.25881904510252068</v>
      </c>
      <c r="AK14" s="54">
        <f t="shared" si="2"/>
        <v>-2.45029690981724E-16</v>
      </c>
      <c r="AL14" s="54">
        <f t="shared" si="2"/>
        <v>0.25881904510252024</v>
      </c>
      <c r="AM14" s="54">
        <f t="shared" si="2"/>
        <v>0.49999999999999928</v>
      </c>
      <c r="AN14" s="54">
        <f t="shared" si="2"/>
        <v>0.70710678118654668</v>
      </c>
      <c r="AO14" s="54">
        <f t="shared" si="2"/>
        <v>0.86602540378443882</v>
      </c>
      <c r="AP14" s="54">
        <f t="shared" si="2"/>
        <v>0.96592582628906831</v>
      </c>
      <c r="AQ14" s="54">
        <f t="shared" si="2"/>
        <v>1</v>
      </c>
      <c r="AR14" s="54">
        <f t="shared" si="2"/>
        <v>0.96592582628906842</v>
      </c>
      <c r="AS14" s="54">
        <f t="shared" si="2"/>
        <v>0.86602540378443915</v>
      </c>
      <c r="AT14" s="54">
        <f t="shared" si="2"/>
        <v>0.70710678118654713</v>
      </c>
      <c r="AU14" s="54">
        <f t="shared" si="2"/>
        <v>0.49999999999999978</v>
      </c>
      <c r="AV14" s="54">
        <f t="shared" si="2"/>
        <v>0.25881904510252079</v>
      </c>
      <c r="AW14" s="54">
        <f t="shared" si="2"/>
        <v>3.67544536472586E-16</v>
      </c>
      <c r="AX14" s="54">
        <f t="shared" si="2"/>
        <v>-0.25881904510252185</v>
      </c>
      <c r="AY14" s="54">
        <f t="shared" si="2"/>
        <v>-0.50000000000000067</v>
      </c>
    </row>
    <row r="15" spans="3:51" x14ac:dyDescent="0.35">
      <c r="C15" s="42">
        <f>1/3</f>
        <v>0.33333333333333331</v>
      </c>
      <c r="D15" s="42">
        <v>3</v>
      </c>
      <c r="E15" s="42">
        <v>0</v>
      </c>
      <c r="F15" s="73">
        <f>PI()*E15/180</f>
        <v>0</v>
      </c>
      <c r="G15" s="56"/>
      <c r="H15" s="56"/>
      <c r="J15" s="59" t="str">
        <f>_xlfn.CONCAT("y0 = ",IF(C15&lt;&gt;1,_xlfn.CONCAT(ROUND(C15,2)," *"),"")," sin(",IF(D15&lt;&gt;1,_xlfn.CONCAT(ROUND(D15,2),"*"),""),"x ",IF(F15&lt;&gt;0,_xlfn.CONCAT(" + ",ROUND(F15,2),""),""),") = ")</f>
        <v xml:space="preserve">y0 = 0.33 * sin(3*x ) = </v>
      </c>
      <c r="K15" s="67">
        <f>IF($L$15=$AI$7,$C$15*SIN($D$15*K13 + $F$15),"")</f>
        <v>0.33333333333333331</v>
      </c>
      <c r="L15" s="49" t="s">
        <v>72</v>
      </c>
      <c r="M15" s="55">
        <f t="shared" ref="M15:AY15" si="3">IF($L$15=$AI$7,$C$15*SIN($D$15*M13 + $F$15),"")</f>
        <v>0</v>
      </c>
      <c r="N15" s="55">
        <f t="shared" si="3"/>
        <v>0.23570226039551581</v>
      </c>
      <c r="O15" s="55">
        <f t="shared" si="3"/>
        <v>0.33333333333333331</v>
      </c>
      <c r="P15" s="55">
        <f t="shared" si="3"/>
        <v>0.23570226039551584</v>
      </c>
      <c r="Q15" s="55">
        <f t="shared" si="3"/>
        <v>4.083828183028733E-17</v>
      </c>
      <c r="R15" s="55">
        <f t="shared" si="3"/>
        <v>-0.23570226039551581</v>
      </c>
      <c r="S15" s="55">
        <f t="shared" si="3"/>
        <v>-0.33333333333333331</v>
      </c>
      <c r="T15" s="55">
        <f t="shared" si="3"/>
        <v>-0.23570226039551567</v>
      </c>
      <c r="U15" s="55">
        <f t="shared" si="3"/>
        <v>-8.1676563660574659E-17</v>
      </c>
      <c r="V15" s="55">
        <f t="shared" si="3"/>
        <v>0.23570226039551578</v>
      </c>
      <c r="W15" s="55">
        <f t="shared" si="3"/>
        <v>0.33333333333333331</v>
      </c>
      <c r="X15" s="55">
        <f t="shared" si="3"/>
        <v>0.23570226039551612</v>
      </c>
      <c r="Y15" s="55">
        <f t="shared" si="3"/>
        <v>1.22514845490862E-16</v>
      </c>
      <c r="Z15" s="55">
        <f t="shared" si="3"/>
        <v>-0.23570226039551551</v>
      </c>
      <c r="AA15" s="55">
        <f t="shared" si="3"/>
        <v>-0.33333333333333331</v>
      </c>
      <c r="AB15" s="55">
        <f t="shared" si="3"/>
        <v>-0.23570226039551614</v>
      </c>
      <c r="AC15" s="55">
        <f t="shared" si="3"/>
        <v>-1.6335312732114932E-16</v>
      </c>
      <c r="AD15" s="55">
        <f t="shared" si="3"/>
        <v>0.23570226039551592</v>
      </c>
      <c r="AE15" s="55">
        <f t="shared" si="3"/>
        <v>0.33333333333333331</v>
      </c>
      <c r="AF15" s="55">
        <f t="shared" si="3"/>
        <v>0.23570226039551534</v>
      </c>
      <c r="AG15" s="55">
        <f t="shared" si="3"/>
        <v>2.0419140915143666E-16</v>
      </c>
      <c r="AH15" s="55">
        <f t="shared" si="3"/>
        <v>-0.23570226039551589</v>
      </c>
      <c r="AI15" s="55">
        <f t="shared" si="3"/>
        <v>-0.33333333333333331</v>
      </c>
      <c r="AJ15" s="55">
        <f t="shared" si="3"/>
        <v>-0.23570226039551537</v>
      </c>
      <c r="AK15" s="55">
        <f t="shared" si="3"/>
        <v>-2.45029690981724E-16</v>
      </c>
      <c r="AL15" s="55">
        <f t="shared" si="3"/>
        <v>0.23570226039551503</v>
      </c>
      <c r="AM15" s="55">
        <f t="shared" si="3"/>
        <v>0.33333333333333331</v>
      </c>
      <c r="AN15" s="55">
        <f t="shared" si="3"/>
        <v>0.23570226039551623</v>
      </c>
      <c r="AO15" s="55">
        <f t="shared" si="3"/>
        <v>-8.9836992012148897E-16</v>
      </c>
      <c r="AP15" s="55">
        <f t="shared" si="3"/>
        <v>-0.23570226039551584</v>
      </c>
      <c r="AQ15" s="55">
        <f t="shared" si="3"/>
        <v>-0.33333333333333331</v>
      </c>
      <c r="AR15" s="55">
        <f t="shared" si="3"/>
        <v>-0.23570226039551626</v>
      </c>
      <c r="AS15" s="55">
        <f t="shared" si="3"/>
        <v>-3.2670625464229864E-16</v>
      </c>
      <c r="AT15" s="55">
        <f t="shared" si="3"/>
        <v>0.23570226039551662</v>
      </c>
      <c r="AU15" s="55">
        <f t="shared" si="3"/>
        <v>0.33333333333333331</v>
      </c>
      <c r="AV15" s="55">
        <f t="shared" si="3"/>
        <v>0.23570226039551628</v>
      </c>
      <c r="AW15" s="55">
        <f t="shared" si="3"/>
        <v>3.67544536472586E-16</v>
      </c>
      <c r="AX15" s="55">
        <f t="shared" si="3"/>
        <v>-0.23570226039551662</v>
      </c>
      <c r="AY15" s="55">
        <f t="shared" si="3"/>
        <v>-0.33333333333333331</v>
      </c>
    </row>
    <row r="16" spans="3:51" x14ac:dyDescent="0.35">
      <c r="C16" s="42">
        <f>1/5</f>
        <v>0.2</v>
      </c>
      <c r="D16" s="42">
        <v>5</v>
      </c>
      <c r="E16" s="42">
        <v>0</v>
      </c>
      <c r="F16" s="73">
        <f>PI()*E16/180</f>
        <v>0</v>
      </c>
      <c r="G16" s="56"/>
      <c r="H16" s="56"/>
      <c r="J16" s="60" t="str">
        <f>_xlfn.CONCAT("y0 = ",IF(C16&lt;&gt;1,_xlfn.CONCAT(ROUND(C16,2)," *"),"")," sin(",IF(D16&lt;&gt;1,_xlfn.CONCAT(ROUND(D16,2),"*"),""),"x ",IF(F16&lt;&gt;0,_xlfn.CONCAT(" + ",ROUND(F16,2),""),""),") = ")</f>
        <v xml:space="preserve">y0 = 0.2 * sin(5*x ) = </v>
      </c>
      <c r="K16" s="68">
        <f>IF($L$16=$AI$7,$C$16*SIN($D$16*K13 + $F$16),"")</f>
        <v>-0.2</v>
      </c>
      <c r="L16" s="50" t="s">
        <v>72</v>
      </c>
      <c r="M16" s="55">
        <f t="shared" ref="M16:AY16" si="4">IF($L$16=$AI$7,$C$16*SIN($D$16*M13 + $F$16),"")</f>
        <v>0</v>
      </c>
      <c r="N16" s="55">
        <f t="shared" si="4"/>
        <v>0.19318516525781365</v>
      </c>
      <c r="O16" s="55">
        <f t="shared" si="4"/>
        <v>0.10000000000000007</v>
      </c>
      <c r="P16" s="55">
        <f t="shared" si="4"/>
        <v>-0.1414213562373095</v>
      </c>
      <c r="Q16" s="55">
        <f t="shared" si="4"/>
        <v>-0.17320508075688781</v>
      </c>
      <c r="R16" s="55">
        <f t="shared" si="4"/>
        <v>5.1763809020504217E-2</v>
      </c>
      <c r="S16" s="55">
        <f t="shared" si="4"/>
        <v>0.2</v>
      </c>
      <c r="T16" s="55">
        <f t="shared" si="4"/>
        <v>5.1763809020504162E-2</v>
      </c>
      <c r="U16" s="55">
        <f t="shared" si="4"/>
        <v>-0.17320508075688756</v>
      </c>
      <c r="V16" s="55">
        <f t="shared" si="4"/>
        <v>-0.1414213562373097</v>
      </c>
      <c r="W16" s="55">
        <f t="shared" si="4"/>
        <v>0.10000000000000012</v>
      </c>
      <c r="X16" s="55">
        <f t="shared" si="4"/>
        <v>0.19318516525781371</v>
      </c>
      <c r="Y16" s="55">
        <f t="shared" si="4"/>
        <v>1.22514845490862E-16</v>
      </c>
      <c r="Z16" s="55">
        <f t="shared" si="4"/>
        <v>-0.19318516525781348</v>
      </c>
      <c r="AA16" s="55">
        <f t="shared" si="4"/>
        <v>-0.10000000000000003</v>
      </c>
      <c r="AB16" s="55">
        <f t="shared" si="4"/>
        <v>0.14142135623730953</v>
      </c>
      <c r="AC16" s="55">
        <f t="shared" si="4"/>
        <v>0.17320508075688806</v>
      </c>
      <c r="AD16" s="55">
        <f t="shared" si="4"/>
        <v>-5.1763809020504273E-2</v>
      </c>
      <c r="AE16" s="55">
        <f t="shared" si="4"/>
        <v>-0.2</v>
      </c>
      <c r="AF16" s="55">
        <f t="shared" si="4"/>
        <v>-5.176380902050394E-2</v>
      </c>
      <c r="AG16" s="55">
        <f t="shared" si="4"/>
        <v>0.1732050807568879</v>
      </c>
      <c r="AH16" s="55">
        <f t="shared" si="4"/>
        <v>0.14142135623730978</v>
      </c>
      <c r="AI16" s="55">
        <f t="shared" si="4"/>
        <v>-9.99999999999997E-2</v>
      </c>
      <c r="AJ16" s="55">
        <f t="shared" si="4"/>
        <v>-0.19318516525781373</v>
      </c>
      <c r="AK16" s="55">
        <f t="shared" si="4"/>
        <v>-2.45029690981724E-16</v>
      </c>
      <c r="AL16" s="55">
        <f t="shared" si="4"/>
        <v>0.1931851652578136</v>
      </c>
      <c r="AM16" s="55">
        <f t="shared" si="4"/>
        <v>0.10000000000000137</v>
      </c>
      <c r="AN16" s="55">
        <f t="shared" si="4"/>
        <v>-0.14142135623730842</v>
      </c>
      <c r="AO16" s="55">
        <f t="shared" si="4"/>
        <v>-0.17320508075688779</v>
      </c>
      <c r="AP16" s="55">
        <f t="shared" si="4"/>
        <v>5.1763809020504148E-2</v>
      </c>
      <c r="AQ16" s="55">
        <f t="shared" si="4"/>
        <v>0.2</v>
      </c>
      <c r="AR16" s="55">
        <f t="shared" si="4"/>
        <v>5.1763809020505439E-2</v>
      </c>
      <c r="AS16" s="55">
        <f t="shared" si="4"/>
        <v>-0.17320508075688712</v>
      </c>
      <c r="AT16" s="55">
        <f t="shared" si="4"/>
        <v>-0.14142135623730936</v>
      </c>
      <c r="AU16" s="55">
        <f t="shared" si="4"/>
        <v>0.10000000000000023</v>
      </c>
      <c r="AV16" s="55">
        <f t="shared" si="4"/>
        <v>0.1931851652578136</v>
      </c>
      <c r="AW16" s="55">
        <f t="shared" si="4"/>
        <v>1.0780872722326862E-15</v>
      </c>
      <c r="AX16" s="55">
        <f t="shared" si="4"/>
        <v>-0.19318516525781415</v>
      </c>
      <c r="AY16" s="55">
        <f t="shared" si="4"/>
        <v>-9.9999999999999631E-2</v>
      </c>
    </row>
    <row r="17" spans="3:51" x14ac:dyDescent="0.35">
      <c r="C17" s="42">
        <f>1/7</f>
        <v>0.14285714285714285</v>
      </c>
      <c r="D17" s="42">
        <v>7</v>
      </c>
      <c r="E17" s="42">
        <v>0</v>
      </c>
      <c r="F17" s="73">
        <f>PI()*E17/180</f>
        <v>0</v>
      </c>
      <c r="G17" s="56"/>
      <c r="H17" s="56"/>
      <c r="J17" s="61" t="str">
        <f>_xlfn.CONCAT("y0 = ",IF(C17&lt;&gt;1,_xlfn.CONCAT(ROUND(C17,2)," *"),"")," sin(",IF(D17&lt;&gt;1,_xlfn.CONCAT(ROUND(D17,2),"*"),""),"x ",IF(F17&lt;&gt;0,_xlfn.CONCAT(" + ",ROUND(F17,2),""),""),") = ")</f>
        <v xml:space="preserve">y0 = 0.14 * sin(7*x ) = </v>
      </c>
      <c r="K17" s="69">
        <f>IF($L$17=$AI$7,$C$17*SIN($D$17*K13 + $F$17),"")</f>
        <v>0.14285714285714285</v>
      </c>
      <c r="L17" s="51" t="s">
        <v>72</v>
      </c>
      <c r="M17" s="55">
        <f t="shared" ref="M17:AY17" si="5">IF($L$17=$AI$7,$C$17*SIN($D$17*M13 + $F$17),"")</f>
        <v>0</v>
      </c>
      <c r="N17" s="55">
        <f t="shared" si="5"/>
        <v>0.13798940375558119</v>
      </c>
      <c r="O17" s="55">
        <f t="shared" si="5"/>
        <v>-7.1428571428571383E-2</v>
      </c>
      <c r="P17" s="55">
        <f t="shared" si="5"/>
        <v>-0.1010152544552211</v>
      </c>
      <c r="Q17" s="55">
        <f t="shared" si="5"/>
        <v>0.12371791482634834</v>
      </c>
      <c r="R17" s="55">
        <f t="shared" si="5"/>
        <v>3.697414930036011E-2</v>
      </c>
      <c r="S17" s="55">
        <f t="shared" si="5"/>
        <v>-0.14285714285714285</v>
      </c>
      <c r="T17" s="55">
        <f t="shared" si="5"/>
        <v>3.6974149300360241E-2</v>
      </c>
      <c r="U17" s="55">
        <f t="shared" si="5"/>
        <v>0.12371791482634846</v>
      </c>
      <c r="V17" s="55">
        <f t="shared" si="5"/>
        <v>-0.1010152544552211</v>
      </c>
      <c r="W17" s="55">
        <f t="shared" si="5"/>
        <v>-7.1428571428571438E-2</v>
      </c>
      <c r="X17" s="55">
        <f t="shared" si="5"/>
        <v>0.13798940375558116</v>
      </c>
      <c r="Y17" s="55">
        <f t="shared" si="5"/>
        <v>1.22514845490862E-16</v>
      </c>
      <c r="Z17" s="55">
        <f t="shared" si="5"/>
        <v>-0.13798940375558122</v>
      </c>
      <c r="AA17" s="55">
        <f t="shared" si="5"/>
        <v>7.1428571428571661E-2</v>
      </c>
      <c r="AB17" s="55">
        <f t="shared" si="5"/>
        <v>0.10101525445522126</v>
      </c>
      <c r="AC17" s="55">
        <f t="shared" si="5"/>
        <v>-0.12371791482634821</v>
      </c>
      <c r="AD17" s="55">
        <f t="shared" si="5"/>
        <v>-3.6974149300359985E-2</v>
      </c>
      <c r="AE17" s="55">
        <f t="shared" si="5"/>
        <v>0.14285714285714285</v>
      </c>
      <c r="AF17" s="55">
        <f t="shared" si="5"/>
        <v>-3.6974149300360609E-2</v>
      </c>
      <c r="AG17" s="55">
        <f t="shared" si="5"/>
        <v>-0.12371791482634839</v>
      </c>
      <c r="AH17" s="55">
        <f t="shared" si="5"/>
        <v>0.10101525445522065</v>
      </c>
      <c r="AI17" s="55">
        <f t="shared" si="5"/>
        <v>7.142857142857155E-2</v>
      </c>
      <c r="AJ17" s="55">
        <f t="shared" si="5"/>
        <v>-0.13798940375558125</v>
      </c>
      <c r="AK17" s="55">
        <f t="shared" si="5"/>
        <v>-2.45029690981724E-16</v>
      </c>
      <c r="AL17" s="55">
        <f t="shared" si="5"/>
        <v>0.13798940375558139</v>
      </c>
      <c r="AM17" s="55">
        <f t="shared" si="5"/>
        <v>-7.1428571428571119E-2</v>
      </c>
      <c r="AN17" s="55">
        <f t="shared" si="5"/>
        <v>-0.10101525445522171</v>
      </c>
      <c r="AO17" s="55">
        <f t="shared" si="5"/>
        <v>0.12371791482634865</v>
      </c>
      <c r="AP17" s="55">
        <f t="shared" si="5"/>
        <v>3.6974149300360103E-2</v>
      </c>
      <c r="AQ17" s="55">
        <f t="shared" si="5"/>
        <v>-0.14285714285714285</v>
      </c>
      <c r="AR17" s="55">
        <f t="shared" si="5"/>
        <v>3.6974149300360006E-2</v>
      </c>
      <c r="AS17" s="55">
        <f t="shared" si="5"/>
        <v>0.1237179148263487</v>
      </c>
      <c r="AT17" s="55">
        <f t="shared" si="5"/>
        <v>-0.10101525445522164</v>
      </c>
      <c r="AU17" s="55">
        <f t="shared" si="5"/>
        <v>-7.1428571428571216E-2</v>
      </c>
      <c r="AV17" s="55">
        <f t="shared" si="5"/>
        <v>0.13798940375558111</v>
      </c>
      <c r="AW17" s="55">
        <f t="shared" si="5"/>
        <v>-1.399859890703427E-16</v>
      </c>
      <c r="AX17" s="55">
        <f t="shared" si="5"/>
        <v>-0.13798940375558102</v>
      </c>
      <c r="AY17" s="55">
        <f t="shared" si="5"/>
        <v>7.1428571428572327E-2</v>
      </c>
    </row>
    <row r="18" spans="3:51" ht="8.5" customHeight="1" x14ac:dyDescent="0.35">
      <c r="J18" s="41"/>
      <c r="K18" s="70"/>
      <c r="L18" s="52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</row>
    <row r="19" spans="3:51" ht="8.5" customHeight="1" x14ac:dyDescent="0.35">
      <c r="J19" s="41"/>
      <c r="K19" s="70"/>
      <c r="L19" s="52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</row>
    <row r="20" spans="3:51" ht="16.5" x14ac:dyDescent="0.35">
      <c r="J20" s="40" t="s">
        <v>66</v>
      </c>
      <c r="K20" s="71">
        <f>IF($L$20=$AI$7,SUM(K14:K17),"")</f>
        <v>-0.7238095238095239</v>
      </c>
      <c r="L20" s="53" t="s">
        <v>72</v>
      </c>
      <c r="M20" s="55">
        <f>IF($L$20=$AI$7,SUM(M14:M17),0)</f>
        <v>0</v>
      </c>
      <c r="N20" s="55">
        <f t="shared" ref="N20:AY20" si="6">IF($L$20=$AI$7,SUM(N14:N17),0)</f>
        <v>0.82569587451143145</v>
      </c>
      <c r="O20" s="55">
        <f t="shared" si="6"/>
        <v>0.86190476190476195</v>
      </c>
      <c r="P20" s="55">
        <f t="shared" si="6"/>
        <v>0.70037243088953283</v>
      </c>
      <c r="Q20" s="55">
        <f t="shared" si="6"/>
        <v>0.81653823785389912</v>
      </c>
      <c r="R20" s="55">
        <f t="shared" si="6"/>
        <v>0.81896152421441692</v>
      </c>
      <c r="S20" s="55">
        <f t="shared" si="6"/>
        <v>0.7238095238095239</v>
      </c>
      <c r="T20" s="55">
        <f t="shared" si="6"/>
        <v>0.81896152421441704</v>
      </c>
      <c r="U20" s="55">
        <f t="shared" si="6"/>
        <v>0.81653823785389945</v>
      </c>
      <c r="V20" s="55">
        <f t="shared" si="6"/>
        <v>0.7003724308895326</v>
      </c>
      <c r="W20" s="55">
        <f t="shared" si="6"/>
        <v>0.86190476190476195</v>
      </c>
      <c r="X20" s="55">
        <f t="shared" si="6"/>
        <v>0.825695874511432</v>
      </c>
      <c r="Y20" s="55">
        <f t="shared" si="6"/>
        <v>4.90059381963448E-16</v>
      </c>
      <c r="Z20" s="55">
        <f t="shared" si="6"/>
        <v>-0.82569587451143056</v>
      </c>
      <c r="AA20" s="55">
        <f t="shared" si="6"/>
        <v>-0.86190476190476195</v>
      </c>
      <c r="AB20" s="55">
        <f t="shared" si="6"/>
        <v>-0.70037243088953272</v>
      </c>
      <c r="AC20" s="55">
        <f t="shared" si="6"/>
        <v>-0.81653823785389867</v>
      </c>
      <c r="AD20" s="55">
        <f t="shared" si="6"/>
        <v>-0.8189615242144167</v>
      </c>
      <c r="AE20" s="55">
        <f t="shared" si="6"/>
        <v>-0.7238095238095239</v>
      </c>
      <c r="AF20" s="55">
        <f t="shared" si="6"/>
        <v>-0.81896152421441737</v>
      </c>
      <c r="AG20" s="55">
        <f t="shared" si="6"/>
        <v>-0.8165382378538989</v>
      </c>
      <c r="AH20" s="55">
        <f t="shared" si="6"/>
        <v>-0.70037243088953316</v>
      </c>
      <c r="AI20" s="55">
        <f t="shared" si="6"/>
        <v>-0.86190476190476184</v>
      </c>
      <c r="AJ20" s="55">
        <f t="shared" si="6"/>
        <v>-0.825695874511431</v>
      </c>
      <c r="AK20" s="55">
        <f t="shared" si="6"/>
        <v>-9.8011876392689601E-16</v>
      </c>
      <c r="AL20" s="55">
        <f t="shared" si="6"/>
        <v>0.82569587451143023</v>
      </c>
      <c r="AM20" s="55">
        <f t="shared" si="6"/>
        <v>0.86190476190476284</v>
      </c>
      <c r="AN20" s="55">
        <f t="shared" si="6"/>
        <v>0.70037243088953272</v>
      </c>
      <c r="AO20" s="55">
        <f t="shared" si="6"/>
        <v>0.81653823785389879</v>
      </c>
      <c r="AP20" s="55">
        <f t="shared" si="6"/>
        <v>0.81896152421441681</v>
      </c>
      <c r="AQ20" s="55">
        <f t="shared" si="6"/>
        <v>0.7238095238095239</v>
      </c>
      <c r="AR20" s="55">
        <f t="shared" si="6"/>
        <v>0.8189615242144177</v>
      </c>
      <c r="AS20" s="55">
        <f t="shared" si="6"/>
        <v>0.81653823785390034</v>
      </c>
      <c r="AT20" s="55">
        <f t="shared" si="6"/>
        <v>0.70037243088953283</v>
      </c>
      <c r="AU20" s="55">
        <f t="shared" si="6"/>
        <v>0.86190476190476206</v>
      </c>
      <c r="AV20" s="55">
        <f t="shared" si="6"/>
        <v>0.82569587451143178</v>
      </c>
      <c r="AW20" s="55">
        <f t="shared" si="6"/>
        <v>1.6731903561075154E-15</v>
      </c>
      <c r="AX20" s="55">
        <f t="shared" si="6"/>
        <v>-0.82569587451143367</v>
      </c>
      <c r="AY20" s="55">
        <f t="shared" si="6"/>
        <v>-0.86190476190476129</v>
      </c>
    </row>
    <row r="21" spans="3:51" x14ac:dyDescent="0.35">
      <c r="J21" s="39"/>
      <c r="K21" s="39"/>
      <c r="L21" s="39"/>
    </row>
  </sheetData>
  <mergeCells count="4">
    <mergeCell ref="R7:S7"/>
    <mergeCell ref="C11:F11"/>
    <mergeCell ref="C12:F12"/>
    <mergeCell ref="L12:L13"/>
  </mergeCells>
  <dataValidations count="1">
    <dataValidation type="list" allowBlank="1" showInputMessage="1" showErrorMessage="1" sqref="L14:L17 L20" xr:uid="{8FEC3F3A-F565-4E9B-9DC7-45C1A0000645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38E5-43C1-41D2-ADA5-A29109FD68B0}">
  <sheetPr codeName="Tabelle15">
    <pageSetUpPr fitToPage="1"/>
  </sheetPr>
  <dimension ref="C1:AZ21"/>
  <sheetViews>
    <sheetView showGridLines="0" topLeftCell="A27" zoomScaleNormal="100" workbookViewId="0">
      <selection activeCell="D18" sqref="D18"/>
    </sheetView>
  </sheetViews>
  <sheetFormatPr baseColWidth="10" defaultColWidth="10.81640625" defaultRowHeight="14.5" x14ac:dyDescent="0.35"/>
  <cols>
    <col min="3" max="7" width="13.81640625" customWidth="1"/>
    <col min="8" max="10" width="3.26953125" customWidth="1"/>
    <col min="11" max="11" width="25.54296875" customWidth="1"/>
    <col min="12" max="12" width="19.90625" customWidth="1"/>
    <col min="13" max="13" width="9.7265625" customWidth="1"/>
    <col min="14" max="52" width="6.36328125" customWidth="1"/>
  </cols>
  <sheetData>
    <row r="1" spans="3:52" ht="21.75" customHeight="1" x14ac:dyDescent="0.35"/>
    <row r="2" spans="3:52" ht="26" x14ac:dyDescent="0.6">
      <c r="C2" s="44" t="s">
        <v>68</v>
      </c>
    </row>
    <row r="4" spans="3:52" x14ac:dyDescent="0.35">
      <c r="S4" s="5"/>
      <c r="T4" s="5" t="s">
        <v>76</v>
      </c>
      <c r="U4" s="5"/>
      <c r="V4" s="5"/>
      <c r="W4" s="5"/>
      <c r="X4" s="5"/>
      <c r="Y4" s="5"/>
    </row>
    <row r="5" spans="3:52" x14ac:dyDescent="0.35">
      <c r="S5" s="5"/>
      <c r="T5" s="19" t="s">
        <v>80</v>
      </c>
      <c r="U5" s="55">
        <f>MAX(L14:L20)</f>
        <v>1.2741327090615151E-14</v>
      </c>
      <c r="V5" s="5"/>
      <c r="W5" s="5"/>
      <c r="X5" s="5">
        <f>L12</f>
        <v>270</v>
      </c>
      <c r="Y5" s="5">
        <f>X5</f>
        <v>270</v>
      </c>
    </row>
    <row r="6" spans="3:52" x14ac:dyDescent="0.35">
      <c r="S6" s="5"/>
      <c r="T6" s="19" t="s">
        <v>79</v>
      </c>
      <c r="U6" s="55">
        <f>MIN(L14:L20)</f>
        <v>-3.6403791687471859E-15</v>
      </c>
      <c r="V6" s="5"/>
      <c r="W6" s="5"/>
      <c r="X6" s="5">
        <v>0</v>
      </c>
      <c r="Y6" s="5">
        <f>U7</f>
        <v>1.2741327090615151E-14</v>
      </c>
    </row>
    <row r="7" spans="3:52" x14ac:dyDescent="0.35">
      <c r="K7" t="s">
        <v>321</v>
      </c>
      <c r="L7" t="s">
        <v>323</v>
      </c>
      <c r="S7" s="251" t="s">
        <v>81</v>
      </c>
      <c r="T7" s="251"/>
      <c r="U7" s="5">
        <f>IF(ABS(U5)&gt;ABS(U6),U5,U6)</f>
        <v>1.2741327090615151E-14</v>
      </c>
      <c r="V7" s="5"/>
      <c r="W7" s="5"/>
      <c r="X7" s="5"/>
      <c r="Y7" s="5"/>
      <c r="AJ7" s="5" t="s">
        <v>72</v>
      </c>
    </row>
    <row r="8" spans="3:52" ht="16" customHeight="1" x14ac:dyDescent="0.35">
      <c r="K8" s="138" t="s">
        <v>321</v>
      </c>
      <c r="L8" t="s">
        <v>322</v>
      </c>
      <c r="S8" s="1"/>
      <c r="T8" s="39"/>
      <c r="AJ8" s="5" t="s">
        <v>73</v>
      </c>
    </row>
    <row r="9" spans="3:52" x14ac:dyDescent="0.35">
      <c r="K9" s="138" t="s">
        <v>325</v>
      </c>
      <c r="L9" t="s">
        <v>324</v>
      </c>
    </row>
    <row r="11" spans="3:52" ht="21" x14ac:dyDescent="0.35">
      <c r="C11" s="285"/>
      <c r="D11" s="285"/>
      <c r="E11" s="285"/>
      <c r="F11" s="285"/>
      <c r="G11" s="285"/>
      <c r="H11" s="47"/>
      <c r="I11" s="47"/>
      <c r="M11" s="43" t="s">
        <v>8</v>
      </c>
      <c r="N11" s="46">
        <v>15</v>
      </c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</row>
    <row r="12" spans="3:52" s="34" customFormat="1" ht="24" x14ac:dyDescent="0.35">
      <c r="C12" s="286" t="s">
        <v>330</v>
      </c>
      <c r="D12" s="286"/>
      <c r="E12" s="286"/>
      <c r="F12" s="286"/>
      <c r="G12" s="286"/>
      <c r="H12" s="47"/>
      <c r="I12" s="47"/>
      <c r="K12" s="57" t="s">
        <v>70</v>
      </c>
      <c r="L12" s="38">
        <v>270</v>
      </c>
      <c r="M12" s="287" t="s">
        <v>71</v>
      </c>
      <c r="N12" s="38">
        <v>0</v>
      </c>
      <c r="O12" s="75">
        <f>N12+$N$11</f>
        <v>15</v>
      </c>
      <c r="P12" s="75">
        <f t="shared" ref="P12:AZ12" si="0">O12+$N$11</f>
        <v>30</v>
      </c>
      <c r="Q12" s="75">
        <f t="shared" si="0"/>
        <v>45</v>
      </c>
      <c r="R12" s="75">
        <f t="shared" si="0"/>
        <v>60</v>
      </c>
      <c r="S12" s="75">
        <f t="shared" si="0"/>
        <v>75</v>
      </c>
      <c r="T12" s="75">
        <f t="shared" si="0"/>
        <v>90</v>
      </c>
      <c r="U12" s="75">
        <f t="shared" si="0"/>
        <v>105</v>
      </c>
      <c r="V12" s="75">
        <f t="shared" si="0"/>
        <v>120</v>
      </c>
      <c r="W12" s="75">
        <f t="shared" si="0"/>
        <v>135</v>
      </c>
      <c r="X12" s="75">
        <f t="shared" si="0"/>
        <v>150</v>
      </c>
      <c r="Y12" s="75">
        <f t="shared" si="0"/>
        <v>165</v>
      </c>
      <c r="Z12" s="75">
        <f t="shared" si="0"/>
        <v>180</v>
      </c>
      <c r="AA12" s="75">
        <f t="shared" si="0"/>
        <v>195</v>
      </c>
      <c r="AB12" s="75">
        <f t="shared" si="0"/>
        <v>210</v>
      </c>
      <c r="AC12" s="75">
        <f t="shared" si="0"/>
        <v>225</v>
      </c>
      <c r="AD12" s="75">
        <f t="shared" si="0"/>
        <v>240</v>
      </c>
      <c r="AE12" s="75">
        <f t="shared" si="0"/>
        <v>255</v>
      </c>
      <c r="AF12" s="75">
        <f t="shared" si="0"/>
        <v>270</v>
      </c>
      <c r="AG12" s="75">
        <f t="shared" si="0"/>
        <v>285</v>
      </c>
      <c r="AH12" s="75">
        <f t="shared" si="0"/>
        <v>300</v>
      </c>
      <c r="AI12" s="75">
        <f t="shared" si="0"/>
        <v>315</v>
      </c>
      <c r="AJ12" s="75">
        <f t="shared" si="0"/>
        <v>330</v>
      </c>
      <c r="AK12" s="75">
        <f t="shared" si="0"/>
        <v>345</v>
      </c>
      <c r="AL12" s="75">
        <f t="shared" si="0"/>
        <v>360</v>
      </c>
      <c r="AM12" s="75">
        <f t="shared" si="0"/>
        <v>375</v>
      </c>
      <c r="AN12" s="75">
        <f t="shared" si="0"/>
        <v>390</v>
      </c>
      <c r="AO12" s="75">
        <f t="shared" si="0"/>
        <v>405</v>
      </c>
      <c r="AP12" s="75">
        <f t="shared" si="0"/>
        <v>420</v>
      </c>
      <c r="AQ12" s="75">
        <f t="shared" si="0"/>
        <v>435</v>
      </c>
      <c r="AR12" s="75">
        <f t="shared" si="0"/>
        <v>450</v>
      </c>
      <c r="AS12" s="75">
        <f t="shared" si="0"/>
        <v>465</v>
      </c>
      <c r="AT12" s="75">
        <f t="shared" si="0"/>
        <v>480</v>
      </c>
      <c r="AU12" s="75">
        <f t="shared" si="0"/>
        <v>495</v>
      </c>
      <c r="AV12" s="75">
        <f t="shared" si="0"/>
        <v>510</v>
      </c>
      <c r="AW12" s="75">
        <f t="shared" si="0"/>
        <v>525</v>
      </c>
      <c r="AX12" s="75">
        <f t="shared" si="0"/>
        <v>540</v>
      </c>
      <c r="AY12" s="75">
        <f t="shared" si="0"/>
        <v>555</v>
      </c>
      <c r="AZ12" s="75">
        <f t="shared" si="0"/>
        <v>570</v>
      </c>
    </row>
    <row r="13" spans="3:52" s="34" customFormat="1" ht="43.5" x14ac:dyDescent="0.35">
      <c r="C13" s="62" t="s">
        <v>74</v>
      </c>
      <c r="D13" s="62" t="s">
        <v>326</v>
      </c>
      <c r="E13" s="62" t="s">
        <v>329</v>
      </c>
      <c r="F13" s="62" t="s">
        <v>327</v>
      </c>
      <c r="G13" s="62" t="s">
        <v>328</v>
      </c>
      <c r="H13" s="63"/>
      <c r="I13" s="63"/>
      <c r="K13" s="72" t="s">
        <v>69</v>
      </c>
      <c r="L13" s="65">
        <f>PI()*L12/180</f>
        <v>4.7123889803846897</v>
      </c>
      <c r="M13" s="288"/>
      <c r="N13" s="64">
        <f>PI()*N12/180</f>
        <v>0</v>
      </c>
      <c r="O13" s="64">
        <f t="shared" ref="O13:AZ13" si="1">PI()*O12/180</f>
        <v>0.26179938779914941</v>
      </c>
      <c r="P13" s="64">
        <f t="shared" si="1"/>
        <v>0.52359877559829882</v>
      </c>
      <c r="Q13" s="64">
        <f t="shared" si="1"/>
        <v>0.78539816339744828</v>
      </c>
      <c r="R13" s="64">
        <f t="shared" si="1"/>
        <v>1.0471975511965976</v>
      </c>
      <c r="S13" s="64">
        <f t="shared" si="1"/>
        <v>1.3089969389957472</v>
      </c>
      <c r="T13" s="64">
        <f t="shared" si="1"/>
        <v>1.5707963267948966</v>
      </c>
      <c r="U13" s="64">
        <f t="shared" si="1"/>
        <v>1.8325957145940461</v>
      </c>
      <c r="V13" s="64">
        <f t="shared" si="1"/>
        <v>2.0943951023931953</v>
      </c>
      <c r="W13" s="64">
        <f t="shared" si="1"/>
        <v>2.3561944901923448</v>
      </c>
      <c r="X13" s="64">
        <f t="shared" si="1"/>
        <v>2.6179938779914944</v>
      </c>
      <c r="Y13" s="64">
        <f t="shared" si="1"/>
        <v>2.8797932657906435</v>
      </c>
      <c r="Z13" s="64">
        <f t="shared" si="1"/>
        <v>3.1415926535897931</v>
      </c>
      <c r="AA13" s="64">
        <f t="shared" si="1"/>
        <v>3.4033920413889422</v>
      </c>
      <c r="AB13" s="64">
        <f t="shared" si="1"/>
        <v>3.6651914291880923</v>
      </c>
      <c r="AC13" s="64">
        <f t="shared" si="1"/>
        <v>3.9269908169872414</v>
      </c>
      <c r="AD13" s="64">
        <f t="shared" si="1"/>
        <v>4.1887902047863905</v>
      </c>
      <c r="AE13" s="64">
        <f t="shared" si="1"/>
        <v>4.4505895925855405</v>
      </c>
      <c r="AF13" s="64">
        <f t="shared" si="1"/>
        <v>4.7123889803846897</v>
      </c>
      <c r="AG13" s="64">
        <f t="shared" si="1"/>
        <v>4.9741883681838397</v>
      </c>
      <c r="AH13" s="64">
        <f t="shared" si="1"/>
        <v>5.2359877559829888</v>
      </c>
      <c r="AI13" s="64">
        <f t="shared" si="1"/>
        <v>5.497787143782138</v>
      </c>
      <c r="AJ13" s="64">
        <f t="shared" si="1"/>
        <v>5.7595865315812871</v>
      </c>
      <c r="AK13" s="64">
        <f t="shared" si="1"/>
        <v>6.0213859193804371</v>
      </c>
      <c r="AL13" s="64">
        <f t="shared" si="1"/>
        <v>6.2831853071795862</v>
      </c>
      <c r="AM13" s="64">
        <f t="shared" si="1"/>
        <v>6.5449846949787354</v>
      </c>
      <c r="AN13" s="64">
        <f t="shared" si="1"/>
        <v>6.8067840827778845</v>
      </c>
      <c r="AO13" s="64">
        <f t="shared" si="1"/>
        <v>7.0685834705770336</v>
      </c>
      <c r="AP13" s="64">
        <f t="shared" si="1"/>
        <v>7.3303828583761845</v>
      </c>
      <c r="AQ13" s="64">
        <f t="shared" si="1"/>
        <v>7.5921822461753337</v>
      </c>
      <c r="AR13" s="64">
        <f t="shared" si="1"/>
        <v>7.8539816339744828</v>
      </c>
      <c r="AS13" s="64">
        <f t="shared" si="1"/>
        <v>8.1157810217736319</v>
      </c>
      <c r="AT13" s="64">
        <f t="shared" si="1"/>
        <v>8.3775804095727811</v>
      </c>
      <c r="AU13" s="64">
        <f t="shared" si="1"/>
        <v>8.639379797371932</v>
      </c>
      <c r="AV13" s="64">
        <f t="shared" si="1"/>
        <v>8.9011791851710811</v>
      </c>
      <c r="AW13" s="64">
        <f t="shared" si="1"/>
        <v>9.1629785729702302</v>
      </c>
      <c r="AX13" s="64">
        <f t="shared" si="1"/>
        <v>9.4247779607693793</v>
      </c>
      <c r="AY13" s="64">
        <f t="shared" si="1"/>
        <v>9.6865773485685303</v>
      </c>
      <c r="AZ13" s="64">
        <f t="shared" si="1"/>
        <v>9.9483767363676794</v>
      </c>
    </row>
    <row r="14" spans="3:52" x14ac:dyDescent="0.35">
      <c r="C14" s="42">
        <v>1</v>
      </c>
      <c r="D14" s="42">
        <v>50</v>
      </c>
      <c r="E14" s="42">
        <f>2*PI()*D14/360</f>
        <v>0.87266462599716477</v>
      </c>
      <c r="F14" s="42">
        <v>0</v>
      </c>
      <c r="G14" s="73">
        <f>PI()*F14/180</f>
        <v>0</v>
      </c>
      <c r="H14" s="56"/>
      <c r="I14" s="56"/>
      <c r="K14" s="58" t="str">
        <f>_xlfn.CONCAT("y0 = ",IF(C14&lt;&gt;1,_xlfn.CONCAT(ROUND(C14,2)," *"),"")," sin(",IF(D14&lt;&gt;1,_xlfn.CONCAT(ROUND(D14,2),"*"),""),"x ",IF(G14&lt;&gt;0,_xlfn.CONCAT(" + ",ROUND(G14,2),""),""),") = ")</f>
        <v xml:space="preserve">y0 =  sin(50*x ) = </v>
      </c>
      <c r="L14" s="66">
        <f>IF($M$14=$AJ$7,$C$14*SIN($D$14*L13 + $G$14),"")</f>
        <v>1.2741327090615151E-14</v>
      </c>
      <c r="M14" s="48" t="s">
        <v>72</v>
      </c>
      <c r="N14" s="54">
        <f>IF($M$14=$AJ$7,$C$14*SIN($E$14*N13 + $G$14),"")</f>
        <v>0</v>
      </c>
      <c r="O14" s="54">
        <f t="shared" ref="O14:AZ14" si="2">IF($M$14=$AJ$7,$C$14*SIN($E$14*O13 + $G$14),"")</f>
        <v>0.2264807927470297</v>
      </c>
      <c r="P14" s="54">
        <f t="shared" si="2"/>
        <v>0.4411916647658925</v>
      </c>
      <c r="Q14" s="54">
        <f t="shared" si="2"/>
        <v>0.63297436324192113</v>
      </c>
      <c r="R14" s="54">
        <f t="shared" si="2"/>
        <v>0.79186218357858906</v>
      </c>
      <c r="S14" s="54">
        <f t="shared" si="2"/>
        <v>0.9095979264463151</v>
      </c>
      <c r="T14" s="54">
        <f t="shared" si="2"/>
        <v>0.98006301400184337</v>
      </c>
      <c r="U14" s="54">
        <f t="shared" si="2"/>
        <v>0.9995954646503008</v>
      </c>
      <c r="V14" s="54">
        <f t="shared" si="2"/>
        <v>0.96718020160318463</v>
      </c>
      <c r="W14" s="54">
        <f t="shared" si="2"/>
        <v>0.88450180513690446</v>
      </c>
      <c r="X14" s="54">
        <f t="shared" si="2"/>
        <v>0.7558569670836327</v>
      </c>
      <c r="Y14" s="54">
        <f t="shared" si="2"/>
        <v>0.58793119718399511</v>
      </c>
      <c r="Z14" s="54">
        <f t="shared" si="2"/>
        <v>0.38945138559040571</v>
      </c>
      <c r="AA14" s="54">
        <f t="shared" si="2"/>
        <v>0.1707322774088991</v>
      </c>
      <c r="AB14" s="54">
        <f t="shared" si="2"/>
        <v>-5.6859571575342521E-2</v>
      </c>
      <c r="AC14" s="54">
        <f t="shared" si="2"/>
        <v>-0.28149650044489249</v>
      </c>
      <c r="AD14" s="54">
        <f t="shared" si="2"/>
        <v>-0.49150441174828846</v>
      </c>
      <c r="AE14" s="54">
        <f t="shared" si="2"/>
        <v>-0.67596945959887422</v>
      </c>
      <c r="AF14" s="54">
        <f t="shared" si="2"/>
        <v>-0.82530522846010546</v>
      </c>
      <c r="AG14" s="54">
        <f t="shared" si="2"/>
        <v>-0.93175092705225615</v>
      </c>
      <c r="AH14" s="54">
        <f t="shared" si="2"/>
        <v>-0.98977470687246749</v>
      </c>
      <c r="AI14" s="54">
        <f t="shared" si="2"/>
        <v>-0.99636114537408982</v>
      </c>
      <c r="AJ14" s="54">
        <f t="shared" si="2"/>
        <v>-0.95116795366761209</v>
      </c>
      <c r="AK14" s="54">
        <f t="shared" si="2"/>
        <v>-0.85654376484189831</v>
      </c>
      <c r="AL14" s="54">
        <f t="shared" si="2"/>
        <v>-0.71740607846915339</v>
      </c>
      <c r="AM14" s="54">
        <f t="shared" si="2"/>
        <v>-0.54098570436350835</v>
      </c>
      <c r="AN14" s="54">
        <f t="shared" si="2"/>
        <v>-0.33645098652831829</v>
      </c>
      <c r="AO14" s="54">
        <f t="shared" si="2"/>
        <v>-0.11443133589895869</v>
      </c>
      <c r="AP14" s="54">
        <f t="shared" si="2"/>
        <v>0.11353516671733102</v>
      </c>
      <c r="AQ14" s="54">
        <f t="shared" si="2"/>
        <v>0.33560139012709572</v>
      </c>
      <c r="AR14" s="54">
        <f t="shared" si="2"/>
        <v>0.54022683319452769</v>
      </c>
      <c r="AS14" s="54">
        <f t="shared" si="2"/>
        <v>0.71677737010852471</v>
      </c>
      <c r="AT14" s="54">
        <f t="shared" si="2"/>
        <v>0.85607789246899491</v>
      </c>
      <c r="AU14" s="54">
        <f t="shared" si="2"/>
        <v>0.95088912808120352</v>
      </c>
      <c r="AV14" s="54">
        <f t="shared" si="2"/>
        <v>0.99628385678771347</v>
      </c>
      <c r="AW14" s="54">
        <f t="shared" si="2"/>
        <v>0.98990297187633303</v>
      </c>
      <c r="AX14" s="54">
        <f t="shared" si="2"/>
        <v>0.93207807987612579</v>
      </c>
      <c r="AY14" s="54">
        <f t="shared" si="2"/>
        <v>0.82581426738495356</v>
      </c>
      <c r="AZ14" s="54">
        <f t="shared" si="2"/>
        <v>0.67663393051475051</v>
      </c>
    </row>
    <row r="15" spans="3:52" x14ac:dyDescent="0.35">
      <c r="C15" s="42">
        <f>1/3</f>
        <v>0.33333333333333331</v>
      </c>
      <c r="D15" s="42">
        <v>150</v>
      </c>
      <c r="E15" s="42">
        <f>2*PI()*D15/360</f>
        <v>2.6179938779914944</v>
      </c>
      <c r="F15" s="42">
        <v>0</v>
      </c>
      <c r="G15" s="73">
        <f>PI()*F15/180</f>
        <v>0</v>
      </c>
      <c r="H15" s="56"/>
      <c r="I15" s="56"/>
      <c r="K15" s="59" t="str">
        <f>_xlfn.CONCAT("y0 = ",IF(C15&lt;&gt;1,_xlfn.CONCAT(ROUND(C15,2)," *"),"")," sin(",IF(D15&lt;&gt;1,_xlfn.CONCAT(ROUND(D15,2),"*"),""),"x ",IF(G15&lt;&gt;0,_xlfn.CONCAT(" + ",ROUND(G15,2),""),""),") = ")</f>
        <v xml:space="preserve">y0 = 0.33 * sin(150*x ) = </v>
      </c>
      <c r="L15" s="67" t="str">
        <f>IF($M$15=$AJ$7,$C$15*SIN($D$15*L13 + $G$15),"")</f>
        <v/>
      </c>
      <c r="M15" s="49" t="s">
        <v>73</v>
      </c>
      <c r="N15" s="55" t="str">
        <f>IF($M$15=$AJ$7,$C$15*SIN($E$15*N13 + $G$15),"")</f>
        <v/>
      </c>
      <c r="O15" s="55" t="str">
        <f t="shared" ref="O15:AZ15" si="3">IF($M$15=$AJ$7,$C$15*SIN($E$15*O13 + $G$15),"")</f>
        <v/>
      </c>
      <c r="P15" s="55" t="str">
        <f t="shared" si="3"/>
        <v/>
      </c>
      <c r="Q15" s="55" t="str">
        <f t="shared" si="3"/>
        <v/>
      </c>
      <c r="R15" s="55" t="str">
        <f t="shared" si="3"/>
        <v/>
      </c>
      <c r="S15" s="55" t="str">
        <f t="shared" si="3"/>
        <v/>
      </c>
      <c r="T15" s="55" t="str">
        <f t="shared" si="3"/>
        <v/>
      </c>
      <c r="U15" s="55" t="str">
        <f t="shared" si="3"/>
        <v/>
      </c>
      <c r="V15" s="55" t="str">
        <f t="shared" si="3"/>
        <v/>
      </c>
      <c r="W15" s="55" t="str">
        <f t="shared" si="3"/>
        <v/>
      </c>
      <c r="X15" s="55" t="str">
        <f t="shared" si="3"/>
        <v/>
      </c>
      <c r="Y15" s="55" t="str">
        <f t="shared" si="3"/>
        <v/>
      </c>
      <c r="Z15" s="55" t="str">
        <f t="shared" si="3"/>
        <v/>
      </c>
      <c r="AA15" s="55" t="str">
        <f t="shared" si="3"/>
        <v/>
      </c>
      <c r="AB15" s="55" t="str">
        <f t="shared" si="3"/>
        <v/>
      </c>
      <c r="AC15" s="55" t="str">
        <f t="shared" si="3"/>
        <v/>
      </c>
      <c r="AD15" s="55" t="str">
        <f t="shared" si="3"/>
        <v/>
      </c>
      <c r="AE15" s="55" t="str">
        <f t="shared" si="3"/>
        <v/>
      </c>
      <c r="AF15" s="55" t="str">
        <f t="shared" si="3"/>
        <v/>
      </c>
      <c r="AG15" s="55" t="str">
        <f t="shared" si="3"/>
        <v/>
      </c>
      <c r="AH15" s="55" t="str">
        <f t="shared" si="3"/>
        <v/>
      </c>
      <c r="AI15" s="55" t="str">
        <f t="shared" si="3"/>
        <v/>
      </c>
      <c r="AJ15" s="55" t="str">
        <f t="shared" si="3"/>
        <v/>
      </c>
      <c r="AK15" s="55" t="str">
        <f t="shared" si="3"/>
        <v/>
      </c>
      <c r="AL15" s="55" t="str">
        <f t="shared" si="3"/>
        <v/>
      </c>
      <c r="AM15" s="55" t="str">
        <f t="shared" si="3"/>
        <v/>
      </c>
      <c r="AN15" s="55" t="str">
        <f t="shared" si="3"/>
        <v/>
      </c>
      <c r="AO15" s="55" t="str">
        <f t="shared" si="3"/>
        <v/>
      </c>
      <c r="AP15" s="55" t="str">
        <f t="shared" si="3"/>
        <v/>
      </c>
      <c r="AQ15" s="55" t="str">
        <f t="shared" si="3"/>
        <v/>
      </c>
      <c r="AR15" s="55" t="str">
        <f t="shared" si="3"/>
        <v/>
      </c>
      <c r="AS15" s="55" t="str">
        <f t="shared" si="3"/>
        <v/>
      </c>
      <c r="AT15" s="55" t="str">
        <f t="shared" si="3"/>
        <v/>
      </c>
      <c r="AU15" s="55" t="str">
        <f t="shared" si="3"/>
        <v/>
      </c>
      <c r="AV15" s="55" t="str">
        <f t="shared" si="3"/>
        <v/>
      </c>
      <c r="AW15" s="55" t="str">
        <f t="shared" si="3"/>
        <v/>
      </c>
      <c r="AX15" s="55" t="str">
        <f t="shared" si="3"/>
        <v/>
      </c>
      <c r="AY15" s="55" t="str">
        <f t="shared" si="3"/>
        <v/>
      </c>
      <c r="AZ15" s="55" t="str">
        <f t="shared" si="3"/>
        <v/>
      </c>
    </row>
    <row r="16" spans="3:52" x14ac:dyDescent="0.35">
      <c r="C16" s="42">
        <f>1/5</f>
        <v>0.2</v>
      </c>
      <c r="D16" s="42">
        <v>250</v>
      </c>
      <c r="E16" s="42">
        <f>2*PI()*D16/360</f>
        <v>4.3633231299858233</v>
      </c>
      <c r="F16" s="42">
        <v>0</v>
      </c>
      <c r="G16" s="73">
        <f>PI()*F16/180</f>
        <v>0</v>
      </c>
      <c r="H16" s="56"/>
      <c r="I16" s="56"/>
      <c r="K16" s="60" t="str">
        <f>_xlfn.CONCAT("y0 = ",IF(C16&lt;&gt;1,_xlfn.CONCAT(ROUND(C16,2)," *"),"")," sin(",IF(D16&lt;&gt;1,_xlfn.CONCAT(ROUND(D16,2),"*"),""),"x ",IF(G16&lt;&gt;0,_xlfn.CONCAT(" + ",ROUND(G16,2),""),""),") = ")</f>
        <v xml:space="preserve">y0 = 0.2 * sin(250*x ) = </v>
      </c>
      <c r="L16" s="68" t="str">
        <f>IF($M$16=$AJ$7,$C$16*SIN($D$16*L13 + $G$16),"")</f>
        <v/>
      </c>
      <c r="M16" s="50" t="s">
        <v>73</v>
      </c>
      <c r="N16" s="55" t="str">
        <f>IF($M$16=$AJ$7,$C$16*SIN($E$16*N13 + $G$16),"")</f>
        <v/>
      </c>
      <c r="O16" s="55" t="str">
        <f t="shared" ref="O16:AZ16" si="4">IF($M$16=$AJ$7,$C$16*SIN($E$16*O13 + $G$16),"")</f>
        <v/>
      </c>
      <c r="P16" s="55" t="str">
        <f t="shared" si="4"/>
        <v/>
      </c>
      <c r="Q16" s="55" t="str">
        <f t="shared" si="4"/>
        <v/>
      </c>
      <c r="R16" s="55" t="str">
        <f t="shared" si="4"/>
        <v/>
      </c>
      <c r="S16" s="55" t="str">
        <f t="shared" si="4"/>
        <v/>
      </c>
      <c r="T16" s="55" t="str">
        <f t="shared" si="4"/>
        <v/>
      </c>
      <c r="U16" s="55" t="str">
        <f t="shared" si="4"/>
        <v/>
      </c>
      <c r="V16" s="55" t="str">
        <f t="shared" si="4"/>
        <v/>
      </c>
      <c r="W16" s="55" t="str">
        <f t="shared" si="4"/>
        <v/>
      </c>
      <c r="X16" s="55" t="str">
        <f t="shared" si="4"/>
        <v/>
      </c>
      <c r="Y16" s="55" t="str">
        <f t="shared" si="4"/>
        <v/>
      </c>
      <c r="Z16" s="55" t="str">
        <f t="shared" si="4"/>
        <v/>
      </c>
      <c r="AA16" s="55" t="str">
        <f t="shared" si="4"/>
        <v/>
      </c>
      <c r="AB16" s="55" t="str">
        <f t="shared" si="4"/>
        <v/>
      </c>
      <c r="AC16" s="55" t="str">
        <f t="shared" si="4"/>
        <v/>
      </c>
      <c r="AD16" s="55" t="str">
        <f t="shared" si="4"/>
        <v/>
      </c>
      <c r="AE16" s="55" t="str">
        <f t="shared" si="4"/>
        <v/>
      </c>
      <c r="AF16" s="55" t="str">
        <f t="shared" si="4"/>
        <v/>
      </c>
      <c r="AG16" s="55" t="str">
        <f t="shared" si="4"/>
        <v/>
      </c>
      <c r="AH16" s="55" t="str">
        <f t="shared" si="4"/>
        <v/>
      </c>
      <c r="AI16" s="55" t="str">
        <f t="shared" si="4"/>
        <v/>
      </c>
      <c r="AJ16" s="55" t="str">
        <f t="shared" si="4"/>
        <v/>
      </c>
      <c r="AK16" s="55" t="str">
        <f t="shared" si="4"/>
        <v/>
      </c>
      <c r="AL16" s="55" t="str">
        <f t="shared" si="4"/>
        <v/>
      </c>
      <c r="AM16" s="55" t="str">
        <f t="shared" si="4"/>
        <v/>
      </c>
      <c r="AN16" s="55" t="str">
        <f t="shared" si="4"/>
        <v/>
      </c>
      <c r="AO16" s="55" t="str">
        <f t="shared" si="4"/>
        <v/>
      </c>
      <c r="AP16" s="55" t="str">
        <f t="shared" si="4"/>
        <v/>
      </c>
      <c r="AQ16" s="55" t="str">
        <f t="shared" si="4"/>
        <v/>
      </c>
      <c r="AR16" s="55" t="str">
        <f t="shared" si="4"/>
        <v/>
      </c>
      <c r="AS16" s="55" t="str">
        <f t="shared" si="4"/>
        <v/>
      </c>
      <c r="AT16" s="55" t="str">
        <f t="shared" si="4"/>
        <v/>
      </c>
      <c r="AU16" s="55" t="str">
        <f t="shared" si="4"/>
        <v/>
      </c>
      <c r="AV16" s="55" t="str">
        <f t="shared" si="4"/>
        <v/>
      </c>
      <c r="AW16" s="55" t="str">
        <f t="shared" si="4"/>
        <v/>
      </c>
      <c r="AX16" s="55" t="str">
        <f t="shared" si="4"/>
        <v/>
      </c>
      <c r="AY16" s="55" t="str">
        <f t="shared" si="4"/>
        <v/>
      </c>
      <c r="AZ16" s="55" t="str">
        <f t="shared" si="4"/>
        <v/>
      </c>
    </row>
    <row r="17" spans="3:52" x14ac:dyDescent="0.35">
      <c r="C17" s="42">
        <f>1/7</f>
        <v>0.14285714285714285</v>
      </c>
      <c r="D17" s="42">
        <v>100</v>
      </c>
      <c r="E17" s="42">
        <f>2*PI()*D17/360</f>
        <v>1.7453292519943295</v>
      </c>
      <c r="F17" s="42">
        <v>0</v>
      </c>
      <c r="G17" s="73">
        <f>PI()*F17/180</f>
        <v>0</v>
      </c>
      <c r="H17" s="56"/>
      <c r="I17" s="56"/>
      <c r="K17" s="61" t="str">
        <f>_xlfn.CONCAT("y0 = ",IF(C17&lt;&gt;1,_xlfn.CONCAT(ROUND(C17,2)," *"),"")," sin(",IF(D17&lt;&gt;1,_xlfn.CONCAT(ROUND(D17,2),"*"),""),"x ",IF(G17&lt;&gt;0,_xlfn.CONCAT(" + ",ROUND(G17,2),""),""),") = ")</f>
        <v xml:space="preserve">y0 = 0.14 * sin(100*x ) = </v>
      </c>
      <c r="L17" s="69">
        <f>IF($M$17=$AJ$7,$C$17*SIN($D$17*L13 + $G$17),"")</f>
        <v>-3.6403791687471859E-15</v>
      </c>
      <c r="M17" s="51" t="s">
        <v>72</v>
      </c>
      <c r="N17" s="55">
        <f>IF($M$17=$AJ$7,$C$17*SIN($E$17*N13 + $G$17),"")</f>
        <v>0</v>
      </c>
      <c r="O17" s="55">
        <f t="shared" ref="O17:AZ17" si="5">IF($M$17=$AJ$7,$C$17*SIN($E$17*O13 + $G$17),"")</f>
        <v>6.302738068084178E-2</v>
      </c>
      <c r="P17" s="55">
        <f t="shared" si="5"/>
        <v>0.11312316908265557</v>
      </c>
      <c r="Q17" s="55">
        <f t="shared" si="5"/>
        <v>0.14000900200026334</v>
      </c>
      <c r="R17" s="55">
        <f t="shared" si="5"/>
        <v>0.13816860022902636</v>
      </c>
      <c r="S17" s="55">
        <f t="shared" si="5"/>
        <v>0.10797956672623324</v>
      </c>
      <c r="T17" s="55">
        <f t="shared" si="5"/>
        <v>5.5635912227200809E-2</v>
      </c>
      <c r="U17" s="55">
        <f t="shared" si="5"/>
        <v>-8.1227959393346452E-3</v>
      </c>
      <c r="V17" s="55">
        <f t="shared" si="5"/>
        <v>-7.0214915964041211E-2</v>
      </c>
      <c r="W17" s="55">
        <f t="shared" si="5"/>
        <v>-0.1179007469228722</v>
      </c>
      <c r="X17" s="55">
        <f t="shared" si="5"/>
        <v>-0.14139638669606677</v>
      </c>
      <c r="Y17" s="55">
        <f t="shared" si="5"/>
        <v>-0.13588113623823028</v>
      </c>
      <c r="Z17" s="55">
        <f t="shared" si="5"/>
        <v>-0.10248658263845048</v>
      </c>
      <c r="AA17" s="55">
        <f t="shared" si="5"/>
        <v>-4.8064426646902608E-2</v>
      </c>
      <c r="AB17" s="55">
        <f t="shared" si="5"/>
        <v>1.6219309531047287E-2</v>
      </c>
      <c r="AC17" s="55">
        <f t="shared" si="5"/>
        <v>7.7175261884932525E-2</v>
      </c>
      <c r="AD17" s="55">
        <f t="shared" si="5"/>
        <v>0.12229684178128498</v>
      </c>
      <c r="AE17" s="55">
        <f t="shared" si="5"/>
        <v>0.14232626525538764</v>
      </c>
      <c r="AF17" s="55">
        <f t="shared" si="5"/>
        <v>0.1331540114108751</v>
      </c>
      <c r="AG17" s="55">
        <f t="shared" si="5"/>
        <v>9.6661990073535778E-2</v>
      </c>
      <c r="AH17" s="55">
        <f t="shared" si="5"/>
        <v>4.0337422452223125E-2</v>
      </c>
      <c r="AI17" s="55">
        <f t="shared" si="5"/>
        <v>-2.4263343467420984E-2</v>
      </c>
      <c r="AJ17" s="55">
        <f t="shared" si="5"/>
        <v>-8.3885897351956784E-2</v>
      </c>
      <c r="AK17" s="55">
        <f t="shared" si="5"/>
        <v>-0.12629722952939074</v>
      </c>
      <c r="AL17" s="55">
        <f t="shared" si="5"/>
        <v>-0.14279562893693476</v>
      </c>
      <c r="AM17" s="55">
        <f t="shared" si="5"/>
        <v>-0.12999604970896328</v>
      </c>
      <c r="AN17" s="55">
        <f t="shared" si="5"/>
        <v>-9.0524635247459032E-2</v>
      </c>
      <c r="AO17" s="55">
        <f t="shared" si="5"/>
        <v>-3.2479901355853415E-2</v>
      </c>
      <c r="AP17" s="55">
        <f t="shared" si="5"/>
        <v>3.2228870245392137E-2</v>
      </c>
      <c r="AQ17" s="55">
        <f t="shared" si="5"/>
        <v>9.0325109243742763E-2</v>
      </c>
      <c r="AR17" s="55">
        <f t="shared" si="5"/>
        <v>0.12988896639977168</v>
      </c>
      <c r="AS17" s="55">
        <f t="shared" si="5"/>
        <v>0.14280295905434306</v>
      </c>
      <c r="AT17" s="55">
        <f t="shared" si="5"/>
        <v>0.12641746912243892</v>
      </c>
      <c r="AU17" s="55">
        <f t="shared" si="5"/>
        <v>8.4094376358581413E-2</v>
      </c>
      <c r="AV17" s="55">
        <f t="shared" si="5"/>
        <v>2.4517287374651871E-2</v>
      </c>
      <c r="AW17" s="55">
        <f t="shared" si="5"/>
        <v>-4.0090116381872105E-2</v>
      </c>
      <c r="AX17" s="55">
        <f t="shared" si="5"/>
        <v>-9.6472062664693131E-2</v>
      </c>
      <c r="AY17" s="55">
        <f t="shared" si="5"/>
        <v>-0.13306043086731539</v>
      </c>
      <c r="AZ17" s="55">
        <f t="shared" si="5"/>
        <v>-0.14234823189007792</v>
      </c>
    </row>
    <row r="18" spans="3:52" ht="8.5" customHeight="1" x14ac:dyDescent="0.35">
      <c r="K18" s="41"/>
      <c r="L18" s="70"/>
      <c r="M18" s="52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</row>
    <row r="19" spans="3:52" ht="8.5" customHeight="1" x14ac:dyDescent="0.35">
      <c r="K19" s="41"/>
      <c r="L19" s="70"/>
      <c r="M19" s="52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</row>
    <row r="20" spans="3:52" ht="16.5" x14ac:dyDescent="0.35">
      <c r="K20" s="40" t="s">
        <v>66</v>
      </c>
      <c r="L20" s="71" t="str">
        <f>IF($M$20=$AJ$7,SUM(L14:L17),"")</f>
        <v/>
      </c>
      <c r="M20" s="53" t="s">
        <v>73</v>
      </c>
      <c r="N20" s="55">
        <f>IF($M$20=$AJ$7,SUM(N14:N17),0)</f>
        <v>0</v>
      </c>
      <c r="O20" s="55">
        <f t="shared" ref="O20:AZ20" si="6">IF($M$20=$AJ$7,SUM(O14:O17),0)</f>
        <v>0</v>
      </c>
      <c r="P20" s="55">
        <f t="shared" si="6"/>
        <v>0</v>
      </c>
      <c r="Q20" s="55">
        <f t="shared" si="6"/>
        <v>0</v>
      </c>
      <c r="R20" s="55">
        <f t="shared" si="6"/>
        <v>0</v>
      </c>
      <c r="S20" s="55">
        <f t="shared" si="6"/>
        <v>0</v>
      </c>
      <c r="T20" s="55">
        <f t="shared" si="6"/>
        <v>0</v>
      </c>
      <c r="U20" s="55">
        <f t="shared" si="6"/>
        <v>0</v>
      </c>
      <c r="V20" s="55">
        <f t="shared" si="6"/>
        <v>0</v>
      </c>
      <c r="W20" s="55">
        <f t="shared" si="6"/>
        <v>0</v>
      </c>
      <c r="X20" s="55">
        <f t="shared" si="6"/>
        <v>0</v>
      </c>
      <c r="Y20" s="55">
        <f t="shared" si="6"/>
        <v>0</v>
      </c>
      <c r="Z20" s="55">
        <f t="shared" si="6"/>
        <v>0</v>
      </c>
      <c r="AA20" s="55">
        <f t="shared" si="6"/>
        <v>0</v>
      </c>
      <c r="AB20" s="55">
        <f t="shared" si="6"/>
        <v>0</v>
      </c>
      <c r="AC20" s="55">
        <f t="shared" si="6"/>
        <v>0</v>
      </c>
      <c r="AD20" s="55">
        <f t="shared" si="6"/>
        <v>0</v>
      </c>
      <c r="AE20" s="55">
        <f t="shared" si="6"/>
        <v>0</v>
      </c>
      <c r="AF20" s="55">
        <f t="shared" si="6"/>
        <v>0</v>
      </c>
      <c r="AG20" s="55">
        <f t="shared" si="6"/>
        <v>0</v>
      </c>
      <c r="AH20" s="55">
        <f t="shared" si="6"/>
        <v>0</v>
      </c>
      <c r="AI20" s="55">
        <f t="shared" si="6"/>
        <v>0</v>
      </c>
      <c r="AJ20" s="55">
        <f t="shared" si="6"/>
        <v>0</v>
      </c>
      <c r="AK20" s="55">
        <f t="shared" si="6"/>
        <v>0</v>
      </c>
      <c r="AL20" s="55">
        <f t="shared" si="6"/>
        <v>0</v>
      </c>
      <c r="AM20" s="55">
        <f t="shared" si="6"/>
        <v>0</v>
      </c>
      <c r="AN20" s="55">
        <f t="shared" si="6"/>
        <v>0</v>
      </c>
      <c r="AO20" s="55">
        <f t="shared" si="6"/>
        <v>0</v>
      </c>
      <c r="AP20" s="55">
        <f t="shared" si="6"/>
        <v>0</v>
      </c>
      <c r="AQ20" s="55">
        <f t="shared" si="6"/>
        <v>0</v>
      </c>
      <c r="AR20" s="55">
        <f t="shared" si="6"/>
        <v>0</v>
      </c>
      <c r="AS20" s="55">
        <f t="shared" si="6"/>
        <v>0</v>
      </c>
      <c r="AT20" s="55">
        <f t="shared" si="6"/>
        <v>0</v>
      </c>
      <c r="AU20" s="55">
        <f t="shared" si="6"/>
        <v>0</v>
      </c>
      <c r="AV20" s="55">
        <f t="shared" si="6"/>
        <v>0</v>
      </c>
      <c r="AW20" s="55">
        <f t="shared" si="6"/>
        <v>0</v>
      </c>
      <c r="AX20" s="55">
        <f t="shared" si="6"/>
        <v>0</v>
      </c>
      <c r="AY20" s="55">
        <f t="shared" si="6"/>
        <v>0</v>
      </c>
      <c r="AZ20" s="55">
        <f t="shared" si="6"/>
        <v>0</v>
      </c>
    </row>
    <row r="21" spans="3:52" x14ac:dyDescent="0.35">
      <c r="K21" s="39"/>
      <c r="L21" s="39"/>
      <c r="M21" s="39"/>
    </row>
  </sheetData>
  <mergeCells count="4">
    <mergeCell ref="C11:G11"/>
    <mergeCell ref="C12:G12"/>
    <mergeCell ref="M12:M13"/>
    <mergeCell ref="S7:T7"/>
  </mergeCells>
  <dataValidations count="1">
    <dataValidation type="list" allowBlank="1" showInputMessage="1" showErrorMessage="1" sqref="M14:M17 M20" xr:uid="{14030FAE-C205-4F99-A125-F98CBE2B09BD}">
      <formula1>$AJ$7:$AJ$8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7D5C-D0F8-40D0-BDC5-363CB671BB60}">
  <sheetPr>
    <pageSetUpPr fitToPage="1"/>
  </sheetPr>
  <dimension ref="C1:AY19"/>
  <sheetViews>
    <sheetView showGridLines="0" zoomScale="40" zoomScaleNormal="40" workbookViewId="0">
      <selection activeCell="C2" sqref="C2"/>
    </sheetView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128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MAX(K14:K18)</f>
        <v>20</v>
      </c>
      <c r="U5" s="5"/>
      <c r="V5" s="5"/>
      <c r="W5" s="5">
        <f>K12</f>
        <v>210</v>
      </c>
      <c r="X5" s="5">
        <f>W5</f>
        <v>210</v>
      </c>
    </row>
    <row r="6" spans="3:51" x14ac:dyDescent="0.35">
      <c r="R6" s="5"/>
      <c r="S6" s="19" t="s">
        <v>79</v>
      </c>
      <c r="T6" s="55">
        <f>MIN(K14:K18)</f>
        <v>0.86602540378444159</v>
      </c>
      <c r="U6" s="5"/>
      <c r="V6" s="5"/>
      <c r="W6" s="55">
        <f>T6</f>
        <v>0.86602540378444159</v>
      </c>
      <c r="X6" s="55">
        <f>T5</f>
        <v>20</v>
      </c>
    </row>
    <row r="7" spans="3:51" x14ac:dyDescent="0.35">
      <c r="R7" s="251" t="s">
        <v>81</v>
      </c>
      <c r="S7" s="251"/>
      <c r="T7" s="5">
        <f>IF(ABS(T5)&gt;ABS(T6),T5,T6)</f>
        <v>20</v>
      </c>
      <c r="U7" s="5"/>
      <c r="V7" s="5"/>
      <c r="W7" s="5"/>
      <c r="X7" s="5"/>
      <c r="AI7" s="5" t="s">
        <v>72</v>
      </c>
      <c r="AP7" s="103"/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285"/>
      <c r="D11" s="285"/>
      <c r="E11" s="285"/>
      <c r="F11" s="285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286" t="s">
        <v>67</v>
      </c>
      <c r="D12" s="286"/>
      <c r="E12" s="286"/>
      <c r="F12" s="286"/>
      <c r="G12" s="47"/>
      <c r="H12" s="47"/>
      <c r="J12" s="57" t="s">
        <v>70</v>
      </c>
      <c r="K12" s="38">
        <v>210</v>
      </c>
      <c r="L12" s="287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>PI()*K12/180</f>
        <v>3.6651914291880923</v>
      </c>
      <c r="L13" s="288"/>
      <c r="M13" s="64">
        <f>PI()*M12/180</f>
        <v>0</v>
      </c>
      <c r="N13" s="64">
        <f>PI()*N12/180</f>
        <v>0.26179938779914941</v>
      </c>
      <c r="O13" s="64">
        <f t="shared" ref="O13:AY13" si="1">PI()*O12/180</f>
        <v>0.52359877559829882</v>
      </c>
      <c r="P13" s="64">
        <f t="shared" si="1"/>
        <v>0.78539816339744828</v>
      </c>
      <c r="Q13" s="64">
        <f t="shared" si="1"/>
        <v>1.0471975511965976</v>
      </c>
      <c r="R13" s="64">
        <f t="shared" si="1"/>
        <v>1.3089969389957472</v>
      </c>
      <c r="S13" s="64">
        <f t="shared" si="1"/>
        <v>1.5707963267948966</v>
      </c>
      <c r="T13" s="64">
        <f t="shared" si="1"/>
        <v>1.8325957145940461</v>
      </c>
      <c r="U13" s="64">
        <f t="shared" si="1"/>
        <v>2.0943951023931953</v>
      </c>
      <c r="V13" s="64">
        <f t="shared" si="1"/>
        <v>2.3561944901923448</v>
      </c>
      <c r="W13" s="64">
        <f t="shared" si="1"/>
        <v>2.6179938779914944</v>
      </c>
      <c r="X13" s="64">
        <f t="shared" si="1"/>
        <v>2.8797932657906435</v>
      </c>
      <c r="Y13" s="64">
        <f t="shared" si="1"/>
        <v>3.1415926535897931</v>
      </c>
      <c r="Z13" s="64">
        <f t="shared" si="1"/>
        <v>3.4033920413889422</v>
      </c>
      <c r="AA13" s="64">
        <f t="shared" si="1"/>
        <v>3.6651914291880923</v>
      </c>
      <c r="AB13" s="64">
        <f t="shared" si="1"/>
        <v>3.9269908169872414</v>
      </c>
      <c r="AC13" s="64">
        <f t="shared" si="1"/>
        <v>4.1887902047863905</v>
      </c>
      <c r="AD13" s="64">
        <f t="shared" si="1"/>
        <v>4.4505895925855405</v>
      </c>
      <c r="AE13" s="64">
        <f t="shared" si="1"/>
        <v>4.7123889803846897</v>
      </c>
      <c r="AF13" s="64">
        <f t="shared" si="1"/>
        <v>4.9741883681838397</v>
      </c>
      <c r="AG13" s="64">
        <f t="shared" si="1"/>
        <v>5.2359877559829888</v>
      </c>
      <c r="AH13" s="64">
        <f t="shared" si="1"/>
        <v>5.497787143782138</v>
      </c>
      <c r="AI13" s="64">
        <f t="shared" si="1"/>
        <v>5.7595865315812871</v>
      </c>
      <c r="AJ13" s="64">
        <f t="shared" si="1"/>
        <v>6.0213859193804371</v>
      </c>
      <c r="AK13" s="64">
        <f t="shared" si="1"/>
        <v>6.2831853071795862</v>
      </c>
      <c r="AL13" s="64">
        <f t="shared" si="1"/>
        <v>6.5449846949787354</v>
      </c>
      <c r="AM13" s="64">
        <f t="shared" si="1"/>
        <v>6.8067840827778845</v>
      </c>
      <c r="AN13" s="64">
        <f t="shared" si="1"/>
        <v>7.0685834705770336</v>
      </c>
      <c r="AO13" s="64">
        <f t="shared" si="1"/>
        <v>7.3303828583761845</v>
      </c>
      <c r="AP13" s="64">
        <f t="shared" si="1"/>
        <v>7.5921822461753337</v>
      </c>
      <c r="AQ13" s="64">
        <f t="shared" si="1"/>
        <v>7.8539816339744828</v>
      </c>
      <c r="AR13" s="64">
        <f t="shared" si="1"/>
        <v>8.1157810217736319</v>
      </c>
      <c r="AS13" s="64">
        <f t="shared" si="1"/>
        <v>8.3775804095727811</v>
      </c>
      <c r="AT13" s="64">
        <f t="shared" si="1"/>
        <v>8.639379797371932</v>
      </c>
      <c r="AU13" s="64">
        <f t="shared" si="1"/>
        <v>8.9011791851710811</v>
      </c>
      <c r="AV13" s="64">
        <f t="shared" si="1"/>
        <v>9.1629785729702302</v>
      </c>
      <c r="AW13" s="64">
        <f t="shared" si="1"/>
        <v>9.4247779607693793</v>
      </c>
      <c r="AX13" s="64">
        <f t="shared" si="1"/>
        <v>9.6865773485685303</v>
      </c>
      <c r="AY13" s="64">
        <f t="shared" si="1"/>
        <v>9.9483767363676794</v>
      </c>
    </row>
    <row r="14" spans="3:51" x14ac:dyDescent="0.35">
      <c r="C14" s="42">
        <v>20</v>
      </c>
      <c r="D14" s="42">
        <v>50</v>
      </c>
      <c r="E14" s="42">
        <v>30</v>
      </c>
      <c r="F14" s="73">
        <f>PI()*E14/180</f>
        <v>0.52359877559829882</v>
      </c>
      <c r="G14" s="56"/>
      <c r="H14" s="56"/>
      <c r="J14" s="58" t="str">
        <f>_xlfn.CONCAT("U = ",IF(C14&lt;&gt;1,_xlfn.CONCAT(ROUND(C14,2)," *"),"")," sin(",IF(D14&lt;&gt;1,_xlfn.CONCAT(ROUND(D14,2),"*"),""),"x ",IF(F14&lt;&gt;0,_xlfn.CONCAT(" + ",ROUND(F14,2),""),""),") = ")</f>
        <v xml:space="preserve">U = 20 * sin(50*x  + 0.52) = </v>
      </c>
      <c r="K14" s="66">
        <f>IF($L$14=$AI$7,$C$14*SIN($D$14*K13 + $F$14),0)</f>
        <v>20</v>
      </c>
      <c r="L14" s="48" t="s">
        <v>72</v>
      </c>
      <c r="M14" s="54">
        <f>IF($L$14=$AI$7,$C$14*SIN($D$14*M13 + $F$14),0)</f>
        <v>9.9999999999999982</v>
      </c>
      <c r="N14" s="54">
        <f t="shared" ref="N14:AY14" si="2">IF($L$14=$AI$7,$C$14*SIN($D$14*N13 + $F$14),0)</f>
        <v>17.320508075688757</v>
      </c>
      <c r="O14" s="54">
        <f t="shared" si="2"/>
        <v>20</v>
      </c>
      <c r="P14" s="54">
        <f t="shared" si="2"/>
        <v>17.320508075688743</v>
      </c>
      <c r="Q14" s="54">
        <f t="shared" si="2"/>
        <v>10.000000000000025</v>
      </c>
      <c r="R14" s="54">
        <f t="shared" si="2"/>
        <v>-1.9598038469847978E-14</v>
      </c>
      <c r="S14" s="54">
        <f t="shared" si="2"/>
        <v>-10.00000000000006</v>
      </c>
      <c r="T14" s="54">
        <f t="shared" si="2"/>
        <v>-17.320508075688831</v>
      </c>
      <c r="U14" s="54">
        <f t="shared" si="2"/>
        <v>-20</v>
      </c>
      <c r="V14" s="54">
        <f t="shared" si="2"/>
        <v>-17.320508075688807</v>
      </c>
      <c r="W14" s="54">
        <f t="shared" si="2"/>
        <v>-10.000000000000263</v>
      </c>
      <c r="X14" s="54">
        <f t="shared" si="2"/>
        <v>-2.5482220500361308E-13</v>
      </c>
      <c r="Y14" s="54">
        <f t="shared" si="2"/>
        <v>9.9999999999998206</v>
      </c>
      <c r="Z14" s="54">
        <f t="shared" si="2"/>
        <v>17.320508075688409</v>
      </c>
      <c r="AA14" s="54">
        <f t="shared" si="2"/>
        <v>20</v>
      </c>
      <c r="AB14" s="54">
        <f t="shared" si="2"/>
        <v>17.320508075689087</v>
      </c>
      <c r="AC14" s="54">
        <f t="shared" si="2"/>
        <v>10.000000000000501</v>
      </c>
      <c r="AD14" s="54">
        <f t="shared" si="2"/>
        <v>-3.9191740131006014E-14</v>
      </c>
      <c r="AE14" s="54">
        <f t="shared" si="2"/>
        <v>-9.9999999999995843</v>
      </c>
      <c r="AF14" s="54">
        <f t="shared" si="2"/>
        <v>-17.320508075688842</v>
      </c>
      <c r="AG14" s="54">
        <f t="shared" si="2"/>
        <v>-20</v>
      </c>
      <c r="AH14" s="54">
        <f t="shared" si="2"/>
        <v>-17.320508075688938</v>
      </c>
      <c r="AI14" s="54">
        <f t="shared" si="2"/>
        <v>-9.9999999999997531</v>
      </c>
      <c r="AJ14" s="54">
        <f t="shared" si="2"/>
        <v>9.0163987387370526E-13</v>
      </c>
      <c r="AK14" s="54">
        <f t="shared" si="2"/>
        <v>10.00000000000033</v>
      </c>
      <c r="AL14" s="54">
        <f t="shared" si="2"/>
        <v>17.320508075688707</v>
      </c>
      <c r="AM14" s="54">
        <f t="shared" si="2"/>
        <v>20</v>
      </c>
      <c r="AN14" s="54">
        <f t="shared" si="2"/>
        <v>17.320508075689361</v>
      </c>
      <c r="AO14" s="54">
        <f t="shared" si="2"/>
        <v>9.9999999999994991</v>
      </c>
      <c r="AP14" s="54">
        <f t="shared" si="2"/>
        <v>-5.878544179216405E-14</v>
      </c>
      <c r="AQ14" s="54">
        <f t="shared" si="2"/>
        <v>-9.9999999999996021</v>
      </c>
      <c r="AR14" s="54">
        <f t="shared" si="2"/>
        <v>-17.320508075688853</v>
      </c>
      <c r="AS14" s="54">
        <f t="shared" si="2"/>
        <v>-20</v>
      </c>
      <c r="AT14" s="54">
        <f t="shared" si="2"/>
        <v>-17.320508075688078</v>
      </c>
      <c r="AU14" s="54">
        <f t="shared" si="2"/>
        <v>-9.999999999999245</v>
      </c>
      <c r="AV14" s="54">
        <f t="shared" si="2"/>
        <v>3.5279938692678314E-13</v>
      </c>
      <c r="AW14" s="54">
        <f t="shared" si="2"/>
        <v>9.9999999999998561</v>
      </c>
      <c r="AX14" s="54">
        <f t="shared" si="2"/>
        <v>17.320508075689567</v>
      </c>
      <c r="AY14" s="54">
        <f t="shared" si="2"/>
        <v>20</v>
      </c>
    </row>
    <row r="15" spans="3:51" x14ac:dyDescent="0.35">
      <c r="C15" s="42">
        <v>1</v>
      </c>
      <c r="D15" s="42">
        <v>50</v>
      </c>
      <c r="E15" s="42">
        <v>0</v>
      </c>
      <c r="F15" s="73">
        <f>PI()*E15/180</f>
        <v>0</v>
      </c>
      <c r="G15" s="56"/>
      <c r="H15" s="56"/>
      <c r="J15" s="97" t="str">
        <f>_xlfn.CONCAT("I = ",IF(C15&lt;&gt;1,_xlfn.CONCAT(ROUND(C15,2)," *"),"")," sin(",IF(D15&lt;&gt;1,_xlfn.CONCAT(ROUND(D15,2),"*"),""),"x ",IF(F15&lt;&gt;0,_xlfn.CONCAT(" + ",ROUND(F15,2),""),""),") = ")</f>
        <v xml:space="preserve">I =  sin(50*x ) = </v>
      </c>
      <c r="K15" s="98">
        <f>IF($L$15=$AI$7,$C$15*SIN($D$15*K13 + $F$15),"")</f>
        <v>0.86602540378444159</v>
      </c>
      <c r="L15" s="99" t="s">
        <v>72</v>
      </c>
      <c r="M15" s="55">
        <f>IF($L$15=$AI$7,$C$15*SIN($D$15*M13 + $F$15),0)</f>
        <v>0</v>
      </c>
      <c r="N15" s="55">
        <f t="shared" ref="N15:AY15" si="3">IF($L$15=$AI$7,$C$15*SIN($D$15*N13 + $F$15),0)</f>
        <v>0.49999999999999906</v>
      </c>
      <c r="O15" s="55">
        <f t="shared" si="3"/>
        <v>0.8660254037844376</v>
      </c>
      <c r="P15" s="55">
        <f t="shared" si="3"/>
        <v>1</v>
      </c>
      <c r="Q15" s="55">
        <f t="shared" si="3"/>
        <v>0.86602540378444082</v>
      </c>
      <c r="R15" s="55">
        <f t="shared" si="3"/>
        <v>0.50000000000000167</v>
      </c>
      <c r="S15" s="55">
        <f t="shared" si="3"/>
        <v>-4.898425415289509E-16</v>
      </c>
      <c r="T15" s="55">
        <f t="shared" si="3"/>
        <v>-0.50000000000000255</v>
      </c>
      <c r="U15" s="55">
        <f t="shared" si="3"/>
        <v>-0.86602540378443427</v>
      </c>
      <c r="V15" s="55">
        <f t="shared" si="3"/>
        <v>-1</v>
      </c>
      <c r="W15" s="55">
        <f t="shared" si="3"/>
        <v>-0.86602540378444059</v>
      </c>
      <c r="X15" s="55">
        <f t="shared" si="3"/>
        <v>-0.50000000000000122</v>
      </c>
      <c r="Y15" s="55">
        <f t="shared" si="3"/>
        <v>9.7968508305790181E-16</v>
      </c>
      <c r="Z15" s="55">
        <f t="shared" si="3"/>
        <v>0.49999999999997835</v>
      </c>
      <c r="AA15" s="55">
        <f t="shared" si="3"/>
        <v>0.86602540378444159</v>
      </c>
      <c r="AB15" s="55">
        <f t="shared" si="3"/>
        <v>1</v>
      </c>
      <c r="AC15" s="55">
        <f t="shared" si="3"/>
        <v>0.86602540378444748</v>
      </c>
      <c r="AD15" s="55">
        <f t="shared" si="3"/>
        <v>0.49999999999998856</v>
      </c>
      <c r="AE15" s="55">
        <f t="shared" si="3"/>
        <v>1.2741327090615151E-14</v>
      </c>
      <c r="AF15" s="55">
        <f t="shared" si="3"/>
        <v>-0.50000000000001565</v>
      </c>
      <c r="AG15" s="55">
        <f t="shared" si="3"/>
        <v>-0.86602540378443471</v>
      </c>
      <c r="AH15" s="55">
        <f t="shared" si="3"/>
        <v>-1</v>
      </c>
      <c r="AI15" s="55">
        <f t="shared" si="3"/>
        <v>-0.86602540378444015</v>
      </c>
      <c r="AJ15" s="55">
        <f t="shared" si="3"/>
        <v>-0.4999999999999758</v>
      </c>
      <c r="AK15" s="55">
        <f t="shared" si="3"/>
        <v>1.9593701661158036E-15</v>
      </c>
      <c r="AL15" s="55">
        <f t="shared" si="3"/>
        <v>0.49999999999997918</v>
      </c>
      <c r="AM15" s="55">
        <f t="shared" si="3"/>
        <v>0.86602540378441362</v>
      </c>
      <c r="AN15" s="55">
        <f t="shared" si="3"/>
        <v>1</v>
      </c>
      <c r="AO15" s="55">
        <f t="shared" si="3"/>
        <v>0.86602540378443271</v>
      </c>
      <c r="AP15" s="55">
        <f t="shared" si="3"/>
        <v>0.50000000000001232</v>
      </c>
      <c r="AQ15" s="55">
        <f t="shared" si="3"/>
        <v>4.0183351437961257E-14</v>
      </c>
      <c r="AR15" s="55">
        <f t="shared" si="3"/>
        <v>-0.49999999999999195</v>
      </c>
      <c r="AS15" s="55">
        <f t="shared" si="3"/>
        <v>-0.86602540378442106</v>
      </c>
      <c r="AT15" s="55">
        <f t="shared" si="3"/>
        <v>-1</v>
      </c>
      <c r="AU15" s="55">
        <f t="shared" si="3"/>
        <v>-0.86602540378442538</v>
      </c>
      <c r="AV15" s="55">
        <f t="shared" si="3"/>
        <v>-0.49999999999999956</v>
      </c>
      <c r="AW15" s="55">
        <f t="shared" si="3"/>
        <v>-2.5482654181230302E-14</v>
      </c>
      <c r="AX15" s="55">
        <f t="shared" si="3"/>
        <v>0.50000000000005385</v>
      </c>
      <c r="AY15" s="55">
        <f t="shared" si="3"/>
        <v>0.8660254037844568</v>
      </c>
    </row>
    <row r="16" spans="3:51" ht="8.5" customHeight="1" x14ac:dyDescent="0.35">
      <c r="J16" s="41"/>
      <c r="K16" s="70"/>
      <c r="L16" s="52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</row>
    <row r="17" spans="10:51" ht="8.5" customHeight="1" x14ac:dyDescent="0.35">
      <c r="J17" s="41"/>
      <c r="K17" s="70"/>
      <c r="L17" s="52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</row>
    <row r="18" spans="10:51" x14ac:dyDescent="0.35">
      <c r="J18" s="100" t="s">
        <v>130</v>
      </c>
      <c r="K18" s="101">
        <f>IF($L$18=$AI$7,K14*K15,"")</f>
        <v>17.320508075688831</v>
      </c>
      <c r="L18" s="102" t="s">
        <v>72</v>
      </c>
      <c r="M18" s="55">
        <f>IF($L$18=$AI$7,M14*M15,0)</f>
        <v>0</v>
      </c>
      <c r="N18" s="55">
        <f t="shared" ref="N18:AY18" si="4">IF($L$18=$AI$7,N14*N15,0)</f>
        <v>8.6602540378443624</v>
      </c>
      <c r="O18" s="55">
        <f t="shared" si="4"/>
        <v>17.320508075688753</v>
      </c>
      <c r="P18" s="55">
        <f t="shared" si="4"/>
        <v>17.320508075688743</v>
      </c>
      <c r="Q18" s="55">
        <f t="shared" si="4"/>
        <v>8.6602540378444299</v>
      </c>
      <c r="R18" s="55">
        <f t="shared" si="4"/>
        <v>-9.7990192349240222E-15</v>
      </c>
      <c r="S18" s="55">
        <f t="shared" si="4"/>
        <v>4.898425415289539E-15</v>
      </c>
      <c r="T18" s="55">
        <f t="shared" si="4"/>
        <v>8.6602540378444601</v>
      </c>
      <c r="U18" s="55">
        <f t="shared" si="4"/>
        <v>17.320508075688686</v>
      </c>
      <c r="V18" s="55">
        <f t="shared" si="4"/>
        <v>17.320508075688807</v>
      </c>
      <c r="W18" s="55">
        <f t="shared" si="4"/>
        <v>8.6602540378446342</v>
      </c>
      <c r="X18" s="55">
        <f t="shared" si="4"/>
        <v>1.2741110250180684E-13</v>
      </c>
      <c r="Y18" s="55">
        <f t="shared" si="4"/>
        <v>9.7968508305788429E-15</v>
      </c>
      <c r="Z18" s="55">
        <f t="shared" si="4"/>
        <v>8.6602540378438295</v>
      </c>
      <c r="AA18" s="55">
        <f t="shared" si="4"/>
        <v>17.320508075688831</v>
      </c>
      <c r="AB18" s="55">
        <f t="shared" si="4"/>
        <v>17.320508075689087</v>
      </c>
      <c r="AC18" s="55">
        <f t="shared" si="4"/>
        <v>8.6602540378449078</v>
      </c>
      <c r="AD18" s="55">
        <f t="shared" si="4"/>
        <v>-1.9595870065502559E-14</v>
      </c>
      <c r="AE18" s="55">
        <f t="shared" si="4"/>
        <v>-1.2741327090614621E-13</v>
      </c>
      <c r="AF18" s="55">
        <f t="shared" si="4"/>
        <v>8.6602540378446928</v>
      </c>
      <c r="AG18" s="55">
        <f t="shared" si="4"/>
        <v>17.320508075688693</v>
      </c>
      <c r="AH18" s="55">
        <f t="shared" si="4"/>
        <v>17.320508075688938</v>
      </c>
      <c r="AI18" s="55">
        <f t="shared" si="4"/>
        <v>8.6602540378441883</v>
      </c>
      <c r="AJ18" s="55">
        <f t="shared" si="4"/>
        <v>-4.5081993693683082E-13</v>
      </c>
      <c r="AK18" s="55">
        <f t="shared" si="4"/>
        <v>1.9593701661158683E-14</v>
      </c>
      <c r="AL18" s="55">
        <f t="shared" si="4"/>
        <v>8.6602540378439929</v>
      </c>
      <c r="AM18" s="55">
        <f t="shared" si="4"/>
        <v>17.320508075688274</v>
      </c>
      <c r="AN18" s="55">
        <f t="shared" si="4"/>
        <v>17.320508075689361</v>
      </c>
      <c r="AO18" s="55">
        <f t="shared" si="4"/>
        <v>8.6602540378438935</v>
      </c>
      <c r="AP18" s="55">
        <f t="shared" si="4"/>
        <v>-2.9392720896082751E-14</v>
      </c>
      <c r="AQ18" s="55">
        <f t="shared" si="4"/>
        <v>-4.0183351437959656E-13</v>
      </c>
      <c r="AR18" s="55">
        <f t="shared" si="4"/>
        <v>8.6602540378442878</v>
      </c>
      <c r="AS18" s="55">
        <f t="shared" si="4"/>
        <v>17.320508075688423</v>
      </c>
      <c r="AT18" s="55">
        <f t="shared" si="4"/>
        <v>17.320508075688078</v>
      </c>
      <c r="AU18" s="55">
        <f t="shared" si="4"/>
        <v>8.6602540378436004</v>
      </c>
      <c r="AV18" s="55">
        <f t="shared" si="4"/>
        <v>-1.7639969346339142E-13</v>
      </c>
      <c r="AW18" s="55">
        <f t="shared" si="4"/>
        <v>-2.5482654181229933E-13</v>
      </c>
      <c r="AX18" s="55">
        <f t="shared" si="4"/>
        <v>8.660254037845716</v>
      </c>
      <c r="AY18" s="55">
        <f t="shared" si="4"/>
        <v>17.320508075689137</v>
      </c>
    </row>
    <row r="19" spans="10:51" x14ac:dyDescent="0.35">
      <c r="J19" s="39"/>
      <c r="K19" s="39"/>
      <c r="L19" s="39"/>
    </row>
  </sheetData>
  <mergeCells count="4">
    <mergeCell ref="R7:S7"/>
    <mergeCell ref="C11:F11"/>
    <mergeCell ref="C12:F12"/>
    <mergeCell ref="L12:L13"/>
  </mergeCells>
  <dataValidations count="1">
    <dataValidation type="list" allowBlank="1" showInputMessage="1" showErrorMessage="1" sqref="L14:L15 L18 AP7" xr:uid="{C8E29193-96AE-404C-87B8-B84194F32E1C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A3B9-96CB-466D-8D95-4B5F44B0AC67}">
  <sheetPr>
    <pageSetUpPr fitToPage="1"/>
  </sheetPr>
  <dimension ref="C2:AC273"/>
  <sheetViews>
    <sheetView showGridLines="0" zoomScale="40" zoomScaleNormal="40" zoomScalePageLayoutView="25" workbookViewId="0">
      <selection activeCell="AJ24" sqref="AJ24"/>
    </sheetView>
  </sheetViews>
  <sheetFormatPr baseColWidth="10" defaultRowHeight="15.5" x14ac:dyDescent="0.35"/>
  <cols>
    <col min="16" max="16" width="50.54296875" style="140" customWidth="1"/>
    <col min="17" max="17" width="4.90625" style="167" customWidth="1"/>
    <col min="18" max="18" width="34.6328125" style="141" customWidth="1"/>
    <col min="19" max="19" width="3.81640625" style="163" customWidth="1"/>
    <col min="20" max="20" width="12" customWidth="1"/>
    <col min="21" max="21" width="50.54296875" style="1" customWidth="1"/>
    <col min="22" max="22" width="4.90625" style="52" customWidth="1"/>
    <col min="23" max="23" width="24.6328125" customWidth="1"/>
    <col min="24" max="24" width="3.81640625" customWidth="1"/>
    <col min="26" max="26" width="50.54296875" customWidth="1"/>
    <col min="27" max="27" width="4.90625" style="74" customWidth="1"/>
    <col min="28" max="28" width="24.6328125" customWidth="1"/>
    <col min="29" max="29" width="3.81640625" customWidth="1"/>
  </cols>
  <sheetData>
    <row r="2" spans="3:29" ht="26" x14ac:dyDescent="0.6">
      <c r="C2" s="44" t="s">
        <v>342</v>
      </c>
    </row>
    <row r="5" spans="3:29" ht="24" x14ac:dyDescent="0.65">
      <c r="P5" s="156" t="s">
        <v>354</v>
      </c>
      <c r="Q5" s="155" t="s">
        <v>353</v>
      </c>
      <c r="R5" s="142">
        <v>0.5</v>
      </c>
      <c r="S5" s="195" t="s">
        <v>341</v>
      </c>
      <c r="U5" s="193" t="str">
        <f>U59</f>
        <v>U1</v>
      </c>
      <c r="V5" s="217" t="str">
        <f>V59</f>
        <v xml:space="preserve"> =</v>
      </c>
      <c r="W5" s="193">
        <f>W59</f>
        <v>0.38502673796791448</v>
      </c>
      <c r="X5" s="211" t="str">
        <f>X59</f>
        <v>V</v>
      </c>
      <c r="Z5" s="205" t="str">
        <f>U98</f>
        <v>I1 = I23 = I123</v>
      </c>
      <c r="AA5" s="204" t="str">
        <f>V98</f>
        <v xml:space="preserve"> =</v>
      </c>
      <c r="AB5" s="205">
        <f>W98</f>
        <v>0.77005347593582896</v>
      </c>
      <c r="AC5" s="203" t="str">
        <f>X98</f>
        <v>A</v>
      </c>
    </row>
    <row r="6" spans="3:29" ht="24" x14ac:dyDescent="0.65">
      <c r="P6" s="156" t="s">
        <v>355</v>
      </c>
      <c r="Q6" s="155" t="s">
        <v>353</v>
      </c>
      <c r="R6" s="142">
        <v>0.5</v>
      </c>
      <c r="S6" s="195" t="s">
        <v>341</v>
      </c>
      <c r="U6" s="193" t="str">
        <f>U62</f>
        <v>U1 = U2 = U23</v>
      </c>
      <c r="V6" s="217" t="str">
        <f>V62</f>
        <v xml:space="preserve"> =</v>
      </c>
      <c r="W6" s="193">
        <f>W62</f>
        <v>0.25668449197860965</v>
      </c>
      <c r="X6" s="211" t="str">
        <f>X62</f>
        <v>V</v>
      </c>
      <c r="Z6" s="205" t="str">
        <f>U18</f>
        <v>I2</v>
      </c>
      <c r="AA6" s="204" t="str">
        <f>V18</f>
        <v xml:space="preserve"> =</v>
      </c>
      <c r="AB6" s="203">
        <f>W18</f>
        <v>0.5133689839572193</v>
      </c>
      <c r="AC6" s="203" t="str">
        <f>X18</f>
        <v>A</v>
      </c>
    </row>
    <row r="7" spans="3:29" ht="24" x14ac:dyDescent="0.65">
      <c r="P7" s="156" t="s">
        <v>356</v>
      </c>
      <c r="Q7" s="155" t="s">
        <v>353</v>
      </c>
      <c r="R7" s="142">
        <v>1</v>
      </c>
      <c r="S7" s="195" t="s">
        <v>341</v>
      </c>
      <c r="U7" s="193" t="str">
        <f>U62</f>
        <v>U1 = U2 = U23</v>
      </c>
      <c r="V7" s="217" t="str">
        <f>V62</f>
        <v xml:space="preserve"> =</v>
      </c>
      <c r="W7" s="193">
        <f>W62</f>
        <v>0.25668449197860965</v>
      </c>
      <c r="X7" s="211" t="str">
        <f>X62</f>
        <v>V</v>
      </c>
      <c r="Z7" s="205" t="str">
        <f>U21</f>
        <v>I3</v>
      </c>
      <c r="AA7" s="204" t="str">
        <f>V21</f>
        <v xml:space="preserve"> =</v>
      </c>
      <c r="AB7" s="205">
        <f>W21</f>
        <v>0.25668449197860965</v>
      </c>
      <c r="AC7" s="203" t="str">
        <f>X21</f>
        <v>A</v>
      </c>
    </row>
    <row r="8" spans="3:29" ht="24" x14ac:dyDescent="0.65">
      <c r="P8" s="156" t="s">
        <v>357</v>
      </c>
      <c r="Q8" s="155" t="s">
        <v>353</v>
      </c>
      <c r="R8" s="142">
        <v>1</v>
      </c>
      <c r="S8" s="195" t="s">
        <v>341</v>
      </c>
      <c r="U8" s="193" t="str">
        <f>U88</f>
        <v>U4 = U5 = U123 = U12345</v>
      </c>
      <c r="V8" s="217" t="str">
        <f>V88</f>
        <v xml:space="preserve"> =</v>
      </c>
      <c r="W8" s="193">
        <f>W88</f>
        <v>0.64171122994652408</v>
      </c>
      <c r="X8" s="211" t="str">
        <f>X88</f>
        <v>V</v>
      </c>
      <c r="Z8" s="205" t="str">
        <f>U24</f>
        <v>I4</v>
      </c>
      <c r="AA8" s="204" t="str">
        <f>V24</f>
        <v xml:space="preserve"> =</v>
      </c>
      <c r="AB8" s="205">
        <f>W24</f>
        <v>0.64171122994652408</v>
      </c>
      <c r="AC8" s="203" t="str">
        <f>X24</f>
        <v>A</v>
      </c>
    </row>
    <row r="9" spans="3:29" ht="24" x14ac:dyDescent="0.65">
      <c r="P9" s="156" t="s">
        <v>358</v>
      </c>
      <c r="Q9" s="155" t="s">
        <v>353</v>
      </c>
      <c r="R9" s="142">
        <v>2</v>
      </c>
      <c r="S9" s="195" t="s">
        <v>341</v>
      </c>
      <c r="U9" s="193" t="str">
        <f>U88</f>
        <v>U4 = U5 = U123 = U12345</v>
      </c>
      <c r="V9" s="217" t="str">
        <f>V88</f>
        <v xml:space="preserve"> =</v>
      </c>
      <c r="W9" s="193">
        <f>W88</f>
        <v>0.64171122994652408</v>
      </c>
      <c r="X9" s="211" t="str">
        <f>X88</f>
        <v>V</v>
      </c>
      <c r="Z9" s="205" t="str">
        <f>U27</f>
        <v>I5</v>
      </c>
      <c r="AA9" s="204" t="str">
        <f>V27</f>
        <v xml:space="preserve"> =</v>
      </c>
      <c r="AB9" s="205">
        <f>W27</f>
        <v>0.32085561497326204</v>
      </c>
      <c r="AC9" s="203" t="str">
        <f>X27</f>
        <v>A</v>
      </c>
    </row>
    <row r="10" spans="3:29" ht="24" x14ac:dyDescent="0.65">
      <c r="P10" s="156" t="s">
        <v>359</v>
      </c>
      <c r="Q10" s="155" t="s">
        <v>353</v>
      </c>
      <c r="R10" s="142">
        <v>2</v>
      </c>
      <c r="S10" s="195" t="s">
        <v>341</v>
      </c>
      <c r="U10" s="193" t="str">
        <f>U144</f>
        <v>U6</v>
      </c>
      <c r="V10" s="217" t="str">
        <f>V144</f>
        <v xml:space="preserve"> =</v>
      </c>
      <c r="W10" s="193">
        <f>W144</f>
        <v>3.4652406417112305</v>
      </c>
      <c r="X10" s="211" t="str">
        <f>X144</f>
        <v>V</v>
      </c>
      <c r="Z10" s="205" t="str">
        <f>U183</f>
        <v>I6 = I12345 = I123456</v>
      </c>
      <c r="AA10" s="204" t="str">
        <f>V183</f>
        <v xml:space="preserve"> =</v>
      </c>
      <c r="AB10" s="205">
        <f>W183</f>
        <v>1.7326203208556152</v>
      </c>
      <c r="AC10" s="203" t="str">
        <f>X183</f>
        <v>A</v>
      </c>
    </row>
    <row r="11" spans="3:29" ht="24" x14ac:dyDescent="0.65">
      <c r="P11" s="156" t="s">
        <v>360</v>
      </c>
      <c r="Q11" s="155" t="s">
        <v>353</v>
      </c>
      <c r="R11" s="142">
        <v>0.5</v>
      </c>
      <c r="S11" s="195" t="s">
        <v>341</v>
      </c>
      <c r="U11" s="193" t="str">
        <f>U31</f>
        <v>U7</v>
      </c>
      <c r="V11" s="217" t="str">
        <f>V31</f>
        <v xml:space="preserve"> =</v>
      </c>
      <c r="W11" s="193">
        <f>W31</f>
        <v>2.0534759358288772</v>
      </c>
      <c r="X11" s="211" t="str">
        <f>X31</f>
        <v>V</v>
      </c>
      <c r="Z11" s="205" t="str">
        <f>U68</f>
        <v>I7 = I8 = I78</v>
      </c>
      <c r="AA11" s="204" t="str">
        <f>V68</f>
        <v xml:space="preserve"> =</v>
      </c>
      <c r="AB11" s="205">
        <f>W68</f>
        <v>4.1069518716577544</v>
      </c>
      <c r="AC11" s="203" t="str">
        <f>X68</f>
        <v>A</v>
      </c>
    </row>
    <row r="12" spans="3:29" ht="24" x14ac:dyDescent="0.65">
      <c r="P12" s="156" t="s">
        <v>361</v>
      </c>
      <c r="Q12" s="155" t="s">
        <v>353</v>
      </c>
      <c r="R12" s="142">
        <v>0.5</v>
      </c>
      <c r="S12" s="195" t="s">
        <v>341</v>
      </c>
      <c r="U12" s="193" t="str">
        <f>U34</f>
        <v>U8</v>
      </c>
      <c r="V12" s="217" t="str">
        <f>V34</f>
        <v xml:space="preserve"> =</v>
      </c>
      <c r="W12" s="193">
        <f>W34</f>
        <v>2.0534759358288772</v>
      </c>
      <c r="X12" s="211" t="str">
        <f>X34</f>
        <v>V</v>
      </c>
      <c r="Z12" s="205" t="str">
        <f>U68</f>
        <v>I7 = I8 = I78</v>
      </c>
      <c r="AA12" s="204" t="str">
        <f>V68</f>
        <v xml:space="preserve"> =</v>
      </c>
      <c r="AB12" s="205">
        <f>W68</f>
        <v>4.1069518716577544</v>
      </c>
      <c r="AC12" s="203" t="str">
        <f>X68</f>
        <v>A</v>
      </c>
    </row>
    <row r="13" spans="3:29" ht="24" x14ac:dyDescent="0.65">
      <c r="P13" s="156" t="s">
        <v>362</v>
      </c>
      <c r="Q13" s="155" t="s">
        <v>353</v>
      </c>
      <c r="R13" s="142">
        <v>2</v>
      </c>
      <c r="S13" s="195" t="s">
        <v>341</v>
      </c>
      <c r="U13" s="193" t="str">
        <f>U172</f>
        <v>U9 = U123456789 = U78 = U123456</v>
      </c>
      <c r="V13" s="217" t="str">
        <f>V172</f>
        <v xml:space="preserve"> =</v>
      </c>
      <c r="W13" s="193">
        <f>W172</f>
        <v>4.1069518716577544</v>
      </c>
      <c r="X13" s="211" t="str">
        <f>X172</f>
        <v>V</v>
      </c>
      <c r="Z13" s="205" t="str">
        <f>U65</f>
        <v>I9</v>
      </c>
      <c r="AA13" s="204" t="str">
        <f>V65</f>
        <v xml:space="preserve"> =</v>
      </c>
      <c r="AB13" s="205">
        <f>W65</f>
        <v>2.0534759358288772</v>
      </c>
      <c r="AC13" s="203" t="str">
        <f>X65</f>
        <v>A</v>
      </c>
    </row>
    <row r="14" spans="3:29" ht="24" x14ac:dyDescent="0.65">
      <c r="P14" s="156" t="s">
        <v>363</v>
      </c>
      <c r="Q14" s="155" t="s">
        <v>353</v>
      </c>
      <c r="R14" s="142">
        <v>1</v>
      </c>
      <c r="S14" s="195" t="s">
        <v>341</v>
      </c>
      <c r="U14" s="193" t="str">
        <f>U229</f>
        <v>U10</v>
      </c>
      <c r="V14" s="217" t="str">
        <f>V229</f>
        <v xml:space="preserve"> =</v>
      </c>
      <c r="W14" s="193">
        <f>W229</f>
        <v>7.8930481283422456</v>
      </c>
      <c r="X14" s="211" t="str">
        <f>X229</f>
        <v>V</v>
      </c>
      <c r="Z14" s="205" t="str">
        <f>U273</f>
        <v>I10 = I123456789 = ITot</v>
      </c>
      <c r="AA14" s="204" t="str">
        <f>V273</f>
        <v xml:space="preserve"> =</v>
      </c>
      <c r="AB14" s="205">
        <f>W273</f>
        <v>7.8930481283422456</v>
      </c>
      <c r="AC14" s="203" t="str">
        <f>X273</f>
        <v>A</v>
      </c>
    </row>
    <row r="15" spans="3:29" ht="24" x14ac:dyDescent="0.65">
      <c r="P15" s="190" t="s">
        <v>423</v>
      </c>
      <c r="Q15" s="191" t="s">
        <v>353</v>
      </c>
      <c r="R15" s="192">
        <f>R273</f>
        <v>1.5203252032520327</v>
      </c>
      <c r="S15" s="196" t="s">
        <v>340</v>
      </c>
      <c r="U15" s="157" t="s">
        <v>422</v>
      </c>
      <c r="V15" s="218" t="s">
        <v>353</v>
      </c>
      <c r="W15" s="142">
        <v>12</v>
      </c>
      <c r="X15" s="212" t="s">
        <v>340</v>
      </c>
      <c r="Z15" s="205" t="str">
        <f>U273</f>
        <v>I10 = I123456789 = ITot</v>
      </c>
      <c r="AA15" s="204" t="str">
        <f>V273</f>
        <v xml:space="preserve"> =</v>
      </c>
      <c r="AB15" s="203">
        <f>W273</f>
        <v>7.8930481283422456</v>
      </c>
      <c r="AC15" s="203" t="str">
        <f>X273</f>
        <v>A</v>
      </c>
    </row>
    <row r="16" spans="3:29" x14ac:dyDescent="0.35">
      <c r="G16" s="139"/>
    </row>
    <row r="17" spans="16:24" ht="35.5" customHeight="1" x14ac:dyDescent="0.8">
      <c r="U17" s="147" t="s">
        <v>410</v>
      </c>
      <c r="V17" s="218" t="s">
        <v>353</v>
      </c>
      <c r="W17" s="169" t="s">
        <v>416</v>
      </c>
      <c r="X17" s="5"/>
    </row>
    <row r="18" spans="16:24" ht="35.5" customHeight="1" x14ac:dyDescent="0.8">
      <c r="P18" s="206" t="str">
        <f>P59</f>
        <v>R23</v>
      </c>
      <c r="Q18" s="207" t="str">
        <f>Q59</f>
        <v xml:space="preserve"> =</v>
      </c>
      <c r="R18" s="206">
        <f>R59</f>
        <v>0.33333333333333331</v>
      </c>
      <c r="S18" s="208" t="str">
        <f>S59</f>
        <v>Ω</v>
      </c>
      <c r="U18" s="175" t="s">
        <v>410</v>
      </c>
      <c r="V18" s="219" t="s">
        <v>353</v>
      </c>
      <c r="W18" s="176">
        <f>W62/R6</f>
        <v>0.5133689839572193</v>
      </c>
      <c r="X18" s="176" t="s">
        <v>44</v>
      </c>
    </row>
    <row r="19" spans="16:24" ht="35.5" customHeight="1" x14ac:dyDescent="0.35">
      <c r="P19" s="206" t="str">
        <f>P62</f>
        <v>R45</v>
      </c>
      <c r="Q19" s="207" t="str">
        <f>Q62</f>
        <v xml:space="preserve"> =</v>
      </c>
      <c r="R19" s="206">
        <f>R62</f>
        <v>0.66666666666666663</v>
      </c>
      <c r="S19" s="208" t="str">
        <f>S62</f>
        <v>Ω</v>
      </c>
    </row>
    <row r="20" spans="16:24" ht="35.5" customHeight="1" x14ac:dyDescent="0.8">
      <c r="P20" s="206" t="str">
        <f>P65</f>
        <v>R78</v>
      </c>
      <c r="Q20" s="207" t="str">
        <f>Q65</f>
        <v xml:space="preserve"> =</v>
      </c>
      <c r="R20" s="206">
        <f>R65</f>
        <v>1</v>
      </c>
      <c r="S20" s="208" t="str">
        <f>S65</f>
        <v>Ω</v>
      </c>
      <c r="U20" s="147" t="s">
        <v>411</v>
      </c>
      <c r="V20" s="218" t="s">
        <v>353</v>
      </c>
      <c r="W20" s="169" t="s">
        <v>417</v>
      </c>
      <c r="X20" s="5"/>
    </row>
    <row r="21" spans="16:24" ht="35.5" customHeight="1" x14ac:dyDescent="0.8">
      <c r="U21" s="175" t="s">
        <v>411</v>
      </c>
      <c r="V21" s="219" t="s">
        <v>353</v>
      </c>
      <c r="W21" s="176">
        <f>W62/R7</f>
        <v>0.25668449197860965</v>
      </c>
      <c r="X21" s="176" t="s">
        <v>44</v>
      </c>
    </row>
    <row r="22" spans="16:24" ht="35.5" customHeight="1" x14ac:dyDescent="0.35">
      <c r="P22" s="206" t="str">
        <f>P98</f>
        <v>R123</v>
      </c>
      <c r="Q22" s="207" t="str">
        <f>Q98</f>
        <v xml:space="preserve"> =</v>
      </c>
      <c r="R22" s="206">
        <f>R98</f>
        <v>0.83333333333333326</v>
      </c>
      <c r="S22" s="208" t="str">
        <f>S98</f>
        <v>Ω</v>
      </c>
    </row>
    <row r="23" spans="16:24" ht="35.5" customHeight="1" x14ac:dyDescent="0.8">
      <c r="P23" s="206" t="str">
        <f>P101</f>
        <v>R789</v>
      </c>
      <c r="Q23" s="207" t="str">
        <f>Q101</f>
        <v xml:space="preserve"> =</v>
      </c>
      <c r="R23" s="206">
        <f>R101</f>
        <v>0.66666666666666663</v>
      </c>
      <c r="S23" s="208" t="str">
        <f>S101</f>
        <v>Ω</v>
      </c>
      <c r="U23" s="147" t="s">
        <v>412</v>
      </c>
      <c r="V23" s="218" t="s">
        <v>353</v>
      </c>
      <c r="W23" s="169" t="s">
        <v>418</v>
      </c>
      <c r="X23" s="5"/>
    </row>
    <row r="24" spans="16:24" ht="35.5" customHeight="1" x14ac:dyDescent="0.8">
      <c r="U24" s="175" t="s">
        <v>412</v>
      </c>
      <c r="V24" s="219" t="s">
        <v>353</v>
      </c>
      <c r="W24" s="176">
        <f>W88/R8</f>
        <v>0.64171122994652408</v>
      </c>
      <c r="X24" s="176" t="s">
        <v>44</v>
      </c>
    </row>
    <row r="25" spans="16:24" ht="35.5" customHeight="1" x14ac:dyDescent="0.35">
      <c r="P25" s="206" t="str">
        <f>P141</f>
        <v>R12345</v>
      </c>
      <c r="Q25" s="207" t="str">
        <f>Q141</f>
        <v xml:space="preserve"> =</v>
      </c>
      <c r="R25" s="206">
        <f>R141</f>
        <v>0.37037037037037035</v>
      </c>
      <c r="S25" s="208" t="str">
        <f>S141</f>
        <v>Ω</v>
      </c>
    </row>
    <row r="26" spans="16:24" ht="35.5" customHeight="1" x14ac:dyDescent="0.8">
      <c r="U26" s="147" t="s">
        <v>413</v>
      </c>
      <c r="V26" s="218" t="s">
        <v>353</v>
      </c>
      <c r="W26" s="169" t="s">
        <v>419</v>
      </c>
      <c r="X26" s="5"/>
    </row>
    <row r="27" spans="16:24" ht="35.5" customHeight="1" x14ac:dyDescent="0.8">
      <c r="P27" s="206" t="str">
        <f>P180</f>
        <v>R123456</v>
      </c>
      <c r="Q27" s="207" t="str">
        <f>Q180</f>
        <v xml:space="preserve"> =</v>
      </c>
      <c r="R27" s="206">
        <f>R180</f>
        <v>2.3703703703703702</v>
      </c>
      <c r="S27" s="208" t="str">
        <f>S180</f>
        <v>Ω</v>
      </c>
      <c r="U27" s="175" t="s">
        <v>413</v>
      </c>
      <c r="V27" s="219" t="s">
        <v>353</v>
      </c>
      <c r="W27" s="176">
        <f>W88/R9</f>
        <v>0.32085561497326204</v>
      </c>
      <c r="X27" s="176" t="s">
        <v>44</v>
      </c>
    </row>
    <row r="28" spans="16:24" ht="35.5" customHeight="1" x14ac:dyDescent="0.35"/>
    <row r="29" spans="16:24" ht="35.5" customHeight="1" x14ac:dyDescent="0.35">
      <c r="P29" s="206" t="str">
        <f>P226</f>
        <v>R123456789</v>
      </c>
      <c r="Q29" s="207" t="str">
        <f>Q226</f>
        <v xml:space="preserve"> =</v>
      </c>
      <c r="R29" s="206">
        <f>R226</f>
        <v>0.52032520325203258</v>
      </c>
      <c r="S29" s="208" t="str">
        <f>S226</f>
        <v>Ω</v>
      </c>
    </row>
    <row r="30" spans="16:24" ht="35.5" customHeight="1" x14ac:dyDescent="0.85">
      <c r="U30" s="180" t="s">
        <v>414</v>
      </c>
      <c r="V30" s="218" t="s">
        <v>353</v>
      </c>
      <c r="W30" s="182" t="s">
        <v>420</v>
      </c>
      <c r="X30" s="213"/>
    </row>
    <row r="31" spans="16:24" ht="35.5" customHeight="1" x14ac:dyDescent="0.85">
      <c r="P31" s="206" t="str">
        <f>P273</f>
        <v>RTot</v>
      </c>
      <c r="Q31" s="207" t="str">
        <f>Q273</f>
        <v xml:space="preserve"> =</v>
      </c>
      <c r="R31" s="206">
        <f>R273</f>
        <v>1.5203252032520327</v>
      </c>
      <c r="S31" s="208" t="str">
        <f>S273</f>
        <v>Ω</v>
      </c>
      <c r="U31" s="185" t="s">
        <v>414</v>
      </c>
      <c r="V31" s="219" t="s">
        <v>353</v>
      </c>
      <c r="W31" s="186">
        <f>W68*R11</f>
        <v>2.0534759358288772</v>
      </c>
      <c r="X31" s="186" t="s">
        <v>340</v>
      </c>
    </row>
    <row r="32" spans="16:24" ht="35.5" customHeight="1" x14ac:dyDescent="0.35"/>
    <row r="33" spans="3:24" ht="35.5" customHeight="1" x14ac:dyDescent="0.85">
      <c r="U33" s="180" t="s">
        <v>415</v>
      </c>
      <c r="V33" s="218" t="s">
        <v>353</v>
      </c>
      <c r="W33" s="182" t="s">
        <v>421</v>
      </c>
      <c r="X33" s="213"/>
    </row>
    <row r="34" spans="3:24" ht="35.5" customHeight="1" x14ac:dyDescent="0.85">
      <c r="U34" s="185" t="s">
        <v>415</v>
      </c>
      <c r="V34" s="219" t="s">
        <v>353</v>
      </c>
      <c r="W34" s="186">
        <f>W68*R12</f>
        <v>2.0534759358288772</v>
      </c>
      <c r="X34" s="186" t="s">
        <v>340</v>
      </c>
    </row>
    <row r="35" spans="3:24" ht="35.5" customHeight="1" x14ac:dyDescent="0.35"/>
    <row r="36" spans="3:24" ht="35.5" customHeight="1" x14ac:dyDescent="0.35"/>
    <row r="37" spans="3:24" ht="35.5" customHeight="1" x14ac:dyDescent="0.35"/>
    <row r="38" spans="3:24" ht="35.5" customHeight="1" x14ac:dyDescent="0.35"/>
    <row r="39" spans="3:24" ht="35.5" customHeight="1" x14ac:dyDescent="0.35"/>
    <row r="40" spans="3:24" ht="35.5" customHeight="1" x14ac:dyDescent="0.35"/>
    <row r="41" spans="3:24" ht="13" customHeight="1" x14ac:dyDescent="0.35"/>
    <row r="42" spans="3:24" ht="13" customHeight="1" x14ac:dyDescent="0.35"/>
    <row r="45" spans="3:24" ht="26" x14ac:dyDescent="0.6">
      <c r="C45" s="44" t="s">
        <v>343</v>
      </c>
    </row>
    <row r="46" spans="3:24" x14ac:dyDescent="0.35">
      <c r="R46" s="140"/>
    </row>
    <row r="47" spans="3:24" x14ac:dyDescent="0.35">
      <c r="R47" s="140"/>
    </row>
    <row r="48" spans="3:24" ht="21" x14ac:dyDescent="0.5">
      <c r="P48" s="158" t="str">
        <f t="shared" ref="P48:S51" si="0">P6</f>
        <v>R2</v>
      </c>
      <c r="Q48" s="170" t="str">
        <f t="shared" si="0"/>
        <v xml:space="preserve"> =</v>
      </c>
      <c r="R48" s="158">
        <f t="shared" si="0"/>
        <v>0.5</v>
      </c>
      <c r="S48" s="162" t="str">
        <f t="shared" si="0"/>
        <v>Ω</v>
      </c>
      <c r="U48" s="13" t="str">
        <f>U98</f>
        <v>I1 = I23 = I123</v>
      </c>
      <c r="V48" s="220" t="str">
        <f>V98</f>
        <v xml:space="preserve"> =</v>
      </c>
      <c r="W48" s="13">
        <f>W98</f>
        <v>0.77005347593582896</v>
      </c>
      <c r="X48" s="188" t="str">
        <f>X98</f>
        <v>A</v>
      </c>
    </row>
    <row r="49" spans="16:24" ht="21" x14ac:dyDescent="0.5">
      <c r="P49" s="158" t="str">
        <f t="shared" si="0"/>
        <v>R3</v>
      </c>
      <c r="Q49" s="170" t="str">
        <f t="shared" si="0"/>
        <v xml:space="preserve"> =</v>
      </c>
      <c r="R49" s="158">
        <f t="shared" si="0"/>
        <v>1</v>
      </c>
      <c r="S49" s="162" t="str">
        <f t="shared" si="0"/>
        <v>Ω</v>
      </c>
      <c r="U49" s="183" t="str">
        <f>U226</f>
        <v>U9 = U123456789 = U78 = U123456</v>
      </c>
      <c r="V49" s="221" t="str">
        <f>V226</f>
        <v xml:space="preserve"> =</v>
      </c>
      <c r="W49" s="183">
        <f>W226</f>
        <v>4.1069518716577544</v>
      </c>
      <c r="X49" s="189" t="str">
        <f>X226</f>
        <v>V</v>
      </c>
    </row>
    <row r="50" spans="16:24" ht="21" x14ac:dyDescent="0.5">
      <c r="P50" s="158" t="str">
        <f t="shared" si="0"/>
        <v>R4</v>
      </c>
      <c r="Q50" s="170" t="str">
        <f t="shared" si="0"/>
        <v xml:space="preserve"> =</v>
      </c>
      <c r="R50" s="158">
        <f t="shared" si="0"/>
        <v>1</v>
      </c>
      <c r="S50" s="162" t="str">
        <f t="shared" si="0"/>
        <v>Ω</v>
      </c>
      <c r="U50" s="1" t="str">
        <f>P5</f>
        <v>R1</v>
      </c>
      <c r="V50" s="52" t="str">
        <f>Q5</f>
        <v xml:space="preserve"> =</v>
      </c>
      <c r="W50" s="1">
        <f>R5</f>
        <v>0.5</v>
      </c>
      <c r="X50" t="str">
        <f>S5</f>
        <v>Ω</v>
      </c>
    </row>
    <row r="51" spans="16:24" ht="21" x14ac:dyDescent="0.5">
      <c r="P51" s="158" t="str">
        <f t="shared" si="0"/>
        <v>R5</v>
      </c>
      <c r="Q51" s="170" t="str">
        <f t="shared" si="0"/>
        <v xml:space="preserve"> =</v>
      </c>
      <c r="R51" s="158">
        <f t="shared" si="0"/>
        <v>2</v>
      </c>
      <c r="S51" s="162" t="str">
        <f t="shared" si="0"/>
        <v>Ω</v>
      </c>
      <c r="U51" s="1" t="str">
        <f>P59</f>
        <v>R23</v>
      </c>
      <c r="V51" s="52" t="str">
        <f>Q59</f>
        <v xml:space="preserve"> =</v>
      </c>
      <c r="W51" s="1">
        <f>R59</f>
        <v>0.33333333333333331</v>
      </c>
      <c r="X51" t="str">
        <f>S59</f>
        <v>Ω</v>
      </c>
    </row>
    <row r="52" spans="16:24" ht="21" x14ac:dyDescent="0.5">
      <c r="P52" s="158" t="str">
        <f t="shared" ref="P52:S53" si="1">P11</f>
        <v>R7</v>
      </c>
      <c r="Q52" s="170" t="str">
        <f t="shared" si="1"/>
        <v xml:space="preserve"> =</v>
      </c>
      <c r="R52" s="158">
        <f t="shared" si="1"/>
        <v>0.5</v>
      </c>
      <c r="S52" s="162" t="str">
        <f t="shared" si="1"/>
        <v>Ω</v>
      </c>
      <c r="U52" s="1" t="str">
        <f>P65</f>
        <v>R78</v>
      </c>
      <c r="V52" s="52" t="str">
        <f>Q65</f>
        <v xml:space="preserve"> =</v>
      </c>
      <c r="W52" s="1">
        <f>R65</f>
        <v>1</v>
      </c>
      <c r="X52" t="str">
        <f>S65</f>
        <v>Ω</v>
      </c>
    </row>
    <row r="53" spans="16:24" ht="21" x14ac:dyDescent="0.5">
      <c r="P53" s="158" t="str">
        <f t="shared" si="1"/>
        <v>R8</v>
      </c>
      <c r="Q53" s="170" t="str">
        <f t="shared" si="1"/>
        <v xml:space="preserve"> =</v>
      </c>
      <c r="R53" s="158">
        <f t="shared" si="1"/>
        <v>0.5</v>
      </c>
      <c r="S53" s="162" t="str">
        <f t="shared" si="1"/>
        <v>Ω</v>
      </c>
      <c r="U53" s="1" t="str">
        <f>P13</f>
        <v>R9</v>
      </c>
      <c r="V53" s="52" t="str">
        <f>Q13</f>
        <v xml:space="preserve"> =</v>
      </c>
      <c r="W53" s="1">
        <f>R13</f>
        <v>2</v>
      </c>
      <c r="X53" t="str">
        <f>S13</f>
        <v>Ω</v>
      </c>
    </row>
    <row r="54" spans="16:24" x14ac:dyDescent="0.35">
      <c r="R54" s="140"/>
    </row>
    <row r="55" spans="16:24" x14ac:dyDescent="0.35">
      <c r="R55" s="140"/>
    </row>
    <row r="58" spans="16:24" ht="32.5" x14ac:dyDescent="0.85">
      <c r="P58" s="143" t="s">
        <v>364</v>
      </c>
      <c r="Q58" s="155" t="s">
        <v>353</v>
      </c>
      <c r="R58" s="144" t="s">
        <v>368</v>
      </c>
      <c r="S58" s="197"/>
      <c r="U58" s="180" t="s">
        <v>404</v>
      </c>
      <c r="V58" s="218" t="s">
        <v>353</v>
      </c>
      <c r="W58" s="182" t="s">
        <v>406</v>
      </c>
      <c r="X58" s="213"/>
    </row>
    <row r="59" spans="16:24" ht="32.5" x14ac:dyDescent="0.85">
      <c r="P59" s="159" t="s">
        <v>364</v>
      </c>
      <c r="Q59" s="160" t="s">
        <v>353</v>
      </c>
      <c r="R59" s="161">
        <f>1/(1/R6+1/R7)</f>
        <v>0.33333333333333331</v>
      </c>
      <c r="S59" s="198" t="s">
        <v>341</v>
      </c>
      <c r="U59" s="185" t="s">
        <v>404</v>
      </c>
      <c r="V59" s="219" t="s">
        <v>353</v>
      </c>
      <c r="W59" s="186">
        <f>W48*W50</f>
        <v>0.38502673796791448</v>
      </c>
      <c r="X59" s="186" t="s">
        <v>340</v>
      </c>
    </row>
    <row r="61" spans="16:24" ht="32.5" x14ac:dyDescent="0.85">
      <c r="P61" s="143" t="s">
        <v>365</v>
      </c>
      <c r="Q61" s="155" t="s">
        <v>353</v>
      </c>
      <c r="R61" s="144" t="s">
        <v>369</v>
      </c>
      <c r="S61" s="197"/>
      <c r="U61" s="180" t="s">
        <v>405</v>
      </c>
      <c r="V61" s="218" t="s">
        <v>353</v>
      </c>
      <c r="W61" s="182" t="s">
        <v>407</v>
      </c>
      <c r="X61" s="213"/>
    </row>
    <row r="62" spans="16:24" ht="32.5" x14ac:dyDescent="0.85">
      <c r="P62" s="159" t="s">
        <v>365</v>
      </c>
      <c r="Q62" s="160" t="s">
        <v>353</v>
      </c>
      <c r="R62" s="161">
        <f>1/(1/R8+1/R9)</f>
        <v>0.66666666666666663</v>
      </c>
      <c r="S62" s="198" t="s">
        <v>341</v>
      </c>
      <c r="U62" s="185" t="s">
        <v>429</v>
      </c>
      <c r="V62" s="219" t="s">
        <v>353</v>
      </c>
      <c r="W62" s="186">
        <f>W48*W51</f>
        <v>0.25668449197860965</v>
      </c>
      <c r="X62" s="186" t="s">
        <v>340</v>
      </c>
    </row>
    <row r="64" spans="16:24" ht="30" x14ac:dyDescent="0.8">
      <c r="P64" s="143" t="s">
        <v>366</v>
      </c>
      <c r="Q64" s="155" t="s">
        <v>353</v>
      </c>
      <c r="R64" s="144" t="s">
        <v>370</v>
      </c>
      <c r="S64" s="197"/>
      <c r="U64" s="147" t="s">
        <v>403</v>
      </c>
      <c r="V64" s="218" t="s">
        <v>353</v>
      </c>
      <c r="W64" s="169" t="s">
        <v>408</v>
      </c>
      <c r="X64" s="5"/>
    </row>
    <row r="65" spans="16:24" ht="30" x14ac:dyDescent="0.8">
      <c r="P65" s="159" t="s">
        <v>366</v>
      </c>
      <c r="Q65" s="160" t="s">
        <v>353</v>
      </c>
      <c r="R65" s="161">
        <f>R11+R12</f>
        <v>1</v>
      </c>
      <c r="S65" s="198" t="s">
        <v>341</v>
      </c>
      <c r="U65" s="175" t="s">
        <v>403</v>
      </c>
      <c r="V65" s="219" t="s">
        <v>353</v>
      </c>
      <c r="W65" s="176">
        <f>W49/W53</f>
        <v>2.0534759358288772</v>
      </c>
      <c r="X65" s="176" t="s">
        <v>44</v>
      </c>
    </row>
    <row r="67" spans="16:24" ht="30" x14ac:dyDescent="0.8">
      <c r="U67" s="147" t="s">
        <v>402</v>
      </c>
      <c r="V67" s="218" t="s">
        <v>353</v>
      </c>
      <c r="W67" s="169" t="s">
        <v>409</v>
      </c>
      <c r="X67" s="5"/>
    </row>
    <row r="68" spans="16:24" ht="30" x14ac:dyDescent="0.8">
      <c r="U68" s="175" t="s">
        <v>430</v>
      </c>
      <c r="V68" s="219" t="s">
        <v>353</v>
      </c>
      <c r="W68" s="176">
        <f>W49/W52</f>
        <v>4.1069518716577544</v>
      </c>
      <c r="X68" s="176" t="s">
        <v>44</v>
      </c>
    </row>
    <row r="70" spans="16:24" ht="16" thickBot="1" x14ac:dyDescent="0.4"/>
    <row r="71" spans="16:24" ht="33" thickBot="1" x14ac:dyDescent="0.9">
      <c r="U71" s="154" t="s">
        <v>425</v>
      </c>
      <c r="V71" s="222">
        <f>IF(W59+W62=W88,1,-1)</f>
        <v>1</v>
      </c>
    </row>
    <row r="72" spans="16:24" ht="16" thickBot="1" x14ac:dyDescent="0.4"/>
    <row r="73" spans="16:24" ht="30.5" thickBot="1" x14ac:dyDescent="0.85">
      <c r="U73" s="150" t="s">
        <v>426</v>
      </c>
      <c r="V73" s="223">
        <f>IF(W65+W68=W180,1,-1)</f>
        <v>1</v>
      </c>
    </row>
    <row r="79" spans="16:24" ht="3.5" customHeight="1" x14ac:dyDescent="0.35"/>
    <row r="80" spans="16:24" ht="3.5" customHeight="1" x14ac:dyDescent="0.35"/>
    <row r="81" spans="3:24" ht="3.5" customHeight="1" x14ac:dyDescent="0.35"/>
    <row r="82" spans="3:24" ht="3.5" customHeight="1" x14ac:dyDescent="0.35"/>
    <row r="83" spans="3:24" ht="3.5" customHeight="1" x14ac:dyDescent="0.35"/>
    <row r="88" spans="3:24" ht="26" x14ac:dyDescent="0.6">
      <c r="C88" s="44" t="s">
        <v>348</v>
      </c>
      <c r="P88" s="140" t="str">
        <f>P5</f>
        <v>R1</v>
      </c>
      <c r="Q88" s="167" t="str">
        <f>Q5</f>
        <v xml:space="preserve"> =</v>
      </c>
      <c r="R88" s="140">
        <f>R5</f>
        <v>0.5</v>
      </c>
      <c r="S88" s="163" t="str">
        <f>S5</f>
        <v>Ω</v>
      </c>
      <c r="U88" s="183" t="str">
        <f>U141</f>
        <v>U4 = U5 = U123 = U12345</v>
      </c>
      <c r="V88" s="221" t="str">
        <f>V141</f>
        <v xml:space="preserve"> =</v>
      </c>
      <c r="W88" s="183">
        <f>W141</f>
        <v>0.64171122994652408</v>
      </c>
      <c r="X88" s="189" t="str">
        <f>X141</f>
        <v>V</v>
      </c>
    </row>
    <row r="89" spans="3:24" x14ac:dyDescent="0.35">
      <c r="P89" s="140" t="str">
        <f>P13</f>
        <v>R9</v>
      </c>
      <c r="Q89" s="167" t="str">
        <f>Q13</f>
        <v xml:space="preserve"> =</v>
      </c>
      <c r="R89" s="140">
        <f>R13</f>
        <v>2</v>
      </c>
      <c r="S89" s="163" t="str">
        <f>S13</f>
        <v>Ω</v>
      </c>
      <c r="U89" s="1" t="str">
        <f>P98</f>
        <v>R123</v>
      </c>
      <c r="V89" s="52" t="str">
        <f>Q98</f>
        <v xml:space="preserve"> =</v>
      </c>
      <c r="W89" s="1">
        <f>R98</f>
        <v>0.83333333333333326</v>
      </c>
      <c r="X89" t="str">
        <f>S98</f>
        <v>Ω</v>
      </c>
    </row>
    <row r="90" spans="3:24" x14ac:dyDescent="0.35">
      <c r="P90" s="140" t="str">
        <f>P59</f>
        <v>R23</v>
      </c>
      <c r="Q90" s="167" t="str">
        <f>Q59</f>
        <v xml:space="preserve"> =</v>
      </c>
      <c r="R90" s="140">
        <f>R59</f>
        <v>0.33333333333333331</v>
      </c>
      <c r="S90" s="163" t="str">
        <f>S59</f>
        <v>Ω</v>
      </c>
      <c r="U90" s="1" t="str">
        <f>P135</f>
        <v>R45</v>
      </c>
      <c r="V90" s="52" t="str">
        <f>Q135</f>
        <v xml:space="preserve"> =</v>
      </c>
      <c r="W90" s="1">
        <f>R135</f>
        <v>0.66666666666666663</v>
      </c>
      <c r="X90" t="str">
        <f>S135</f>
        <v>Ω</v>
      </c>
    </row>
    <row r="91" spans="3:24" x14ac:dyDescent="0.35">
      <c r="P91" s="140" t="str">
        <f>P65</f>
        <v>R78</v>
      </c>
      <c r="Q91" s="167" t="str">
        <f>Q65</f>
        <v xml:space="preserve"> =</v>
      </c>
      <c r="R91" s="140">
        <f>R65</f>
        <v>1</v>
      </c>
      <c r="S91" s="163" t="str">
        <f>S65</f>
        <v>Ω</v>
      </c>
    </row>
    <row r="97" spans="16:24" ht="30" x14ac:dyDescent="0.8">
      <c r="P97" s="143" t="s">
        <v>367</v>
      </c>
      <c r="Q97" s="155" t="s">
        <v>353</v>
      </c>
      <c r="R97" s="144" t="s">
        <v>371</v>
      </c>
      <c r="S97" s="197"/>
      <c r="U97" s="147" t="s">
        <v>398</v>
      </c>
      <c r="V97" s="218" t="s">
        <v>353</v>
      </c>
      <c r="W97" s="169" t="s">
        <v>399</v>
      </c>
      <c r="X97" s="5"/>
    </row>
    <row r="98" spans="16:24" ht="30" x14ac:dyDescent="0.8">
      <c r="P98" s="159" t="s">
        <v>367</v>
      </c>
      <c r="Q98" s="160" t="s">
        <v>353</v>
      </c>
      <c r="R98" s="161">
        <f>R90+R88</f>
        <v>0.83333333333333326</v>
      </c>
      <c r="S98" s="198" t="s">
        <v>341</v>
      </c>
      <c r="U98" s="175" t="s">
        <v>433</v>
      </c>
      <c r="V98" s="219" t="s">
        <v>353</v>
      </c>
      <c r="W98" s="176">
        <f>W88/W89</f>
        <v>0.77005347593582896</v>
      </c>
      <c r="X98" s="176" t="s">
        <v>44</v>
      </c>
    </row>
    <row r="100" spans="16:24" ht="30" x14ac:dyDescent="0.8">
      <c r="P100" s="143" t="s">
        <v>372</v>
      </c>
      <c r="Q100" s="155" t="s">
        <v>353</v>
      </c>
      <c r="R100" s="144" t="s">
        <v>373</v>
      </c>
      <c r="S100" s="197"/>
      <c r="U100" s="147" t="s">
        <v>400</v>
      </c>
      <c r="V100" s="218" t="s">
        <v>353</v>
      </c>
      <c r="W100" s="169" t="s">
        <v>401</v>
      </c>
      <c r="X100" s="5"/>
    </row>
    <row r="101" spans="16:24" ht="30" x14ac:dyDescent="0.8">
      <c r="P101" s="159" t="s">
        <v>372</v>
      </c>
      <c r="Q101" s="160" t="s">
        <v>353</v>
      </c>
      <c r="R101" s="161">
        <f>1/(1/R89+1/R91)</f>
        <v>0.66666666666666663</v>
      </c>
      <c r="S101" s="198" t="s">
        <v>341</v>
      </c>
      <c r="U101" s="175" t="s">
        <v>400</v>
      </c>
      <c r="V101" s="219" t="s">
        <v>353</v>
      </c>
      <c r="W101" s="176">
        <f>W88/W90</f>
        <v>0.96256684491978617</v>
      </c>
      <c r="X101" s="176" t="s">
        <v>44</v>
      </c>
    </row>
    <row r="103" spans="16:24" ht="16" thickBot="1" x14ac:dyDescent="0.4"/>
    <row r="104" spans="16:24" ht="30.5" thickBot="1" x14ac:dyDescent="0.85">
      <c r="U104" s="150" t="s">
        <v>424</v>
      </c>
      <c r="V104" s="223">
        <f>IF(W98+W101=W137,1,-1)</f>
        <v>1</v>
      </c>
    </row>
    <row r="114" ht="3.5" customHeight="1" x14ac:dyDescent="0.35"/>
    <row r="115" ht="3.5" customHeight="1" x14ac:dyDescent="0.35"/>
    <row r="116" ht="3.5" customHeight="1" x14ac:dyDescent="0.35"/>
    <row r="117" ht="3.5" customHeight="1" x14ac:dyDescent="0.35"/>
    <row r="118" ht="3.5" customHeight="1" x14ac:dyDescent="0.35"/>
    <row r="119" ht="3.5" customHeight="1" x14ac:dyDescent="0.35"/>
    <row r="120" ht="3.5" customHeight="1" x14ac:dyDescent="0.35"/>
    <row r="121" ht="3.5" customHeight="1" x14ac:dyDescent="0.35"/>
    <row r="122" ht="3.5" customHeight="1" x14ac:dyDescent="0.35"/>
    <row r="123" ht="3.5" customHeight="1" x14ac:dyDescent="0.35"/>
    <row r="124" ht="3.5" customHeight="1" x14ac:dyDescent="0.35"/>
    <row r="125" ht="3.5" customHeight="1" x14ac:dyDescent="0.35"/>
    <row r="126" ht="3.5" customHeight="1" x14ac:dyDescent="0.35"/>
    <row r="127" ht="3.5" customHeight="1" x14ac:dyDescent="0.35"/>
    <row r="130" spans="3:24" ht="26" x14ac:dyDescent="0.6">
      <c r="C130" s="44" t="s">
        <v>347</v>
      </c>
    </row>
    <row r="134" spans="3:24" ht="28.5" x14ac:dyDescent="0.65">
      <c r="T134" s="152"/>
    </row>
    <row r="135" spans="3:24" ht="28.5" x14ac:dyDescent="0.65">
      <c r="P135" s="140" t="str">
        <f>P62</f>
        <v>R45</v>
      </c>
      <c r="Q135" s="167" t="str">
        <f>Q62</f>
        <v xml:space="preserve"> =</v>
      </c>
      <c r="R135" s="140">
        <f>R62</f>
        <v>0.66666666666666663</v>
      </c>
      <c r="S135" s="163" t="str">
        <f>S62</f>
        <v>Ω</v>
      </c>
      <c r="T135" s="152"/>
      <c r="U135" s="1" t="str">
        <f>P141</f>
        <v>R12345</v>
      </c>
      <c r="V135" s="52" t="str">
        <f>Q141</f>
        <v xml:space="preserve"> =</v>
      </c>
      <c r="W135" s="1">
        <f>R141</f>
        <v>0.37037037037037035</v>
      </c>
      <c r="X135" t="str">
        <f>S141</f>
        <v>Ω</v>
      </c>
    </row>
    <row r="136" spans="3:24" ht="28.5" x14ac:dyDescent="0.65">
      <c r="P136" s="140" t="str">
        <f>P98</f>
        <v>R123</v>
      </c>
      <c r="Q136" s="167" t="str">
        <f>Q98</f>
        <v xml:space="preserve"> =</v>
      </c>
      <c r="R136" s="140">
        <f>R98</f>
        <v>0.83333333333333326</v>
      </c>
      <c r="S136" s="163" t="str">
        <f>S98</f>
        <v>Ω</v>
      </c>
      <c r="T136" s="152"/>
      <c r="U136" s="1" t="str">
        <f>P172</f>
        <v>R6</v>
      </c>
      <c r="V136" s="52" t="str">
        <f>Q172</f>
        <v xml:space="preserve"> =</v>
      </c>
      <c r="W136" s="1">
        <f>R172</f>
        <v>2</v>
      </c>
      <c r="X136" t="str">
        <f>S172</f>
        <v>Ω</v>
      </c>
    </row>
    <row r="137" spans="3:24" ht="28.5" x14ac:dyDescent="0.65">
      <c r="P137" s="153"/>
      <c r="Q137" s="168"/>
      <c r="R137" s="152"/>
      <c r="S137" s="187"/>
      <c r="T137" s="152"/>
      <c r="U137" s="13" t="str">
        <f>U183</f>
        <v>I6 = I12345 = I123456</v>
      </c>
      <c r="V137" s="220" t="str">
        <f>V183</f>
        <v xml:space="preserve"> =</v>
      </c>
      <c r="W137" s="13">
        <f>W183</f>
        <v>1.7326203208556152</v>
      </c>
      <c r="X137" s="188" t="str">
        <f>X183</f>
        <v>A</v>
      </c>
    </row>
    <row r="140" spans="3:24" ht="32.5" x14ac:dyDescent="0.85">
      <c r="P140" s="151" t="s">
        <v>374</v>
      </c>
      <c r="Q140" s="155" t="s">
        <v>353</v>
      </c>
      <c r="R140" s="144" t="s">
        <v>375</v>
      </c>
      <c r="S140" s="199"/>
      <c r="U140" s="180" t="s">
        <v>395</v>
      </c>
      <c r="V140" s="218" t="s">
        <v>353</v>
      </c>
      <c r="W140" s="182" t="s">
        <v>389</v>
      </c>
      <c r="X140" s="213"/>
    </row>
    <row r="141" spans="3:24" ht="32.5" x14ac:dyDescent="0.85">
      <c r="P141" s="164" t="s">
        <v>374</v>
      </c>
      <c r="Q141" s="160" t="s">
        <v>353</v>
      </c>
      <c r="R141" s="165">
        <f>1/(1/R135+1/R136)</f>
        <v>0.37037037037037035</v>
      </c>
      <c r="S141" s="200" t="s">
        <v>341</v>
      </c>
      <c r="U141" s="185" t="s">
        <v>428</v>
      </c>
      <c r="V141" s="219" t="s">
        <v>353</v>
      </c>
      <c r="W141" s="186">
        <f>W137*W135</f>
        <v>0.64171122994652408</v>
      </c>
      <c r="X141" s="186" t="s">
        <v>340</v>
      </c>
    </row>
    <row r="143" spans="3:24" ht="32.5" x14ac:dyDescent="0.85">
      <c r="U143" s="180" t="s">
        <v>396</v>
      </c>
      <c r="V143" s="218" t="s">
        <v>353</v>
      </c>
      <c r="W143" s="182" t="s">
        <v>391</v>
      </c>
      <c r="X143" s="213"/>
    </row>
    <row r="144" spans="3:24" ht="32.5" x14ac:dyDescent="0.85">
      <c r="U144" s="185" t="s">
        <v>396</v>
      </c>
      <c r="V144" s="219" t="s">
        <v>353</v>
      </c>
      <c r="W144" s="186">
        <f>W137*W136</f>
        <v>3.4652406417112305</v>
      </c>
      <c r="X144" s="186" t="s">
        <v>340</v>
      </c>
    </row>
    <row r="145" spans="21:24" ht="29" thickBot="1" x14ac:dyDescent="0.7">
      <c r="W145" s="173"/>
      <c r="X145" s="152"/>
    </row>
    <row r="146" spans="21:24" ht="33" thickBot="1" x14ac:dyDescent="0.9">
      <c r="U146" s="154" t="s">
        <v>397</v>
      </c>
      <c r="V146" s="222">
        <f>IF(W144+W141=W172,1,-1)</f>
        <v>1</v>
      </c>
    </row>
    <row r="155" spans="21:24" ht="5" customHeight="1" x14ac:dyDescent="0.35"/>
    <row r="156" spans="21:24" ht="5" customHeight="1" x14ac:dyDescent="0.35"/>
    <row r="157" spans="21:24" ht="5" customHeight="1" x14ac:dyDescent="0.35"/>
    <row r="158" spans="21:24" ht="5" customHeight="1" x14ac:dyDescent="0.35"/>
    <row r="159" spans="21:24" ht="5" customHeight="1" x14ac:dyDescent="0.35"/>
    <row r="160" spans="21:24" ht="5" customHeight="1" x14ac:dyDescent="0.35"/>
    <row r="161" spans="3:24" ht="5" customHeight="1" x14ac:dyDescent="0.35"/>
    <row r="162" spans="3:24" ht="5" customHeight="1" x14ac:dyDescent="0.35"/>
    <row r="163" spans="3:24" ht="5" customHeight="1" x14ac:dyDescent="0.35"/>
    <row r="164" spans="3:24" ht="5" customHeight="1" x14ac:dyDescent="0.35"/>
    <row r="165" spans="3:24" ht="5" customHeight="1" x14ac:dyDescent="0.35"/>
    <row r="166" spans="3:24" ht="5" customHeight="1" x14ac:dyDescent="0.35"/>
    <row r="167" spans="3:24" ht="5" customHeight="1" x14ac:dyDescent="0.35"/>
    <row r="170" spans="3:24" ht="26" x14ac:dyDescent="0.6">
      <c r="C170" s="44" t="s">
        <v>346</v>
      </c>
    </row>
    <row r="171" spans="3:24" x14ac:dyDescent="0.35">
      <c r="E171" s="188">
        <f>$W$273</f>
        <v>7.8930481283422456</v>
      </c>
    </row>
    <row r="172" spans="3:24" ht="18.5" customHeight="1" x14ac:dyDescent="0.6">
      <c r="P172" s="140" t="str">
        <f>P10</f>
        <v>R6</v>
      </c>
      <c r="Q172" s="167" t="str">
        <f>Q10</f>
        <v xml:space="preserve"> =</v>
      </c>
      <c r="R172" s="140">
        <f>R10</f>
        <v>2</v>
      </c>
      <c r="S172" s="163" t="str">
        <f>S10</f>
        <v>Ω</v>
      </c>
      <c r="T172" s="148"/>
      <c r="U172" s="183" t="str">
        <f>U226</f>
        <v>U9 = U123456789 = U78 = U123456</v>
      </c>
      <c r="V172" s="221" t="str">
        <f>V226</f>
        <v xml:space="preserve"> =</v>
      </c>
      <c r="W172" s="183">
        <f>W226</f>
        <v>4.1069518716577544</v>
      </c>
      <c r="X172" s="189" t="str">
        <f>X226</f>
        <v>V</v>
      </c>
    </row>
    <row r="173" spans="3:24" ht="26" x14ac:dyDescent="0.6">
      <c r="P173" s="140" t="str">
        <f>P141</f>
        <v>R12345</v>
      </c>
      <c r="Q173" s="167" t="str">
        <f>Q141</f>
        <v xml:space="preserve"> =</v>
      </c>
      <c r="R173" s="140">
        <f>R141</f>
        <v>0.37037037037037035</v>
      </c>
      <c r="S173" s="163" t="str">
        <f>S141</f>
        <v>Ω</v>
      </c>
      <c r="T173" s="148"/>
      <c r="U173" s="1" t="str">
        <f>P180</f>
        <v>R123456</v>
      </c>
      <c r="V173" s="52" t="str">
        <f>Q180</f>
        <v xml:space="preserve"> =</v>
      </c>
      <c r="W173" s="1">
        <f>R180</f>
        <v>2.3703703703703702</v>
      </c>
      <c r="X173" t="str">
        <f>S180</f>
        <v>Ω</v>
      </c>
    </row>
    <row r="174" spans="3:24" x14ac:dyDescent="0.35">
      <c r="U174" s="1" t="str">
        <f>P217</f>
        <v>R789</v>
      </c>
      <c r="V174" s="52" t="str">
        <f>Q217</f>
        <v xml:space="preserve"> =</v>
      </c>
      <c r="W174" s="1">
        <f>R217</f>
        <v>0.66666666666666663</v>
      </c>
      <c r="X174" t="str">
        <f>S217</f>
        <v>Ω</v>
      </c>
    </row>
    <row r="175" spans="3:24" x14ac:dyDescent="0.35">
      <c r="U175" s="1" t="str">
        <f>P267</f>
        <v>R10</v>
      </c>
      <c r="V175" s="52" t="str">
        <f>Q267</f>
        <v xml:space="preserve"> =</v>
      </c>
      <c r="W175" s="1">
        <f>R267</f>
        <v>1</v>
      </c>
      <c r="X175" t="str">
        <f>S267</f>
        <v>Ω</v>
      </c>
    </row>
    <row r="176" spans="3:24" x14ac:dyDescent="0.35">
      <c r="U176" s="13" t="str">
        <f>U217</f>
        <v>I10 = I123456789 = ITot</v>
      </c>
      <c r="V176" s="220" t="str">
        <f>V217</f>
        <v xml:space="preserve"> =</v>
      </c>
      <c r="W176" s="13">
        <f>W217</f>
        <v>7.8930481283422456</v>
      </c>
      <c r="X176" s="188" t="str">
        <f>X217</f>
        <v>A</v>
      </c>
    </row>
    <row r="177" spans="4:24" x14ac:dyDescent="0.35">
      <c r="F177" s="183"/>
    </row>
    <row r="178" spans="4:24" x14ac:dyDescent="0.35">
      <c r="F178" s="183">
        <f>$W$226</f>
        <v>4.1069518716577544</v>
      </c>
      <c r="I178" s="183">
        <f>$W$226</f>
        <v>4.1069518716577544</v>
      </c>
    </row>
    <row r="179" spans="4:24" ht="30" x14ac:dyDescent="0.8">
      <c r="D179" s="189">
        <f>$W$229</f>
        <v>7.8930481283422456</v>
      </c>
      <c r="P179" s="145" t="s">
        <v>376</v>
      </c>
      <c r="Q179" s="155" t="s">
        <v>353</v>
      </c>
      <c r="R179" s="146" t="s">
        <v>377</v>
      </c>
      <c r="S179" s="201"/>
      <c r="U179" s="147" t="s">
        <v>386</v>
      </c>
      <c r="V179" s="218" t="s">
        <v>353</v>
      </c>
      <c r="W179" s="169" t="s">
        <v>385</v>
      </c>
      <c r="X179" s="214"/>
    </row>
    <row r="180" spans="4:24" ht="30" x14ac:dyDescent="0.8">
      <c r="P180" s="171" t="s">
        <v>376</v>
      </c>
      <c r="Q180" s="160" t="s">
        <v>353</v>
      </c>
      <c r="R180" s="172">
        <f>R172+R173</f>
        <v>2.3703703703703702</v>
      </c>
      <c r="S180" s="202" t="s">
        <v>341</v>
      </c>
      <c r="U180" s="175" t="s">
        <v>386</v>
      </c>
      <c r="V180" s="219" t="s">
        <v>353</v>
      </c>
      <c r="W180" s="176">
        <f>W172/W174</f>
        <v>6.1604278074866317</v>
      </c>
      <c r="X180" s="176" t="s">
        <v>44</v>
      </c>
    </row>
    <row r="182" spans="4:24" ht="30" x14ac:dyDescent="0.8">
      <c r="U182" s="147" t="s">
        <v>388</v>
      </c>
      <c r="V182" s="218" t="s">
        <v>353</v>
      </c>
      <c r="W182" s="169" t="s">
        <v>387</v>
      </c>
      <c r="X182" s="214"/>
    </row>
    <row r="183" spans="4:24" ht="30" x14ac:dyDescent="0.8">
      <c r="U183" s="175" t="s">
        <v>432</v>
      </c>
      <c r="V183" s="219" t="s">
        <v>353</v>
      </c>
      <c r="W183" s="176">
        <f>W172/W173</f>
        <v>1.7326203208556152</v>
      </c>
      <c r="X183" s="176" t="s">
        <v>44</v>
      </c>
    </row>
    <row r="185" spans="4:24" ht="16" thickBot="1" x14ac:dyDescent="0.4"/>
    <row r="186" spans="4:24" ht="30.5" thickBot="1" x14ac:dyDescent="0.85">
      <c r="U186" s="150" t="s">
        <v>349</v>
      </c>
      <c r="V186" s="223">
        <f>IF(W180+W183=W273,1,-1)</f>
        <v>1</v>
      </c>
      <c r="W186" s="194"/>
      <c r="X186" s="210"/>
    </row>
    <row r="187" spans="4:24" ht="26" x14ac:dyDescent="0.6">
      <c r="G187" s="188">
        <f>W180</f>
        <v>6.1604278074866317</v>
      </c>
      <c r="I187" s="188">
        <f>$W$183</f>
        <v>1.7326203208556152</v>
      </c>
      <c r="U187" s="209"/>
      <c r="V187" s="224"/>
      <c r="W187" s="210"/>
      <c r="X187" s="210"/>
    </row>
    <row r="188" spans="4:24" ht="26" x14ac:dyDescent="0.6">
      <c r="W188" s="174"/>
      <c r="X188" s="148"/>
    </row>
    <row r="194" ht="8" customHeight="1" x14ac:dyDescent="0.35"/>
    <row r="195" ht="8" customHeight="1" x14ac:dyDescent="0.35"/>
    <row r="196" ht="8" customHeight="1" x14ac:dyDescent="0.35"/>
    <row r="197" ht="8" customHeight="1" x14ac:dyDescent="0.35"/>
    <row r="198" ht="8" customHeight="1" x14ac:dyDescent="0.35"/>
    <row r="199" ht="8" customHeight="1" x14ac:dyDescent="0.35"/>
    <row r="200" ht="8" customHeight="1" x14ac:dyDescent="0.35"/>
    <row r="201" ht="8" customHeight="1" x14ac:dyDescent="0.35"/>
    <row r="202" ht="8" customHeight="1" x14ac:dyDescent="0.35"/>
    <row r="203" ht="8" customHeight="1" x14ac:dyDescent="0.35"/>
    <row r="204" ht="8" customHeight="1" x14ac:dyDescent="0.35"/>
    <row r="205" ht="8" customHeight="1" x14ac:dyDescent="0.35"/>
    <row r="206" ht="8" customHeight="1" x14ac:dyDescent="0.35"/>
    <row r="207" ht="8" customHeight="1" x14ac:dyDescent="0.35"/>
    <row r="213" spans="3:24" ht="26" x14ac:dyDescent="0.6">
      <c r="C213" s="44" t="s">
        <v>345</v>
      </c>
    </row>
    <row r="217" spans="3:24" x14ac:dyDescent="0.35">
      <c r="P217" s="140" t="str">
        <f>P101</f>
        <v>R789</v>
      </c>
      <c r="Q217" s="167" t="str">
        <f>Q101</f>
        <v xml:space="preserve"> =</v>
      </c>
      <c r="R217" s="140">
        <f>R101</f>
        <v>0.66666666666666663</v>
      </c>
      <c r="S217" s="163" t="str">
        <f>S101</f>
        <v>Ω</v>
      </c>
      <c r="U217" s="13" t="str">
        <f>U273</f>
        <v>I10 = I123456789 = ITot</v>
      </c>
      <c r="V217" s="220" t="str">
        <f>V273</f>
        <v xml:space="preserve"> =</v>
      </c>
      <c r="W217" s="13">
        <f>W273</f>
        <v>7.8930481283422456</v>
      </c>
      <c r="X217" s="188" t="str">
        <f>X273</f>
        <v>A</v>
      </c>
    </row>
    <row r="218" spans="3:24" x14ac:dyDescent="0.35">
      <c r="P218" s="140" t="str">
        <f>P180</f>
        <v>R123456</v>
      </c>
      <c r="Q218" s="167" t="str">
        <f>Q180</f>
        <v xml:space="preserve"> =</v>
      </c>
      <c r="R218" s="140">
        <f>R180</f>
        <v>2.3703703703703702</v>
      </c>
      <c r="S218" s="163" t="str">
        <f>S180</f>
        <v>Ω</v>
      </c>
      <c r="U218" s="1" t="str">
        <f>P226</f>
        <v>R123456789</v>
      </c>
      <c r="V218" s="52" t="str">
        <f>Q226</f>
        <v xml:space="preserve"> =</v>
      </c>
      <c r="W218" s="1">
        <f>R226</f>
        <v>0.52032520325203258</v>
      </c>
      <c r="X218" t="str">
        <f>S226</f>
        <v>Ω</v>
      </c>
    </row>
    <row r="219" spans="3:24" x14ac:dyDescent="0.35">
      <c r="H219" s="188">
        <f>$W$273</f>
        <v>7.8930481283422456</v>
      </c>
      <c r="U219" s="1" t="str">
        <f>P267</f>
        <v>R10</v>
      </c>
      <c r="V219" s="52" t="str">
        <f>Q267</f>
        <v xml:space="preserve"> =</v>
      </c>
      <c r="W219" s="1">
        <f>R267</f>
        <v>1</v>
      </c>
      <c r="X219" t="str">
        <f>S267</f>
        <v>Ω</v>
      </c>
    </row>
    <row r="221" spans="3:24" x14ac:dyDescent="0.35">
      <c r="D221" s="189">
        <f>$W$229</f>
        <v>7.8930481283422456</v>
      </c>
    </row>
    <row r="225" spans="9:24" ht="30" x14ac:dyDescent="0.8">
      <c r="I225" s="183">
        <f>$W$226</f>
        <v>4.1069518716577544</v>
      </c>
      <c r="P225" s="145" t="s">
        <v>378</v>
      </c>
      <c r="Q225" s="155" t="s">
        <v>353</v>
      </c>
      <c r="R225" s="146" t="s">
        <v>379</v>
      </c>
      <c r="S225" s="201"/>
      <c r="T225" s="148"/>
      <c r="U225" s="177" t="s">
        <v>393</v>
      </c>
      <c r="V225" s="218" t="s">
        <v>353</v>
      </c>
      <c r="W225" s="181" t="s">
        <v>383</v>
      </c>
      <c r="X225" s="215"/>
    </row>
    <row r="226" spans="9:24" ht="30" x14ac:dyDescent="0.8">
      <c r="P226" s="171" t="s">
        <v>378</v>
      </c>
      <c r="Q226" s="160" t="s">
        <v>353</v>
      </c>
      <c r="R226" s="172">
        <f>1/(1/R217+1/R218)</f>
        <v>0.52032520325203258</v>
      </c>
      <c r="S226" s="202" t="s">
        <v>341</v>
      </c>
      <c r="T226" s="148"/>
      <c r="U226" s="178" t="s">
        <v>427</v>
      </c>
      <c r="V226" s="219" t="s">
        <v>353</v>
      </c>
      <c r="W226" s="179">
        <f>W218*W217</f>
        <v>4.1069518716577544</v>
      </c>
      <c r="X226" s="179" t="s">
        <v>340</v>
      </c>
    </row>
    <row r="227" spans="9:24" ht="26" x14ac:dyDescent="0.6">
      <c r="P227" s="149"/>
      <c r="Q227" s="194"/>
      <c r="R227" s="148"/>
      <c r="S227" s="166"/>
      <c r="T227" s="148"/>
    </row>
    <row r="228" spans="9:24" ht="30" x14ac:dyDescent="0.8">
      <c r="P228" s="149"/>
      <c r="Q228" s="194"/>
      <c r="R228" s="148"/>
      <c r="S228" s="166"/>
      <c r="T228" s="148"/>
      <c r="U228" s="177" t="s">
        <v>392</v>
      </c>
      <c r="V228" s="218" t="s">
        <v>353</v>
      </c>
      <c r="W228" s="169" t="s">
        <v>384</v>
      </c>
      <c r="X228" s="215"/>
    </row>
    <row r="229" spans="9:24" ht="30" x14ac:dyDescent="0.8">
      <c r="U229" s="178" t="s">
        <v>392</v>
      </c>
      <c r="V229" s="219" t="s">
        <v>353</v>
      </c>
      <c r="W229" s="179">
        <f>W217*W219</f>
        <v>7.8930481283422456</v>
      </c>
      <c r="X229" s="179" t="s">
        <v>340</v>
      </c>
    </row>
    <row r="230" spans="9:24" ht="26" x14ac:dyDescent="0.6">
      <c r="W230" s="174"/>
      <c r="X230" s="148"/>
    </row>
    <row r="231" spans="9:24" ht="16" thickBot="1" x14ac:dyDescent="0.4"/>
    <row r="232" spans="9:24" ht="30.5" thickBot="1" x14ac:dyDescent="0.85">
      <c r="U232" s="150" t="s">
        <v>394</v>
      </c>
      <c r="V232" s="223">
        <f>IF(W226+W229=W267,1,-1)</f>
        <v>1</v>
      </c>
    </row>
    <row r="239" spans="9:24" ht="4" customHeight="1" x14ac:dyDescent="0.35"/>
    <row r="240" spans="9:24" ht="4" customHeight="1" x14ac:dyDescent="0.35"/>
    <row r="241" ht="4" customHeight="1" x14ac:dyDescent="0.35"/>
    <row r="242" ht="4" customHeight="1" x14ac:dyDescent="0.35"/>
    <row r="243" ht="4" customHeight="1" x14ac:dyDescent="0.35"/>
    <row r="244" ht="4" customHeight="1" x14ac:dyDescent="0.35"/>
    <row r="245" ht="4" customHeight="1" x14ac:dyDescent="0.35"/>
    <row r="246" ht="4" customHeight="1" x14ac:dyDescent="0.35"/>
    <row r="247" ht="4" customHeight="1" x14ac:dyDescent="0.35"/>
    <row r="248" ht="4" customHeight="1" x14ac:dyDescent="0.35"/>
    <row r="249" ht="4" customHeight="1" x14ac:dyDescent="0.35"/>
    <row r="250" ht="4" customHeight="1" x14ac:dyDescent="0.35"/>
    <row r="251" ht="4" customHeight="1" x14ac:dyDescent="0.35"/>
    <row r="252" ht="4" customHeight="1" x14ac:dyDescent="0.35"/>
    <row r="253" ht="4" customHeight="1" x14ac:dyDescent="0.35"/>
    <row r="254" ht="4" customHeight="1" x14ac:dyDescent="0.35"/>
    <row r="255" ht="4" customHeight="1" x14ac:dyDescent="0.35"/>
    <row r="257" spans="3:24" ht="26" x14ac:dyDescent="0.6">
      <c r="C257" s="44" t="s">
        <v>344</v>
      </c>
    </row>
    <row r="258" spans="3:24" ht="6.5" customHeight="1" x14ac:dyDescent="0.35"/>
    <row r="259" spans="3:24" ht="6.5" customHeight="1" x14ac:dyDescent="0.35"/>
    <row r="260" spans="3:24" ht="6.5" customHeight="1" x14ac:dyDescent="0.35"/>
    <row r="261" spans="3:24" ht="6.5" customHeight="1" x14ac:dyDescent="0.35"/>
    <row r="262" spans="3:24" ht="6.5" customHeight="1" x14ac:dyDescent="0.35"/>
    <row r="263" spans="3:24" ht="7" customHeight="1" x14ac:dyDescent="0.35"/>
    <row r="264" spans="3:24" ht="7" customHeight="1" x14ac:dyDescent="0.35"/>
    <row r="265" spans="3:24" ht="7" customHeight="1" x14ac:dyDescent="0.35"/>
    <row r="267" spans="3:24" x14ac:dyDescent="0.35">
      <c r="P267" s="140" t="str">
        <f>P14</f>
        <v>R10</v>
      </c>
      <c r="Q267" s="167" t="str">
        <f>Q14</f>
        <v xml:space="preserve"> =</v>
      </c>
      <c r="R267" s="140">
        <f>R14</f>
        <v>1</v>
      </c>
      <c r="S267" s="163" t="str">
        <f>S14</f>
        <v>Ω</v>
      </c>
      <c r="U267" s="183" t="str">
        <f>U15</f>
        <v>UTot</v>
      </c>
      <c r="V267" s="221" t="str">
        <f>V15</f>
        <v xml:space="preserve"> =</v>
      </c>
      <c r="W267" s="183">
        <f>W15</f>
        <v>12</v>
      </c>
      <c r="X267" s="189" t="str">
        <f>X15</f>
        <v>V</v>
      </c>
    </row>
    <row r="268" spans="3:24" x14ac:dyDescent="0.35">
      <c r="H268" s="188">
        <f>$W$273</f>
        <v>7.8930481283422456</v>
      </c>
      <c r="P268" s="140" t="str">
        <f>P226</f>
        <v>R123456789</v>
      </c>
      <c r="Q268" s="167" t="str">
        <f>Q226</f>
        <v xml:space="preserve"> =</v>
      </c>
      <c r="R268" s="140">
        <f>R226</f>
        <v>0.52032520325203258</v>
      </c>
      <c r="S268" s="163" t="str">
        <f>S226</f>
        <v>Ω</v>
      </c>
      <c r="U268" s="1" t="str">
        <f>P273</f>
        <v>RTot</v>
      </c>
      <c r="V268" s="52" t="str">
        <f>Q273</f>
        <v xml:space="preserve"> =</v>
      </c>
      <c r="W268" s="1">
        <f>R273</f>
        <v>1.5203252032520327</v>
      </c>
      <c r="X268" t="str">
        <f>S273</f>
        <v>Ω</v>
      </c>
    </row>
    <row r="272" spans="3:24" ht="30" x14ac:dyDescent="0.8">
      <c r="P272" s="145" t="s">
        <v>382</v>
      </c>
      <c r="Q272" s="155" t="s">
        <v>353</v>
      </c>
      <c r="R272" s="146" t="s">
        <v>380</v>
      </c>
      <c r="S272" s="201"/>
      <c r="U272" s="147" t="s">
        <v>381</v>
      </c>
      <c r="V272" s="218" t="s">
        <v>353</v>
      </c>
      <c r="W272" s="169" t="s">
        <v>390</v>
      </c>
      <c r="X272" s="216"/>
    </row>
    <row r="273" spans="9:24" ht="30" x14ac:dyDescent="0.8">
      <c r="I273" s="184">
        <f>W267</f>
        <v>12</v>
      </c>
      <c r="P273" s="171" t="s">
        <v>382</v>
      </c>
      <c r="Q273" s="160" t="s">
        <v>353</v>
      </c>
      <c r="R273" s="172">
        <f>R267+R268</f>
        <v>1.5203252032520327</v>
      </c>
      <c r="S273" s="202" t="s">
        <v>341</v>
      </c>
      <c r="U273" s="175" t="s">
        <v>431</v>
      </c>
      <c r="V273" s="225" t="s">
        <v>353</v>
      </c>
      <c r="W273" s="176">
        <f>W267/W268</f>
        <v>7.8930481283422456</v>
      </c>
      <c r="X273" s="176" t="s">
        <v>44</v>
      </c>
    </row>
  </sheetData>
  <phoneticPr fontId="37" type="noConversion"/>
  <pageMargins left="0.7" right="0.7" top="0.78740157499999996" bottom="0.78740157499999996" header="0.3" footer="0.3"/>
  <pageSetup paperSize="9" scale="29" fitToHeight="0" orientation="landscape" r:id="rId1"/>
  <rowBreaks count="6" manualBreakCount="6">
    <brk id="42" max="16383" man="1"/>
    <brk id="84" max="16383" man="1"/>
    <brk id="128" max="16383" man="1"/>
    <brk id="168" max="16383" man="1"/>
    <brk id="208" max="16383" man="1"/>
    <brk id="254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2936F2A5-8C1D-40CF-BBEB-88B8D834F6E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V71</xm:sqref>
        </x14:conditionalFormatting>
        <x14:conditionalFormatting xmlns:xm="http://schemas.microsoft.com/office/excel/2006/main">
          <x14:cfRule type="iconSet" priority="1" id="{682C245C-22CA-4DE8-918D-2E0FF5E833D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V73</xm:sqref>
        </x14:conditionalFormatting>
        <x14:conditionalFormatting xmlns:xm="http://schemas.microsoft.com/office/excel/2006/main">
          <x14:cfRule type="iconSet" priority="3" id="{F101D5F7-D8FC-46EB-B942-4BC484C320B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V104</xm:sqref>
        </x14:conditionalFormatting>
        <x14:conditionalFormatting xmlns:xm="http://schemas.microsoft.com/office/excel/2006/main">
          <x14:cfRule type="iconSet" priority="5" id="{32AB14EA-5B3A-42DB-B05D-966679FDE6A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V146 W145</xm:sqref>
        </x14:conditionalFormatting>
        <x14:conditionalFormatting xmlns:xm="http://schemas.microsoft.com/office/excel/2006/main">
          <x14:cfRule type="iconSet" priority="6" id="{05FC7307-54D5-4D5F-9882-B7C2DE9B333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V186 W188</xm:sqref>
        </x14:conditionalFormatting>
        <x14:conditionalFormatting xmlns:xm="http://schemas.microsoft.com/office/excel/2006/main">
          <x14:cfRule type="iconSet" priority="4" id="{3AAAB7CD-4632-4DFF-946B-879C4481A55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W230 V232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D6AE-9875-4C47-A8F2-B20D10B6BD57}">
  <dimension ref="C1:AS11"/>
  <sheetViews>
    <sheetView showGridLines="0" tabSelected="1" zoomScale="70" zoomScaleNormal="70" workbookViewId="0">
      <selection activeCell="AX16" sqref="AX16"/>
    </sheetView>
  </sheetViews>
  <sheetFormatPr baseColWidth="10" defaultRowHeight="14.5" x14ac:dyDescent="0.35"/>
  <cols>
    <col min="1" max="2" width="2.453125" customWidth="1"/>
    <col min="5" max="10" width="7.36328125" customWidth="1"/>
    <col min="11" max="43" width="2.08984375" customWidth="1"/>
    <col min="44" max="45" width="4.7265625" customWidth="1"/>
  </cols>
  <sheetData>
    <row r="1" spans="3:45" ht="38" customHeight="1" x14ac:dyDescent="0.35"/>
    <row r="2" spans="3:45" ht="26" x14ac:dyDescent="0.6">
      <c r="C2" s="44" t="s">
        <v>332</v>
      </c>
    </row>
    <row r="3" spans="3:45" x14ac:dyDescent="0.35">
      <c r="J3" s="5" t="s">
        <v>312</v>
      </c>
    </row>
    <row r="4" spans="3:45" x14ac:dyDescent="0.35">
      <c r="J4" s="5" t="s">
        <v>314</v>
      </c>
    </row>
    <row r="6" spans="3:45" x14ac:dyDescent="0.35">
      <c r="C6" s="5"/>
      <c r="D6" s="19" t="s">
        <v>335</v>
      </c>
      <c r="E6" s="4">
        <v>10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3:45" x14ac:dyDescent="0.35">
      <c r="C7" s="5"/>
      <c r="D7" s="289" t="s">
        <v>312</v>
      </c>
      <c r="E7" s="289">
        <v>0</v>
      </c>
      <c r="F7" s="96">
        <f>E7+$E$6</f>
        <v>10</v>
      </c>
      <c r="G7" s="96">
        <f t="shared" ref="G7:AS7" si="0">F7+$E$6</f>
        <v>20</v>
      </c>
      <c r="H7" s="96">
        <f t="shared" si="0"/>
        <v>30</v>
      </c>
      <c r="I7" s="96">
        <f t="shared" si="0"/>
        <v>40</v>
      </c>
      <c r="J7" s="96">
        <f t="shared" si="0"/>
        <v>50</v>
      </c>
      <c r="K7" s="96">
        <f t="shared" si="0"/>
        <v>60</v>
      </c>
      <c r="L7" s="96">
        <f t="shared" si="0"/>
        <v>70</v>
      </c>
      <c r="M7" s="96">
        <f t="shared" si="0"/>
        <v>80</v>
      </c>
      <c r="N7" s="96">
        <f t="shared" si="0"/>
        <v>90</v>
      </c>
      <c r="O7" s="96">
        <f t="shared" si="0"/>
        <v>100</v>
      </c>
      <c r="P7" s="96">
        <f t="shared" si="0"/>
        <v>110</v>
      </c>
      <c r="Q7" s="96">
        <f t="shared" si="0"/>
        <v>120</v>
      </c>
      <c r="R7" s="96">
        <f t="shared" si="0"/>
        <v>130</v>
      </c>
      <c r="S7" s="96">
        <f t="shared" si="0"/>
        <v>140</v>
      </c>
      <c r="T7" s="96">
        <f t="shared" si="0"/>
        <v>150</v>
      </c>
      <c r="U7" s="96">
        <f t="shared" si="0"/>
        <v>160</v>
      </c>
      <c r="V7" s="96">
        <f t="shared" si="0"/>
        <v>170</v>
      </c>
      <c r="W7" s="96">
        <f t="shared" si="0"/>
        <v>180</v>
      </c>
      <c r="X7" s="96">
        <f t="shared" si="0"/>
        <v>190</v>
      </c>
      <c r="Y7" s="96">
        <f t="shared" si="0"/>
        <v>200</v>
      </c>
      <c r="Z7" s="96">
        <f t="shared" si="0"/>
        <v>210</v>
      </c>
      <c r="AA7" s="96">
        <f t="shared" si="0"/>
        <v>220</v>
      </c>
      <c r="AB7" s="96">
        <f t="shared" si="0"/>
        <v>230</v>
      </c>
      <c r="AC7" s="96">
        <f t="shared" si="0"/>
        <v>240</v>
      </c>
      <c r="AD7" s="96">
        <f t="shared" si="0"/>
        <v>250</v>
      </c>
      <c r="AE7" s="96">
        <f t="shared" si="0"/>
        <v>260</v>
      </c>
      <c r="AF7" s="96">
        <f t="shared" si="0"/>
        <v>270</v>
      </c>
      <c r="AG7" s="96">
        <f t="shared" si="0"/>
        <v>280</v>
      </c>
      <c r="AH7" s="96">
        <f t="shared" si="0"/>
        <v>290</v>
      </c>
      <c r="AI7" s="96">
        <f t="shared" si="0"/>
        <v>300</v>
      </c>
      <c r="AJ7" s="96">
        <f t="shared" si="0"/>
        <v>310</v>
      </c>
      <c r="AK7" s="96">
        <f t="shared" si="0"/>
        <v>320</v>
      </c>
      <c r="AL7" s="96">
        <f t="shared" si="0"/>
        <v>330</v>
      </c>
      <c r="AM7" s="96">
        <f t="shared" si="0"/>
        <v>340</v>
      </c>
      <c r="AN7" s="96">
        <f t="shared" si="0"/>
        <v>350</v>
      </c>
      <c r="AO7" s="96">
        <f t="shared" si="0"/>
        <v>360</v>
      </c>
      <c r="AP7" s="96">
        <f t="shared" si="0"/>
        <v>370</v>
      </c>
      <c r="AQ7" s="96">
        <f t="shared" si="0"/>
        <v>380</v>
      </c>
      <c r="AR7" s="96">
        <f t="shared" si="0"/>
        <v>390</v>
      </c>
      <c r="AS7" s="96">
        <f t="shared" si="0"/>
        <v>400</v>
      </c>
    </row>
    <row r="8" spans="3:45" x14ac:dyDescent="0.35">
      <c r="C8" s="5"/>
      <c r="D8" s="19" t="s">
        <v>314</v>
      </c>
      <c r="E8" s="232">
        <f>IF($D$7=$J$3,E7*PI()/180,E7)</f>
        <v>0</v>
      </c>
      <c r="F8" s="232">
        <f t="shared" ref="F8:N8" si="1">IF($D$7=$J$3,F7*PI()/180,F7)</f>
        <v>0.17453292519943295</v>
      </c>
      <c r="G8" s="232">
        <f t="shared" si="1"/>
        <v>0.3490658503988659</v>
      </c>
      <c r="H8" s="232">
        <f t="shared" si="1"/>
        <v>0.52359877559829882</v>
      </c>
      <c r="I8" s="232">
        <f t="shared" si="1"/>
        <v>0.69813170079773179</v>
      </c>
      <c r="J8" s="232">
        <f t="shared" si="1"/>
        <v>0.87266462599716477</v>
      </c>
      <c r="K8" s="232">
        <f t="shared" si="1"/>
        <v>1.0471975511965976</v>
      </c>
      <c r="L8" s="232">
        <f t="shared" si="1"/>
        <v>1.2217304763960306</v>
      </c>
      <c r="M8" s="232">
        <f t="shared" si="1"/>
        <v>1.3962634015954636</v>
      </c>
      <c r="N8" s="232">
        <f t="shared" si="1"/>
        <v>1.5707963267948966</v>
      </c>
      <c r="O8" s="232">
        <f t="shared" ref="O8" si="2">IF($D$7=$J$3,O7*PI()/180,O7)</f>
        <v>1.7453292519943295</v>
      </c>
      <c r="P8" s="232">
        <f t="shared" ref="P8" si="3">IF($D$7=$J$3,P7*PI()/180,P7)</f>
        <v>1.9198621771937625</v>
      </c>
      <c r="Q8" s="232">
        <f t="shared" ref="Q8" si="4">IF($D$7=$J$3,Q7*PI()/180,Q7)</f>
        <v>2.0943951023931953</v>
      </c>
      <c r="R8" s="232">
        <f t="shared" ref="R8" si="5">IF($D$7=$J$3,R7*PI()/180,R7)</f>
        <v>2.2689280275926285</v>
      </c>
      <c r="S8" s="232">
        <f t="shared" ref="S8" si="6">IF($D$7=$J$3,S7*PI()/180,S7)</f>
        <v>2.4434609527920612</v>
      </c>
      <c r="T8" s="232">
        <f t="shared" ref="T8" si="7">IF($D$7=$J$3,T7*PI()/180,T7)</f>
        <v>2.6179938779914944</v>
      </c>
      <c r="U8" s="232">
        <f t="shared" ref="U8" si="8">IF($D$7=$J$3,U7*PI()/180,U7)</f>
        <v>2.7925268031909272</v>
      </c>
      <c r="V8" s="232">
        <f t="shared" ref="V8:W8" si="9">IF($D$7=$J$3,V7*PI()/180,V7)</f>
        <v>2.9670597283903604</v>
      </c>
      <c r="W8" s="232">
        <f t="shared" si="9"/>
        <v>3.1415926535897931</v>
      </c>
      <c r="X8" s="232">
        <f t="shared" ref="X8" si="10">IF($D$7=$J$3,X7*PI()/180,X7)</f>
        <v>3.3161255787892263</v>
      </c>
      <c r="Y8" s="232">
        <f t="shared" ref="Y8" si="11">IF($D$7=$J$3,Y7*PI()/180,Y7)</f>
        <v>3.4906585039886591</v>
      </c>
      <c r="Z8" s="232">
        <f t="shared" ref="Z8" si="12">IF($D$7=$J$3,Z7*PI()/180,Z7)</f>
        <v>3.6651914291880923</v>
      </c>
      <c r="AA8" s="232">
        <f t="shared" ref="AA8" si="13">IF($D$7=$J$3,AA7*PI()/180,AA7)</f>
        <v>3.839724354387525</v>
      </c>
      <c r="AB8" s="232">
        <f t="shared" ref="AB8" si="14">IF($D$7=$J$3,AB7*PI()/180,AB7)</f>
        <v>4.0142572795869578</v>
      </c>
      <c r="AC8" s="232">
        <f t="shared" ref="AC8" si="15">IF($D$7=$J$3,AC7*PI()/180,AC7)</f>
        <v>4.1887902047863905</v>
      </c>
      <c r="AD8" s="232">
        <f t="shared" ref="AD8" si="16">IF($D$7=$J$3,AD7*PI()/180,AD7)</f>
        <v>4.3633231299858233</v>
      </c>
      <c r="AE8" s="232">
        <f t="shared" ref="AE8:AF8" si="17">IF($D$7=$J$3,AE7*PI()/180,AE7)</f>
        <v>4.5378560551852569</v>
      </c>
      <c r="AF8" s="232">
        <f t="shared" si="17"/>
        <v>4.7123889803846897</v>
      </c>
      <c r="AG8" s="232">
        <f t="shared" ref="AG8" si="18">IF($D$7=$J$3,AG7*PI()/180,AG7)</f>
        <v>4.8869219055841224</v>
      </c>
      <c r="AH8" s="232">
        <f t="shared" ref="AH8" si="19">IF($D$7=$J$3,AH7*PI()/180,AH7)</f>
        <v>5.0614548307835552</v>
      </c>
      <c r="AI8" s="232">
        <f t="shared" ref="AI8" si="20">IF($D$7=$J$3,AI7*PI()/180,AI7)</f>
        <v>5.2359877559829888</v>
      </c>
      <c r="AJ8" s="232">
        <f t="shared" ref="AJ8" si="21">IF($D$7=$J$3,AJ7*PI()/180,AJ7)</f>
        <v>5.4105206811824216</v>
      </c>
      <c r="AK8" s="232">
        <f t="shared" ref="AK8" si="22">IF($D$7=$J$3,AK7*PI()/180,AK7)</f>
        <v>5.5850536063818543</v>
      </c>
      <c r="AL8" s="232">
        <f t="shared" ref="AL8" si="23">IF($D$7=$J$3,AL7*PI()/180,AL7)</f>
        <v>5.7595865315812871</v>
      </c>
      <c r="AM8" s="232">
        <f t="shared" ref="AM8" si="24">IF($D$7=$J$3,AM7*PI()/180,AM7)</f>
        <v>5.9341194567807207</v>
      </c>
      <c r="AN8" s="232">
        <f t="shared" ref="AN8:AO8" si="25">IF($D$7=$J$3,AN7*PI()/180,AN7)</f>
        <v>6.1086523819801526</v>
      </c>
      <c r="AO8" s="232">
        <f t="shared" si="25"/>
        <v>6.2831853071795862</v>
      </c>
      <c r="AP8" s="232">
        <f t="shared" ref="AP8" si="26">IF($D$7=$J$3,AP7*PI()/180,AP7)</f>
        <v>6.457718232379019</v>
      </c>
      <c r="AQ8" s="232">
        <f t="shared" ref="AQ8" si="27">IF($D$7=$J$3,AQ7*PI()/180,AQ7)</f>
        <v>6.6322511575784526</v>
      </c>
      <c r="AR8" s="232">
        <f t="shared" ref="AR8" si="28">IF($D$7=$J$3,AR7*PI()/180,AR7)</f>
        <v>6.8067840827778845</v>
      </c>
      <c r="AS8" s="232">
        <f t="shared" ref="AS8" si="29">IF($D$7=$J$3,AS7*PI()/180,AS7)</f>
        <v>6.9813170079773181</v>
      </c>
    </row>
    <row r="9" spans="3:45" x14ac:dyDescent="0.35">
      <c r="C9" s="19" t="s">
        <v>333</v>
      </c>
      <c r="D9" s="5" t="s">
        <v>334</v>
      </c>
      <c r="E9" s="232">
        <f>SIN(E8)</f>
        <v>0</v>
      </c>
      <c r="F9" s="232">
        <f t="shared" ref="F9:AS9" si="30">SIN(F8)</f>
        <v>0.17364817766693033</v>
      </c>
      <c r="G9" s="232">
        <f t="shared" si="30"/>
        <v>0.34202014332566871</v>
      </c>
      <c r="H9" s="232">
        <f t="shared" si="30"/>
        <v>0.49999999999999994</v>
      </c>
      <c r="I9" s="232">
        <f t="shared" si="30"/>
        <v>0.64278760968653925</v>
      </c>
      <c r="J9" s="232">
        <f t="shared" si="30"/>
        <v>0.76604444311897801</v>
      </c>
      <c r="K9" s="232">
        <f t="shared" si="30"/>
        <v>0.8660254037844386</v>
      </c>
      <c r="L9" s="232">
        <f t="shared" si="30"/>
        <v>0.93969262078590832</v>
      </c>
      <c r="M9" s="232">
        <f t="shared" si="30"/>
        <v>0.98480775301220802</v>
      </c>
      <c r="N9" s="232">
        <f t="shared" si="30"/>
        <v>1</v>
      </c>
      <c r="O9" s="232">
        <f t="shared" si="30"/>
        <v>0.98480775301220802</v>
      </c>
      <c r="P9" s="232">
        <f t="shared" si="30"/>
        <v>0.93969262078590843</v>
      </c>
      <c r="Q9" s="232">
        <f t="shared" si="30"/>
        <v>0.86602540378443871</v>
      </c>
      <c r="R9" s="232">
        <f t="shared" si="30"/>
        <v>0.76604444311897801</v>
      </c>
      <c r="S9" s="232">
        <f t="shared" si="30"/>
        <v>0.64278760968653947</v>
      </c>
      <c r="T9" s="232">
        <f t="shared" si="30"/>
        <v>0.49999999999999994</v>
      </c>
      <c r="U9" s="232">
        <f t="shared" si="30"/>
        <v>0.34202014332566888</v>
      </c>
      <c r="V9" s="232">
        <f t="shared" si="30"/>
        <v>0.17364817766693028</v>
      </c>
      <c r="W9" s="232">
        <f t="shared" si="30"/>
        <v>1.22514845490862E-16</v>
      </c>
      <c r="X9" s="232">
        <f t="shared" si="30"/>
        <v>-0.17364817766693047</v>
      </c>
      <c r="Y9" s="232">
        <f t="shared" si="30"/>
        <v>-0.34202014332566866</v>
      </c>
      <c r="Z9" s="232">
        <f t="shared" si="30"/>
        <v>-0.50000000000000011</v>
      </c>
      <c r="AA9" s="232">
        <f t="shared" si="30"/>
        <v>-0.64278760968653925</v>
      </c>
      <c r="AB9" s="232">
        <f t="shared" si="30"/>
        <v>-0.7660444431189779</v>
      </c>
      <c r="AC9" s="232">
        <f t="shared" si="30"/>
        <v>-0.86602540378443837</v>
      </c>
      <c r="AD9" s="232">
        <f t="shared" si="30"/>
        <v>-0.93969262078590821</v>
      </c>
      <c r="AE9" s="232">
        <f t="shared" si="30"/>
        <v>-0.98480775301220802</v>
      </c>
      <c r="AF9" s="232">
        <f t="shared" si="30"/>
        <v>-1</v>
      </c>
      <c r="AG9" s="232">
        <f t="shared" si="30"/>
        <v>-0.98480775301220813</v>
      </c>
      <c r="AH9" s="232">
        <f t="shared" si="30"/>
        <v>-0.93969262078590854</v>
      </c>
      <c r="AI9" s="232">
        <f t="shared" si="30"/>
        <v>-0.8660254037844386</v>
      </c>
      <c r="AJ9" s="232">
        <f t="shared" si="30"/>
        <v>-0.76604444311897812</v>
      </c>
      <c r="AK9" s="232">
        <f t="shared" si="30"/>
        <v>-0.64278760968653958</v>
      </c>
      <c r="AL9" s="232">
        <f t="shared" si="30"/>
        <v>-0.50000000000000044</v>
      </c>
      <c r="AM9" s="232">
        <f t="shared" si="30"/>
        <v>-0.3420201433256686</v>
      </c>
      <c r="AN9" s="232">
        <f t="shared" si="30"/>
        <v>-0.17364817766693127</v>
      </c>
      <c r="AO9" s="232">
        <f t="shared" si="30"/>
        <v>-2.45029690981724E-16</v>
      </c>
      <c r="AP9" s="232">
        <f t="shared" si="30"/>
        <v>0.17364817766692991</v>
      </c>
      <c r="AQ9" s="232">
        <f t="shared" si="30"/>
        <v>0.34202014332566893</v>
      </c>
      <c r="AR9" s="232">
        <f t="shared" si="30"/>
        <v>0.49999999999999928</v>
      </c>
      <c r="AS9" s="232">
        <f t="shared" si="30"/>
        <v>0.64278760968653914</v>
      </c>
    </row>
    <row r="10" spans="3:45" x14ac:dyDescent="0.35">
      <c r="C10" s="19" t="s">
        <v>338</v>
      </c>
      <c r="D10" s="5" t="s">
        <v>336</v>
      </c>
      <c r="E10" s="232">
        <f>COS(E8)</f>
        <v>1</v>
      </c>
      <c r="F10" s="232">
        <f t="shared" ref="F10:AS10" si="31">COS(F8)</f>
        <v>0.98480775301220802</v>
      </c>
      <c r="G10" s="232">
        <f t="shared" si="31"/>
        <v>0.93969262078590843</v>
      </c>
      <c r="H10" s="232">
        <f t="shared" si="31"/>
        <v>0.86602540378443871</v>
      </c>
      <c r="I10" s="232">
        <f t="shared" si="31"/>
        <v>0.76604444311897801</v>
      </c>
      <c r="J10" s="232">
        <f t="shared" si="31"/>
        <v>0.64278760968653936</v>
      </c>
      <c r="K10" s="232">
        <f t="shared" si="31"/>
        <v>0.50000000000000011</v>
      </c>
      <c r="L10" s="232">
        <f t="shared" si="31"/>
        <v>0.34202014332566882</v>
      </c>
      <c r="M10" s="232">
        <f t="shared" si="31"/>
        <v>0.17364817766693041</v>
      </c>
      <c r="N10" s="232">
        <f t="shared" si="31"/>
        <v>6.1257422745431001E-17</v>
      </c>
      <c r="O10" s="232">
        <f t="shared" si="31"/>
        <v>-0.1736481776669303</v>
      </c>
      <c r="P10" s="232">
        <f t="shared" si="31"/>
        <v>-0.34202014332566871</v>
      </c>
      <c r="Q10" s="232">
        <f t="shared" si="31"/>
        <v>-0.49999999999999978</v>
      </c>
      <c r="R10" s="232">
        <f t="shared" si="31"/>
        <v>-0.64278760968653936</v>
      </c>
      <c r="S10" s="232">
        <f t="shared" si="31"/>
        <v>-0.7660444431189779</v>
      </c>
      <c r="T10" s="232">
        <f t="shared" si="31"/>
        <v>-0.86602540378443871</v>
      </c>
      <c r="U10" s="232">
        <f t="shared" si="31"/>
        <v>-0.93969262078590832</v>
      </c>
      <c r="V10" s="232">
        <f t="shared" si="31"/>
        <v>-0.98480775301220802</v>
      </c>
      <c r="W10" s="232">
        <f t="shared" si="31"/>
        <v>-1</v>
      </c>
      <c r="X10" s="232">
        <f t="shared" si="31"/>
        <v>-0.98480775301220802</v>
      </c>
      <c r="Y10" s="232">
        <f t="shared" si="31"/>
        <v>-0.93969262078590843</v>
      </c>
      <c r="Z10" s="232">
        <f t="shared" si="31"/>
        <v>-0.8660254037844386</v>
      </c>
      <c r="AA10" s="232">
        <f t="shared" si="31"/>
        <v>-0.76604444311897801</v>
      </c>
      <c r="AB10" s="232">
        <f t="shared" si="31"/>
        <v>-0.64278760968653947</v>
      </c>
      <c r="AC10" s="232">
        <f t="shared" si="31"/>
        <v>-0.50000000000000044</v>
      </c>
      <c r="AD10" s="232">
        <f t="shared" si="31"/>
        <v>-0.34202014332566938</v>
      </c>
      <c r="AE10" s="232">
        <f t="shared" si="31"/>
        <v>-0.17364817766693033</v>
      </c>
      <c r="AF10" s="232">
        <f t="shared" si="31"/>
        <v>-1.83772268236293E-16</v>
      </c>
      <c r="AG10" s="232">
        <f t="shared" si="31"/>
        <v>0.17364817766692997</v>
      </c>
      <c r="AH10" s="232">
        <f t="shared" si="31"/>
        <v>0.34202014332566816</v>
      </c>
      <c r="AI10" s="232">
        <f t="shared" si="31"/>
        <v>0.50000000000000011</v>
      </c>
      <c r="AJ10" s="232">
        <f t="shared" si="31"/>
        <v>0.64278760968653925</v>
      </c>
      <c r="AK10" s="232">
        <f t="shared" si="31"/>
        <v>0.76604444311897779</v>
      </c>
      <c r="AL10" s="232">
        <f t="shared" si="31"/>
        <v>0.86602540378443837</v>
      </c>
      <c r="AM10" s="232">
        <f t="shared" si="31"/>
        <v>0.93969262078590843</v>
      </c>
      <c r="AN10" s="232">
        <f t="shared" si="31"/>
        <v>0.98480775301220791</v>
      </c>
      <c r="AO10" s="232">
        <f t="shared" si="31"/>
        <v>1</v>
      </c>
      <c r="AP10" s="232">
        <f t="shared" si="31"/>
        <v>0.98480775301220813</v>
      </c>
      <c r="AQ10" s="232">
        <f t="shared" si="31"/>
        <v>0.93969262078590832</v>
      </c>
      <c r="AR10" s="232">
        <f t="shared" si="31"/>
        <v>0.86602540378443904</v>
      </c>
      <c r="AS10" s="232">
        <f t="shared" si="31"/>
        <v>0.76604444311897812</v>
      </c>
    </row>
    <row r="11" spans="3:45" x14ac:dyDescent="0.35">
      <c r="C11" s="19" t="s">
        <v>339</v>
      </c>
      <c r="D11" s="5" t="s">
        <v>337</v>
      </c>
      <c r="E11" s="232">
        <f>TAN(E8)</f>
        <v>0</v>
      </c>
      <c r="F11" s="232">
        <f t="shared" ref="F11:AS11" si="32">TAN(F8)</f>
        <v>0.17632698070846498</v>
      </c>
      <c r="G11" s="232">
        <f t="shared" si="32"/>
        <v>0.36397023426620234</v>
      </c>
      <c r="H11" s="232">
        <f t="shared" si="32"/>
        <v>0.57735026918962573</v>
      </c>
      <c r="I11" s="232">
        <f t="shared" si="32"/>
        <v>0.83909963117727993</v>
      </c>
      <c r="J11" s="232">
        <f t="shared" si="32"/>
        <v>1.19175359259421</v>
      </c>
      <c r="K11" s="232">
        <f t="shared" si="32"/>
        <v>1.7320508075688767</v>
      </c>
      <c r="L11" s="232">
        <f t="shared" si="32"/>
        <v>2.7474774194546216</v>
      </c>
      <c r="M11" s="232">
        <f t="shared" si="32"/>
        <v>5.6712818196177066</v>
      </c>
      <c r="N11" s="232">
        <f t="shared" si="32"/>
        <v>1.6324552277619072E+16</v>
      </c>
      <c r="O11" s="232">
        <f t="shared" si="32"/>
        <v>-5.6712818196177111</v>
      </c>
      <c r="P11" s="232">
        <f t="shared" si="32"/>
        <v>-2.7474774194546225</v>
      </c>
      <c r="Q11" s="232">
        <f t="shared" si="32"/>
        <v>-1.7320508075688783</v>
      </c>
      <c r="R11" s="232">
        <f t="shared" si="32"/>
        <v>-1.19175359259421</v>
      </c>
      <c r="S11" s="232">
        <f t="shared" si="32"/>
        <v>-0.83909963117728037</v>
      </c>
      <c r="T11" s="232">
        <f t="shared" si="32"/>
        <v>-0.57735026918962573</v>
      </c>
      <c r="U11" s="232">
        <f t="shared" si="32"/>
        <v>-0.36397023426620256</v>
      </c>
      <c r="V11" s="232">
        <f t="shared" si="32"/>
        <v>-0.17632698070846489</v>
      </c>
      <c r="W11" s="232">
        <f t="shared" si="32"/>
        <v>-1.22514845490862E-16</v>
      </c>
      <c r="X11" s="232">
        <f t="shared" si="32"/>
        <v>0.17632698070846509</v>
      </c>
      <c r="Y11" s="232">
        <f t="shared" si="32"/>
        <v>0.36397023426620229</v>
      </c>
      <c r="Z11" s="232">
        <f t="shared" si="32"/>
        <v>0.57735026918962595</v>
      </c>
      <c r="AA11" s="232">
        <f t="shared" si="32"/>
        <v>0.83909963117727993</v>
      </c>
      <c r="AB11" s="232">
        <f t="shared" si="32"/>
        <v>1.1917535925942093</v>
      </c>
      <c r="AC11" s="232">
        <f t="shared" si="32"/>
        <v>1.7320508075688754</v>
      </c>
      <c r="AD11" s="232">
        <f t="shared" si="32"/>
        <v>2.7474774194546168</v>
      </c>
      <c r="AE11" s="232">
        <f t="shared" si="32"/>
        <v>5.6712818196177102</v>
      </c>
      <c r="AF11" s="232">
        <f t="shared" si="32"/>
        <v>5441517425873024</v>
      </c>
      <c r="AG11" s="232">
        <f t="shared" si="32"/>
        <v>-5.6712818196177226</v>
      </c>
      <c r="AH11" s="232">
        <f t="shared" si="32"/>
        <v>-2.7474774194546274</v>
      </c>
      <c r="AI11" s="232">
        <f t="shared" si="32"/>
        <v>-1.732050807568877</v>
      </c>
      <c r="AJ11" s="232">
        <f t="shared" si="32"/>
        <v>-1.1917535925942102</v>
      </c>
      <c r="AK11" s="232">
        <f t="shared" si="32"/>
        <v>-0.83909963117728059</v>
      </c>
      <c r="AL11" s="232">
        <f t="shared" si="32"/>
        <v>-0.57735026918962651</v>
      </c>
      <c r="AM11" s="232">
        <f t="shared" si="32"/>
        <v>-0.36397023426620218</v>
      </c>
      <c r="AN11" s="232">
        <f t="shared" si="32"/>
        <v>-0.17632698070846592</v>
      </c>
      <c r="AO11" s="232">
        <f t="shared" si="32"/>
        <v>-2.45029690981724E-16</v>
      </c>
      <c r="AP11" s="232">
        <f t="shared" si="32"/>
        <v>0.1763269807084645</v>
      </c>
      <c r="AQ11" s="232">
        <f t="shared" si="32"/>
        <v>0.36397023426620262</v>
      </c>
      <c r="AR11" s="232">
        <f t="shared" si="32"/>
        <v>0.57735026918962462</v>
      </c>
      <c r="AS11" s="232">
        <f t="shared" si="32"/>
        <v>0.8390996311772797</v>
      </c>
    </row>
  </sheetData>
  <dataValidations count="1">
    <dataValidation type="list" allowBlank="1" showInputMessage="1" showErrorMessage="1" sqref="D7" xr:uid="{0301A70D-6277-4BB2-81B6-2BB5B814650B}">
      <formula1>$J$3:$J$4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C101-0721-4B41-AB3B-88F5CF5B361C}">
  <dimension ref="C1:AK42"/>
  <sheetViews>
    <sheetView showGridLines="0" topLeftCell="A16" zoomScaleNormal="100" workbookViewId="0">
      <selection activeCell="O28" sqref="O28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2" customWidth="1"/>
    <col min="4" max="4" width="35.1796875" customWidth="1"/>
    <col min="5" max="5" width="9.54296875" customWidth="1"/>
    <col min="6" max="6" width="12.36328125" customWidth="1"/>
    <col min="7" max="8" width="9.81640625" customWidth="1"/>
    <col min="9" max="9" width="16" customWidth="1"/>
    <col min="10" max="10" width="11.36328125" customWidth="1"/>
    <col min="11" max="11" width="33" customWidth="1"/>
    <col min="12" max="12" width="15.6328125" customWidth="1"/>
    <col min="13" max="13" width="15" customWidth="1"/>
    <col min="14" max="14" width="6.54296875" customWidth="1"/>
    <col min="15" max="15" width="24.54296875" customWidth="1"/>
    <col min="16" max="16" width="7.26953125" customWidth="1"/>
    <col min="21" max="21" width="16.36328125" customWidth="1"/>
  </cols>
  <sheetData>
    <row r="1" spans="3:25" ht="40" customHeight="1" x14ac:dyDescent="0.35"/>
    <row r="2" spans="3:25" ht="26" x14ac:dyDescent="0.6">
      <c r="C2" s="44" t="s">
        <v>252</v>
      </c>
      <c r="D2" s="44"/>
      <c r="L2" s="125" t="s">
        <v>268</v>
      </c>
      <c r="M2" s="126" t="s">
        <v>271</v>
      </c>
      <c r="N2" s="111"/>
    </row>
    <row r="3" spans="3:25" x14ac:dyDescent="0.35">
      <c r="L3" s="115" t="s">
        <v>215</v>
      </c>
      <c r="M3" s="115" t="s">
        <v>273</v>
      </c>
      <c r="T3" s="85"/>
      <c r="X3" s="119"/>
      <c r="Y3" s="119"/>
    </row>
    <row r="4" spans="3:25" x14ac:dyDescent="0.35">
      <c r="L4" s="115" t="s">
        <v>216</v>
      </c>
      <c r="M4" s="115" t="s">
        <v>272</v>
      </c>
      <c r="T4" s="85"/>
    </row>
    <row r="5" spans="3:25" x14ac:dyDescent="0.35">
      <c r="L5" s="115"/>
      <c r="M5" s="115" t="s">
        <v>261</v>
      </c>
      <c r="T5" s="85"/>
    </row>
    <row r="6" spans="3:25" x14ac:dyDescent="0.35">
      <c r="L6" s="115"/>
      <c r="M6" s="115" t="s">
        <v>270</v>
      </c>
    </row>
    <row r="20" spans="4:35" x14ac:dyDescent="0.35">
      <c r="D20" s="5" t="s">
        <v>258</v>
      </c>
      <c r="E20" s="19" t="s">
        <v>259</v>
      </c>
      <c r="F20" s="94">
        <v>5</v>
      </c>
      <c r="G20" s="4" t="s">
        <v>272</v>
      </c>
      <c r="I20" s="119"/>
      <c r="K20" s="5" t="s">
        <v>276</v>
      </c>
      <c r="L20" s="5"/>
    </row>
    <row r="21" spans="4:35" x14ac:dyDescent="0.35">
      <c r="D21" s="5" t="s">
        <v>266</v>
      </c>
      <c r="E21" s="19" t="s">
        <v>267</v>
      </c>
      <c r="F21" s="94">
        <v>31</v>
      </c>
      <c r="G21" s="4" t="s">
        <v>215</v>
      </c>
      <c r="I21" s="119"/>
      <c r="K21" s="19" t="s">
        <v>279</v>
      </c>
      <c r="L21" s="133">
        <v>0.6</v>
      </c>
    </row>
    <row r="22" spans="4:35" x14ac:dyDescent="0.35">
      <c r="D22" s="127"/>
      <c r="E22" s="19" t="str">
        <f>E21</f>
        <v xml:space="preserve">α = </v>
      </c>
      <c r="F22" s="128">
        <f>IF(G21=G22,F21,F21*180/PI())</f>
        <v>31</v>
      </c>
      <c r="G22" s="127" t="str">
        <f>L3</f>
        <v>°</v>
      </c>
      <c r="I22" s="119"/>
      <c r="K22" s="19" t="s">
        <v>280</v>
      </c>
      <c r="L22" s="135">
        <v>0.2</v>
      </c>
    </row>
    <row r="23" spans="4:35" x14ac:dyDescent="0.35">
      <c r="D23" s="127"/>
      <c r="E23" s="19" t="str">
        <f>E21</f>
        <v xml:space="preserve">α = </v>
      </c>
      <c r="F23" s="128">
        <f>IF(G21=G23,F21,F21*PI()/180)</f>
        <v>0.54105206811824214</v>
      </c>
      <c r="G23" s="127" t="str">
        <f>L4</f>
        <v>rad</v>
      </c>
      <c r="I23" s="119"/>
      <c r="K23" s="5" t="s">
        <v>311</v>
      </c>
      <c r="L23" s="134">
        <f>DEGREES(ATAN(L21))</f>
        <v>30.963756532073521</v>
      </c>
      <c r="M23" s="5" t="s">
        <v>312</v>
      </c>
      <c r="O23" s="5">
        <f>L23*PI()/180</f>
        <v>0.54041950027058416</v>
      </c>
      <c r="P23" s="5" t="s">
        <v>314</v>
      </c>
    </row>
    <row r="24" spans="4:35" ht="16.5" x14ac:dyDescent="0.35">
      <c r="D24" s="5" t="s">
        <v>260</v>
      </c>
      <c r="E24" s="19" t="s">
        <v>316</v>
      </c>
      <c r="F24" s="93">
        <v>9.81</v>
      </c>
      <c r="G24" s="5" t="s">
        <v>262</v>
      </c>
      <c r="K24" s="5" t="s">
        <v>313</v>
      </c>
      <c r="L24" s="134">
        <f>DEGREES(ATAN(L22))</f>
        <v>11.309932474020215</v>
      </c>
      <c r="M24" s="5" t="s">
        <v>312</v>
      </c>
      <c r="O24" s="5">
        <f>L24*PI()/180</f>
        <v>0.1973955598498808</v>
      </c>
      <c r="P24" s="5" t="s">
        <v>314</v>
      </c>
    </row>
    <row r="26" spans="4:35" ht="16.5" x14ac:dyDescent="0.45">
      <c r="D26" s="5" t="s">
        <v>269</v>
      </c>
      <c r="E26" s="19" t="s">
        <v>253</v>
      </c>
      <c r="F26" s="5" t="s">
        <v>263</v>
      </c>
      <c r="G26" s="93">
        <f>$F$20*$F$24</f>
        <v>49.050000000000004</v>
      </c>
      <c r="H26" s="5" t="str">
        <f>IF($G$20=$M$5,"N",IF($G$20=$M$6,"kN",IF($G$20=$M$4,"mN",IF($G$20=$M$3,"Mikro N",""))))</f>
        <v>mN</v>
      </c>
    </row>
    <row r="27" spans="4:35" ht="16.5" x14ac:dyDescent="0.45">
      <c r="D27" s="5" t="s">
        <v>254</v>
      </c>
      <c r="E27" s="19" t="s">
        <v>256</v>
      </c>
      <c r="F27" s="5" t="s">
        <v>265</v>
      </c>
      <c r="G27" s="93">
        <f>$G$26*SIN($F$23)</f>
        <v>25.262617574338158</v>
      </c>
      <c r="H27" s="5" t="str">
        <f>H26</f>
        <v>mN</v>
      </c>
    </row>
    <row r="28" spans="4:35" ht="16.5" x14ac:dyDescent="0.45">
      <c r="D28" s="5" t="s">
        <v>255</v>
      </c>
      <c r="E28" s="19" t="s">
        <v>257</v>
      </c>
      <c r="F28" s="5" t="s">
        <v>264</v>
      </c>
      <c r="G28" s="93">
        <f>$G$26*COS($F$23)</f>
        <v>42.044056099438613</v>
      </c>
      <c r="H28" s="5" t="str">
        <f>H27</f>
        <v>mN</v>
      </c>
    </row>
    <row r="29" spans="4:35" x14ac:dyDescent="0.35">
      <c r="D29" s="5"/>
      <c r="E29" s="19"/>
      <c r="F29" s="5"/>
      <c r="G29" s="93"/>
      <c r="H29" s="5"/>
    </row>
    <row r="30" spans="4:35" ht="16.5" x14ac:dyDescent="0.45">
      <c r="D30" s="5" t="s">
        <v>296</v>
      </c>
      <c r="E30" s="19" t="s">
        <v>300</v>
      </c>
      <c r="F30" s="5" t="s">
        <v>295</v>
      </c>
      <c r="G30" s="93">
        <f>$G$28*$L$21</f>
        <v>25.226433659663169</v>
      </c>
      <c r="H30" s="5" t="str">
        <f>H28</f>
        <v>mN</v>
      </c>
    </row>
    <row r="31" spans="4:35" ht="16" customHeight="1" x14ac:dyDescent="0.45">
      <c r="D31" s="5" t="s">
        <v>297</v>
      </c>
      <c r="E31" s="19" t="s">
        <v>305</v>
      </c>
      <c r="F31" s="5" t="s">
        <v>301</v>
      </c>
      <c r="G31" s="93">
        <f>$G$27-G30</f>
        <v>3.6183914674989381E-2</v>
      </c>
      <c r="H31" s="5" t="str">
        <f>H30</f>
        <v>mN</v>
      </c>
      <c r="I31" t="str">
        <f>IF(G31&gt;0,"Gleiten","Haftet")</f>
        <v>Gleiten</v>
      </c>
      <c r="K31" s="132" t="s">
        <v>281</v>
      </c>
      <c r="L31" s="132" t="s">
        <v>277</v>
      </c>
      <c r="M31" s="132" t="s">
        <v>278</v>
      </c>
      <c r="O31" t="str">
        <f>D21</f>
        <v>Steigungswinkel:</v>
      </c>
      <c r="R31" s="1" t="s">
        <v>8</v>
      </c>
      <c r="S31" s="2">
        <v>5</v>
      </c>
    </row>
    <row r="32" spans="4:35" ht="16" customHeight="1" x14ac:dyDescent="0.45">
      <c r="D32" s="5" t="s">
        <v>299</v>
      </c>
      <c r="E32" s="19" t="s">
        <v>302</v>
      </c>
      <c r="F32" s="5" t="s">
        <v>298</v>
      </c>
      <c r="G32" s="93">
        <f>$G$28*$L$22</f>
        <v>8.4088112198877223</v>
      </c>
      <c r="H32" s="5" t="str">
        <f>H31</f>
        <v>mN</v>
      </c>
      <c r="K32" s="131" t="s">
        <v>282</v>
      </c>
      <c r="L32" s="131" t="s">
        <v>283</v>
      </c>
      <c r="M32" s="131" t="s">
        <v>284</v>
      </c>
      <c r="O32" s="136" t="s">
        <v>267</v>
      </c>
      <c r="P32" s="136" t="s">
        <v>308</v>
      </c>
      <c r="Q32" s="4">
        <v>0</v>
      </c>
      <c r="R32" s="5">
        <f>Q32+$S$31</f>
        <v>5</v>
      </c>
      <c r="S32" s="5">
        <f t="shared" ref="S32:AA32" si="0">R32+$S$31</f>
        <v>10</v>
      </c>
      <c r="T32" s="5">
        <f t="shared" si="0"/>
        <v>15</v>
      </c>
      <c r="U32" s="5">
        <f t="shared" si="0"/>
        <v>20</v>
      </c>
      <c r="V32" s="5">
        <f t="shared" si="0"/>
        <v>25</v>
      </c>
      <c r="W32" s="5">
        <f t="shared" si="0"/>
        <v>30</v>
      </c>
      <c r="X32" s="5">
        <f t="shared" si="0"/>
        <v>35</v>
      </c>
      <c r="Y32" s="5">
        <f t="shared" si="0"/>
        <v>40</v>
      </c>
      <c r="Z32" s="5">
        <f t="shared" si="0"/>
        <v>45</v>
      </c>
      <c r="AA32" s="5">
        <f t="shared" si="0"/>
        <v>50</v>
      </c>
      <c r="AB32" s="5">
        <f t="shared" ref="AB32:AI32" si="1">AA32+$S$31</f>
        <v>55</v>
      </c>
      <c r="AC32" s="5">
        <f t="shared" si="1"/>
        <v>60</v>
      </c>
      <c r="AD32" s="5">
        <f t="shared" si="1"/>
        <v>65</v>
      </c>
      <c r="AE32" s="5">
        <f t="shared" si="1"/>
        <v>70</v>
      </c>
      <c r="AF32" s="5">
        <f t="shared" si="1"/>
        <v>75</v>
      </c>
      <c r="AG32" s="5">
        <f t="shared" si="1"/>
        <v>80</v>
      </c>
      <c r="AH32" s="5">
        <f t="shared" si="1"/>
        <v>85</v>
      </c>
      <c r="AI32" s="5">
        <f t="shared" si="1"/>
        <v>90</v>
      </c>
    </row>
    <row r="33" spans="4:37" ht="16" customHeight="1" x14ac:dyDescent="0.45">
      <c r="D33" s="5" t="s">
        <v>303</v>
      </c>
      <c r="E33" s="19" t="s">
        <v>306</v>
      </c>
      <c r="F33" s="5" t="s">
        <v>304</v>
      </c>
      <c r="G33" s="93">
        <f>$G$27-G32</f>
        <v>16.853806354450434</v>
      </c>
      <c r="H33" s="5" t="str">
        <f>H32</f>
        <v>mN</v>
      </c>
      <c r="K33" s="131" t="s">
        <v>285</v>
      </c>
      <c r="L33" s="131" t="s">
        <v>286</v>
      </c>
      <c r="M33" s="131" t="s">
        <v>287</v>
      </c>
      <c r="O33" s="136" t="s">
        <v>267</v>
      </c>
      <c r="P33" s="136" t="s">
        <v>309</v>
      </c>
      <c r="Q33" s="5">
        <f>Q32*PI()/180</f>
        <v>0</v>
      </c>
      <c r="R33" s="5">
        <f>R32*PI()/180</f>
        <v>8.7266462599716474E-2</v>
      </c>
      <c r="S33" s="5">
        <f t="shared" ref="S33:AA33" si="2">S32*PI()/180</f>
        <v>0.17453292519943295</v>
      </c>
      <c r="T33" s="5">
        <f t="shared" si="2"/>
        <v>0.26179938779914941</v>
      </c>
      <c r="U33" s="5">
        <f t="shared" si="2"/>
        <v>0.3490658503988659</v>
      </c>
      <c r="V33" s="5">
        <f t="shared" si="2"/>
        <v>0.43633231299858238</v>
      </c>
      <c r="W33" s="5">
        <f t="shared" si="2"/>
        <v>0.52359877559829882</v>
      </c>
      <c r="X33" s="5">
        <f t="shared" si="2"/>
        <v>0.6108652381980153</v>
      </c>
      <c r="Y33" s="5">
        <f t="shared" si="2"/>
        <v>0.69813170079773179</v>
      </c>
      <c r="Z33" s="5">
        <f t="shared" si="2"/>
        <v>0.78539816339744828</v>
      </c>
      <c r="AA33" s="5">
        <f t="shared" si="2"/>
        <v>0.87266462599716477</v>
      </c>
      <c r="AB33" s="5">
        <f t="shared" ref="AB33:AI33" si="3">AB32*PI()/180</f>
        <v>0.95993108859688125</v>
      </c>
      <c r="AC33" s="5">
        <f t="shared" si="3"/>
        <v>1.0471975511965976</v>
      </c>
      <c r="AD33" s="5">
        <f t="shared" si="3"/>
        <v>1.1344640137963142</v>
      </c>
      <c r="AE33" s="5">
        <f t="shared" si="3"/>
        <v>1.2217304763960306</v>
      </c>
      <c r="AF33" s="5">
        <f t="shared" si="3"/>
        <v>1.3089969389957472</v>
      </c>
      <c r="AG33" s="5">
        <f t="shared" si="3"/>
        <v>1.3962634015954636</v>
      </c>
      <c r="AH33" s="5">
        <f t="shared" si="3"/>
        <v>1.4835298641951802</v>
      </c>
      <c r="AI33" s="5">
        <f t="shared" si="3"/>
        <v>1.5707963267948966</v>
      </c>
    </row>
    <row r="34" spans="4:37" ht="16" customHeight="1" x14ac:dyDescent="0.45">
      <c r="K34" s="131" t="s">
        <v>288</v>
      </c>
      <c r="L34" s="131" t="s">
        <v>287</v>
      </c>
      <c r="M34" s="131" t="s">
        <v>289</v>
      </c>
      <c r="O34" s="19" t="s">
        <v>256</v>
      </c>
      <c r="P34" s="19" t="str">
        <f>H26</f>
        <v>mN</v>
      </c>
      <c r="Q34" s="5">
        <f>$F$20*SIN(Q33)*$F$24</f>
        <v>0</v>
      </c>
      <c r="R34" s="5">
        <f t="shared" ref="R34:AI34" si="4">$F$20*SIN(R33)*$F$24</f>
        <v>4.2749891817726331</v>
      </c>
      <c r="S34" s="5">
        <f t="shared" si="4"/>
        <v>8.5174431145629335</v>
      </c>
      <c r="T34" s="5">
        <f t="shared" si="4"/>
        <v>12.695074162278642</v>
      </c>
      <c r="U34" s="5">
        <f t="shared" si="4"/>
        <v>16.77608803012405</v>
      </c>
      <c r="V34" s="5">
        <f t="shared" si="4"/>
        <v>20.729425738381309</v>
      </c>
      <c r="W34" s="5">
        <f t="shared" si="4"/>
        <v>24.524999999999999</v>
      </c>
      <c r="X34" s="5">
        <f t="shared" si="4"/>
        <v>28.133924203018811</v>
      </c>
      <c r="Y34" s="5">
        <f t="shared" si="4"/>
        <v>31.528732255124751</v>
      </c>
      <c r="Z34" s="5">
        <f t="shared" si="4"/>
        <v>34.683587617200153</v>
      </c>
      <c r="AA34" s="5">
        <f t="shared" si="4"/>
        <v>37.574479934985874</v>
      </c>
      <c r="AB34" s="5">
        <f t="shared" si="4"/>
        <v>40.179407772375043</v>
      </c>
      <c r="AC34" s="5">
        <f t="shared" si="4"/>
        <v>42.478546055626715</v>
      </c>
      <c r="AD34" s="5">
        <f t="shared" si="4"/>
        <v>44.454396954147676</v>
      </c>
      <c r="AE34" s="5">
        <f t="shared" si="4"/>
        <v>46.091923049548804</v>
      </c>
      <c r="AF34" s="5">
        <f t="shared" si="4"/>
        <v>47.378661779478804</v>
      </c>
      <c r="AG34" s="5">
        <f t="shared" si="4"/>
        <v>48.304820285248802</v>
      </c>
      <c r="AH34" s="5">
        <f t="shared" si="4"/>
        <v>48.863349941400116</v>
      </c>
      <c r="AI34" s="5">
        <f t="shared" si="4"/>
        <v>49.050000000000004</v>
      </c>
    </row>
    <row r="35" spans="4:37" ht="16" customHeight="1" x14ac:dyDescent="0.45">
      <c r="K35" s="131" t="s">
        <v>290</v>
      </c>
      <c r="L35" s="131" t="s">
        <v>291</v>
      </c>
      <c r="M35" s="131" t="s">
        <v>292</v>
      </c>
      <c r="O35" s="19" t="s">
        <v>300</v>
      </c>
      <c r="P35" s="19" t="str">
        <f>P34</f>
        <v>mN</v>
      </c>
      <c r="Q35" s="5">
        <f>$F$20*$F$24*COS(Q33)*$L$21</f>
        <v>29.43</v>
      </c>
      <c r="R35" s="5">
        <f t="shared" ref="R35:AI35" si="5">$F$20*$F$24*COS(R33)*$L$21</f>
        <v>29.318009964840073</v>
      </c>
      <c r="S35" s="5">
        <f t="shared" si="5"/>
        <v>28.982892171149285</v>
      </c>
      <c r="T35" s="5">
        <f t="shared" si="5"/>
        <v>28.427197067687281</v>
      </c>
      <c r="U35" s="5">
        <f t="shared" si="5"/>
        <v>27.655153829729286</v>
      </c>
      <c r="V35" s="5">
        <f t="shared" si="5"/>
        <v>26.672638172488607</v>
      </c>
      <c r="W35" s="5">
        <f t="shared" si="5"/>
        <v>25.487127633376033</v>
      </c>
      <c r="X35" s="5">
        <f t="shared" si="5"/>
        <v>24.107644663425031</v>
      </c>
      <c r="Y35" s="5">
        <f t="shared" si="5"/>
        <v>22.544687960991524</v>
      </c>
      <c r="Z35" s="5">
        <f t="shared" si="5"/>
        <v>20.810152570320096</v>
      </c>
      <c r="AA35" s="5">
        <f t="shared" si="5"/>
        <v>18.917239353074855</v>
      </c>
      <c r="AB35" s="5">
        <f t="shared" si="5"/>
        <v>16.880354521811292</v>
      </c>
      <c r="AC35" s="5">
        <f t="shared" si="5"/>
        <v>14.715000000000005</v>
      </c>
      <c r="AD35" s="5">
        <f t="shared" si="5"/>
        <v>12.437655443028785</v>
      </c>
      <c r="AE35" s="5">
        <f t="shared" si="5"/>
        <v>10.065652818074435</v>
      </c>
      <c r="AF35" s="5">
        <f t="shared" si="5"/>
        <v>7.6170444973671856</v>
      </c>
      <c r="AG35" s="5">
        <f t="shared" si="5"/>
        <v>5.1104658687377622</v>
      </c>
      <c r="AH35" s="5">
        <f t="shared" si="5"/>
        <v>2.5649935090635791</v>
      </c>
      <c r="AI35" s="5">
        <f t="shared" si="5"/>
        <v>1.8028059513980344E-15</v>
      </c>
    </row>
    <row r="36" spans="4:37" ht="16" customHeight="1" x14ac:dyDescent="0.45">
      <c r="K36" s="131" t="s">
        <v>293</v>
      </c>
      <c r="L36" s="131" t="s">
        <v>294</v>
      </c>
      <c r="M36" s="131" t="s">
        <v>294</v>
      </c>
      <c r="O36" s="19" t="s">
        <v>302</v>
      </c>
      <c r="P36" s="19" t="str">
        <f>P35</f>
        <v>mN</v>
      </c>
      <c r="Q36" s="5">
        <f>$F$20*$F$24*COS(Q33)*$L$22</f>
        <v>9.8100000000000023</v>
      </c>
      <c r="R36" s="5">
        <f t="shared" ref="R36:AI36" si="6">$F$20*$F$24*COS(R33)*$L$22</f>
        <v>9.7726699882800254</v>
      </c>
      <c r="S36" s="5">
        <f t="shared" si="6"/>
        <v>9.6609640570497621</v>
      </c>
      <c r="T36" s="5">
        <f t="shared" si="6"/>
        <v>9.4757323558957616</v>
      </c>
      <c r="U36" s="5">
        <f t="shared" si="6"/>
        <v>9.2183846099097622</v>
      </c>
      <c r="V36" s="5">
        <f t="shared" si="6"/>
        <v>8.8908793908295376</v>
      </c>
      <c r="W36" s="5">
        <f t="shared" si="6"/>
        <v>8.4957092111253445</v>
      </c>
      <c r="X36" s="5">
        <f t="shared" si="6"/>
        <v>8.0358815544750097</v>
      </c>
      <c r="Y36" s="5">
        <f t="shared" si="6"/>
        <v>7.5148959869971748</v>
      </c>
      <c r="Z36" s="5">
        <f t="shared" si="6"/>
        <v>6.9367175234400325</v>
      </c>
      <c r="AA36" s="5">
        <f t="shared" si="6"/>
        <v>6.3057464510249517</v>
      </c>
      <c r="AB36" s="5">
        <f t="shared" si="6"/>
        <v>5.6267848406037642</v>
      </c>
      <c r="AC36" s="5">
        <f t="shared" si="6"/>
        <v>4.905000000000002</v>
      </c>
      <c r="AD36" s="5">
        <f t="shared" si="6"/>
        <v>4.1458851476762622</v>
      </c>
      <c r="AE36" s="5">
        <f t="shared" si="6"/>
        <v>3.3552176060248118</v>
      </c>
      <c r="AF36" s="5">
        <f t="shared" si="6"/>
        <v>2.5390148324557291</v>
      </c>
      <c r="AG36" s="5">
        <f t="shared" si="6"/>
        <v>1.7034886229125874</v>
      </c>
      <c r="AH36" s="5">
        <f t="shared" si="6"/>
        <v>0.85499783635452653</v>
      </c>
      <c r="AI36" s="5">
        <f t="shared" si="6"/>
        <v>6.0093531713267827E-16</v>
      </c>
    </row>
    <row r="37" spans="4:37" ht="16.5" x14ac:dyDescent="0.45">
      <c r="O37" s="19" t="s">
        <v>305</v>
      </c>
      <c r="P37" s="19" t="str">
        <f>P36</f>
        <v>mN</v>
      </c>
      <c r="Q37" s="5">
        <f>Q34-Q35</f>
        <v>-29.43</v>
      </c>
      <c r="R37" s="5">
        <f t="shared" ref="R37:AI37" si="7">R34-R35</f>
        <v>-25.043020783067441</v>
      </c>
      <c r="S37" s="5">
        <f t="shared" si="7"/>
        <v>-20.465449056586351</v>
      </c>
      <c r="T37" s="5">
        <f t="shared" si="7"/>
        <v>-15.732122905408639</v>
      </c>
      <c r="U37" s="5">
        <f t="shared" si="7"/>
        <v>-10.879065799605236</v>
      </c>
      <c r="V37" s="5">
        <f t="shared" si="7"/>
        <v>-5.9432124341072985</v>
      </c>
      <c r="W37" s="5">
        <f t="shared" si="7"/>
        <v>-0.96212763337603491</v>
      </c>
      <c r="X37" s="5">
        <f t="shared" si="7"/>
        <v>4.02627953959378</v>
      </c>
      <c r="Y37" s="5">
        <f t="shared" si="7"/>
        <v>8.984044294133227</v>
      </c>
      <c r="Z37" s="5">
        <f t="shared" si="7"/>
        <v>13.873435046880058</v>
      </c>
      <c r="AA37" s="5">
        <f t="shared" si="7"/>
        <v>18.657240581911019</v>
      </c>
      <c r="AB37" s="5">
        <f t="shared" si="7"/>
        <v>23.299053250563752</v>
      </c>
      <c r="AC37" s="5">
        <f t="shared" si="7"/>
        <v>27.763546055626712</v>
      </c>
      <c r="AD37" s="5">
        <f t="shared" si="7"/>
        <v>32.016741511118894</v>
      </c>
      <c r="AE37" s="5">
        <f t="shared" si="7"/>
        <v>36.026270231474371</v>
      </c>
      <c r="AF37" s="5">
        <f t="shared" si="7"/>
        <v>39.761617282111615</v>
      </c>
      <c r="AG37" s="5">
        <f t="shared" si="7"/>
        <v>43.19435441651104</v>
      </c>
      <c r="AH37" s="5">
        <f t="shared" si="7"/>
        <v>46.29835643233654</v>
      </c>
      <c r="AI37" s="5">
        <f t="shared" si="7"/>
        <v>49.050000000000004</v>
      </c>
    </row>
    <row r="38" spans="4:37" ht="16.5" x14ac:dyDescent="0.45">
      <c r="O38" s="19" t="s">
        <v>306</v>
      </c>
      <c r="P38" s="19" t="str">
        <f>P37</f>
        <v>mN</v>
      </c>
      <c r="Q38" s="5">
        <f>Q34-Q36</f>
        <v>-9.8100000000000023</v>
      </c>
      <c r="R38" s="5">
        <f t="shared" ref="R38:AI38" si="8">R34-R36</f>
        <v>-5.4976808065073923</v>
      </c>
      <c r="S38" s="5">
        <f t="shared" si="8"/>
        <v>-1.1435209424868287</v>
      </c>
      <c r="T38" s="5">
        <f t="shared" si="8"/>
        <v>3.2193418063828805</v>
      </c>
      <c r="U38" s="5">
        <f t="shared" si="8"/>
        <v>7.5577034202142883</v>
      </c>
      <c r="V38" s="5">
        <f t="shared" si="8"/>
        <v>11.838546347551771</v>
      </c>
      <c r="W38" s="5">
        <f t="shared" si="8"/>
        <v>16.029290788874654</v>
      </c>
      <c r="X38" s="5">
        <f t="shared" si="8"/>
        <v>20.098042648543803</v>
      </c>
      <c r="Y38" s="5">
        <f t="shared" si="8"/>
        <v>24.013836268127577</v>
      </c>
      <c r="Z38" s="5">
        <f t="shared" si="8"/>
        <v>27.746870093760123</v>
      </c>
      <c r="AA38" s="5">
        <f t="shared" si="8"/>
        <v>31.268733483960922</v>
      </c>
      <c r="AB38" s="5">
        <f t="shared" si="8"/>
        <v>34.552622931771282</v>
      </c>
      <c r="AC38" s="5">
        <f t="shared" si="8"/>
        <v>37.573546055626714</v>
      </c>
      <c r="AD38" s="5">
        <f t="shared" si="8"/>
        <v>40.308511806471415</v>
      </c>
      <c r="AE38" s="5">
        <f t="shared" si="8"/>
        <v>42.736705443523995</v>
      </c>
      <c r="AF38" s="5">
        <f t="shared" si="8"/>
        <v>44.839646947023077</v>
      </c>
      <c r="AG38" s="5">
        <f t="shared" si="8"/>
        <v>46.601331662336214</v>
      </c>
      <c r="AH38" s="5">
        <f t="shared" si="8"/>
        <v>48.008352105045589</v>
      </c>
      <c r="AI38" s="5">
        <f t="shared" si="8"/>
        <v>49.050000000000004</v>
      </c>
    </row>
    <row r="39" spans="4:37" ht="16.5" x14ac:dyDescent="0.45">
      <c r="O39" s="19" t="s">
        <v>307</v>
      </c>
      <c r="P39" s="19"/>
      <c r="Q39" s="5">
        <f>IF(Q38&gt;0,Q38/$F$20,0)</f>
        <v>0</v>
      </c>
      <c r="R39" s="5">
        <f t="shared" ref="R39:AI39" si="9">IF(R38&gt;0,R38/$F$20,0)</f>
        <v>0</v>
      </c>
      <c r="S39" s="5">
        <f t="shared" si="9"/>
        <v>0</v>
      </c>
      <c r="T39" s="5">
        <f t="shared" si="9"/>
        <v>0.6438683612765761</v>
      </c>
      <c r="U39" s="5">
        <f t="shared" si="9"/>
        <v>1.5115406840428576</v>
      </c>
      <c r="V39" s="5">
        <f t="shared" si="9"/>
        <v>2.3677092695103541</v>
      </c>
      <c r="W39" s="5">
        <f t="shared" si="9"/>
        <v>3.205858157774931</v>
      </c>
      <c r="X39" s="5">
        <f t="shared" si="9"/>
        <v>4.0196085297087603</v>
      </c>
      <c r="Y39" s="5">
        <f t="shared" si="9"/>
        <v>4.8027672536255155</v>
      </c>
      <c r="Z39" s="5">
        <f t="shared" si="9"/>
        <v>5.5493740187520242</v>
      </c>
      <c r="AA39" s="5">
        <f t="shared" si="9"/>
        <v>6.2537466967921844</v>
      </c>
      <c r="AB39" s="5">
        <f t="shared" si="9"/>
        <v>6.9105245863542564</v>
      </c>
      <c r="AC39" s="5">
        <f t="shared" si="9"/>
        <v>7.5147092111253428</v>
      </c>
      <c r="AD39" s="5">
        <f t="shared" si="9"/>
        <v>8.0617023612942837</v>
      </c>
      <c r="AE39" s="5">
        <f t="shared" si="9"/>
        <v>8.5473410887047994</v>
      </c>
      <c r="AF39" s="5">
        <f t="shared" si="9"/>
        <v>8.967929389404615</v>
      </c>
      <c r="AG39" s="5">
        <f t="shared" si="9"/>
        <v>9.3202663324672432</v>
      </c>
      <c r="AH39" s="5">
        <f t="shared" si="9"/>
        <v>9.6016704210091177</v>
      </c>
      <c r="AI39" s="5">
        <f t="shared" si="9"/>
        <v>9.81</v>
      </c>
    </row>
    <row r="40" spans="4:37" x14ac:dyDescent="0.35">
      <c r="O40" s="19" t="s">
        <v>310</v>
      </c>
      <c r="P40" s="5"/>
      <c r="Q40" s="5">
        <f>IF(Q38&gt;0,$F$24*(SIN(Q33)-$L$22*COS(Q33)),0)</f>
        <v>0</v>
      </c>
      <c r="R40" s="5">
        <f t="shared" ref="R40:AI40" si="10">IF(R38&gt;0,$F$24*(SIN(R33)-$L$22*COS(R33)),0)</f>
        <v>0</v>
      </c>
      <c r="S40" s="5">
        <f t="shared" si="10"/>
        <v>0</v>
      </c>
      <c r="T40" s="5">
        <f t="shared" si="10"/>
        <v>0.64386836127657632</v>
      </c>
      <c r="U40" s="5">
        <f>IF(U38&gt;0,$F$24*(SIN(U33)-$L$22*COS(U33)),0)</f>
        <v>1.5115406840428576</v>
      </c>
      <c r="V40" s="5">
        <f t="shared" si="10"/>
        <v>2.3677092695103545</v>
      </c>
      <c r="W40" s="5">
        <f t="shared" si="10"/>
        <v>3.205858157774931</v>
      </c>
      <c r="X40" s="5">
        <f t="shared" si="10"/>
        <v>4.0196085297087603</v>
      </c>
      <c r="Y40" s="5">
        <f t="shared" si="10"/>
        <v>4.8027672536255155</v>
      </c>
      <c r="Z40" s="5">
        <f t="shared" si="10"/>
        <v>5.5493740187520242</v>
      </c>
      <c r="AA40" s="5">
        <f t="shared" si="10"/>
        <v>6.2537466967921844</v>
      </c>
      <c r="AB40" s="5">
        <f t="shared" si="10"/>
        <v>6.9105245863542581</v>
      </c>
      <c r="AC40" s="5">
        <f t="shared" si="10"/>
        <v>7.514709211125342</v>
      </c>
      <c r="AD40" s="5">
        <f t="shared" si="10"/>
        <v>8.0617023612942837</v>
      </c>
      <c r="AE40" s="5">
        <f t="shared" si="10"/>
        <v>8.5473410887047994</v>
      </c>
      <c r="AF40" s="5">
        <f t="shared" si="10"/>
        <v>8.967929389404615</v>
      </c>
      <c r="AG40" s="5">
        <f t="shared" si="10"/>
        <v>9.3202663324672432</v>
      </c>
      <c r="AH40" s="137">
        <f t="shared" si="10"/>
        <v>9.6016704210091195</v>
      </c>
      <c r="AI40" s="137">
        <f t="shared" si="10"/>
        <v>9.81</v>
      </c>
    </row>
    <row r="41" spans="4:37" x14ac:dyDescent="0.35">
      <c r="AH41" s="5" t="s">
        <v>315</v>
      </c>
      <c r="AI41" s="93">
        <v>0</v>
      </c>
      <c r="AJ41" s="93">
        <f>$L$23</f>
        <v>30.963756532073521</v>
      </c>
      <c r="AK41" s="93">
        <f>$L$23</f>
        <v>30.963756532073521</v>
      </c>
    </row>
    <row r="42" spans="4:37" x14ac:dyDescent="0.35">
      <c r="AH42" s="5"/>
      <c r="AI42" s="5">
        <v>0</v>
      </c>
      <c r="AJ42" s="5">
        <v>0</v>
      </c>
      <c r="AK42" s="5">
        <f>$F$24*(SIN(O23)-$L$22*COS(O23))</f>
        <v>3.3648022404960245</v>
      </c>
    </row>
  </sheetData>
  <conditionalFormatting sqref="Q37:AI37">
    <cfRule type="expression" dxfId="2" priority="2">
      <formula>Q37&gt;0</formula>
    </cfRule>
  </conditionalFormatting>
  <conditionalFormatting sqref="Q38:AI38">
    <cfRule type="expression" dxfId="1" priority="1">
      <formula>Q38&lt;0</formula>
    </cfRule>
  </conditionalFormatting>
  <dataValidations count="2">
    <dataValidation type="list" allowBlank="1" showInputMessage="1" showErrorMessage="1" sqref="G21 O2" xr:uid="{914C84CC-881B-4AD5-BC66-6A288299472A}">
      <formula1>$L$3:$L$4</formula1>
    </dataValidation>
    <dataValidation type="list" allowBlank="1" showInputMessage="1" showErrorMessage="1" sqref="G20 P3" xr:uid="{BB7C4B13-58A2-49D4-9141-FDBC564F0ECC}">
      <formula1>$M$3:$M$6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90B10-2D6E-4B4D-AE6E-D70E7F961A46}">
  <dimension ref="E12:H21"/>
  <sheetViews>
    <sheetView zoomScale="115" zoomScaleNormal="115" workbookViewId="0">
      <selection activeCell="L21" sqref="L21"/>
    </sheetView>
  </sheetViews>
  <sheetFormatPr baseColWidth="10" defaultRowHeight="14.5" x14ac:dyDescent="0.35"/>
  <cols>
    <col min="6" max="6" width="12.7265625" customWidth="1"/>
    <col min="7" max="7" width="12" bestFit="1" customWidth="1"/>
  </cols>
  <sheetData>
    <row r="12" spans="5:8" ht="16.5" x14ac:dyDescent="0.35">
      <c r="E12" s="1" t="s">
        <v>316</v>
      </c>
      <c r="F12" s="2">
        <v>9.81</v>
      </c>
      <c r="G12" t="s">
        <v>262</v>
      </c>
    </row>
    <row r="13" spans="5:8" x14ac:dyDescent="0.35">
      <c r="E13" s="1" t="s">
        <v>259</v>
      </c>
      <c r="F13" s="2">
        <v>5</v>
      </c>
      <c r="G13" t="s">
        <v>261</v>
      </c>
    </row>
    <row r="15" spans="5:8" ht="16.5" x14ac:dyDescent="0.45">
      <c r="E15" s="1" t="s">
        <v>253</v>
      </c>
      <c r="F15" t="s">
        <v>317</v>
      </c>
      <c r="G15">
        <f>F13*F12</f>
        <v>49.050000000000004</v>
      </c>
      <c r="H15" t="s">
        <v>318</v>
      </c>
    </row>
    <row r="17" spans="5:8" x14ac:dyDescent="0.35">
      <c r="E17" s="1" t="s">
        <v>267</v>
      </c>
      <c r="F17" s="2">
        <v>30</v>
      </c>
      <c r="G17" t="s">
        <v>215</v>
      </c>
    </row>
    <row r="18" spans="5:8" x14ac:dyDescent="0.35">
      <c r="E18" s="1" t="s">
        <v>267</v>
      </c>
      <c r="F18">
        <f>F17*PI()/180</f>
        <v>0.52359877559829882</v>
      </c>
      <c r="G18" t="s">
        <v>216</v>
      </c>
    </row>
    <row r="19" spans="5:8" x14ac:dyDescent="0.35">
      <c r="E19" s="1"/>
    </row>
    <row r="20" spans="5:8" ht="16.5" x14ac:dyDescent="0.45">
      <c r="E20" s="1" t="s">
        <v>257</v>
      </c>
      <c r="F20" t="s">
        <v>319</v>
      </c>
      <c r="G20" s="119">
        <f>$G$15*COS($F$18)</f>
        <v>42.478546055626722</v>
      </c>
      <c r="H20" t="s">
        <v>318</v>
      </c>
    </row>
    <row r="21" spans="5:8" ht="16.5" x14ac:dyDescent="0.45">
      <c r="E21" s="1" t="s">
        <v>256</v>
      </c>
      <c r="F21" t="s">
        <v>320</v>
      </c>
      <c r="G21" s="119">
        <f>$G$15*SIN($F$18)</f>
        <v>24.524999999999999</v>
      </c>
      <c r="H21" t="s">
        <v>318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83CD-95BD-4046-A0B0-33D8FE19B550}">
  <dimension ref="C1:AC20"/>
  <sheetViews>
    <sheetView showGridLines="0" zoomScale="85" zoomScaleNormal="85" workbookViewId="0">
      <selection activeCell="H17" sqref="H17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9.90625" customWidth="1"/>
    <col min="4" max="4" width="12.36328125" customWidth="1"/>
    <col min="5" max="5" width="9.81640625" customWidth="1"/>
    <col min="6" max="6" width="12.36328125" customWidth="1"/>
    <col min="7" max="7" width="9.81640625" customWidth="1"/>
    <col min="8" max="8" width="11.36328125" customWidth="1"/>
    <col min="9" max="10" width="16" customWidth="1"/>
    <col min="11" max="11" width="15.6328125" customWidth="1"/>
    <col min="12" max="12" width="15" customWidth="1"/>
    <col min="13" max="13" width="17.90625" customWidth="1"/>
    <col min="14" max="14" width="13" customWidth="1"/>
    <col min="19" max="19" width="16.36328125" customWidth="1"/>
    <col min="20" max="20" width="16.81640625" customWidth="1"/>
  </cols>
  <sheetData>
    <row r="1" spans="3:29" ht="40" customHeight="1" x14ac:dyDescent="0.35"/>
    <row r="2" spans="3:29" ht="26" x14ac:dyDescent="0.6">
      <c r="C2" s="44" t="s">
        <v>209</v>
      </c>
      <c r="D2" s="44"/>
      <c r="L2" s="41"/>
      <c r="M2" s="111"/>
      <c r="R2" s="92" t="s">
        <v>248</v>
      </c>
      <c r="S2" s="92" t="s">
        <v>217</v>
      </c>
      <c r="T2" s="92" t="s">
        <v>225</v>
      </c>
      <c r="V2" s="92" t="s">
        <v>245</v>
      </c>
      <c r="W2" s="92"/>
      <c r="Y2" s="92" t="s">
        <v>244</v>
      </c>
      <c r="Z2" s="92"/>
      <c r="AA2" s="92"/>
      <c r="AB2" s="92"/>
      <c r="AC2" s="92"/>
    </row>
    <row r="3" spans="3:29" x14ac:dyDescent="0.35">
      <c r="R3" s="129" t="s">
        <v>249</v>
      </c>
      <c r="S3" s="5" t="s">
        <v>215</v>
      </c>
      <c r="T3" s="5" t="s">
        <v>226</v>
      </c>
      <c r="V3" s="93">
        <f>MIN(K14:L20)</f>
        <v>-20</v>
      </c>
      <c r="W3" s="93">
        <f>MAX(K14:L20)</f>
        <v>19.696155060244159</v>
      </c>
      <c r="Y3" s="5" t="s">
        <v>246</v>
      </c>
      <c r="Z3" s="5">
        <v>0</v>
      </c>
      <c r="AA3" s="5">
        <f>W5</f>
        <v>22</v>
      </c>
      <c r="AB3" s="5">
        <v>0</v>
      </c>
      <c r="AC3" s="5">
        <v>0</v>
      </c>
    </row>
    <row r="4" spans="3:29" x14ac:dyDescent="0.35">
      <c r="R4" s="129" t="s">
        <v>250</v>
      </c>
      <c r="S4" s="5" t="s">
        <v>216</v>
      </c>
      <c r="T4" s="5" t="s">
        <v>227</v>
      </c>
      <c r="V4" s="5">
        <f>ABS(V3)</f>
        <v>20</v>
      </c>
      <c r="W4" s="5">
        <f>ABS(W3)</f>
        <v>19.696155060244159</v>
      </c>
      <c r="Y4" s="5" t="s">
        <v>247</v>
      </c>
      <c r="Z4" s="5">
        <v>0</v>
      </c>
      <c r="AA4" s="5">
        <v>0</v>
      </c>
      <c r="AB4" s="5">
        <v>0</v>
      </c>
      <c r="AC4" s="5">
        <f>AA3</f>
        <v>22</v>
      </c>
    </row>
    <row r="5" spans="3:29" x14ac:dyDescent="0.35">
      <c r="R5" s="129" t="s">
        <v>251</v>
      </c>
      <c r="S5" s="5" t="s">
        <v>219</v>
      </c>
      <c r="T5" s="5" t="s">
        <v>228</v>
      </c>
      <c r="V5" s="5">
        <f>MAX(V4:W4)</f>
        <v>20</v>
      </c>
      <c r="W5" s="5">
        <f>V5*1.1</f>
        <v>22</v>
      </c>
    </row>
    <row r="6" spans="3:29" x14ac:dyDescent="0.35">
      <c r="R6" s="5" t="s">
        <v>274</v>
      </c>
      <c r="S6" s="5"/>
      <c r="T6" s="5" t="s">
        <v>229</v>
      </c>
    </row>
    <row r="7" spans="3:29" x14ac:dyDescent="0.35">
      <c r="R7" s="5" t="s">
        <v>71</v>
      </c>
      <c r="S7" s="5"/>
      <c r="T7" s="5"/>
    </row>
    <row r="8" spans="3:29" x14ac:dyDescent="0.35">
      <c r="R8" s="5"/>
      <c r="S8" s="5"/>
      <c r="T8" s="5"/>
    </row>
    <row r="12" spans="3:29" x14ac:dyDescent="0.35">
      <c r="C12" s="246" t="s">
        <v>230</v>
      </c>
      <c r="D12" s="246"/>
      <c r="E12" s="246"/>
      <c r="F12" s="246"/>
      <c r="G12" s="246"/>
      <c r="H12" s="75"/>
      <c r="I12" s="246" t="s">
        <v>231</v>
      </c>
      <c r="J12" s="246"/>
      <c r="K12" s="246" t="s">
        <v>226</v>
      </c>
      <c r="L12" s="246"/>
      <c r="M12" s="246" t="s">
        <v>232</v>
      </c>
      <c r="N12" s="246"/>
      <c r="O12" s="246"/>
      <c r="P12" s="245" t="s">
        <v>243</v>
      </c>
      <c r="Q12" s="245"/>
      <c r="R12" s="245"/>
      <c r="S12" s="245"/>
      <c r="T12" s="245" t="s">
        <v>275</v>
      </c>
      <c r="U12" s="245"/>
      <c r="V12" s="245"/>
      <c r="W12" s="245"/>
    </row>
    <row r="13" spans="3:29" x14ac:dyDescent="0.35">
      <c r="C13" s="120" t="s">
        <v>210</v>
      </c>
      <c r="D13" s="120" t="s">
        <v>212</v>
      </c>
      <c r="E13" s="120" t="s">
        <v>211</v>
      </c>
      <c r="F13" s="120" t="s">
        <v>213</v>
      </c>
      <c r="G13" s="120" t="s">
        <v>214</v>
      </c>
      <c r="H13" s="120" t="s">
        <v>248</v>
      </c>
      <c r="I13" s="120" t="s">
        <v>225</v>
      </c>
      <c r="J13" s="120" t="s">
        <v>222</v>
      </c>
      <c r="K13" s="120" t="s">
        <v>223</v>
      </c>
      <c r="L13" s="120" t="s">
        <v>224</v>
      </c>
      <c r="M13" s="120" t="s">
        <v>220</v>
      </c>
      <c r="N13" s="120" t="s">
        <v>221</v>
      </c>
      <c r="O13" s="120" t="s">
        <v>222</v>
      </c>
      <c r="P13" s="120" t="s">
        <v>239</v>
      </c>
      <c r="Q13" s="120" t="s">
        <v>240</v>
      </c>
      <c r="R13" s="120" t="s">
        <v>241</v>
      </c>
      <c r="S13" s="120" t="s">
        <v>242</v>
      </c>
      <c r="T13" s="120" t="s">
        <v>239</v>
      </c>
      <c r="U13" s="120" t="s">
        <v>240</v>
      </c>
      <c r="V13" s="120" t="s">
        <v>241</v>
      </c>
      <c r="W13" s="120" t="s">
        <v>242</v>
      </c>
    </row>
    <row r="14" spans="3:29" x14ac:dyDescent="0.35">
      <c r="C14" s="4" t="s">
        <v>218</v>
      </c>
      <c r="D14" s="4">
        <v>10</v>
      </c>
      <c r="E14" s="112" t="s">
        <v>219</v>
      </c>
      <c r="F14" s="4">
        <v>5</v>
      </c>
      <c r="G14" s="4" t="s">
        <v>219</v>
      </c>
      <c r="H14" s="123"/>
      <c r="I14" s="5" t="str">
        <f>IF(AND(E14=$S$5,G14=$S$5),$T$3,IF(AND(E14=$S$5,G14=$S$4),$T$4,IF(AND(E14=$S$5,G14=$S$3),$T$5,$T$6)))</f>
        <v>Kartesisch</v>
      </c>
      <c r="J14" s="93" t="str">
        <f>IF(I14=$T$5,F14*PI()/180,IF(I14=$T$4,F14,""))</f>
        <v/>
      </c>
      <c r="K14" s="121">
        <f>IF(I14=$T$3,D14,D14*COS(J14))</f>
        <v>10</v>
      </c>
      <c r="L14" s="121">
        <f>IF(I14=$T$3,F14,D14*SIN(J14))</f>
        <v>5</v>
      </c>
      <c r="M14" s="122">
        <f>SQRT(K14^2 + L14^2)</f>
        <v>11.180339887498949</v>
      </c>
      <c r="N14" s="122">
        <f>DEGREES(ATAN2(K14,L14))</f>
        <v>26.56505117707799</v>
      </c>
      <c r="O14" s="122">
        <f>ATAN2(K14,L14)</f>
        <v>0.46364760900080609</v>
      </c>
      <c r="P14" s="93">
        <v>0</v>
      </c>
      <c r="Q14" s="93">
        <f>K14</f>
        <v>10</v>
      </c>
      <c r="R14" s="93">
        <v>0</v>
      </c>
      <c r="S14" s="93">
        <f>L14</f>
        <v>5</v>
      </c>
      <c r="T14" s="130"/>
      <c r="U14" s="130"/>
      <c r="V14" s="130"/>
      <c r="W14" s="130"/>
    </row>
    <row r="15" spans="3:29" x14ac:dyDescent="0.35">
      <c r="C15" s="4" t="s">
        <v>233</v>
      </c>
      <c r="D15" s="4">
        <v>10</v>
      </c>
      <c r="E15" s="112" t="s">
        <v>219</v>
      </c>
      <c r="F15" s="4">
        <v>-12</v>
      </c>
      <c r="G15" s="4" t="s">
        <v>219</v>
      </c>
      <c r="H15" s="124" t="s">
        <v>249</v>
      </c>
      <c r="I15" s="5" t="str">
        <f t="shared" ref="I15:I20" si="0">IF(AND(E15=$S$5,G15=$S$5),$T$3,IF(AND(E15=$S$5,G15=$S$4),$T$4,IF(AND(E15=$S$5,G15=$S$3),$T$5,$T$6)))</f>
        <v>Kartesisch</v>
      </c>
      <c r="J15" s="93" t="str">
        <f t="shared" ref="J15:J20" si="1">IF(I15=$T$5,F15*PI()/180,IF(I15=$T$4,F15,""))</f>
        <v/>
      </c>
      <c r="K15" s="121">
        <f t="shared" ref="K15:K20" si="2">IF(I15=$T$3,D15,D15*COS(J15))</f>
        <v>10</v>
      </c>
      <c r="L15" s="121">
        <f t="shared" ref="L15:L20" si="3">IF(I15=$T$3,F15,D15*SIN(J15))</f>
        <v>-12</v>
      </c>
      <c r="M15" s="122">
        <f t="shared" ref="M15:M20" si="4">SQRT(K15^2 + L15^2)</f>
        <v>15.620499351813308</v>
      </c>
      <c r="N15" s="122">
        <f t="shared" ref="N15:N20" si="5">DEGREES(ATAN2(K15,L15))</f>
        <v>-50.19442890773481</v>
      </c>
      <c r="O15" s="122">
        <f t="shared" ref="O15:O20" si="6">ATAN2(K15,L15)</f>
        <v>-0.87605805059819342</v>
      </c>
      <c r="P15" s="93">
        <f t="shared" ref="P15:P20" si="7">IF(H15=$R$6,0,IF(H15=$R$3,Q14,0))</f>
        <v>10</v>
      </c>
      <c r="Q15" s="93">
        <f t="shared" ref="Q15:Q20" si="8">IF(H15=$R$6,0,IF(H15=$R$3,K15+Q14,K15))</f>
        <v>20</v>
      </c>
      <c r="R15" s="93">
        <f t="shared" ref="R15:R20" si="9">IF(H15=$R$6,0,IF(H15=$R$3,S14,0))</f>
        <v>5</v>
      </c>
      <c r="S15" s="93">
        <f t="shared" ref="S15:S20" si="10">IF(H15=$R$6,0,IF(H15=$R$3,S14+L15,L15))</f>
        <v>-7</v>
      </c>
      <c r="T15" s="93">
        <v>0</v>
      </c>
      <c r="U15" s="93">
        <v>0</v>
      </c>
      <c r="V15" s="93">
        <f t="shared" ref="V15:V20" si="11">IF(P15&lt;&gt;0,Q15,0)</f>
        <v>20</v>
      </c>
      <c r="W15" s="93">
        <f t="shared" ref="W15:W20" si="12">IF(R15&lt;&gt;0,S15,0)</f>
        <v>-7</v>
      </c>
    </row>
    <row r="16" spans="3:29" x14ac:dyDescent="0.35">
      <c r="C16" s="4" t="s">
        <v>234</v>
      </c>
      <c r="D16" s="4">
        <v>-8</v>
      </c>
      <c r="E16" s="112" t="s">
        <v>219</v>
      </c>
      <c r="F16" s="4">
        <v>15</v>
      </c>
      <c r="G16" s="4" t="s">
        <v>219</v>
      </c>
      <c r="H16" s="124" t="s">
        <v>249</v>
      </c>
      <c r="I16" s="5" t="str">
        <f t="shared" si="0"/>
        <v>Kartesisch</v>
      </c>
      <c r="J16" s="93" t="str">
        <f t="shared" si="1"/>
        <v/>
      </c>
      <c r="K16" s="121">
        <f t="shared" si="2"/>
        <v>-8</v>
      </c>
      <c r="L16" s="121">
        <f t="shared" si="3"/>
        <v>15</v>
      </c>
      <c r="M16" s="122">
        <f t="shared" si="4"/>
        <v>17</v>
      </c>
      <c r="N16" s="122">
        <f t="shared" si="5"/>
        <v>118.07248693585296</v>
      </c>
      <c r="O16" s="122">
        <f t="shared" si="6"/>
        <v>2.060753653048625</v>
      </c>
      <c r="P16" s="93">
        <f t="shared" si="7"/>
        <v>20</v>
      </c>
      <c r="Q16" s="93">
        <f t="shared" si="8"/>
        <v>12</v>
      </c>
      <c r="R16" s="93">
        <f t="shared" si="9"/>
        <v>-7</v>
      </c>
      <c r="S16" s="93">
        <f t="shared" si="10"/>
        <v>8</v>
      </c>
      <c r="T16" s="93">
        <v>0</v>
      </c>
      <c r="U16" s="93">
        <v>0</v>
      </c>
      <c r="V16" s="93">
        <f t="shared" si="11"/>
        <v>12</v>
      </c>
      <c r="W16" s="93">
        <f t="shared" si="12"/>
        <v>8</v>
      </c>
    </row>
    <row r="17" spans="3:23" x14ac:dyDescent="0.35">
      <c r="C17" s="4" t="s">
        <v>235</v>
      </c>
      <c r="D17" s="4">
        <v>-10</v>
      </c>
      <c r="E17" s="112" t="s">
        <v>219</v>
      </c>
      <c r="F17" s="4">
        <v>-20</v>
      </c>
      <c r="G17" s="4" t="s">
        <v>219</v>
      </c>
      <c r="H17" s="124" t="s">
        <v>274</v>
      </c>
      <c r="I17" s="5" t="str">
        <f t="shared" si="0"/>
        <v>Kartesisch</v>
      </c>
      <c r="J17" s="93" t="str">
        <f t="shared" si="1"/>
        <v/>
      </c>
      <c r="K17" s="121">
        <f t="shared" si="2"/>
        <v>-10</v>
      </c>
      <c r="L17" s="121">
        <f t="shared" si="3"/>
        <v>-20</v>
      </c>
      <c r="M17" s="122">
        <f t="shared" si="4"/>
        <v>22.360679774997898</v>
      </c>
      <c r="N17" s="122">
        <f t="shared" si="5"/>
        <v>-116.56505117707799</v>
      </c>
      <c r="O17" s="122">
        <f t="shared" si="6"/>
        <v>-2.0344439357957027</v>
      </c>
      <c r="P17" s="93">
        <f t="shared" si="7"/>
        <v>0</v>
      </c>
      <c r="Q17" s="93">
        <f t="shared" si="8"/>
        <v>0</v>
      </c>
      <c r="R17" s="93">
        <f t="shared" si="9"/>
        <v>0</v>
      </c>
      <c r="S17" s="93">
        <f t="shared" si="10"/>
        <v>0</v>
      </c>
      <c r="T17" s="93">
        <v>0</v>
      </c>
      <c r="U17" s="93">
        <v>0</v>
      </c>
      <c r="V17" s="93">
        <f t="shared" si="11"/>
        <v>0</v>
      </c>
      <c r="W17" s="93">
        <f t="shared" si="12"/>
        <v>0</v>
      </c>
    </row>
    <row r="18" spans="3:23" x14ac:dyDescent="0.35">
      <c r="C18" s="4" t="s">
        <v>236</v>
      </c>
      <c r="D18" s="4">
        <v>20</v>
      </c>
      <c r="E18" s="112" t="s">
        <v>219</v>
      </c>
      <c r="F18" s="4">
        <v>100</v>
      </c>
      <c r="G18" s="4" t="s">
        <v>215</v>
      </c>
      <c r="H18" s="124" t="s">
        <v>274</v>
      </c>
      <c r="I18" s="5" t="str">
        <f t="shared" si="0"/>
        <v>Polar [°]</v>
      </c>
      <c r="J18" s="93">
        <f t="shared" si="1"/>
        <v>1.7453292519943295</v>
      </c>
      <c r="K18" s="121">
        <f t="shared" si="2"/>
        <v>-3.4729635533386061</v>
      </c>
      <c r="L18" s="121">
        <f t="shared" si="3"/>
        <v>19.696155060244159</v>
      </c>
      <c r="M18" s="122">
        <f t="shared" si="4"/>
        <v>19.999999999999996</v>
      </c>
      <c r="N18" s="122">
        <f t="shared" si="5"/>
        <v>100</v>
      </c>
      <c r="O18" s="122">
        <f t="shared" si="6"/>
        <v>1.7453292519943295</v>
      </c>
      <c r="P18" s="93">
        <f t="shared" si="7"/>
        <v>0</v>
      </c>
      <c r="Q18" s="93">
        <f t="shared" si="8"/>
        <v>0</v>
      </c>
      <c r="R18" s="93">
        <f t="shared" si="9"/>
        <v>0</v>
      </c>
      <c r="S18" s="93">
        <f t="shared" si="10"/>
        <v>0</v>
      </c>
      <c r="T18" s="93">
        <v>0</v>
      </c>
      <c r="U18" s="93">
        <v>0</v>
      </c>
      <c r="V18" s="93">
        <f t="shared" si="11"/>
        <v>0</v>
      </c>
      <c r="W18" s="93">
        <f t="shared" si="12"/>
        <v>0</v>
      </c>
    </row>
    <row r="19" spans="3:23" x14ac:dyDescent="0.35">
      <c r="C19" s="4" t="s">
        <v>237</v>
      </c>
      <c r="D19" s="4">
        <v>20</v>
      </c>
      <c r="E19" s="112" t="s">
        <v>219</v>
      </c>
      <c r="F19" s="4">
        <v>180</v>
      </c>
      <c r="G19" s="4" t="s">
        <v>215</v>
      </c>
      <c r="H19" s="124" t="s">
        <v>274</v>
      </c>
      <c r="I19" s="5" t="str">
        <f t="shared" si="0"/>
        <v>Polar [°]</v>
      </c>
      <c r="J19" s="93">
        <f t="shared" si="1"/>
        <v>3.1415926535897931</v>
      </c>
      <c r="K19" s="121">
        <f t="shared" si="2"/>
        <v>-20</v>
      </c>
      <c r="L19" s="121">
        <f t="shared" si="3"/>
        <v>2.45029690981724E-15</v>
      </c>
      <c r="M19" s="122">
        <f t="shared" si="4"/>
        <v>20</v>
      </c>
      <c r="N19" s="122">
        <f t="shared" si="5"/>
        <v>180</v>
      </c>
      <c r="O19" s="122">
        <f t="shared" si="6"/>
        <v>3.1415926535897931</v>
      </c>
      <c r="P19" s="93">
        <f t="shared" si="7"/>
        <v>0</v>
      </c>
      <c r="Q19" s="93">
        <f t="shared" si="8"/>
        <v>0</v>
      </c>
      <c r="R19" s="93">
        <f t="shared" si="9"/>
        <v>0</v>
      </c>
      <c r="S19" s="93">
        <f t="shared" si="10"/>
        <v>0</v>
      </c>
      <c r="T19" s="93">
        <v>0</v>
      </c>
      <c r="U19" s="93">
        <v>0</v>
      </c>
      <c r="V19" s="93">
        <f t="shared" si="11"/>
        <v>0</v>
      </c>
      <c r="W19" s="93">
        <f t="shared" si="12"/>
        <v>0</v>
      </c>
    </row>
    <row r="20" spans="3:23" x14ac:dyDescent="0.35">
      <c r="C20" s="4" t="s">
        <v>238</v>
      </c>
      <c r="D20" s="4">
        <v>20</v>
      </c>
      <c r="E20" s="112" t="s">
        <v>219</v>
      </c>
      <c r="F20" s="4">
        <v>6.5</v>
      </c>
      <c r="G20" s="4" t="s">
        <v>216</v>
      </c>
      <c r="H20" s="124" t="s">
        <v>274</v>
      </c>
      <c r="I20" s="5" t="str">
        <f t="shared" si="0"/>
        <v>Polar [rad]</v>
      </c>
      <c r="J20" s="93">
        <f t="shared" si="1"/>
        <v>6.5</v>
      </c>
      <c r="K20" s="121">
        <f t="shared" si="2"/>
        <v>19.53175251456047</v>
      </c>
      <c r="L20" s="121">
        <f t="shared" si="3"/>
        <v>4.3023997617563108</v>
      </c>
      <c r="M20" s="122">
        <f t="shared" si="4"/>
        <v>20</v>
      </c>
      <c r="N20" s="122">
        <f t="shared" si="5"/>
        <v>12.422566835035086</v>
      </c>
      <c r="O20" s="122">
        <f t="shared" si="6"/>
        <v>0.21681469282041352</v>
      </c>
      <c r="P20" s="93">
        <f t="shared" si="7"/>
        <v>0</v>
      </c>
      <c r="Q20" s="93">
        <f t="shared" si="8"/>
        <v>0</v>
      </c>
      <c r="R20" s="93">
        <f t="shared" si="9"/>
        <v>0</v>
      </c>
      <c r="S20" s="93">
        <f t="shared" si="10"/>
        <v>0</v>
      </c>
      <c r="T20" s="93">
        <v>0</v>
      </c>
      <c r="U20" s="93">
        <v>0</v>
      </c>
      <c r="V20" s="93">
        <f t="shared" si="11"/>
        <v>0</v>
      </c>
      <c r="W20" s="93">
        <f t="shared" si="12"/>
        <v>0</v>
      </c>
    </row>
  </sheetData>
  <mergeCells count="6">
    <mergeCell ref="T12:W12"/>
    <mergeCell ref="C12:G12"/>
    <mergeCell ref="K12:L12"/>
    <mergeCell ref="I12:J12"/>
    <mergeCell ref="M12:O12"/>
    <mergeCell ref="P12:S12"/>
  </mergeCells>
  <phoneticPr fontId="37" type="noConversion"/>
  <dataValidations count="2">
    <dataValidation type="list" allowBlank="1" showInputMessage="1" showErrorMessage="1" sqref="G14:G20" xr:uid="{9C4F05FB-CC72-4E7F-A544-E90FF225C3DB}">
      <formula1>$S$3:$S$5</formula1>
    </dataValidation>
    <dataValidation type="list" allowBlank="1" showInputMessage="1" showErrorMessage="1" sqref="H15:H20" xr:uid="{40622481-077B-49B4-B56E-6E260D8C4BBC}">
      <formula1>$R$3:$R$7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28866-E643-498C-AE8F-3008A8B56B76}">
  <dimension ref="B1:U46"/>
  <sheetViews>
    <sheetView showGridLines="0" topLeftCell="A4" zoomScaleNormal="100" workbookViewId="0">
      <selection activeCell="AA24" sqref="AA24"/>
    </sheetView>
  </sheetViews>
  <sheetFormatPr baseColWidth="10" defaultRowHeight="14.5" x14ac:dyDescent="0.35"/>
  <cols>
    <col min="1" max="1" width="3.26953125" customWidth="1"/>
    <col min="2" max="2" width="9.81640625" customWidth="1"/>
    <col min="10" max="11" width="4.36328125" customWidth="1"/>
    <col min="12" max="15" width="8.81640625" style="238" customWidth="1"/>
    <col min="16" max="16" width="3.6328125" style="238" customWidth="1"/>
    <col min="17" max="21" width="5.6328125" style="238" customWidth="1"/>
  </cols>
  <sheetData>
    <row r="1" spans="2:21" ht="40" customHeight="1" x14ac:dyDescent="0.35"/>
    <row r="2" spans="2:21" ht="23.5" x14ac:dyDescent="0.55000000000000004">
      <c r="B2" s="22" t="s">
        <v>350</v>
      </c>
      <c r="M2" s="237"/>
    </row>
    <row r="3" spans="2:21" ht="12" customHeight="1" x14ac:dyDescent="0.55000000000000004">
      <c r="B3" s="22"/>
      <c r="M3" s="237"/>
    </row>
    <row r="4" spans="2:21" ht="12" customHeight="1" x14ac:dyDescent="0.55000000000000004">
      <c r="B4" s="22"/>
      <c r="M4" s="237"/>
    </row>
    <row r="5" spans="2:21" x14ac:dyDescent="0.35">
      <c r="C5" s="230" t="s">
        <v>434</v>
      </c>
      <c r="D5" s="229"/>
      <c r="E5" s="229"/>
      <c r="F5" s="229"/>
      <c r="G5" s="229"/>
      <c r="M5" s="229" t="s">
        <v>268</v>
      </c>
    </row>
    <row r="6" spans="2:21" x14ac:dyDescent="0.35">
      <c r="C6" s="226">
        <v>180</v>
      </c>
      <c r="D6" s="5" t="str">
        <f>M6</f>
        <v>°</v>
      </c>
      <c r="E6" s="227" t="s">
        <v>351</v>
      </c>
      <c r="F6" s="232">
        <f>PI()*C6/180</f>
        <v>3.1415926535897931</v>
      </c>
      <c r="G6" s="5" t="str">
        <f>M7</f>
        <v>rad</v>
      </c>
      <c r="M6" s="228" t="s">
        <v>215</v>
      </c>
    </row>
    <row r="7" spans="2:21" x14ac:dyDescent="0.35">
      <c r="C7" s="94">
        <v>3.1415000000000002</v>
      </c>
      <c r="D7" s="5" t="str">
        <f>M7</f>
        <v>rad</v>
      </c>
      <c r="E7" s="227" t="s">
        <v>351</v>
      </c>
      <c r="F7" s="232">
        <f>180*C7/PI()</f>
        <v>179.99469134034814</v>
      </c>
      <c r="G7" s="5" t="str">
        <f>M6</f>
        <v>°</v>
      </c>
      <c r="M7" s="228" t="s">
        <v>216</v>
      </c>
    </row>
    <row r="8" spans="2:21" x14ac:dyDescent="0.35">
      <c r="C8" s="94">
        <v>180</v>
      </c>
      <c r="D8" s="4" t="s">
        <v>215</v>
      </c>
      <c r="E8" s="227" t="s">
        <v>351</v>
      </c>
      <c r="F8" s="232">
        <f>IF(D8=M7,C8,IF(D8=M6,C8*PI()/180,"Unknown"))</f>
        <v>3.1415926535897931</v>
      </c>
      <c r="G8" s="5" t="str">
        <f>M7</f>
        <v>rad</v>
      </c>
    </row>
    <row r="9" spans="2:21" ht="4.5" customHeight="1" x14ac:dyDescent="0.35"/>
    <row r="10" spans="2:21" ht="4.5" customHeight="1" x14ac:dyDescent="0.35"/>
    <row r="11" spans="2:21" ht="4.5" customHeight="1" x14ac:dyDescent="0.35"/>
    <row r="12" spans="2:21" ht="4.5" customHeight="1" x14ac:dyDescent="0.35"/>
    <row r="13" spans="2:21" x14ac:dyDescent="0.35">
      <c r="B13" s="247" t="s">
        <v>438</v>
      </c>
      <c r="C13" s="249"/>
      <c r="D13" s="249"/>
      <c r="E13" s="249"/>
      <c r="F13" s="249"/>
      <c r="G13" s="249"/>
      <c r="H13" s="249"/>
      <c r="I13" s="249"/>
      <c r="L13" s="247" t="s">
        <v>439</v>
      </c>
      <c r="M13" s="248"/>
      <c r="N13" s="248"/>
      <c r="O13" s="248"/>
      <c r="Q13" s="247" t="s">
        <v>244</v>
      </c>
      <c r="R13" s="248"/>
      <c r="S13" s="248"/>
      <c r="T13" s="248"/>
      <c r="U13" s="248"/>
    </row>
    <row r="14" spans="2:21" x14ac:dyDescent="0.35">
      <c r="B14" s="234" t="s">
        <v>210</v>
      </c>
      <c r="C14" s="233" t="s">
        <v>220</v>
      </c>
      <c r="D14" s="233" t="s">
        <v>99</v>
      </c>
      <c r="E14" s="233" t="s">
        <v>435</v>
      </c>
      <c r="F14" s="233" t="s">
        <v>99</v>
      </c>
      <c r="G14" s="233" t="s">
        <v>435</v>
      </c>
      <c r="H14" s="233" t="s">
        <v>436</v>
      </c>
      <c r="I14" s="233" t="s">
        <v>437</v>
      </c>
      <c r="L14" s="239" t="s">
        <v>443</v>
      </c>
      <c r="M14" s="239" t="s">
        <v>444</v>
      </c>
      <c r="N14" s="239" t="s">
        <v>445</v>
      </c>
      <c r="O14" s="239" t="s">
        <v>446</v>
      </c>
      <c r="P14" s="237"/>
      <c r="Q14" s="243" t="s">
        <v>440</v>
      </c>
      <c r="R14" s="239"/>
      <c r="S14" s="239"/>
      <c r="T14" s="239"/>
      <c r="U14" s="239"/>
    </row>
    <row r="15" spans="2:21" x14ac:dyDescent="0.35">
      <c r="B15" s="235" t="s">
        <v>441</v>
      </c>
      <c r="C15" s="231">
        <v>10</v>
      </c>
      <c r="D15" s="94">
        <v>130</v>
      </c>
      <c r="E15" s="94" t="s">
        <v>215</v>
      </c>
      <c r="F15" s="232">
        <f>IF(E15=M7,D15,IF(D8=M6,D15*PI()/180,"Unknown"))</f>
        <v>2.2689280275926285</v>
      </c>
      <c r="G15" s="93" t="str">
        <f>M7</f>
        <v>rad</v>
      </c>
      <c r="H15" s="232">
        <f>C15*COS(F15)</f>
        <v>-6.4278760968653934</v>
      </c>
      <c r="I15" s="232">
        <f>C15*SIN(F15)</f>
        <v>7.6604444311897799</v>
      </c>
      <c r="L15" s="240">
        <v>0</v>
      </c>
      <c r="M15" s="240">
        <f>H15</f>
        <v>-6.4278760968653934</v>
      </c>
      <c r="N15" s="240">
        <v>0</v>
      </c>
      <c r="O15" s="240">
        <f>I15</f>
        <v>7.6604444311897799</v>
      </c>
      <c r="P15" s="241"/>
      <c r="Q15" s="242">
        <f>MAX(ABS(O15),ABS(M16),ABS(O16),ABS(M15),ABS(M17),ABS(O17))</f>
        <v>12.660444431189781</v>
      </c>
      <c r="R15" s="240">
        <f>Q16</f>
        <v>13.92648887430876</v>
      </c>
      <c r="S15" s="240">
        <v>0</v>
      </c>
      <c r="T15" s="240">
        <f>-R15</f>
        <v>-13.92648887430876</v>
      </c>
      <c r="U15" s="240">
        <v>0</v>
      </c>
    </row>
    <row r="16" spans="2:21" x14ac:dyDescent="0.35">
      <c r="B16" s="236" t="s">
        <v>442</v>
      </c>
      <c r="C16" s="232">
        <f>SQRT(H16^2+I16^2)</f>
        <v>5.0990195135927845</v>
      </c>
      <c r="D16" s="232">
        <f>F16*180/PI()</f>
        <v>78.690067525979785</v>
      </c>
      <c r="E16" s="93" t="str">
        <f>M6</f>
        <v>°</v>
      </c>
      <c r="F16" s="232">
        <f>ATAN2(H16,I16)</f>
        <v>1.3734007669450159</v>
      </c>
      <c r="G16" s="93" t="str">
        <f>M7</f>
        <v>rad</v>
      </c>
      <c r="H16" s="94">
        <v>1</v>
      </c>
      <c r="I16" s="94">
        <v>5</v>
      </c>
      <c r="L16" s="240">
        <v>0</v>
      </c>
      <c r="M16" s="240">
        <f>H16</f>
        <v>1</v>
      </c>
      <c r="N16" s="240">
        <v>0</v>
      </c>
      <c r="O16" s="240">
        <f>I16</f>
        <v>5</v>
      </c>
      <c r="P16" s="241"/>
      <c r="Q16" s="242">
        <f>Q15*1.1</f>
        <v>13.92648887430876</v>
      </c>
      <c r="R16" s="240">
        <v>0</v>
      </c>
      <c r="S16" s="240">
        <f>R15</f>
        <v>13.92648887430876</v>
      </c>
      <c r="T16" s="240">
        <v>0</v>
      </c>
      <c r="U16" s="240">
        <f>T15</f>
        <v>-13.92648887430876</v>
      </c>
    </row>
    <row r="17" spans="2:15" ht="16.5" x14ac:dyDescent="0.45">
      <c r="B17" s="244" t="s">
        <v>454</v>
      </c>
      <c r="C17" s="232">
        <f>SQRT(H17^2+I17^2)</f>
        <v>13.774929840771133</v>
      </c>
      <c r="D17" s="232">
        <f>F17*180/PI()</f>
        <v>113.20612717422607</v>
      </c>
      <c r="E17" s="93" t="str">
        <f>E16</f>
        <v>°</v>
      </c>
      <c r="F17" s="232">
        <f>ATAN2(H17,I17)</f>
        <v>1.9758196526216694</v>
      </c>
      <c r="G17" s="93" t="str">
        <f>G16</f>
        <v>rad</v>
      </c>
      <c r="H17" s="232">
        <f>H16+H15</f>
        <v>-5.4278760968653934</v>
      </c>
      <c r="I17" s="232">
        <f>I16+I15</f>
        <v>12.660444431189781</v>
      </c>
      <c r="L17" s="240">
        <v>0</v>
      </c>
      <c r="M17" s="240">
        <f>H17</f>
        <v>-5.4278760968653934</v>
      </c>
      <c r="N17" s="240">
        <v>0</v>
      </c>
      <c r="O17" s="240">
        <f>I17</f>
        <v>12.660444431189781</v>
      </c>
    </row>
    <row r="18" spans="2:15" ht="16.5" x14ac:dyDescent="0.45">
      <c r="B18" s="19" t="s">
        <v>453</v>
      </c>
      <c r="C18" s="96">
        <f>C16*C15</f>
        <v>50.990195135927848</v>
      </c>
      <c r="D18" s="232">
        <f>D16+D15</f>
        <v>208.69006752597977</v>
      </c>
      <c r="E18" s="93" t="str">
        <f>E17</f>
        <v>°</v>
      </c>
      <c r="F18" s="232">
        <f>F15+F16</f>
        <v>3.6423287945376446</v>
      </c>
      <c r="G18" s="93" t="str">
        <f>G17</f>
        <v>rad</v>
      </c>
      <c r="H18" s="232">
        <v>0</v>
      </c>
      <c r="I18" s="232">
        <v>5</v>
      </c>
    </row>
    <row r="25" spans="2:15" ht="116" customHeight="1" x14ac:dyDescent="0.35"/>
    <row r="44" spans="2:4" x14ac:dyDescent="0.35">
      <c r="B44" s="2" t="s">
        <v>447</v>
      </c>
      <c r="C44" s="2"/>
      <c r="D44" t="s">
        <v>448</v>
      </c>
    </row>
    <row r="45" spans="2:4" x14ac:dyDescent="0.35">
      <c r="B45" s="3" t="s">
        <v>449</v>
      </c>
      <c r="C45" s="3"/>
      <c r="D45" t="s">
        <v>452</v>
      </c>
    </row>
    <row r="46" spans="2:4" x14ac:dyDescent="0.35">
      <c r="B46" t="s">
        <v>450</v>
      </c>
      <c r="D46" t="s">
        <v>451</v>
      </c>
    </row>
  </sheetData>
  <mergeCells count="3">
    <mergeCell ref="L13:O13"/>
    <mergeCell ref="B13:I13"/>
    <mergeCell ref="Q13:U13"/>
  </mergeCells>
  <phoneticPr fontId="37" type="noConversion"/>
  <dataValidations count="1">
    <dataValidation type="list" allowBlank="1" showInputMessage="1" showErrorMessage="1" sqref="E15 D6 D8" xr:uid="{3E8D84A8-7919-4823-9635-E5BE173BBAF1}">
      <formula1>$M$6:$M$7</formula1>
    </dataValidation>
  </dataValidations>
  <pageMargins left="0.7" right="0.7" top="0.78740157499999996" bottom="0.78740157499999996" header="0.3" footer="0.3"/>
  <pageSetup paperSize="9" scale="93" orientation="portrait" r:id="rId1"/>
  <colBreaks count="1" manualBreakCount="1">
    <brk id="10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BF1A-9A03-4CA3-9AB4-14BC2465827D}">
  <dimension ref="A1:K34"/>
  <sheetViews>
    <sheetView topLeftCell="A8" zoomScale="55" zoomScaleNormal="55" workbookViewId="0">
      <selection activeCell="Q18" sqref="Q18"/>
    </sheetView>
  </sheetViews>
  <sheetFormatPr baseColWidth="10" defaultRowHeight="14.5" x14ac:dyDescent="0.35"/>
  <cols>
    <col min="2" max="2" width="14.6328125" customWidth="1"/>
    <col min="3" max="3" width="19.90625" customWidth="1"/>
    <col min="4" max="4" width="22.453125" customWidth="1"/>
    <col min="5" max="6" width="13.81640625" customWidth="1"/>
    <col min="7" max="7" width="16" customWidth="1"/>
    <col min="8" max="8" width="12.36328125" customWidth="1"/>
    <col min="10" max="10" width="23.1796875" customWidth="1"/>
    <col min="11" max="11" width="34.7265625" customWidth="1"/>
  </cols>
  <sheetData>
    <row r="1" spans="1:11" ht="40" customHeight="1" x14ac:dyDescent="0.35"/>
    <row r="2" spans="1:11" ht="26" x14ac:dyDescent="0.6">
      <c r="C2" s="44" t="str">
        <f ca="1">_xlfn.CONCAT("Geburtstagsliste für ",YEAR(J2))</f>
        <v>Geburtstagsliste für 2025</v>
      </c>
      <c r="D2" s="44"/>
      <c r="I2" s="41" t="s">
        <v>204</v>
      </c>
      <c r="J2" s="111">
        <f ca="1">NOW()</f>
        <v>45834.341261574074</v>
      </c>
    </row>
    <row r="3" spans="1:11" ht="26" x14ac:dyDescent="0.6">
      <c r="C3" s="44"/>
      <c r="D3" s="44"/>
      <c r="I3" s="41"/>
      <c r="J3" s="111"/>
    </row>
    <row r="4" spans="1:11" ht="28.5" customHeight="1" x14ac:dyDescent="0.35">
      <c r="A4" s="112" t="s">
        <v>205</v>
      </c>
      <c r="B4" s="112" t="s">
        <v>199</v>
      </c>
      <c r="C4" s="112" t="str">
        <f ca="1">_xlfn.CONCAT("Geburtstag im ",YEAR(J2))</f>
        <v>Geburtstag im 2025</v>
      </c>
      <c r="D4" s="112" t="s">
        <v>208</v>
      </c>
      <c r="E4" s="118" t="s">
        <v>206</v>
      </c>
      <c r="F4" s="118" t="s">
        <v>207</v>
      </c>
      <c r="G4" s="112" t="s">
        <v>199</v>
      </c>
      <c r="H4" s="112" t="s">
        <v>200</v>
      </c>
      <c r="I4" s="112" t="s">
        <v>201</v>
      </c>
      <c r="J4" s="112" t="s">
        <v>202</v>
      </c>
      <c r="K4" s="112" t="s">
        <v>203</v>
      </c>
    </row>
    <row r="5" spans="1:11" ht="14.5" customHeight="1" x14ac:dyDescent="0.35">
      <c r="A5" s="5" t="str">
        <f t="shared" ref="A5:A34" si="0">_xlfn.CONCAT(TEXT(MONTH(G5),"00"),"_",TEXT(DAY(G5),"00"))</f>
        <v>01_01</v>
      </c>
      <c r="B5" s="113" t="str">
        <f t="shared" ref="B5:B34" si="1">_xlfn.CONCAT(TEXT(DAY(G5),"00"),".",TEXT(G5,"MMMM"))</f>
        <v>01.Januar</v>
      </c>
      <c r="C5" s="117">
        <f t="shared" ref="C5:C34" ca="1" si="2">DATE(YEAR($J$2),MONTH(G5),DAY(G5))</f>
        <v>45658</v>
      </c>
      <c r="D5" s="117">
        <f t="shared" ref="D5:D34" ca="1" si="3">IF(C5&lt;$J$2,DATE(YEAR($J$2)+1,MONTH(G5),DAY(G5)),DATE(YEAR($J$2),MONTH(G5),DAY(G5)))</f>
        <v>46023</v>
      </c>
      <c r="E5" s="114">
        <f t="shared" ref="E5:E34" ca="1" si="4">YEAR($J$2) - YEAR(G5) - IF(C5&gt;$J$2,1,0)</f>
        <v>62</v>
      </c>
      <c r="F5" s="115">
        <f t="shared" ref="F5:F34" ca="1" si="5">YEAR($J$2) - YEAR(G5)</f>
        <v>62</v>
      </c>
      <c r="G5" s="116">
        <v>23012</v>
      </c>
      <c r="H5" s="5" t="s">
        <v>140</v>
      </c>
      <c r="I5" s="5" t="s">
        <v>141</v>
      </c>
      <c r="J5" s="5" t="s">
        <v>180</v>
      </c>
      <c r="K5" s="96" t="str">
        <f t="shared" ref="K5:K34" ca="1" si="6">IF($J$2&lt;C5,"Noch kein Geburtstag gehabt","Schon Geburtstag gehabt")</f>
        <v>Schon Geburtstag gehabt</v>
      </c>
    </row>
    <row r="6" spans="1:11" ht="14.5" customHeight="1" x14ac:dyDescent="0.35">
      <c r="A6" s="5" t="str">
        <f t="shared" si="0"/>
        <v>01_02</v>
      </c>
      <c r="B6" s="113" t="str">
        <f t="shared" si="1"/>
        <v>02.Januar</v>
      </c>
      <c r="C6" s="117">
        <f t="shared" ca="1" si="2"/>
        <v>45659</v>
      </c>
      <c r="D6" s="117">
        <f t="shared" ca="1" si="3"/>
        <v>46024</v>
      </c>
      <c r="E6" s="114">
        <f t="shared" ca="1" si="4"/>
        <v>38</v>
      </c>
      <c r="F6" s="115">
        <f t="shared" ca="1" si="5"/>
        <v>38</v>
      </c>
      <c r="G6" s="116" t="s">
        <v>145</v>
      </c>
      <c r="H6" s="5" t="s">
        <v>142</v>
      </c>
      <c r="I6" s="5" t="s">
        <v>146</v>
      </c>
      <c r="J6" s="5" t="s">
        <v>147</v>
      </c>
      <c r="K6" s="96" t="str">
        <f t="shared" ca="1" si="6"/>
        <v>Schon Geburtstag gehabt</v>
      </c>
    </row>
    <row r="7" spans="1:11" ht="14.5" customHeight="1" x14ac:dyDescent="0.35">
      <c r="A7" s="5" t="str">
        <f t="shared" si="0"/>
        <v>01_02</v>
      </c>
      <c r="B7" s="113" t="str">
        <f t="shared" si="1"/>
        <v>02.Januar</v>
      </c>
      <c r="C7" s="117">
        <f t="shared" ca="1" si="2"/>
        <v>45659</v>
      </c>
      <c r="D7" s="117">
        <f t="shared" ca="1" si="3"/>
        <v>46024</v>
      </c>
      <c r="E7" s="114">
        <f t="shared" ca="1" si="4"/>
        <v>33</v>
      </c>
      <c r="F7" s="115">
        <f t="shared" ca="1" si="5"/>
        <v>33</v>
      </c>
      <c r="G7" s="116" t="s">
        <v>150</v>
      </c>
      <c r="H7" s="5" t="s">
        <v>142</v>
      </c>
      <c r="I7" s="5" t="s">
        <v>151</v>
      </c>
      <c r="J7" s="5" t="s">
        <v>144</v>
      </c>
      <c r="K7" s="96" t="str">
        <f t="shared" ca="1" si="6"/>
        <v>Schon Geburtstag gehabt</v>
      </c>
    </row>
    <row r="8" spans="1:11" x14ac:dyDescent="0.35">
      <c r="A8" s="5" t="str">
        <f t="shared" si="0"/>
        <v>01_06</v>
      </c>
      <c r="B8" s="113" t="str">
        <f t="shared" si="1"/>
        <v>06.Januar</v>
      </c>
      <c r="C8" s="117">
        <f t="shared" ca="1" si="2"/>
        <v>45663</v>
      </c>
      <c r="D8" s="117">
        <f t="shared" ca="1" si="3"/>
        <v>46028</v>
      </c>
      <c r="E8" s="114">
        <f t="shared" ca="1" si="4"/>
        <v>37</v>
      </c>
      <c r="F8" s="115">
        <f t="shared" ca="1" si="5"/>
        <v>37</v>
      </c>
      <c r="G8" s="116" t="s">
        <v>152</v>
      </c>
      <c r="H8" s="5" t="s">
        <v>142</v>
      </c>
      <c r="I8" s="5" t="s">
        <v>153</v>
      </c>
      <c r="J8" s="5" t="s">
        <v>185</v>
      </c>
      <c r="K8" s="96" t="str">
        <f t="shared" ca="1" si="6"/>
        <v>Schon Geburtstag gehabt</v>
      </c>
    </row>
    <row r="9" spans="1:11" x14ac:dyDescent="0.35">
      <c r="A9" s="5" t="str">
        <f t="shared" si="0"/>
        <v>01_07</v>
      </c>
      <c r="B9" s="113" t="str">
        <f t="shared" si="1"/>
        <v>07.Januar</v>
      </c>
      <c r="C9" s="117">
        <f t="shared" ca="1" si="2"/>
        <v>45664</v>
      </c>
      <c r="D9" s="117">
        <f t="shared" ca="1" si="3"/>
        <v>46029</v>
      </c>
      <c r="E9" s="114">
        <f t="shared" ca="1" si="4"/>
        <v>49</v>
      </c>
      <c r="F9" s="115">
        <f t="shared" ca="1" si="5"/>
        <v>49</v>
      </c>
      <c r="G9" s="116" t="s">
        <v>155</v>
      </c>
      <c r="H9" s="5" t="s">
        <v>140</v>
      </c>
      <c r="I9" s="5" t="s">
        <v>156</v>
      </c>
      <c r="J9" s="5" t="s">
        <v>154</v>
      </c>
      <c r="K9" s="96" t="str">
        <f t="shared" ca="1" si="6"/>
        <v>Schon Geburtstag gehabt</v>
      </c>
    </row>
    <row r="10" spans="1:11" x14ac:dyDescent="0.35">
      <c r="A10" s="5" t="str">
        <f t="shared" si="0"/>
        <v>01_09</v>
      </c>
      <c r="B10" s="113" t="str">
        <f t="shared" si="1"/>
        <v>09.Januar</v>
      </c>
      <c r="C10" s="117">
        <f t="shared" ca="1" si="2"/>
        <v>45666</v>
      </c>
      <c r="D10" s="117">
        <f t="shared" ca="1" si="3"/>
        <v>46031</v>
      </c>
      <c r="E10" s="114">
        <f t="shared" ca="1" si="4"/>
        <v>60</v>
      </c>
      <c r="F10" s="115">
        <f t="shared" ca="1" si="5"/>
        <v>60</v>
      </c>
      <c r="G10" s="116" t="s">
        <v>157</v>
      </c>
      <c r="H10" s="5" t="s">
        <v>140</v>
      </c>
      <c r="I10" s="5" t="s">
        <v>158</v>
      </c>
      <c r="J10" s="5" t="s">
        <v>186</v>
      </c>
      <c r="K10" s="96" t="str">
        <f t="shared" ca="1" si="6"/>
        <v>Schon Geburtstag gehabt</v>
      </c>
    </row>
    <row r="11" spans="1:11" x14ac:dyDescent="0.35">
      <c r="A11" s="5" t="str">
        <f t="shared" si="0"/>
        <v>01_09</v>
      </c>
      <c r="B11" s="113" t="str">
        <f t="shared" si="1"/>
        <v>09.Januar</v>
      </c>
      <c r="C11" s="117">
        <f t="shared" ca="1" si="2"/>
        <v>45666</v>
      </c>
      <c r="D11" s="117">
        <f t="shared" ca="1" si="3"/>
        <v>46031</v>
      </c>
      <c r="E11" s="114">
        <f t="shared" ca="1" si="4"/>
        <v>67</v>
      </c>
      <c r="F11" s="115">
        <f t="shared" ca="1" si="5"/>
        <v>67</v>
      </c>
      <c r="G11" s="116" t="s">
        <v>160</v>
      </c>
      <c r="H11" s="5" t="s">
        <v>142</v>
      </c>
      <c r="I11" s="5" t="s">
        <v>161</v>
      </c>
      <c r="J11" s="5" t="s">
        <v>154</v>
      </c>
      <c r="K11" s="96" t="str">
        <f t="shared" ca="1" si="6"/>
        <v>Schon Geburtstag gehabt</v>
      </c>
    </row>
    <row r="12" spans="1:11" x14ac:dyDescent="0.35">
      <c r="A12" s="5" t="str">
        <f t="shared" si="0"/>
        <v>01_10</v>
      </c>
      <c r="B12" s="113" t="str">
        <f t="shared" si="1"/>
        <v>10.Januar</v>
      </c>
      <c r="C12" s="117">
        <f t="shared" ca="1" si="2"/>
        <v>45667</v>
      </c>
      <c r="D12" s="117">
        <f t="shared" ca="1" si="3"/>
        <v>46032</v>
      </c>
      <c r="E12" s="114">
        <f t="shared" ca="1" si="4"/>
        <v>28</v>
      </c>
      <c r="F12" s="115">
        <f t="shared" ca="1" si="5"/>
        <v>28</v>
      </c>
      <c r="G12" s="116" t="s">
        <v>162</v>
      </c>
      <c r="H12" s="5" t="s">
        <v>142</v>
      </c>
      <c r="I12" s="5" t="s">
        <v>153</v>
      </c>
      <c r="J12" s="5" t="s">
        <v>188</v>
      </c>
      <c r="K12" s="96" t="str">
        <f t="shared" ca="1" si="6"/>
        <v>Schon Geburtstag gehabt</v>
      </c>
    </row>
    <row r="13" spans="1:11" x14ac:dyDescent="0.35">
      <c r="A13" s="5" t="str">
        <f t="shared" si="0"/>
        <v>01_11</v>
      </c>
      <c r="B13" s="113" t="str">
        <f t="shared" si="1"/>
        <v>11.Januar</v>
      </c>
      <c r="C13" s="117">
        <f t="shared" ca="1" si="2"/>
        <v>45668</v>
      </c>
      <c r="D13" s="117">
        <f t="shared" ca="1" si="3"/>
        <v>46033</v>
      </c>
      <c r="E13" s="114">
        <f t="shared" ca="1" si="4"/>
        <v>61</v>
      </c>
      <c r="F13" s="115">
        <f t="shared" ca="1" si="5"/>
        <v>61</v>
      </c>
      <c r="G13" s="116" t="s">
        <v>166</v>
      </c>
      <c r="H13" s="5" t="s">
        <v>140</v>
      </c>
      <c r="I13" s="5" t="s">
        <v>167</v>
      </c>
      <c r="J13" s="5" t="s">
        <v>191</v>
      </c>
      <c r="K13" s="96" t="str">
        <f t="shared" ca="1" si="6"/>
        <v>Schon Geburtstag gehabt</v>
      </c>
    </row>
    <row r="14" spans="1:11" x14ac:dyDescent="0.35">
      <c r="A14" s="5" t="str">
        <f t="shared" si="0"/>
        <v>01_11</v>
      </c>
      <c r="B14" s="113" t="str">
        <f t="shared" si="1"/>
        <v>11.Januar</v>
      </c>
      <c r="C14" s="117">
        <f t="shared" ca="1" si="2"/>
        <v>45668</v>
      </c>
      <c r="D14" s="117">
        <f t="shared" ca="1" si="3"/>
        <v>46033</v>
      </c>
      <c r="E14" s="114">
        <f t="shared" ca="1" si="4"/>
        <v>42</v>
      </c>
      <c r="F14" s="115">
        <f t="shared" ca="1" si="5"/>
        <v>42</v>
      </c>
      <c r="G14" s="116" t="s">
        <v>169</v>
      </c>
      <c r="H14" s="5" t="s">
        <v>142</v>
      </c>
      <c r="I14" s="5" t="s">
        <v>170</v>
      </c>
      <c r="J14" s="5" t="s">
        <v>193</v>
      </c>
      <c r="K14" s="96" t="str">
        <f t="shared" ca="1" si="6"/>
        <v>Schon Geburtstag gehabt</v>
      </c>
    </row>
    <row r="15" spans="1:11" x14ac:dyDescent="0.35">
      <c r="A15" s="5" t="str">
        <f t="shared" si="0"/>
        <v>01_14</v>
      </c>
      <c r="B15" s="113" t="str">
        <f t="shared" si="1"/>
        <v>14.Januar</v>
      </c>
      <c r="C15" s="117">
        <f t="shared" ca="1" si="2"/>
        <v>45671</v>
      </c>
      <c r="D15" s="117">
        <f t="shared" ca="1" si="3"/>
        <v>46036</v>
      </c>
      <c r="E15" s="114">
        <f t="shared" ca="1" si="4"/>
        <v>65</v>
      </c>
      <c r="F15" s="115">
        <f t="shared" ca="1" si="5"/>
        <v>65</v>
      </c>
      <c r="G15" s="116" t="s">
        <v>175</v>
      </c>
      <c r="H15" s="5" t="s">
        <v>142</v>
      </c>
      <c r="I15" s="5" t="s">
        <v>176</v>
      </c>
      <c r="J15" s="5" t="s">
        <v>196</v>
      </c>
      <c r="K15" s="96" t="str">
        <f t="shared" ca="1" si="6"/>
        <v>Schon Geburtstag gehabt</v>
      </c>
    </row>
    <row r="16" spans="1:11" x14ac:dyDescent="0.35">
      <c r="A16" s="5" t="str">
        <f t="shared" si="0"/>
        <v>01_15</v>
      </c>
      <c r="B16" s="113" t="str">
        <f t="shared" si="1"/>
        <v>15.Januar</v>
      </c>
      <c r="C16" s="117">
        <f t="shared" ca="1" si="2"/>
        <v>45672</v>
      </c>
      <c r="D16" s="117">
        <f t="shared" ca="1" si="3"/>
        <v>46037</v>
      </c>
      <c r="E16" s="114">
        <f t="shared" ca="1" si="4"/>
        <v>45</v>
      </c>
      <c r="F16" s="115">
        <f t="shared" ca="1" si="5"/>
        <v>45</v>
      </c>
      <c r="G16" s="116" t="s">
        <v>178</v>
      </c>
      <c r="H16" s="5" t="s">
        <v>142</v>
      </c>
      <c r="I16" s="5" t="s">
        <v>179</v>
      </c>
      <c r="J16" s="5" t="s">
        <v>154</v>
      </c>
      <c r="K16" s="96" t="str">
        <f t="shared" ca="1" si="6"/>
        <v>Schon Geburtstag gehabt</v>
      </c>
    </row>
    <row r="17" spans="1:11" x14ac:dyDescent="0.35">
      <c r="A17" s="5" t="str">
        <f t="shared" si="0"/>
        <v>02_09</v>
      </c>
      <c r="B17" s="113" t="str">
        <f t="shared" si="1"/>
        <v>09.Februar</v>
      </c>
      <c r="C17" s="117">
        <f t="shared" ca="1" si="2"/>
        <v>45697</v>
      </c>
      <c r="D17" s="117">
        <f t="shared" ca="1" si="3"/>
        <v>46062</v>
      </c>
      <c r="E17" s="114">
        <f t="shared" ca="1" si="4"/>
        <v>80</v>
      </c>
      <c r="F17" s="115">
        <f t="shared" ca="1" si="5"/>
        <v>80</v>
      </c>
      <c r="G17" s="116">
        <v>16477</v>
      </c>
      <c r="H17" s="5" t="s">
        <v>140</v>
      </c>
      <c r="I17" s="5" t="s">
        <v>159</v>
      </c>
      <c r="J17" s="5" t="s">
        <v>187</v>
      </c>
      <c r="K17" s="96" t="str">
        <f t="shared" ca="1" si="6"/>
        <v>Schon Geburtstag gehabt</v>
      </c>
    </row>
    <row r="18" spans="1:11" x14ac:dyDescent="0.35">
      <c r="A18" s="5" t="str">
        <f t="shared" si="0"/>
        <v>02_14</v>
      </c>
      <c r="B18" s="113" t="str">
        <f t="shared" si="1"/>
        <v>14.Februar</v>
      </c>
      <c r="C18" s="117">
        <f t="shared" ca="1" si="2"/>
        <v>45702</v>
      </c>
      <c r="D18" s="117">
        <f t="shared" ca="1" si="3"/>
        <v>46067</v>
      </c>
      <c r="E18" s="114">
        <f t="shared" ca="1" si="4"/>
        <v>52</v>
      </c>
      <c r="F18" s="115">
        <f t="shared" ca="1" si="5"/>
        <v>52</v>
      </c>
      <c r="G18" s="116">
        <v>26709</v>
      </c>
      <c r="H18" s="5" t="s">
        <v>142</v>
      </c>
      <c r="I18" s="5" t="s">
        <v>174</v>
      </c>
      <c r="J18" s="5" t="s">
        <v>195</v>
      </c>
      <c r="K18" s="96" t="str">
        <f t="shared" ca="1" si="6"/>
        <v>Schon Geburtstag gehabt</v>
      </c>
    </row>
    <row r="19" spans="1:11" x14ac:dyDescent="0.35">
      <c r="A19" s="5" t="str">
        <f t="shared" si="0"/>
        <v>03_02</v>
      </c>
      <c r="B19" s="113" t="str">
        <f t="shared" si="1"/>
        <v>02.März</v>
      </c>
      <c r="C19" s="117">
        <f t="shared" ca="1" si="2"/>
        <v>45718</v>
      </c>
      <c r="D19" s="117">
        <f t="shared" ca="1" si="3"/>
        <v>46083</v>
      </c>
      <c r="E19" s="114">
        <f t="shared" ca="1" si="4"/>
        <v>66</v>
      </c>
      <c r="F19" s="115">
        <f t="shared" ca="1" si="5"/>
        <v>66</v>
      </c>
      <c r="G19" s="116">
        <v>21611</v>
      </c>
      <c r="H19" s="5" t="s">
        <v>142</v>
      </c>
      <c r="I19" s="5" t="s">
        <v>148</v>
      </c>
      <c r="J19" s="5" t="s">
        <v>144</v>
      </c>
      <c r="K19" s="96" t="str">
        <f t="shared" ca="1" si="6"/>
        <v>Schon Geburtstag gehabt</v>
      </c>
    </row>
    <row r="20" spans="1:11" x14ac:dyDescent="0.35">
      <c r="A20" s="5" t="str">
        <f t="shared" si="0"/>
        <v>03_02</v>
      </c>
      <c r="B20" s="113" t="str">
        <f t="shared" si="1"/>
        <v>02.März</v>
      </c>
      <c r="C20" s="117">
        <f t="shared" ca="1" si="2"/>
        <v>45718</v>
      </c>
      <c r="D20" s="117">
        <f t="shared" ca="1" si="3"/>
        <v>46083</v>
      </c>
      <c r="E20" s="114">
        <f t="shared" ca="1" si="4"/>
        <v>31</v>
      </c>
      <c r="F20" s="115">
        <f t="shared" ca="1" si="5"/>
        <v>31</v>
      </c>
      <c r="G20" s="116">
        <v>34395</v>
      </c>
      <c r="H20" s="5" t="s">
        <v>140</v>
      </c>
      <c r="I20" s="5" t="s">
        <v>149</v>
      </c>
      <c r="J20" s="5" t="s">
        <v>144</v>
      </c>
      <c r="K20" s="96" t="str">
        <f t="shared" ca="1" si="6"/>
        <v>Schon Geburtstag gehabt</v>
      </c>
    </row>
    <row r="21" spans="1:11" x14ac:dyDescent="0.35">
      <c r="A21" s="5" t="str">
        <f t="shared" si="0"/>
        <v>04_10</v>
      </c>
      <c r="B21" s="113" t="str">
        <f t="shared" si="1"/>
        <v>10.April</v>
      </c>
      <c r="C21" s="117">
        <f t="shared" ca="1" si="2"/>
        <v>45757</v>
      </c>
      <c r="D21" s="117">
        <f t="shared" ca="1" si="3"/>
        <v>46122</v>
      </c>
      <c r="E21" s="114">
        <f t="shared" ca="1" si="4"/>
        <v>25</v>
      </c>
      <c r="F21" s="115">
        <f t="shared" ca="1" si="5"/>
        <v>25</v>
      </c>
      <c r="G21" s="116">
        <v>36626</v>
      </c>
      <c r="H21" s="5" t="s">
        <v>142</v>
      </c>
      <c r="I21" s="5" t="s">
        <v>143</v>
      </c>
      <c r="J21" s="5" t="s">
        <v>184</v>
      </c>
      <c r="K21" s="96" t="str">
        <f t="shared" ca="1" si="6"/>
        <v>Schon Geburtstag gehabt</v>
      </c>
    </row>
    <row r="22" spans="1:11" x14ac:dyDescent="0.35">
      <c r="A22" s="5" t="str">
        <f t="shared" si="0"/>
        <v>07_12</v>
      </c>
      <c r="B22" s="113" t="str">
        <f t="shared" si="1"/>
        <v>12.Juli</v>
      </c>
      <c r="C22" s="117">
        <f t="shared" ca="1" si="2"/>
        <v>45850</v>
      </c>
      <c r="D22" s="117">
        <f t="shared" ca="1" si="3"/>
        <v>45850</v>
      </c>
      <c r="E22" s="114">
        <f t="shared" ca="1" si="4"/>
        <v>50</v>
      </c>
      <c r="F22" s="115">
        <f t="shared" ca="1" si="5"/>
        <v>51</v>
      </c>
      <c r="G22" s="116">
        <v>27222</v>
      </c>
      <c r="H22" s="5" t="s">
        <v>142</v>
      </c>
      <c r="I22" s="5" t="s">
        <v>153</v>
      </c>
      <c r="J22" s="5" t="s">
        <v>194</v>
      </c>
      <c r="K22" s="96" t="str">
        <f t="shared" ca="1" si="6"/>
        <v>Noch kein Geburtstag gehabt</v>
      </c>
    </row>
    <row r="23" spans="1:11" x14ac:dyDescent="0.35">
      <c r="A23" s="5" t="str">
        <f t="shared" si="0"/>
        <v>08_05</v>
      </c>
      <c r="B23" s="113" t="str">
        <f t="shared" si="1"/>
        <v>05.August</v>
      </c>
      <c r="C23" s="117">
        <f t="shared" ca="1" si="2"/>
        <v>45874</v>
      </c>
      <c r="D23" s="117">
        <f t="shared" ca="1" si="3"/>
        <v>45874</v>
      </c>
      <c r="E23" s="114">
        <f t="shared" ca="1" si="4"/>
        <v>64</v>
      </c>
      <c r="F23" s="115">
        <f t="shared" ca="1" si="5"/>
        <v>65</v>
      </c>
      <c r="G23" s="116">
        <v>22133</v>
      </c>
      <c r="H23" s="5" t="s">
        <v>140</v>
      </c>
      <c r="I23" s="5" t="s">
        <v>168</v>
      </c>
      <c r="J23" s="5" t="s">
        <v>192</v>
      </c>
      <c r="K23" s="96" t="str">
        <f t="shared" ca="1" si="6"/>
        <v>Noch kein Geburtstag gehabt</v>
      </c>
    </row>
    <row r="24" spans="1:11" x14ac:dyDescent="0.35">
      <c r="A24" s="5" t="str">
        <f t="shared" si="0"/>
        <v>08_12</v>
      </c>
      <c r="B24" s="113" t="str">
        <f t="shared" si="1"/>
        <v>12.August</v>
      </c>
      <c r="C24" s="117">
        <f t="shared" ca="1" si="2"/>
        <v>45881</v>
      </c>
      <c r="D24" s="117">
        <f t="shared" ca="1" si="3"/>
        <v>45881</v>
      </c>
      <c r="E24" s="114">
        <f t="shared" ca="1" si="4"/>
        <v>55</v>
      </c>
      <c r="F24" s="115">
        <f t="shared" ca="1" si="5"/>
        <v>56</v>
      </c>
      <c r="G24" s="116">
        <v>25427</v>
      </c>
      <c r="H24" s="5" t="s">
        <v>142</v>
      </c>
      <c r="I24" s="5" t="s">
        <v>172</v>
      </c>
      <c r="J24" s="5" t="s">
        <v>147</v>
      </c>
      <c r="K24" s="96" t="str">
        <f t="shared" ca="1" si="6"/>
        <v>Noch kein Geburtstag gehabt</v>
      </c>
    </row>
    <row r="25" spans="1:11" x14ac:dyDescent="0.35">
      <c r="A25" s="5" t="str">
        <f t="shared" si="0"/>
        <v>08_13</v>
      </c>
      <c r="B25" s="113" t="str">
        <f t="shared" si="1"/>
        <v>13.August</v>
      </c>
      <c r="C25" s="117">
        <f t="shared" ca="1" si="2"/>
        <v>45882</v>
      </c>
      <c r="D25" s="117">
        <f t="shared" ca="1" si="3"/>
        <v>45882</v>
      </c>
      <c r="E25" s="114">
        <f t="shared" ca="1" si="4"/>
        <v>82</v>
      </c>
      <c r="F25" s="115">
        <f t="shared" ca="1" si="5"/>
        <v>83</v>
      </c>
      <c r="G25" s="116">
        <v>15566</v>
      </c>
      <c r="H25" s="5" t="s">
        <v>142</v>
      </c>
      <c r="I25" s="5" t="s">
        <v>173</v>
      </c>
      <c r="J25" s="5" t="s">
        <v>180</v>
      </c>
      <c r="K25" s="96" t="str">
        <f t="shared" ca="1" si="6"/>
        <v>Noch kein Geburtstag gehabt</v>
      </c>
    </row>
    <row r="26" spans="1:11" x14ac:dyDescent="0.35">
      <c r="A26" s="5" t="str">
        <f t="shared" si="0"/>
        <v>09_12</v>
      </c>
      <c r="B26" s="113" t="str">
        <f t="shared" si="1"/>
        <v>12.September</v>
      </c>
      <c r="C26" s="117">
        <f t="shared" ca="1" si="2"/>
        <v>45912</v>
      </c>
      <c r="D26" s="117">
        <f t="shared" ca="1" si="3"/>
        <v>45912</v>
      </c>
      <c r="E26" s="114">
        <f t="shared" ca="1" si="4"/>
        <v>55</v>
      </c>
      <c r="F26" s="115">
        <f t="shared" ca="1" si="5"/>
        <v>56</v>
      </c>
      <c r="G26" s="116">
        <v>25458</v>
      </c>
      <c r="H26" s="5" t="s">
        <v>140</v>
      </c>
      <c r="I26" s="5" t="s">
        <v>171</v>
      </c>
      <c r="J26" s="5" t="s">
        <v>147</v>
      </c>
      <c r="K26" s="96" t="str">
        <f t="shared" ca="1" si="6"/>
        <v>Noch kein Geburtstag gehabt</v>
      </c>
    </row>
    <row r="27" spans="1:11" x14ac:dyDescent="0.35">
      <c r="A27" s="5" t="str">
        <f t="shared" si="0"/>
        <v>09_16</v>
      </c>
      <c r="B27" s="113" t="str">
        <f t="shared" si="1"/>
        <v>16.September</v>
      </c>
      <c r="C27" s="117">
        <f t="shared" ca="1" si="2"/>
        <v>45916</v>
      </c>
      <c r="D27" s="117">
        <f t="shared" ca="1" si="3"/>
        <v>45916</v>
      </c>
      <c r="E27" s="114">
        <f t="shared" ca="1" si="4"/>
        <v>63</v>
      </c>
      <c r="F27" s="115">
        <f t="shared" ca="1" si="5"/>
        <v>64</v>
      </c>
      <c r="G27" s="116">
        <v>22540</v>
      </c>
      <c r="H27" s="5" t="s">
        <v>140</v>
      </c>
      <c r="I27" s="5" t="s">
        <v>182</v>
      </c>
      <c r="J27" s="5" t="s">
        <v>147</v>
      </c>
      <c r="K27" s="96" t="str">
        <f t="shared" ca="1" si="6"/>
        <v>Noch kein Geburtstag gehabt</v>
      </c>
    </row>
    <row r="28" spans="1:11" x14ac:dyDescent="0.35">
      <c r="A28" s="5" t="str">
        <f t="shared" si="0"/>
        <v>10_10</v>
      </c>
      <c r="B28" s="113" t="str">
        <f t="shared" si="1"/>
        <v>10.Oktober</v>
      </c>
      <c r="C28" s="117">
        <f t="shared" ca="1" si="2"/>
        <v>45940</v>
      </c>
      <c r="D28" s="117">
        <f t="shared" ca="1" si="3"/>
        <v>45940</v>
      </c>
      <c r="E28" s="114">
        <f t="shared" ca="1" si="4"/>
        <v>84</v>
      </c>
      <c r="F28" s="115">
        <f t="shared" ca="1" si="5"/>
        <v>85</v>
      </c>
      <c r="G28" s="116">
        <v>14894</v>
      </c>
      <c r="H28" s="5" t="s">
        <v>142</v>
      </c>
      <c r="I28" s="5" t="s">
        <v>163</v>
      </c>
      <c r="J28" s="5" t="s">
        <v>189</v>
      </c>
      <c r="K28" s="96" t="str">
        <f t="shared" ca="1" si="6"/>
        <v>Noch kein Geburtstag gehabt</v>
      </c>
    </row>
    <row r="29" spans="1:11" x14ac:dyDescent="0.35">
      <c r="A29" s="5" t="str">
        <f t="shared" si="0"/>
        <v>10_12</v>
      </c>
      <c r="B29" s="113" t="str">
        <f t="shared" si="1"/>
        <v>12.Oktober</v>
      </c>
      <c r="C29" s="117">
        <f t="shared" ca="1" si="2"/>
        <v>45942</v>
      </c>
      <c r="D29" s="117">
        <f t="shared" ca="1" si="3"/>
        <v>45942</v>
      </c>
      <c r="E29" s="114">
        <f t="shared" ca="1" si="4"/>
        <v>82</v>
      </c>
      <c r="F29" s="115">
        <f t="shared" ca="1" si="5"/>
        <v>83</v>
      </c>
      <c r="G29" s="116">
        <v>15626</v>
      </c>
      <c r="H29" s="5" t="s">
        <v>142</v>
      </c>
      <c r="I29" s="5" t="s">
        <v>164</v>
      </c>
      <c r="J29" s="5" t="s">
        <v>180</v>
      </c>
      <c r="K29" s="96" t="str">
        <f t="shared" ca="1" si="6"/>
        <v>Noch kein Geburtstag gehabt</v>
      </c>
    </row>
    <row r="30" spans="1:11" x14ac:dyDescent="0.35">
      <c r="A30" s="5" t="str">
        <f t="shared" si="0"/>
        <v>10_14</v>
      </c>
      <c r="B30" s="113" t="str">
        <f t="shared" si="1"/>
        <v>14.Oktober</v>
      </c>
      <c r="C30" s="117">
        <f t="shared" ca="1" si="2"/>
        <v>45944</v>
      </c>
      <c r="D30" s="117">
        <f t="shared" ca="1" si="3"/>
        <v>45944</v>
      </c>
      <c r="E30" s="114">
        <f t="shared" ca="1" si="4"/>
        <v>40</v>
      </c>
      <c r="F30" s="115">
        <f t="shared" ca="1" si="5"/>
        <v>41</v>
      </c>
      <c r="G30" s="116">
        <v>30969</v>
      </c>
      <c r="H30" s="5" t="s">
        <v>140</v>
      </c>
      <c r="I30" s="5" t="s">
        <v>177</v>
      </c>
      <c r="J30" s="5" t="s">
        <v>147</v>
      </c>
      <c r="K30" s="96" t="str">
        <f t="shared" ca="1" si="6"/>
        <v>Noch kein Geburtstag gehabt</v>
      </c>
    </row>
    <row r="31" spans="1:11" x14ac:dyDescent="0.35">
      <c r="A31" s="5" t="str">
        <f t="shared" si="0"/>
        <v>10_15</v>
      </c>
      <c r="B31" s="113" t="str">
        <f t="shared" si="1"/>
        <v>15.Oktober</v>
      </c>
      <c r="C31" s="117">
        <f t="shared" ca="1" si="2"/>
        <v>45945</v>
      </c>
      <c r="D31" s="117">
        <f t="shared" ca="1" si="3"/>
        <v>45945</v>
      </c>
      <c r="E31" s="114">
        <f t="shared" ca="1" si="4"/>
        <v>63</v>
      </c>
      <c r="F31" s="115">
        <f t="shared" ca="1" si="5"/>
        <v>64</v>
      </c>
      <c r="G31" s="116">
        <v>22569</v>
      </c>
      <c r="H31" s="5" t="s">
        <v>142</v>
      </c>
      <c r="I31" s="5" t="s">
        <v>181</v>
      </c>
      <c r="J31" s="5" t="s">
        <v>197</v>
      </c>
      <c r="K31" s="96" t="str">
        <f t="shared" ca="1" si="6"/>
        <v>Noch kein Geburtstag gehabt</v>
      </c>
    </row>
    <row r="32" spans="1:11" x14ac:dyDescent="0.35">
      <c r="A32" s="5" t="str">
        <f t="shared" si="0"/>
        <v>11_10</v>
      </c>
      <c r="B32" s="113" t="str">
        <f t="shared" si="1"/>
        <v>10.November</v>
      </c>
      <c r="C32" s="117">
        <f t="shared" ca="1" si="2"/>
        <v>45971</v>
      </c>
      <c r="D32" s="117">
        <f t="shared" ca="1" si="3"/>
        <v>45971</v>
      </c>
      <c r="E32" s="114">
        <f t="shared" ca="1" si="4"/>
        <v>83</v>
      </c>
      <c r="F32" s="115">
        <f t="shared" ca="1" si="5"/>
        <v>84</v>
      </c>
      <c r="G32" s="116">
        <v>15290</v>
      </c>
      <c r="H32" s="5" t="s">
        <v>142</v>
      </c>
      <c r="I32" s="5" t="s">
        <v>164</v>
      </c>
      <c r="J32" s="5" t="s">
        <v>190</v>
      </c>
      <c r="K32" s="96" t="str">
        <f t="shared" ca="1" si="6"/>
        <v>Noch kein Geburtstag gehabt</v>
      </c>
    </row>
    <row r="33" spans="1:11" x14ac:dyDescent="0.35">
      <c r="A33" s="5" t="str">
        <f t="shared" si="0"/>
        <v>12_10</v>
      </c>
      <c r="B33" s="113" t="str">
        <f t="shared" si="1"/>
        <v>10.Dezember</v>
      </c>
      <c r="C33" s="117">
        <f t="shared" ca="1" si="2"/>
        <v>46001</v>
      </c>
      <c r="D33" s="117">
        <f t="shared" ca="1" si="3"/>
        <v>46001</v>
      </c>
      <c r="E33" s="114">
        <f t="shared" ca="1" si="4"/>
        <v>56</v>
      </c>
      <c r="F33" s="115">
        <f t="shared" ca="1" si="5"/>
        <v>57</v>
      </c>
      <c r="G33" s="116">
        <v>25182</v>
      </c>
      <c r="H33" s="5" t="s">
        <v>142</v>
      </c>
      <c r="I33" s="5" t="s">
        <v>165</v>
      </c>
      <c r="J33" s="5" t="s">
        <v>144</v>
      </c>
      <c r="K33" s="96" t="str">
        <f t="shared" ca="1" si="6"/>
        <v>Noch kein Geburtstag gehabt</v>
      </c>
    </row>
    <row r="34" spans="1:11" x14ac:dyDescent="0.35">
      <c r="A34" s="5" t="str">
        <f t="shared" si="0"/>
        <v>12_16</v>
      </c>
      <c r="B34" s="113" t="str">
        <f t="shared" si="1"/>
        <v>16.Dezember</v>
      </c>
      <c r="C34" s="117">
        <f t="shared" ca="1" si="2"/>
        <v>46007</v>
      </c>
      <c r="D34" s="117">
        <f t="shared" ca="1" si="3"/>
        <v>46007</v>
      </c>
      <c r="E34" s="114">
        <f t="shared" ca="1" si="4"/>
        <v>30</v>
      </c>
      <c r="F34" s="115">
        <f t="shared" ca="1" si="5"/>
        <v>31</v>
      </c>
      <c r="G34" s="116">
        <v>34684</v>
      </c>
      <c r="H34" s="5" t="s">
        <v>142</v>
      </c>
      <c r="I34" s="5" t="s">
        <v>183</v>
      </c>
      <c r="J34" s="5" t="s">
        <v>144</v>
      </c>
      <c r="K34" s="96" t="str">
        <f t="shared" ca="1" si="6"/>
        <v>Noch kein Geburtstag gehabt</v>
      </c>
    </row>
  </sheetData>
  <autoFilter ref="A4:K4" xr:uid="{1841BF1A-9A03-4CA3-9AB4-14BC2465827D}">
    <sortState xmlns:xlrd2="http://schemas.microsoft.com/office/spreadsheetml/2017/richdata2" ref="A5:K34">
      <sortCondition ref="A4"/>
    </sortState>
  </autoFilter>
  <sortState xmlns:xlrd2="http://schemas.microsoft.com/office/spreadsheetml/2017/richdata2" ref="A5:K34">
    <sortCondition ref="A5:A34"/>
  </sortState>
  <conditionalFormatting sqref="B5:B34">
    <cfRule type="expression" dxfId="0" priority="1">
      <formula>IF(K5="Noch kein Geburtstag gehabt",TRUE,FALSE)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22FC2-F1DD-4976-B11D-F41AF79BE2D1}">
  <dimension ref="B1:C5"/>
  <sheetViews>
    <sheetView zoomScaleNormal="100" workbookViewId="0">
      <selection sqref="A1:XFD2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3" ht="40" customHeight="1" x14ac:dyDescent="0.35"/>
    <row r="2" spans="2:3" ht="26" x14ac:dyDescent="0.6">
      <c r="B2" s="44" t="s">
        <v>138</v>
      </c>
      <c r="C2" s="44"/>
    </row>
    <row r="5" spans="2:3" x14ac:dyDescent="0.35">
      <c r="B5" s="110" t="s">
        <v>139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7830-AC00-4F43-A73A-16FD420D323A}">
  <dimension ref="B1:K45"/>
  <sheetViews>
    <sheetView topLeftCell="A10" zoomScale="55" zoomScaleNormal="55" workbookViewId="0">
      <selection activeCell="J38" sqref="J37:J38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11" ht="40" customHeight="1" x14ac:dyDescent="0.35"/>
    <row r="2" spans="2:11" ht="26" x14ac:dyDescent="0.6">
      <c r="B2" s="44" t="s">
        <v>111</v>
      </c>
      <c r="C2" s="44"/>
    </row>
    <row r="5" spans="2:11" ht="18.5" x14ac:dyDescent="0.45">
      <c r="B5" s="91" t="s">
        <v>112</v>
      </c>
      <c r="C5" s="91"/>
      <c r="G5" s="91" t="s">
        <v>113</v>
      </c>
      <c r="H5" s="91"/>
      <c r="I5" s="91"/>
    </row>
    <row r="6" spans="2:11" ht="16.5" x14ac:dyDescent="0.35">
      <c r="B6" s="92" t="s">
        <v>114</v>
      </c>
      <c r="C6" s="92" t="s">
        <v>115</v>
      </c>
      <c r="D6" s="92" t="s">
        <v>116</v>
      </c>
      <c r="E6" s="92" t="s">
        <v>117</v>
      </c>
      <c r="G6" s="92" t="s">
        <v>118</v>
      </c>
      <c r="H6" s="92" t="s">
        <v>119</v>
      </c>
      <c r="I6" s="92" t="s">
        <v>115</v>
      </c>
      <c r="J6" s="92" t="s">
        <v>116</v>
      </c>
      <c r="K6" s="92" t="s">
        <v>117</v>
      </c>
    </row>
    <row r="7" spans="2:11" x14ac:dyDescent="0.35">
      <c r="B7" s="94">
        <v>10</v>
      </c>
      <c r="C7" s="104">
        <f>SQRT(2) * B7</f>
        <v>14.142135623730951</v>
      </c>
      <c r="D7" s="93">
        <f>B7^2</f>
        <v>100</v>
      </c>
      <c r="E7" s="93">
        <f>4*B7</f>
        <v>40</v>
      </c>
      <c r="G7" s="94">
        <v>2</v>
      </c>
      <c r="H7" s="94">
        <v>3</v>
      </c>
      <c r="I7" s="95">
        <f>SQRT(G7^2 + H7^2)</f>
        <v>3.6055512754639891</v>
      </c>
      <c r="J7" s="93">
        <f>G7*H7</f>
        <v>6</v>
      </c>
      <c r="K7" s="93">
        <f>2*(G7+H7)</f>
        <v>10</v>
      </c>
    </row>
    <row r="8" spans="2:11" x14ac:dyDescent="0.35">
      <c r="B8" s="93">
        <f>C8/SQRT(2)</f>
        <v>10.000000000190246</v>
      </c>
      <c r="C8" s="94">
        <v>14.142135624</v>
      </c>
      <c r="D8" s="93">
        <f>C8^2 / 2</f>
        <v>100.00000000380493</v>
      </c>
      <c r="E8" s="93">
        <f>4*B8</f>
        <v>40.000000000760984</v>
      </c>
      <c r="G8" s="94">
        <v>2</v>
      </c>
      <c r="H8" s="93">
        <f>SQRT(I8^2-G8^2)</f>
        <v>3.0000000054516063</v>
      </c>
      <c r="I8" s="94">
        <v>3.6055512799999998</v>
      </c>
      <c r="J8" s="93">
        <f>G8*H8</f>
        <v>6.0000000109032126</v>
      </c>
      <c r="K8" s="93">
        <f>2*(G8+H8)</f>
        <v>10.000000010903213</v>
      </c>
    </row>
    <row r="9" spans="2:11" x14ac:dyDescent="0.35">
      <c r="B9" s="93">
        <f>SQRT(D9)</f>
        <v>10</v>
      </c>
      <c r="C9" s="93">
        <f>SQRT(2) * B9</f>
        <v>14.142135623730951</v>
      </c>
      <c r="D9" s="94">
        <v>100</v>
      </c>
      <c r="E9" s="93">
        <f>4*B9</f>
        <v>40</v>
      </c>
      <c r="G9" s="94">
        <v>2</v>
      </c>
      <c r="H9" s="93">
        <f>J9/G9</f>
        <v>3</v>
      </c>
      <c r="I9" s="93">
        <f>SQRT(G9^2 + H9^2)</f>
        <v>3.6055512754639891</v>
      </c>
      <c r="J9" s="94">
        <v>6</v>
      </c>
      <c r="K9" s="93">
        <f>2*(G9+H9)</f>
        <v>10</v>
      </c>
    </row>
    <row r="10" spans="2:11" x14ac:dyDescent="0.35">
      <c r="B10" s="93">
        <f>E10/4</f>
        <v>10</v>
      </c>
      <c r="C10" s="93">
        <f>SQRT(2) * B10</f>
        <v>14.142135623730951</v>
      </c>
      <c r="D10" s="93">
        <f>B10^2</f>
        <v>100</v>
      </c>
      <c r="E10" s="94">
        <v>40</v>
      </c>
      <c r="G10" s="94">
        <v>2</v>
      </c>
      <c r="H10" s="93">
        <f>(K10/2)-G10</f>
        <v>3</v>
      </c>
      <c r="I10" s="93">
        <f>SQRT(G10^2 + H10^2)</f>
        <v>3.6055512754639891</v>
      </c>
      <c r="J10" s="93">
        <f>G10*H10</f>
        <v>6</v>
      </c>
      <c r="K10" s="94">
        <v>10</v>
      </c>
    </row>
    <row r="11" spans="2:11" x14ac:dyDescent="0.35">
      <c r="G11" s="93">
        <f>SQRT((I11^2 - SQRT(I11^4 - 4*J11^2))/2)</f>
        <v>1.9936428724026451</v>
      </c>
      <c r="H11" s="93">
        <f>J11/G11</f>
        <v>3.0095660978483476</v>
      </c>
      <c r="I11" s="94">
        <v>3.61</v>
      </c>
      <c r="J11" s="94">
        <v>6</v>
      </c>
      <c r="K11" s="93">
        <f>2*(G11+H11)</f>
        <v>10.006417940501986</v>
      </c>
    </row>
    <row r="12" spans="2:11" x14ac:dyDescent="0.35">
      <c r="G12" s="93">
        <f>SQRT(I12^2 - H12^2)</f>
        <v>1.9841996510276481</v>
      </c>
      <c r="H12" s="93">
        <f>(K12+SQRT(8*I12^2 - K12^2))/4</f>
        <v>3.0158003489723519</v>
      </c>
      <c r="I12" s="94">
        <v>3.61</v>
      </c>
      <c r="J12" s="93">
        <f>G12*H12</f>
        <v>5.9839500000000001</v>
      </c>
      <c r="K12" s="94">
        <v>10</v>
      </c>
    </row>
    <row r="16" spans="2:11" ht="18.5" x14ac:dyDescent="0.45">
      <c r="B16" s="91" t="s">
        <v>120</v>
      </c>
    </row>
    <row r="17" spans="2:8" ht="16.5" x14ac:dyDescent="0.45">
      <c r="B17" s="92" t="s">
        <v>121</v>
      </c>
      <c r="C17" s="92" t="s">
        <v>122</v>
      </c>
      <c r="D17" s="92" t="s">
        <v>123</v>
      </c>
      <c r="E17" s="92" t="s">
        <v>125</v>
      </c>
      <c r="F17" s="92" t="s">
        <v>126</v>
      </c>
      <c r="G17" s="92" t="s">
        <v>127</v>
      </c>
      <c r="H17" s="92" t="s">
        <v>124</v>
      </c>
    </row>
    <row r="18" spans="2:8" x14ac:dyDescent="0.35">
      <c r="B18" s="94">
        <v>10</v>
      </c>
      <c r="C18" s="94">
        <v>180</v>
      </c>
      <c r="D18" s="93">
        <f>2*B18</f>
        <v>20</v>
      </c>
      <c r="E18" s="96">
        <f>B18^2*PI()</f>
        <v>314.15926535897933</v>
      </c>
      <c r="F18" s="96">
        <f>2*B18*PI()</f>
        <v>62.831853071795862</v>
      </c>
      <c r="G18" s="96">
        <f t="shared" ref="G18:G23" si="0">E18*C18/360</f>
        <v>157.07963267948966</v>
      </c>
      <c r="H18" s="96">
        <f>F18*C18/360</f>
        <v>31.415926535897931</v>
      </c>
    </row>
    <row r="19" spans="2:8" x14ac:dyDescent="0.35">
      <c r="B19" s="93">
        <f>D19/2</f>
        <v>10</v>
      </c>
      <c r="C19" s="94">
        <v>180</v>
      </c>
      <c r="D19" s="94">
        <v>20</v>
      </c>
      <c r="E19" s="93">
        <f>B19^2*PI()</f>
        <v>314.15926535897933</v>
      </c>
      <c r="F19" s="93">
        <f>2*B19*PI()</f>
        <v>62.831853071795862</v>
      </c>
      <c r="G19" s="93">
        <f t="shared" si="0"/>
        <v>157.07963267948966</v>
      </c>
      <c r="H19" s="93">
        <f>F19*C19/360</f>
        <v>31.415926535897931</v>
      </c>
    </row>
    <row r="20" spans="2:8" x14ac:dyDescent="0.35">
      <c r="B20" s="93">
        <f>SQRT(E20/PI())</f>
        <v>10.000000000652864</v>
      </c>
      <c r="C20" s="94">
        <v>180</v>
      </c>
      <c r="D20" s="93">
        <f>2*B20</f>
        <v>20.000000001305729</v>
      </c>
      <c r="E20" s="94">
        <v>314.15926539999998</v>
      </c>
      <c r="F20" s="93">
        <f>2*B20*PI()</f>
        <v>62.831853075897932</v>
      </c>
      <c r="G20" s="93">
        <f t="shared" si="0"/>
        <v>157.07963269999999</v>
      </c>
      <c r="H20" s="93">
        <f>F20*C20/360</f>
        <v>31.415926537948966</v>
      </c>
    </row>
    <row r="21" spans="2:8" x14ac:dyDescent="0.35">
      <c r="B21" s="93">
        <f>D21/2</f>
        <v>9.9999999997141806</v>
      </c>
      <c r="C21" s="94">
        <v>180</v>
      </c>
      <c r="D21" s="93">
        <f>F21/PI()</f>
        <v>19.999999999428361</v>
      </c>
      <c r="E21" s="93">
        <f>B21^2*PI()</f>
        <v>314.15926534102073</v>
      </c>
      <c r="F21" s="94">
        <v>62.831853070000001</v>
      </c>
      <c r="G21" s="93">
        <f t="shared" si="0"/>
        <v>157.07963267051036</v>
      </c>
      <c r="H21" s="93">
        <f>F21*C21/360</f>
        <v>31.415926535000001</v>
      </c>
    </row>
    <row r="22" spans="2:8" x14ac:dyDescent="0.35">
      <c r="B22" s="94">
        <v>10</v>
      </c>
      <c r="C22" s="93">
        <f>360/(F22/H22)</f>
        <v>179.99999999485524</v>
      </c>
      <c r="D22" s="93">
        <f>2*B22</f>
        <v>20</v>
      </c>
      <c r="E22" s="93">
        <f>B22^2*PI()</f>
        <v>314.15926535897933</v>
      </c>
      <c r="F22" s="93">
        <f>2*B22*PI()</f>
        <v>62.831853071795862</v>
      </c>
      <c r="G22" s="93">
        <f t="shared" si="0"/>
        <v>157.07963267500003</v>
      </c>
      <c r="H22" s="94">
        <v>31.415926535000001</v>
      </c>
    </row>
    <row r="23" spans="2:8" x14ac:dyDescent="0.35">
      <c r="B23" s="93">
        <f>D23/2</f>
        <v>10</v>
      </c>
      <c r="C23" s="93">
        <f>360/(F23/H23)</f>
        <v>179.99999999485524</v>
      </c>
      <c r="D23" s="94">
        <v>20</v>
      </c>
      <c r="E23" s="93">
        <f>B23^2*PI()</f>
        <v>314.15926535897933</v>
      </c>
      <c r="F23" s="93">
        <f>2*B23*PI()</f>
        <v>62.831853071795862</v>
      </c>
      <c r="G23" s="93">
        <f t="shared" si="0"/>
        <v>157.07963267500003</v>
      </c>
      <c r="H23" s="94">
        <v>31.415926535000001</v>
      </c>
    </row>
    <row r="24" spans="2:8" x14ac:dyDescent="0.35">
      <c r="B24" s="94">
        <v>10</v>
      </c>
      <c r="C24" s="93">
        <f>360/(E24/G24)</f>
        <v>179.99999999485527</v>
      </c>
      <c r="D24" s="93">
        <f>2*B24</f>
        <v>20</v>
      </c>
      <c r="E24" s="93">
        <f>B24^2*PI()</f>
        <v>314.15926535897933</v>
      </c>
      <c r="F24" s="93">
        <f>2*B24*PI()</f>
        <v>62.831853071795862</v>
      </c>
      <c r="G24" s="94">
        <v>157.07963267500003</v>
      </c>
      <c r="H24" s="93">
        <f>F24*C24/360</f>
        <v>31.415926535000008</v>
      </c>
    </row>
    <row r="25" spans="2:8" x14ac:dyDescent="0.35">
      <c r="B25" s="93">
        <f>D25/2</f>
        <v>10</v>
      </c>
      <c r="C25" s="93">
        <f>360/(E25/G25)</f>
        <v>179.99999999485527</v>
      </c>
      <c r="D25" s="94">
        <v>20</v>
      </c>
      <c r="E25" s="93">
        <f>B25^2*PI()</f>
        <v>314.15926535897933</v>
      </c>
      <c r="F25" s="93">
        <f>2*B25*PI()</f>
        <v>62.831853071795862</v>
      </c>
      <c r="G25" s="94">
        <v>157.07963267500003</v>
      </c>
      <c r="H25" s="93">
        <f>F25*C25/360</f>
        <v>31.415926535000008</v>
      </c>
    </row>
    <row r="29" spans="2:8" ht="18.5" x14ac:dyDescent="0.45">
      <c r="B29" s="91" t="s">
        <v>131</v>
      </c>
    </row>
    <row r="30" spans="2:8" x14ac:dyDescent="0.35">
      <c r="B30" s="92" t="s">
        <v>136</v>
      </c>
      <c r="C30" s="92" t="s">
        <v>135</v>
      </c>
      <c r="D30" s="92" t="s">
        <v>132</v>
      </c>
      <c r="E30" s="105" t="s">
        <v>133</v>
      </c>
      <c r="F30" s="106" t="s">
        <v>134</v>
      </c>
      <c r="G30" s="105" t="s">
        <v>137</v>
      </c>
    </row>
    <row r="31" spans="2:8" x14ac:dyDescent="0.35">
      <c r="B31" s="94"/>
      <c r="C31" s="94"/>
      <c r="D31" s="107"/>
      <c r="E31" s="107"/>
      <c r="F31" s="107"/>
      <c r="G31" s="107"/>
    </row>
    <row r="32" spans="2:8" x14ac:dyDescent="0.35">
      <c r="B32" s="94"/>
      <c r="C32" s="93"/>
      <c r="D32" s="94"/>
      <c r="E32" s="93"/>
      <c r="F32" s="93"/>
      <c r="G32" s="93"/>
    </row>
    <row r="33" spans="2:7" x14ac:dyDescent="0.35">
      <c r="B33" s="94"/>
      <c r="C33" s="93"/>
      <c r="D33" s="93"/>
      <c r="E33" s="94"/>
      <c r="F33" s="93"/>
      <c r="G33" s="93"/>
    </row>
    <row r="34" spans="2:7" x14ac:dyDescent="0.35">
      <c r="B34" s="94"/>
      <c r="C34" s="93"/>
      <c r="D34" s="93"/>
      <c r="E34" s="93"/>
      <c r="F34" s="94"/>
      <c r="G34" s="93"/>
    </row>
    <row r="35" spans="2:7" x14ac:dyDescent="0.35">
      <c r="B35" s="94"/>
      <c r="C35" s="93"/>
      <c r="D35" s="93"/>
      <c r="E35" s="93"/>
      <c r="F35" s="93"/>
      <c r="G35" s="94"/>
    </row>
    <row r="36" spans="2:7" x14ac:dyDescent="0.35">
      <c r="B36" s="93"/>
      <c r="C36" s="94"/>
      <c r="D36" s="94"/>
      <c r="E36" s="93"/>
      <c r="F36" s="93"/>
      <c r="G36" s="93"/>
    </row>
    <row r="37" spans="2:7" x14ac:dyDescent="0.35">
      <c r="B37" s="93"/>
      <c r="C37" s="94"/>
      <c r="D37" s="93"/>
      <c r="E37" s="94"/>
      <c r="F37" s="93"/>
      <c r="G37" s="93"/>
    </row>
    <row r="38" spans="2:7" x14ac:dyDescent="0.35">
      <c r="B38" s="93"/>
      <c r="C38" s="94"/>
      <c r="D38" s="93"/>
      <c r="E38" s="93"/>
      <c r="F38" s="94"/>
      <c r="G38" s="93"/>
    </row>
    <row r="39" spans="2:7" x14ac:dyDescent="0.35">
      <c r="B39" s="93"/>
      <c r="C39" s="94"/>
      <c r="D39" s="93"/>
      <c r="E39" s="93"/>
      <c r="F39" s="93"/>
      <c r="G39" s="94"/>
    </row>
    <row r="40" spans="2:7" x14ac:dyDescent="0.35">
      <c r="B40" s="93"/>
      <c r="C40" s="93"/>
      <c r="D40" s="94"/>
      <c r="E40" s="94"/>
      <c r="F40" s="93"/>
      <c r="G40" s="93"/>
    </row>
    <row r="41" spans="2:7" x14ac:dyDescent="0.35">
      <c r="B41" s="93"/>
      <c r="C41" s="93"/>
      <c r="D41" s="94"/>
      <c r="E41" s="93"/>
      <c r="F41" s="94"/>
      <c r="G41" s="93"/>
    </row>
    <row r="42" spans="2:7" x14ac:dyDescent="0.35">
      <c r="B42" s="93"/>
      <c r="C42" s="93"/>
      <c r="D42" s="94"/>
      <c r="E42" s="93"/>
      <c r="F42" s="93"/>
      <c r="G42" s="94"/>
    </row>
    <row r="43" spans="2:7" x14ac:dyDescent="0.35">
      <c r="B43" s="108"/>
      <c r="C43" s="108"/>
      <c r="D43" s="108"/>
      <c r="E43" s="94"/>
      <c r="F43" s="94"/>
      <c r="G43" s="108"/>
    </row>
    <row r="44" spans="2:7" x14ac:dyDescent="0.35">
      <c r="B44" s="93"/>
      <c r="C44" s="93"/>
      <c r="D44" s="93"/>
      <c r="E44" s="94"/>
      <c r="F44" s="93"/>
      <c r="G44" s="94"/>
    </row>
    <row r="45" spans="2:7" x14ac:dyDescent="0.35">
      <c r="B45" s="93"/>
      <c r="C45" s="93"/>
      <c r="D45" s="93"/>
      <c r="E45" s="93"/>
      <c r="F45" s="94"/>
      <c r="G45" s="94"/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TOC</vt:lpstr>
      <vt:lpstr>Sinus_Cosinus</vt:lpstr>
      <vt:lpstr>Schiefeebene</vt:lpstr>
      <vt:lpstr>Schiefe-Ebene (alt)</vt:lpstr>
      <vt:lpstr>Vektoren</vt:lpstr>
      <vt:lpstr>Vektor</vt:lpstr>
      <vt:lpstr>Geburtstagsliste</vt:lpstr>
      <vt:lpstr>Einheiten umrechnen</vt:lpstr>
      <vt:lpstr>Flächenberechnungen</vt:lpstr>
      <vt:lpstr>Kinematik_1</vt:lpstr>
      <vt:lpstr>Kinematik_2</vt:lpstr>
      <vt:lpstr>Kinematik_2_Berechnungen</vt:lpstr>
      <vt:lpstr>Fourierreihe</vt:lpstr>
      <vt:lpstr>Fourierreihe (neu)</vt:lpstr>
      <vt:lpstr>Scheinleistung</vt:lpstr>
      <vt:lpstr>Gemischte Schaltung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cp:lastPrinted>2025-06-12T05:29:37Z</cp:lastPrinted>
  <dcterms:created xsi:type="dcterms:W3CDTF">2015-06-05T18:19:34Z</dcterms:created>
  <dcterms:modified xsi:type="dcterms:W3CDTF">2025-06-26T06:20:25Z</dcterms:modified>
</cp:coreProperties>
</file>