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7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8.xml" ContentType="application/vnd.openxmlformats-officedocument.drawing+xml"/>
  <Override PartName="/xl/comments1.xml" ContentType="application/vnd.openxmlformats-officedocument.spreadsheetml.comments+xml"/>
  <Override PartName="/xl/drawings/drawing9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10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Landwirtschaft\Documents\SoruceCode\SchulungsUnterlagen\Studentenbeispiele\BZU\24_25\Informatik\"/>
    </mc:Choice>
  </mc:AlternateContent>
  <xr:revisionPtr revIDLastSave="0" documentId="13_ncr:1_{8C08C8C5-EBF2-435A-B30E-9665B5ACAA56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TOC" sheetId="13" r:id="rId1"/>
    <sheet name="Schiefeebene" sheetId="19" r:id="rId2"/>
    <sheet name="Vektoren" sheetId="18" r:id="rId3"/>
    <sheet name="Geburtstagsliste" sheetId="17" r:id="rId4"/>
    <sheet name="Einheiten umrechnen" sheetId="16" r:id="rId5"/>
    <sheet name="Flächenberechnungen" sheetId="14" r:id="rId6"/>
    <sheet name="Kinematik_1" sheetId="4" r:id="rId7"/>
    <sheet name="Kinematik_2" sheetId="9" r:id="rId8"/>
    <sheet name="Kinematik_2_Berechnungen" sheetId="11" r:id="rId9"/>
    <sheet name="Fourierreihe" sheetId="12" r:id="rId10"/>
    <sheet name="Scheinleistung" sheetId="15" r:id="rId11"/>
  </sheets>
  <definedNames>
    <definedName name="_xlnm._FilterDatabase" localSheetId="3" hidden="1">Geburtstagsliste!$A$4:$K$4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2" i="19" l="1"/>
  <c r="AK41" i="19"/>
  <c r="L24" i="19"/>
  <c r="O24" i="19" s="1"/>
  <c r="L23" i="19"/>
  <c r="AJ41" i="19" s="1"/>
  <c r="Q33" i="19"/>
  <c r="Q36" i="19" s="1"/>
  <c r="R32" i="19"/>
  <c r="S32" i="19" s="1"/>
  <c r="O31" i="19"/>
  <c r="V15" i="18"/>
  <c r="W15" i="18"/>
  <c r="P16" i="18"/>
  <c r="P15" i="18"/>
  <c r="S15" i="18"/>
  <c r="R15" i="18"/>
  <c r="Q15" i="18"/>
  <c r="H26" i="19"/>
  <c r="H27" i="19" s="1"/>
  <c r="H28" i="19" s="1"/>
  <c r="H30" i="19" s="1"/>
  <c r="H31" i="19" s="1"/>
  <c r="H32" i="19" s="1"/>
  <c r="H33" i="19" s="1"/>
  <c r="G26" i="19"/>
  <c r="G23" i="19"/>
  <c r="F23" i="19" s="1"/>
  <c r="G28" i="19" s="1"/>
  <c r="G32" i="19" s="1"/>
  <c r="G22" i="19"/>
  <c r="E23" i="19"/>
  <c r="E22" i="19"/>
  <c r="I15" i="18"/>
  <c r="J15" i="18" s="1"/>
  <c r="I16" i="18"/>
  <c r="I17" i="18"/>
  <c r="K17" i="18" s="1"/>
  <c r="I18" i="18"/>
  <c r="I19" i="18"/>
  <c r="I20" i="18"/>
  <c r="I14" i="18"/>
  <c r="J14" i="18" s="1"/>
  <c r="A23" i="17"/>
  <c r="B23" i="17"/>
  <c r="A24" i="17"/>
  <c r="B24" i="17"/>
  <c r="A25" i="17"/>
  <c r="B25" i="17"/>
  <c r="A26" i="17"/>
  <c r="B26" i="17"/>
  <c r="A27" i="17"/>
  <c r="B27" i="17"/>
  <c r="A28" i="17"/>
  <c r="B28" i="17"/>
  <c r="A29" i="17"/>
  <c r="B29" i="17"/>
  <c r="A30" i="17"/>
  <c r="B30" i="17"/>
  <c r="A31" i="17"/>
  <c r="B31" i="17"/>
  <c r="A32" i="17"/>
  <c r="B32" i="17"/>
  <c r="A33" i="17"/>
  <c r="B33" i="17"/>
  <c r="A34" i="17"/>
  <c r="B34" i="17"/>
  <c r="A5" i="17"/>
  <c r="B5" i="17"/>
  <c r="A6" i="17"/>
  <c r="B6" i="17"/>
  <c r="A7" i="17"/>
  <c r="B7" i="17"/>
  <c r="A8" i="17"/>
  <c r="B8" i="17"/>
  <c r="A9" i="17"/>
  <c r="B9" i="17"/>
  <c r="A10" i="17"/>
  <c r="B10" i="17"/>
  <c r="A11" i="17"/>
  <c r="B11" i="17"/>
  <c r="A12" i="17"/>
  <c r="B12" i="17"/>
  <c r="A13" i="17"/>
  <c r="B13" i="17"/>
  <c r="A14" i="17"/>
  <c r="B14" i="17"/>
  <c r="A15" i="17"/>
  <c r="B15" i="17"/>
  <c r="A16" i="17"/>
  <c r="B16" i="17"/>
  <c r="A17" i="17"/>
  <c r="B17" i="17"/>
  <c r="A18" i="17"/>
  <c r="B18" i="17"/>
  <c r="A19" i="17"/>
  <c r="B19" i="17"/>
  <c r="A20" i="17"/>
  <c r="B20" i="17"/>
  <c r="A21" i="17"/>
  <c r="B21" i="17"/>
  <c r="B22" i="17"/>
  <c r="A22" i="17"/>
  <c r="J2" i="17"/>
  <c r="C24" i="17" s="1"/>
  <c r="D24" i="17" s="1"/>
  <c r="N15" i="15"/>
  <c r="O15" i="15"/>
  <c r="P15" i="15"/>
  <c r="Q15" i="15"/>
  <c r="R15" i="15"/>
  <c r="S15" i="15"/>
  <c r="T15" i="15"/>
  <c r="U15" i="15"/>
  <c r="V15" i="15"/>
  <c r="W15" i="15"/>
  <c r="X15" i="15"/>
  <c r="Y15" i="15"/>
  <c r="Z15" i="15"/>
  <c r="AA15" i="15"/>
  <c r="AB15" i="15"/>
  <c r="AC15" i="15"/>
  <c r="AD15" i="15"/>
  <c r="AE15" i="15"/>
  <c r="AF15" i="15"/>
  <c r="AG15" i="15"/>
  <c r="AH15" i="15"/>
  <c r="AI15" i="15"/>
  <c r="AJ15" i="15"/>
  <c r="AK15" i="15"/>
  <c r="AL15" i="15"/>
  <c r="AM15" i="15"/>
  <c r="AN15" i="15"/>
  <c r="AO15" i="15"/>
  <c r="AP15" i="15"/>
  <c r="AQ15" i="15"/>
  <c r="AR15" i="15"/>
  <c r="AS15" i="15"/>
  <c r="AT15" i="15"/>
  <c r="AU15" i="15"/>
  <c r="AV15" i="15"/>
  <c r="AW15" i="15"/>
  <c r="AX15" i="15"/>
  <c r="AY15" i="15"/>
  <c r="M15" i="15"/>
  <c r="N12" i="15"/>
  <c r="N13" i="15" s="1"/>
  <c r="J15" i="15"/>
  <c r="J14" i="15"/>
  <c r="F15" i="15"/>
  <c r="F14" i="15"/>
  <c r="R14" i="15" s="1"/>
  <c r="M13" i="15"/>
  <c r="K13" i="15"/>
  <c r="W5" i="15"/>
  <c r="X5" i="15" s="1"/>
  <c r="G11" i="14"/>
  <c r="H11" i="14" s="1"/>
  <c r="F24" i="14"/>
  <c r="F22" i="14"/>
  <c r="C22" i="14" s="1"/>
  <c r="E22" i="14"/>
  <c r="E24" i="14"/>
  <c r="C24" i="14" s="1"/>
  <c r="H21" i="14"/>
  <c r="B25" i="14"/>
  <c r="E25" i="14" s="1"/>
  <c r="C25" i="14" s="1"/>
  <c r="B23" i="14"/>
  <c r="F23" i="14" s="1"/>
  <c r="C23" i="14" s="1"/>
  <c r="D24" i="14"/>
  <c r="D22" i="14"/>
  <c r="D21" i="14"/>
  <c r="B21" i="14" s="1"/>
  <c r="E21" i="14" s="1"/>
  <c r="G21" i="14" s="1"/>
  <c r="G20" i="14"/>
  <c r="B20" i="14"/>
  <c r="D20" i="14" s="1"/>
  <c r="B19" i="14"/>
  <c r="F19" i="14" s="1"/>
  <c r="H19" i="14" s="1"/>
  <c r="E18" i="14"/>
  <c r="G18" i="14" s="1"/>
  <c r="F18" i="14"/>
  <c r="H18" i="14" s="1"/>
  <c r="D18" i="14"/>
  <c r="H12" i="14"/>
  <c r="G12" i="14" s="1"/>
  <c r="H10" i="14"/>
  <c r="J10" i="14" s="1"/>
  <c r="H9" i="14"/>
  <c r="I9" i="14" s="1"/>
  <c r="H8" i="14"/>
  <c r="J8" i="14" s="1"/>
  <c r="K7" i="14"/>
  <c r="J7" i="14"/>
  <c r="D8" i="14"/>
  <c r="I7" i="14"/>
  <c r="E7" i="14"/>
  <c r="D7" i="14"/>
  <c r="B10" i="14"/>
  <c r="D10" i="14" s="1"/>
  <c r="B9" i="14"/>
  <c r="E9" i="14" s="1"/>
  <c r="B8" i="14"/>
  <c r="E8" i="14" s="1"/>
  <c r="C7" i="14"/>
  <c r="P20" i="12"/>
  <c r="Q20" i="12"/>
  <c r="R20" i="12"/>
  <c r="S20" i="12"/>
  <c r="T20" i="12"/>
  <c r="U20" i="12"/>
  <c r="V20" i="12"/>
  <c r="W20" i="12"/>
  <c r="X20" i="12"/>
  <c r="Y20" i="12"/>
  <c r="Z20" i="12"/>
  <c r="AA20" i="12"/>
  <c r="AB20" i="12"/>
  <c r="AC20" i="12"/>
  <c r="AD20" i="12"/>
  <c r="AE20" i="12"/>
  <c r="AF20" i="12"/>
  <c r="AG20" i="12"/>
  <c r="AH20" i="12"/>
  <c r="AI20" i="12"/>
  <c r="AJ20" i="12"/>
  <c r="AK20" i="12"/>
  <c r="AL20" i="12"/>
  <c r="AM20" i="12"/>
  <c r="AN20" i="12"/>
  <c r="AO20" i="12"/>
  <c r="AP20" i="12"/>
  <c r="AQ20" i="12"/>
  <c r="AR20" i="12"/>
  <c r="AS20" i="12"/>
  <c r="AT20" i="12"/>
  <c r="AU20" i="12"/>
  <c r="AV20" i="12"/>
  <c r="AW20" i="12"/>
  <c r="AX20" i="12"/>
  <c r="AY20" i="12"/>
  <c r="N20" i="12"/>
  <c r="O20" i="12"/>
  <c r="M20" i="12"/>
  <c r="Q12" i="11"/>
  <c r="Q11" i="11"/>
  <c r="Q10" i="11"/>
  <c r="Q9" i="11"/>
  <c r="Q8" i="11"/>
  <c r="K19" i="11"/>
  <c r="I19" i="11"/>
  <c r="G19" i="11"/>
  <c r="E19" i="11"/>
  <c r="C19" i="11"/>
  <c r="K18" i="11"/>
  <c r="I18" i="11"/>
  <c r="G18" i="11"/>
  <c r="E18" i="11"/>
  <c r="C18" i="11"/>
  <c r="K6" i="11"/>
  <c r="I6" i="11"/>
  <c r="G7" i="11"/>
  <c r="G6" i="11"/>
  <c r="E6" i="11"/>
  <c r="K7" i="11"/>
  <c r="I7" i="11"/>
  <c r="E7" i="11"/>
  <c r="C7" i="11"/>
  <c r="C6" i="11"/>
  <c r="L17" i="11"/>
  <c r="J17" i="11"/>
  <c r="H16" i="11"/>
  <c r="H15" i="11"/>
  <c r="F8" i="11"/>
  <c r="F14" i="11"/>
  <c r="F13" i="11"/>
  <c r="D11" i="11"/>
  <c r="L11" i="11"/>
  <c r="J10" i="11"/>
  <c r="H9" i="11"/>
  <c r="D10" i="11"/>
  <c r="W5" i="12"/>
  <c r="X5" i="12" s="1"/>
  <c r="F15" i="12"/>
  <c r="F16" i="12"/>
  <c r="F17" i="12"/>
  <c r="F14" i="12"/>
  <c r="M13" i="12"/>
  <c r="M14" i="12" s="1"/>
  <c r="K13" i="12"/>
  <c r="K15" i="12" s="1"/>
  <c r="N12" i="12"/>
  <c r="O12" i="12" s="1"/>
  <c r="P12" i="12" s="1"/>
  <c r="Q12" i="12" s="1"/>
  <c r="R12" i="12" s="1"/>
  <c r="S12" i="12" s="1"/>
  <c r="T12" i="12" s="1"/>
  <c r="U12" i="12" s="1"/>
  <c r="V12" i="12" s="1"/>
  <c r="W12" i="12" s="1"/>
  <c r="X12" i="12" s="1"/>
  <c r="Y12" i="12" s="1"/>
  <c r="Z12" i="12" s="1"/>
  <c r="AA12" i="12" s="1"/>
  <c r="AB12" i="12" s="1"/>
  <c r="AC12" i="12" s="1"/>
  <c r="AD12" i="12" s="1"/>
  <c r="AE12" i="12" s="1"/>
  <c r="AF12" i="12" s="1"/>
  <c r="AG12" i="12" s="1"/>
  <c r="AH12" i="12" s="1"/>
  <c r="AI12" i="12" s="1"/>
  <c r="AJ12" i="12" s="1"/>
  <c r="AK12" i="12" s="1"/>
  <c r="AL12" i="12" s="1"/>
  <c r="AM12" i="12" s="1"/>
  <c r="AN12" i="12" s="1"/>
  <c r="AO12" i="12" s="1"/>
  <c r="AP12" i="12" s="1"/>
  <c r="AQ12" i="12" s="1"/>
  <c r="AR12" i="12" s="1"/>
  <c r="AS12" i="12" s="1"/>
  <c r="AT12" i="12" s="1"/>
  <c r="AU12" i="12" s="1"/>
  <c r="AV12" i="12" s="1"/>
  <c r="AW12" i="12" s="1"/>
  <c r="AX12" i="12" s="1"/>
  <c r="AY12" i="12" s="1"/>
  <c r="AY13" i="12" s="1"/>
  <c r="Q34" i="19" l="1"/>
  <c r="P34" i="19"/>
  <c r="P35" i="19" s="1"/>
  <c r="P36" i="19" s="1"/>
  <c r="P37" i="19" s="1"/>
  <c r="P38" i="19" s="1"/>
  <c r="O23" i="19"/>
  <c r="AK42" i="19" s="1"/>
  <c r="Q38" i="19"/>
  <c r="Q35" i="19"/>
  <c r="Q37" i="19" s="1"/>
  <c r="G30" i="19"/>
  <c r="G27" i="19"/>
  <c r="G33" i="19" s="1"/>
  <c r="T32" i="19"/>
  <c r="S33" i="19"/>
  <c r="R33" i="19"/>
  <c r="R16" i="18"/>
  <c r="L17" i="18"/>
  <c r="K14" i="18"/>
  <c r="L16" i="18"/>
  <c r="S16" i="18" s="1"/>
  <c r="L14" i="18"/>
  <c r="S14" i="18" s="1"/>
  <c r="K16" i="18"/>
  <c r="Q16" i="18" s="1"/>
  <c r="V16" i="18" s="1"/>
  <c r="L15" i="18"/>
  <c r="K15" i="18"/>
  <c r="J16" i="18"/>
  <c r="J17" i="18"/>
  <c r="J19" i="18"/>
  <c r="J20" i="18"/>
  <c r="J18" i="18"/>
  <c r="K18" i="18" s="1"/>
  <c r="K24" i="17"/>
  <c r="F20" i="17"/>
  <c r="F16" i="17"/>
  <c r="F19" i="17"/>
  <c r="F12" i="17"/>
  <c r="F8" i="17"/>
  <c r="F34" i="17"/>
  <c r="F30" i="17"/>
  <c r="F26" i="17"/>
  <c r="C19" i="17"/>
  <c r="D19" i="17" s="1"/>
  <c r="C15" i="17"/>
  <c r="C11" i="17"/>
  <c r="D11" i="17" s="1"/>
  <c r="C7" i="17"/>
  <c r="D7" i="17" s="1"/>
  <c r="C33" i="17"/>
  <c r="D33" i="17" s="1"/>
  <c r="C29" i="17"/>
  <c r="D29" i="17" s="1"/>
  <c r="C25" i="17"/>
  <c r="D25" i="17" s="1"/>
  <c r="F21" i="17"/>
  <c r="F17" i="17"/>
  <c r="F13" i="17"/>
  <c r="F9" i="17"/>
  <c r="F5" i="17"/>
  <c r="F31" i="17"/>
  <c r="F27" i="17"/>
  <c r="F23" i="17"/>
  <c r="C20" i="17"/>
  <c r="D20" i="17" s="1"/>
  <c r="C16" i="17"/>
  <c r="D16" i="17" s="1"/>
  <c r="C12" i="17"/>
  <c r="D12" i="17" s="1"/>
  <c r="C8" i="17"/>
  <c r="D8" i="17" s="1"/>
  <c r="C34" i="17"/>
  <c r="D34" i="17" s="1"/>
  <c r="C30" i="17"/>
  <c r="D30" i="17" s="1"/>
  <c r="C26" i="17"/>
  <c r="D26" i="17" s="1"/>
  <c r="F18" i="17"/>
  <c r="F14" i="17"/>
  <c r="F10" i="17"/>
  <c r="F6" i="17"/>
  <c r="F32" i="17"/>
  <c r="F28" i="17"/>
  <c r="F24" i="17"/>
  <c r="C21" i="17"/>
  <c r="D21" i="17" s="1"/>
  <c r="C17" i="17"/>
  <c r="D17" i="17" s="1"/>
  <c r="C13" i="17"/>
  <c r="D13" i="17" s="1"/>
  <c r="C9" i="17"/>
  <c r="D9" i="17" s="1"/>
  <c r="C5" i="17"/>
  <c r="D5" i="17" s="1"/>
  <c r="C31" i="17"/>
  <c r="D31" i="17" s="1"/>
  <c r="C27" i="17"/>
  <c r="D27" i="17" s="1"/>
  <c r="E24" i="17"/>
  <c r="C23" i="17"/>
  <c r="D23" i="17" s="1"/>
  <c r="F15" i="17"/>
  <c r="F11" i="17"/>
  <c r="F7" i="17"/>
  <c r="F33" i="17"/>
  <c r="F29" i="17"/>
  <c r="F25" i="17"/>
  <c r="C18" i="17"/>
  <c r="D18" i="17" s="1"/>
  <c r="C14" i="17"/>
  <c r="D14" i="17" s="1"/>
  <c r="C10" i="17"/>
  <c r="D10" i="17" s="1"/>
  <c r="C6" i="17"/>
  <c r="D6" i="17" s="1"/>
  <c r="C32" i="17"/>
  <c r="D32" i="17" s="1"/>
  <c r="C28" i="17"/>
  <c r="D28" i="17" s="1"/>
  <c r="F22" i="17"/>
  <c r="C22" i="17"/>
  <c r="D22" i="17" s="1"/>
  <c r="C4" i="17"/>
  <c r="C2" i="17"/>
  <c r="AV14" i="15"/>
  <c r="AF14" i="15"/>
  <c r="AU14" i="15"/>
  <c r="AE14" i="15"/>
  <c r="AP14" i="15"/>
  <c r="AP18" i="15" s="1"/>
  <c r="Z14" i="15"/>
  <c r="Z18" i="15" s="1"/>
  <c r="AO14" i="15"/>
  <c r="Y14" i="15"/>
  <c r="AN14" i="15"/>
  <c r="X14" i="15"/>
  <c r="AM14" i="15"/>
  <c r="W14" i="15"/>
  <c r="W18" i="15" s="1"/>
  <c r="M14" i="15"/>
  <c r="AX14" i="15"/>
  <c r="AX18" i="15" s="1"/>
  <c r="AH14" i="15"/>
  <c r="AH18" i="15" s="1"/>
  <c r="Q14" i="15"/>
  <c r="K14" i="15"/>
  <c r="AW14" i="15"/>
  <c r="AG14" i="15"/>
  <c r="P14" i="15"/>
  <c r="I10" i="14"/>
  <c r="E23" i="14"/>
  <c r="G23" i="14" s="1"/>
  <c r="R18" i="15"/>
  <c r="AO18" i="15"/>
  <c r="Y18" i="15"/>
  <c r="Q18" i="15"/>
  <c r="AW18" i="15"/>
  <c r="AG18" i="15"/>
  <c r="AV18" i="15"/>
  <c r="AN18" i="15"/>
  <c r="AF18" i="15"/>
  <c r="X18" i="15"/>
  <c r="P18" i="15"/>
  <c r="AT14" i="15"/>
  <c r="AT18" i="15" s="1"/>
  <c r="AL14" i="15"/>
  <c r="AL18" i="15" s="1"/>
  <c r="AD14" i="15"/>
  <c r="AD18" i="15" s="1"/>
  <c r="V14" i="15"/>
  <c r="V18" i="15" s="1"/>
  <c r="N14" i="15"/>
  <c r="N18" i="15" s="1"/>
  <c r="AU18" i="15"/>
  <c r="AM18" i="15"/>
  <c r="AE18" i="15"/>
  <c r="AS14" i="15"/>
  <c r="AS18" i="15" s="1"/>
  <c r="AK14" i="15"/>
  <c r="AK18" i="15" s="1"/>
  <c r="AC14" i="15"/>
  <c r="AC18" i="15" s="1"/>
  <c r="U14" i="15"/>
  <c r="U18" i="15" s="1"/>
  <c r="AR14" i="15"/>
  <c r="AR18" i="15" s="1"/>
  <c r="AJ14" i="15"/>
  <c r="AJ18" i="15" s="1"/>
  <c r="AB14" i="15"/>
  <c r="AB18" i="15" s="1"/>
  <c r="T14" i="15"/>
  <c r="T18" i="15" s="1"/>
  <c r="O14" i="15"/>
  <c r="O18" i="15" s="1"/>
  <c r="AY14" i="15"/>
  <c r="AY18" i="15" s="1"/>
  <c r="AQ14" i="15"/>
  <c r="AQ18" i="15" s="1"/>
  <c r="AI14" i="15"/>
  <c r="AI18" i="15" s="1"/>
  <c r="AA14" i="15"/>
  <c r="AA18" i="15" s="1"/>
  <c r="S14" i="15"/>
  <c r="S18" i="15" s="1"/>
  <c r="O12" i="15"/>
  <c r="M18" i="15"/>
  <c r="K15" i="15"/>
  <c r="G22" i="14"/>
  <c r="H24" i="14"/>
  <c r="E19" i="14"/>
  <c r="G19" i="14" s="1"/>
  <c r="C9" i="14"/>
  <c r="F20" i="14"/>
  <c r="H20" i="14" s="1"/>
  <c r="F25" i="14"/>
  <c r="H25" i="14" s="1"/>
  <c r="K9" i="14"/>
  <c r="K8" i="14"/>
  <c r="J12" i="14"/>
  <c r="C10" i="14"/>
  <c r="S12" i="11"/>
  <c r="K14" i="12"/>
  <c r="AY14" i="12"/>
  <c r="W13" i="12"/>
  <c r="W14" i="12" s="1"/>
  <c r="AT13" i="12"/>
  <c r="AT14" i="12" s="1"/>
  <c r="V13" i="12"/>
  <c r="V14" i="12" s="1"/>
  <c r="Q13" i="12"/>
  <c r="Q14" i="12" s="1"/>
  <c r="AD13" i="12"/>
  <c r="AD14" i="12" s="1"/>
  <c r="AM13" i="12"/>
  <c r="AM14" i="12" s="1"/>
  <c r="AL13" i="12"/>
  <c r="AL14" i="12" s="1"/>
  <c r="O13" i="12"/>
  <c r="O14" i="12" s="1"/>
  <c r="Y13" i="12"/>
  <c r="Y14" i="12" s="1"/>
  <c r="AG13" i="12"/>
  <c r="AG14" i="12" s="1"/>
  <c r="N13" i="12"/>
  <c r="N14" i="12" s="1"/>
  <c r="AU13" i="12"/>
  <c r="AU14" i="12" s="1"/>
  <c r="AE13" i="12"/>
  <c r="AE14" i="12" s="1"/>
  <c r="AO13" i="12"/>
  <c r="AO14" i="12" s="1"/>
  <c r="AV13" i="12"/>
  <c r="AV14" i="12" s="1"/>
  <c r="AN13" i="12"/>
  <c r="AN14" i="12" s="1"/>
  <c r="AF13" i="12"/>
  <c r="AF14" i="12" s="1"/>
  <c r="X13" i="12"/>
  <c r="X14" i="12" s="1"/>
  <c r="P13" i="12"/>
  <c r="P14" i="12" s="1"/>
  <c r="AC13" i="12"/>
  <c r="AC14" i="12" s="1"/>
  <c r="AR13" i="12"/>
  <c r="AR14" i="12" s="1"/>
  <c r="AJ13" i="12"/>
  <c r="AJ14" i="12" s="1"/>
  <c r="AB13" i="12"/>
  <c r="AB14" i="12" s="1"/>
  <c r="T13" i="12"/>
  <c r="T14" i="12" s="1"/>
  <c r="AS13" i="12"/>
  <c r="AS14" i="12" s="1"/>
  <c r="U13" i="12"/>
  <c r="U14" i="12" s="1"/>
  <c r="AQ13" i="12"/>
  <c r="AQ14" i="12" s="1"/>
  <c r="AI13" i="12"/>
  <c r="AI14" i="12" s="1"/>
  <c r="AA13" i="12"/>
  <c r="AA14" i="12" s="1"/>
  <c r="S13" i="12"/>
  <c r="S14" i="12" s="1"/>
  <c r="AK13" i="12"/>
  <c r="AK14" i="12" s="1"/>
  <c r="AX13" i="12"/>
  <c r="AX14" i="12" s="1"/>
  <c r="AP13" i="12"/>
  <c r="AP14" i="12" s="1"/>
  <c r="AH13" i="12"/>
  <c r="AH14" i="12" s="1"/>
  <c r="Z13" i="12"/>
  <c r="Z14" i="12" s="1"/>
  <c r="R13" i="12"/>
  <c r="R14" i="12" s="1"/>
  <c r="AW13" i="12"/>
  <c r="AW14" i="12" s="1"/>
  <c r="J14" i="12"/>
  <c r="C15" i="12"/>
  <c r="C16" i="12"/>
  <c r="K16" i="12" s="1"/>
  <c r="C17" i="12"/>
  <c r="K17" i="12" s="1"/>
  <c r="J13" i="11"/>
  <c r="F12" i="11"/>
  <c r="L14" i="11"/>
  <c r="D8" i="11"/>
  <c r="J15" i="11"/>
  <c r="L16" i="11"/>
  <c r="D9" i="11"/>
  <c r="H12" i="11"/>
  <c r="E11" i="9"/>
  <c r="AA4" i="9"/>
  <c r="X4" i="9"/>
  <c r="Z4" i="9" s="1"/>
  <c r="Q4" i="9"/>
  <c r="P4" i="9"/>
  <c r="Q3" i="9"/>
  <c r="W3" i="9" s="1"/>
  <c r="X3" i="9" s="1"/>
  <c r="AA3" i="9" s="1"/>
  <c r="N4" i="9"/>
  <c r="S4" i="9" s="1"/>
  <c r="T4" i="9" s="1"/>
  <c r="M3" i="9"/>
  <c r="N3" i="9" s="1"/>
  <c r="T3" i="9" s="1"/>
  <c r="E10" i="9"/>
  <c r="F9" i="9"/>
  <c r="G9" i="9" s="1"/>
  <c r="H9" i="9" s="1"/>
  <c r="I9" i="9" s="1"/>
  <c r="J9" i="9" s="1"/>
  <c r="K9" i="9" s="1"/>
  <c r="L9" i="9" s="1"/>
  <c r="M9" i="9" s="1"/>
  <c r="N9" i="9" s="1"/>
  <c r="O9" i="9" s="1"/>
  <c r="P9" i="9" s="1"/>
  <c r="Q9" i="9" s="1"/>
  <c r="R9" i="9" s="1"/>
  <c r="S9" i="9" s="1"/>
  <c r="T9" i="9" s="1"/>
  <c r="U9" i="9" s="1"/>
  <c r="V9" i="9" s="1"/>
  <c r="W9" i="9" s="1"/>
  <c r="X9" i="9" s="1"/>
  <c r="Y9" i="9" s="1"/>
  <c r="Y11" i="9" s="1"/>
  <c r="E44" i="4"/>
  <c r="F42" i="4"/>
  <c r="E42" i="4"/>
  <c r="F41" i="4"/>
  <c r="F44" i="4" s="1"/>
  <c r="J18" i="4"/>
  <c r="K17" i="4"/>
  <c r="K18" i="4" s="1"/>
  <c r="D8" i="4"/>
  <c r="E8" i="4"/>
  <c r="F8" i="4"/>
  <c r="C8" i="4"/>
  <c r="Q40" i="19" l="1"/>
  <c r="Q39" i="19"/>
  <c r="S34" i="19"/>
  <c r="S35" i="19"/>
  <c r="S36" i="19"/>
  <c r="R35" i="19"/>
  <c r="R34" i="19"/>
  <c r="R36" i="19"/>
  <c r="G31" i="19"/>
  <c r="I31" i="19" s="1"/>
  <c r="T33" i="19"/>
  <c r="U32" i="19"/>
  <c r="W16" i="18"/>
  <c r="S17" i="18"/>
  <c r="R17" i="18"/>
  <c r="W17" i="18" s="1"/>
  <c r="Q17" i="18"/>
  <c r="P17" i="18"/>
  <c r="V17" i="18" s="1"/>
  <c r="M16" i="18"/>
  <c r="L19" i="18"/>
  <c r="L18" i="18"/>
  <c r="K19" i="18"/>
  <c r="K20" i="18"/>
  <c r="L20" i="18"/>
  <c r="O16" i="18"/>
  <c r="N16" i="18"/>
  <c r="O15" i="18"/>
  <c r="M15" i="18"/>
  <c r="Q14" i="18"/>
  <c r="M14" i="18"/>
  <c r="N14" i="18"/>
  <c r="O14" i="18"/>
  <c r="O18" i="18"/>
  <c r="N15" i="18"/>
  <c r="E29" i="17"/>
  <c r="E7" i="17"/>
  <c r="K7" i="17"/>
  <c r="E11" i="17"/>
  <c r="K11" i="17"/>
  <c r="K14" i="17"/>
  <c r="D15" i="17"/>
  <c r="K15" i="17"/>
  <c r="K19" i="17"/>
  <c r="K27" i="17"/>
  <c r="K32" i="17"/>
  <c r="K6" i="17"/>
  <c r="K5" i="17"/>
  <c r="K10" i="17"/>
  <c r="K29" i="17"/>
  <c r="K13" i="17"/>
  <c r="K23" i="17"/>
  <c r="K18" i="17"/>
  <c r="K26" i="17"/>
  <c r="K21" i="17"/>
  <c r="K31" i="17"/>
  <c r="K28" i="17"/>
  <c r="K34" i="17"/>
  <c r="K30" i="17"/>
  <c r="K9" i="17"/>
  <c r="K25" i="17"/>
  <c r="K12" i="17"/>
  <c r="K8" i="17"/>
  <c r="K17" i="17"/>
  <c r="K33" i="17"/>
  <c r="K20" i="17"/>
  <c r="K16" i="17"/>
  <c r="K22" i="17"/>
  <c r="E33" i="17"/>
  <c r="E20" i="17"/>
  <c r="E30" i="17"/>
  <c r="E19" i="17"/>
  <c r="E13" i="17"/>
  <c r="E28" i="17"/>
  <c r="E27" i="17"/>
  <c r="E8" i="17"/>
  <c r="E14" i="17"/>
  <c r="E34" i="17"/>
  <c r="E25" i="17"/>
  <c r="E21" i="17"/>
  <c r="E15" i="17"/>
  <c r="E10" i="17"/>
  <c r="E5" i="17"/>
  <c r="E16" i="17"/>
  <c r="E31" i="17"/>
  <c r="E17" i="17"/>
  <c r="E32" i="17"/>
  <c r="E18" i="17"/>
  <c r="E23" i="17"/>
  <c r="E9" i="17"/>
  <c r="E26" i="17"/>
  <c r="E12" i="17"/>
  <c r="E6" i="17"/>
  <c r="E22" i="17"/>
  <c r="K18" i="15"/>
  <c r="T6" i="15" s="1"/>
  <c r="W6" i="15" s="1"/>
  <c r="P12" i="15"/>
  <c r="O13" i="15"/>
  <c r="K20" i="12"/>
  <c r="T5" i="12" s="1"/>
  <c r="M16" i="12"/>
  <c r="M15" i="12"/>
  <c r="M17" i="12"/>
  <c r="J16" i="12"/>
  <c r="N16" i="12"/>
  <c r="AT16" i="12"/>
  <c r="AJ16" i="12"/>
  <c r="O16" i="12"/>
  <c r="W16" i="12"/>
  <c r="AE16" i="12"/>
  <c r="AM16" i="12"/>
  <c r="AU16" i="12"/>
  <c r="AH16" i="12"/>
  <c r="S16" i="12"/>
  <c r="AQ16" i="12"/>
  <c r="T16" i="12"/>
  <c r="P16" i="12"/>
  <c r="X16" i="12"/>
  <c r="AF16" i="12"/>
  <c r="AN16" i="12"/>
  <c r="AV16" i="12"/>
  <c r="Z16" i="12"/>
  <c r="AX16" i="12"/>
  <c r="AA16" i="12"/>
  <c r="AY16" i="12"/>
  <c r="AR16" i="12"/>
  <c r="Q16" i="12"/>
  <c r="Y16" i="12"/>
  <c r="AG16" i="12"/>
  <c r="AO16" i="12"/>
  <c r="AW16" i="12"/>
  <c r="R16" i="12"/>
  <c r="AP16" i="12"/>
  <c r="AI16" i="12"/>
  <c r="U16" i="12"/>
  <c r="AC16" i="12"/>
  <c r="AK16" i="12"/>
  <c r="AS16" i="12"/>
  <c r="V16" i="12"/>
  <c r="AD16" i="12"/>
  <c r="AL16" i="12"/>
  <c r="AB16" i="12"/>
  <c r="J17" i="12"/>
  <c r="X17" i="12"/>
  <c r="AN17" i="12"/>
  <c r="V17" i="12"/>
  <c r="Q17" i="12"/>
  <c r="Y17" i="12"/>
  <c r="AG17" i="12"/>
  <c r="AO17" i="12"/>
  <c r="AW17" i="12"/>
  <c r="T17" i="12"/>
  <c r="AC17" i="12"/>
  <c r="N17" i="12"/>
  <c r="AT17" i="12"/>
  <c r="R17" i="12"/>
  <c r="Z17" i="12"/>
  <c r="AH17" i="12"/>
  <c r="AP17" i="12"/>
  <c r="AX17" i="12"/>
  <c r="AB17" i="12"/>
  <c r="AR17" i="12"/>
  <c r="U17" i="12"/>
  <c r="AS17" i="12"/>
  <c r="AL17" i="12"/>
  <c r="S17" i="12"/>
  <c r="AA17" i="12"/>
  <c r="AI17" i="12"/>
  <c r="AQ17" i="12"/>
  <c r="AY17" i="12"/>
  <c r="AJ17" i="12"/>
  <c r="AK17" i="12"/>
  <c r="O17" i="12"/>
  <c r="W17" i="12"/>
  <c r="AE17" i="12"/>
  <c r="AM17" i="12"/>
  <c r="AU17" i="12"/>
  <c r="P17" i="12"/>
  <c r="AF17" i="12"/>
  <c r="AV17" i="12"/>
  <c r="AD17" i="12"/>
  <c r="J15" i="12"/>
  <c r="R15" i="12"/>
  <c r="AX15" i="12"/>
  <c r="U15" i="12"/>
  <c r="AC15" i="12"/>
  <c r="AK15" i="12"/>
  <c r="AS15" i="12"/>
  <c r="X15" i="12"/>
  <c r="AV15" i="12"/>
  <c r="Y15" i="12"/>
  <c r="AO15" i="12"/>
  <c r="AH15" i="12"/>
  <c r="N15" i="12"/>
  <c r="V15" i="12"/>
  <c r="AD15" i="12"/>
  <c r="AL15" i="12"/>
  <c r="AT15" i="12"/>
  <c r="AF15" i="12"/>
  <c r="Q15" i="12"/>
  <c r="AW15" i="12"/>
  <c r="AP15" i="12"/>
  <c r="O15" i="12"/>
  <c r="W15" i="12"/>
  <c r="AE15" i="12"/>
  <c r="AM15" i="12"/>
  <c r="AU15" i="12"/>
  <c r="AN15" i="12"/>
  <c r="P15" i="12"/>
  <c r="AG15" i="12"/>
  <c r="S15" i="12"/>
  <c r="AA15" i="12"/>
  <c r="AI15" i="12"/>
  <c r="AQ15" i="12"/>
  <c r="AY15" i="12"/>
  <c r="T15" i="12"/>
  <c r="AB15" i="12"/>
  <c r="AJ15" i="12"/>
  <c r="AR15" i="12"/>
  <c r="Z15" i="12"/>
  <c r="Z9" i="9"/>
  <c r="Z11" i="9" s="1"/>
  <c r="L11" i="9"/>
  <c r="Y10" i="9"/>
  <c r="Q10" i="9"/>
  <c r="I10" i="9"/>
  <c r="Q11" i="9"/>
  <c r="I11" i="9"/>
  <c r="L10" i="9"/>
  <c r="S11" i="9"/>
  <c r="R10" i="9"/>
  <c r="X10" i="9"/>
  <c r="P10" i="9"/>
  <c r="H10" i="9"/>
  <c r="X11" i="9"/>
  <c r="P11" i="9"/>
  <c r="H11" i="9"/>
  <c r="T10" i="9"/>
  <c r="T11" i="9"/>
  <c r="K10" i="9"/>
  <c r="K11" i="9"/>
  <c r="R11" i="9"/>
  <c r="W10" i="9"/>
  <c r="O10" i="9"/>
  <c r="G10" i="9"/>
  <c r="W11" i="9"/>
  <c r="O11" i="9"/>
  <c r="G11" i="9"/>
  <c r="J11" i="9"/>
  <c r="V10" i="9"/>
  <c r="N10" i="9"/>
  <c r="F10" i="9"/>
  <c r="V11" i="9"/>
  <c r="N11" i="9"/>
  <c r="F11" i="9"/>
  <c r="S10" i="9"/>
  <c r="J10" i="9"/>
  <c r="U10" i="9"/>
  <c r="M10" i="9"/>
  <c r="U11" i="9"/>
  <c r="M11" i="9"/>
  <c r="G41" i="4"/>
  <c r="L17" i="4"/>
  <c r="I7" i="4"/>
  <c r="C7" i="4"/>
  <c r="D7" i="4"/>
  <c r="E7" i="4"/>
  <c r="F7" i="4"/>
  <c r="T34" i="19" l="1"/>
  <c r="T36" i="19"/>
  <c r="T35" i="19"/>
  <c r="R38" i="19"/>
  <c r="R37" i="19"/>
  <c r="S38" i="19"/>
  <c r="S37" i="19"/>
  <c r="V32" i="19"/>
  <c r="U33" i="19"/>
  <c r="P18" i="18"/>
  <c r="V18" i="18" s="1"/>
  <c r="Q18" i="18"/>
  <c r="S18" i="18"/>
  <c r="R18" i="18"/>
  <c r="W18" i="18" s="1"/>
  <c r="M19" i="18"/>
  <c r="V3" i="18"/>
  <c r="V4" i="18" s="1"/>
  <c r="W3" i="18"/>
  <c r="W4" i="18" s="1"/>
  <c r="O19" i="18"/>
  <c r="N18" i="18"/>
  <c r="M18" i="18"/>
  <c r="N19" i="18"/>
  <c r="M20" i="18"/>
  <c r="M17" i="18"/>
  <c r="N17" i="18"/>
  <c r="O17" i="18"/>
  <c r="N20" i="18"/>
  <c r="O20" i="18"/>
  <c r="T5" i="15"/>
  <c r="X6" i="15" s="1"/>
  <c r="Q12" i="15"/>
  <c r="P13" i="15"/>
  <c r="T6" i="12"/>
  <c r="T7" i="12" s="1"/>
  <c r="X6" i="12" s="1"/>
  <c r="Z10" i="9"/>
  <c r="AA9" i="9"/>
  <c r="G42" i="4"/>
  <c r="G44" i="4"/>
  <c r="H41" i="4"/>
  <c r="M17" i="4"/>
  <c r="L18" i="4"/>
  <c r="S39" i="19" l="1"/>
  <c r="S40" i="19"/>
  <c r="R39" i="19"/>
  <c r="R40" i="19"/>
  <c r="U34" i="19"/>
  <c r="U36" i="19"/>
  <c r="U35" i="19"/>
  <c r="T37" i="19"/>
  <c r="T38" i="19"/>
  <c r="W32" i="19"/>
  <c r="V33" i="19"/>
  <c r="S19" i="18"/>
  <c r="R19" i="18"/>
  <c r="W19" i="18" s="1"/>
  <c r="Q19" i="18"/>
  <c r="P19" i="18"/>
  <c r="V19" i="18" s="1"/>
  <c r="V5" i="18"/>
  <c r="W5" i="18" s="1"/>
  <c r="AA3" i="18" s="1"/>
  <c r="AC4" i="18" s="1"/>
  <c r="T7" i="15"/>
  <c r="R12" i="15"/>
  <c r="Q13" i="15"/>
  <c r="AA10" i="9"/>
  <c r="AA11" i="9"/>
  <c r="H44" i="4"/>
  <c r="H42" i="4"/>
  <c r="I41" i="4"/>
  <c r="N17" i="4"/>
  <c r="M18" i="4"/>
  <c r="T39" i="19" l="1"/>
  <c r="T40" i="19"/>
  <c r="V35" i="19"/>
  <c r="V34" i="19"/>
  <c r="V36" i="19"/>
  <c r="U38" i="19"/>
  <c r="U37" i="19"/>
  <c r="X32" i="19"/>
  <c r="W33" i="19"/>
  <c r="Q20" i="18"/>
  <c r="P20" i="18"/>
  <c r="V20" i="18" s="1"/>
  <c r="S20" i="18"/>
  <c r="R20" i="18"/>
  <c r="W20" i="18" s="1"/>
  <c r="R13" i="15"/>
  <c r="S12" i="15"/>
  <c r="J41" i="4"/>
  <c r="I42" i="4"/>
  <c r="I44" i="4"/>
  <c r="O17" i="4"/>
  <c r="N18" i="4"/>
  <c r="U40" i="19" l="1"/>
  <c r="U39" i="19"/>
  <c r="W36" i="19"/>
  <c r="W34" i="19"/>
  <c r="W35" i="19"/>
  <c r="V38" i="19"/>
  <c r="V37" i="19"/>
  <c r="Y32" i="19"/>
  <c r="X33" i="19"/>
  <c r="T12" i="15"/>
  <c r="S13" i="15"/>
  <c r="J42" i="4"/>
  <c r="K41" i="4"/>
  <c r="J44" i="4"/>
  <c r="P17" i="4"/>
  <c r="O18" i="4"/>
  <c r="V39" i="19" l="1"/>
  <c r="V40" i="19"/>
  <c r="X36" i="19"/>
  <c r="X34" i="19"/>
  <c r="X35" i="19"/>
  <c r="W37" i="19"/>
  <c r="W38" i="19"/>
  <c r="Y33" i="19"/>
  <c r="Z32" i="19"/>
  <c r="U12" i="15"/>
  <c r="T13" i="15"/>
  <c r="K42" i="4"/>
  <c r="L41" i="4"/>
  <c r="K44" i="4"/>
  <c r="Q17" i="4"/>
  <c r="P18" i="4"/>
  <c r="W39" i="19" l="1"/>
  <c r="W40" i="19"/>
  <c r="X37" i="19"/>
  <c r="X38" i="19"/>
  <c r="Y35" i="19"/>
  <c r="Y34" i="19"/>
  <c r="Y36" i="19"/>
  <c r="AA32" i="19"/>
  <c r="Z33" i="19"/>
  <c r="U13" i="15"/>
  <c r="V12" i="15"/>
  <c r="L42" i="4"/>
  <c r="L44" i="4"/>
  <c r="M41" i="4"/>
  <c r="R17" i="4"/>
  <c r="Q18" i="4"/>
  <c r="X39" i="19" l="1"/>
  <c r="X40" i="19"/>
  <c r="Z35" i="19"/>
  <c r="Z36" i="19"/>
  <c r="Z34" i="19"/>
  <c r="Y38" i="19"/>
  <c r="Y37" i="19"/>
  <c r="AA33" i="19"/>
  <c r="AB32" i="19"/>
  <c r="V13" i="15"/>
  <c r="W12" i="15"/>
  <c r="M42" i="4"/>
  <c r="M44" i="4"/>
  <c r="N41" i="4"/>
  <c r="S17" i="4"/>
  <c r="R18" i="4"/>
  <c r="Y39" i="19" l="1"/>
  <c r="Y40" i="19"/>
  <c r="AA34" i="19"/>
  <c r="AA36" i="19"/>
  <c r="AA35" i="19"/>
  <c r="Z37" i="19"/>
  <c r="Z38" i="19"/>
  <c r="AB33" i="19"/>
  <c r="AC32" i="19"/>
  <c r="X12" i="15"/>
  <c r="W13" i="15"/>
  <c r="O41" i="4"/>
  <c r="N42" i="4"/>
  <c r="N44" i="4"/>
  <c r="T17" i="4"/>
  <c r="S18" i="4"/>
  <c r="Z39" i="19" l="1"/>
  <c r="Z40" i="19"/>
  <c r="AB34" i="19"/>
  <c r="AB36" i="19"/>
  <c r="AB35" i="19"/>
  <c r="AA37" i="19"/>
  <c r="AA38" i="19"/>
  <c r="AD32" i="19"/>
  <c r="AC33" i="19"/>
  <c r="Y12" i="15"/>
  <c r="X13" i="15"/>
  <c r="P41" i="4"/>
  <c r="O44" i="4"/>
  <c r="O42" i="4"/>
  <c r="U17" i="4"/>
  <c r="T18" i="4"/>
  <c r="AA39" i="19" l="1"/>
  <c r="AA40" i="19"/>
  <c r="AC35" i="19"/>
  <c r="AC34" i="19"/>
  <c r="AC36" i="19"/>
  <c r="AB37" i="19"/>
  <c r="AB38" i="19"/>
  <c r="AD33" i="19"/>
  <c r="AE32" i="19"/>
  <c r="Z12" i="15"/>
  <c r="Y13" i="15"/>
  <c r="P44" i="4"/>
  <c r="Q41" i="4"/>
  <c r="P42" i="4"/>
  <c r="V17" i="4"/>
  <c r="U18" i="4"/>
  <c r="AB39" i="19" l="1"/>
  <c r="AB40" i="19"/>
  <c r="AD35" i="19"/>
  <c r="AD34" i="19"/>
  <c r="AD36" i="19"/>
  <c r="AC38" i="19"/>
  <c r="AC37" i="19"/>
  <c r="AE33" i="19"/>
  <c r="AF32" i="19"/>
  <c r="AA12" i="15"/>
  <c r="Z13" i="15"/>
  <c r="R41" i="4"/>
  <c r="Q44" i="4"/>
  <c r="Q42" i="4"/>
  <c r="W17" i="4"/>
  <c r="V18" i="4"/>
  <c r="AC39" i="19" l="1"/>
  <c r="AC40" i="19"/>
  <c r="AE36" i="19"/>
  <c r="AE34" i="19"/>
  <c r="AE35" i="19"/>
  <c r="AD38" i="19"/>
  <c r="AD37" i="19"/>
  <c r="AG32" i="19"/>
  <c r="AF33" i="19"/>
  <c r="AB12" i="15"/>
  <c r="AA13" i="15"/>
  <c r="R42" i="4"/>
  <c r="R44" i="4"/>
  <c r="S41" i="4"/>
  <c r="X17" i="4"/>
  <c r="W18" i="4"/>
  <c r="AD39" i="19" l="1"/>
  <c r="AD40" i="19"/>
  <c r="AF36" i="19"/>
  <c r="AF34" i="19"/>
  <c r="AF35" i="19"/>
  <c r="AE37" i="19"/>
  <c r="AE38" i="19"/>
  <c r="AG33" i="19"/>
  <c r="AH32" i="19"/>
  <c r="AC12" i="15"/>
  <c r="AB13" i="15"/>
  <c r="S44" i="4"/>
  <c r="S42" i="4"/>
  <c r="T41" i="4"/>
  <c r="Y17" i="4"/>
  <c r="X18" i="4"/>
  <c r="AE39" i="19" l="1"/>
  <c r="AE40" i="19"/>
  <c r="AG35" i="19"/>
  <c r="AG36" i="19"/>
  <c r="AG34" i="19"/>
  <c r="AF37" i="19"/>
  <c r="AF38" i="19"/>
  <c r="AI32" i="19"/>
  <c r="AI33" i="19" s="1"/>
  <c r="AH33" i="19"/>
  <c r="AC13" i="15"/>
  <c r="AD12" i="15"/>
  <c r="T44" i="4"/>
  <c r="U41" i="4"/>
  <c r="T42" i="4"/>
  <c r="Z17" i="4"/>
  <c r="Y18" i="4"/>
  <c r="AF39" i="19" l="1"/>
  <c r="AF40" i="19"/>
  <c r="AH35" i="19"/>
  <c r="AH36" i="19"/>
  <c r="AH34" i="19"/>
  <c r="AG38" i="19"/>
  <c r="AG37" i="19"/>
  <c r="AI34" i="19"/>
  <c r="AI35" i="19"/>
  <c r="AI36" i="19"/>
  <c r="AD13" i="15"/>
  <c r="AE12" i="15"/>
  <c r="U42" i="4"/>
  <c r="U44" i="4"/>
  <c r="V41" i="4"/>
  <c r="AA17" i="4"/>
  <c r="Z18" i="4"/>
  <c r="AG39" i="19" l="1"/>
  <c r="AG40" i="19"/>
  <c r="AI37" i="19"/>
  <c r="AI38" i="19"/>
  <c r="AH38" i="19"/>
  <c r="AH37" i="19"/>
  <c r="AF12" i="15"/>
  <c r="AE13" i="15"/>
  <c r="V44" i="4"/>
  <c r="W41" i="4"/>
  <c r="V42" i="4"/>
  <c r="AB17" i="4"/>
  <c r="AA18" i="4"/>
  <c r="AH39" i="19" l="1"/>
  <c r="AH40" i="19"/>
  <c r="AI39" i="19"/>
  <c r="AI40" i="19"/>
  <c r="AG12" i="15"/>
  <c r="AF13" i="15"/>
  <c r="W42" i="4"/>
  <c r="W44" i="4"/>
  <c r="X41" i="4"/>
  <c r="AC17" i="4"/>
  <c r="AB18" i="4"/>
  <c r="AH12" i="15" l="1"/>
  <c r="AG13" i="15"/>
  <c r="X44" i="4"/>
  <c r="X42" i="4"/>
  <c r="Y41" i="4"/>
  <c r="AD17" i="4"/>
  <c r="AC18" i="4"/>
  <c r="AH13" i="15" l="1"/>
  <c r="AI12" i="15"/>
  <c r="Y44" i="4"/>
  <c r="Y42" i="4"/>
  <c r="AE17" i="4"/>
  <c r="AD18" i="4"/>
  <c r="AJ12" i="15" l="1"/>
  <c r="AI13" i="15"/>
  <c r="AF17" i="4"/>
  <c r="AE18" i="4"/>
  <c r="AK12" i="15" l="1"/>
  <c r="AJ13" i="15"/>
  <c r="AG17" i="4"/>
  <c r="AF18" i="4"/>
  <c r="AK13" i="15" l="1"/>
  <c r="AL12" i="15"/>
  <c r="AH17" i="4"/>
  <c r="AG18" i="4"/>
  <c r="AM12" i="15" l="1"/>
  <c r="AL13" i="15"/>
  <c r="AI17" i="4"/>
  <c r="AH18" i="4"/>
  <c r="AN12" i="15" l="1"/>
  <c r="AM13" i="15"/>
  <c r="AJ17" i="4"/>
  <c r="AI18" i="4"/>
  <c r="AO12" i="15" l="1"/>
  <c r="AN13" i="15"/>
  <c r="AK17" i="4"/>
  <c r="AJ18" i="4"/>
  <c r="AP12" i="15" l="1"/>
  <c r="AO13" i="15"/>
  <c r="AL17" i="4"/>
  <c r="AK18" i="4"/>
  <c r="AQ12" i="15" l="1"/>
  <c r="AP13" i="15"/>
  <c r="AM17" i="4"/>
  <c r="AL18" i="4"/>
  <c r="AR12" i="15" l="1"/>
  <c r="AQ13" i="15"/>
  <c r="AN17" i="4"/>
  <c r="AM18" i="4"/>
  <c r="AS12" i="15" l="1"/>
  <c r="AR13" i="15"/>
  <c r="AO17" i="4"/>
  <c r="AO18" i="4" s="1"/>
  <c r="AN18" i="4"/>
  <c r="K11" i="14"/>
  <c r="AS13" i="15" l="1"/>
  <c r="AT12" i="15"/>
  <c r="AT13" i="15" l="1"/>
  <c r="AU12" i="15"/>
  <c r="AV12" i="15" l="1"/>
  <c r="AU13" i="15"/>
  <c r="AW12" i="15" l="1"/>
  <c r="AV13" i="15"/>
  <c r="AW13" i="15" l="1"/>
  <c r="AX12" i="15"/>
  <c r="AY12" i="15" l="1"/>
  <c r="AY13" i="15" s="1"/>
  <c r="AX13" i="1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Landwirtschaft</author>
  </authors>
  <commentList>
    <comment ref="I13" authorId="0" shapeId="0" xr:uid="{C52A2570-9323-444D-93C5-26B4C6F49E76}">
      <text>
        <r>
          <rPr>
            <sz val="9"/>
            <color indexed="81"/>
            <rFont val="Segoe UI"/>
            <family val="2"/>
          </rPr>
          <t xml:space="preserve">Lösung der Quadratischen-Gleichung mit Mitternachtsformel
</t>
        </r>
      </text>
    </comment>
  </commentList>
</comments>
</file>

<file path=xl/sharedStrings.xml><?xml version="1.0" encoding="utf-8"?>
<sst xmlns="http://schemas.openxmlformats.org/spreadsheetml/2006/main" count="445" uniqueCount="317">
  <si>
    <t>x:</t>
  </si>
  <si>
    <t>Increment:</t>
  </si>
  <si>
    <t>Zeit t [s]</t>
  </si>
  <si>
    <t>Durchschnitt:</t>
  </si>
  <si>
    <t>Weg s [m] gemessen</t>
  </si>
  <si>
    <t>Weg-Zeit Diagramm</t>
  </si>
  <si>
    <t>Geschwindigkeit v = s/t [m/s]</t>
  </si>
  <si>
    <t>Weg s = v*t [m] gerechnet</t>
  </si>
  <si>
    <t>Step:</t>
  </si>
  <si>
    <t>Lineare Funktion y= f(x)</t>
  </si>
  <si>
    <t>Steigung:</t>
  </si>
  <si>
    <t>y-Achsenabschnitt (Bias):</t>
  </si>
  <si>
    <r>
      <t xml:space="preserve">y = </t>
    </r>
    <r>
      <rPr>
        <sz val="20"/>
        <color rgb="FFFF0000"/>
        <rFont val="Calibri"/>
        <family val="2"/>
        <scheme val="minor"/>
      </rPr>
      <t>a</t>
    </r>
    <r>
      <rPr>
        <sz val="20"/>
        <color theme="1"/>
        <rFont val="Calibri"/>
        <family val="2"/>
        <scheme val="minor"/>
      </rPr>
      <t xml:space="preserve"> * x + </t>
    </r>
    <r>
      <rPr>
        <sz val="20"/>
        <color rgb="FFFFC000"/>
        <rFont val="Calibri"/>
        <family val="2"/>
        <scheme val="minor"/>
      </rPr>
      <t>b</t>
    </r>
  </si>
  <si>
    <t xml:space="preserve">a = </t>
  </si>
  <si>
    <t xml:space="preserve">b = </t>
  </si>
  <si>
    <t>y = ax + b</t>
  </si>
  <si>
    <t>Step (inc):</t>
  </si>
  <si>
    <t>t [h]</t>
  </si>
  <si>
    <r>
      <t>Fz_1: s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= v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* t  </t>
    </r>
  </si>
  <si>
    <r>
      <t>v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[km/h]</t>
    </r>
  </si>
  <si>
    <r>
      <t>v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[km/h]</t>
    </r>
  </si>
  <si>
    <r>
      <t>Fz_2: s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= v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* t + s0  </t>
    </r>
  </si>
  <si>
    <t>s0 [km]</t>
  </si>
  <si>
    <t>Beschleunigte Bewegung</t>
  </si>
  <si>
    <t>t [s]</t>
  </si>
  <si>
    <r>
      <t>[m/s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]</t>
    </r>
  </si>
  <si>
    <t>Beschleunigung a:</t>
  </si>
  <si>
    <t>Anfangsgeschwindigkeit v0:</t>
  </si>
  <si>
    <t>[m/s]</t>
  </si>
  <si>
    <t>v = a * t + v0</t>
  </si>
  <si>
    <t>Vertikale Hilfslinie</t>
  </si>
  <si>
    <t>Vertikale</t>
  </si>
  <si>
    <t>Senkrechte</t>
  </si>
  <si>
    <t>Senkrechte_2</t>
  </si>
  <si>
    <t>Vertikale_2</t>
  </si>
  <si>
    <t>t:</t>
  </si>
  <si>
    <r>
      <t>Beschleunigte Bewegung</t>
    </r>
    <r>
      <rPr>
        <u/>
        <sz val="16"/>
        <color theme="1"/>
        <rFont val="Calibri"/>
        <family val="2"/>
        <scheme val="minor"/>
      </rPr>
      <t xml:space="preserve"> (Kinematik II a&gt;0 und a ist konstant)</t>
    </r>
  </si>
  <si>
    <t>Geschwindigkeit</t>
  </si>
  <si>
    <t>Strecke</t>
  </si>
  <si>
    <t>Zeit</t>
  </si>
  <si>
    <t>Beschleunigung</t>
  </si>
  <si>
    <t>v [m/s]</t>
  </si>
  <si>
    <t>s [m]</t>
  </si>
  <si>
    <t>Fall</t>
  </si>
  <si>
    <t>A</t>
  </si>
  <si>
    <t>B</t>
  </si>
  <si>
    <t>C</t>
  </si>
  <si>
    <t>D</t>
  </si>
  <si>
    <t>E</t>
  </si>
  <si>
    <t>G</t>
  </si>
  <si>
    <t>F</t>
  </si>
  <si>
    <t>H</t>
  </si>
  <si>
    <t>I</t>
  </si>
  <si>
    <t>J</t>
  </si>
  <si>
    <t>Zelle formatieren</t>
  </si>
  <si>
    <t>Ctrl-1</t>
  </si>
  <si>
    <r>
      <t>s = a/2 * t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v0*t</t>
    </r>
  </si>
  <si>
    <t>v0 = v - at</t>
  </si>
  <si>
    <t>a = (v - v0)/t</t>
  </si>
  <si>
    <t>t = (v - v0)/a</t>
  </si>
  <si>
    <r>
      <t>v = at + v</t>
    </r>
    <r>
      <rPr>
        <b/>
        <vertAlign val="subscript"/>
        <sz val="14"/>
        <color rgb="FFFFC000"/>
        <rFont val="Calibri"/>
        <family val="2"/>
        <scheme val="minor"/>
      </rPr>
      <t>0</t>
    </r>
  </si>
  <si>
    <r>
      <t>a = 2((s - v0*t)/t</t>
    </r>
    <r>
      <rPr>
        <vertAlign val="superscript"/>
        <sz val="11"/>
        <color rgb="FFC00000"/>
        <rFont val="Calibri"/>
        <family val="2"/>
        <scheme val="minor"/>
      </rPr>
      <t>2</t>
    </r>
    <r>
      <rPr>
        <sz val="11"/>
        <color rgb="FFC00000"/>
        <rFont val="Calibri"/>
        <family val="2"/>
        <scheme val="minor"/>
      </rPr>
      <t>)</t>
    </r>
  </si>
  <si>
    <r>
      <t>t = (-v0 + sqrt(v0</t>
    </r>
    <r>
      <rPr>
        <vertAlign val="superscript"/>
        <sz val="11"/>
        <color rgb="FFC00000"/>
        <rFont val="Calibri"/>
        <family val="2"/>
        <scheme val="minor"/>
      </rPr>
      <t>2</t>
    </r>
    <r>
      <rPr>
        <sz val="11"/>
        <color rgb="FFC00000"/>
        <rFont val="Calibri"/>
        <family val="2"/>
        <scheme val="minor"/>
      </rPr>
      <t xml:space="preserve"> + 2as))/a</t>
    </r>
  </si>
  <si>
    <r>
      <t>s = (a/2)t</t>
    </r>
    <r>
      <rPr>
        <b/>
        <vertAlign val="superscript"/>
        <sz val="11"/>
        <color theme="5" tint="-0.249977111117893"/>
        <rFont val="Calibri"/>
        <family val="2"/>
        <scheme val="minor"/>
      </rPr>
      <t>2</t>
    </r>
    <r>
      <rPr>
        <b/>
        <sz val="11"/>
        <color theme="5" tint="-0.249977111117893"/>
        <rFont val="Calibri"/>
        <family val="2"/>
        <scheme val="minor"/>
      </rPr>
      <t xml:space="preserve"> + v</t>
    </r>
    <r>
      <rPr>
        <b/>
        <vertAlign val="subscript"/>
        <sz val="11"/>
        <color theme="5" tint="-0.249977111117893"/>
        <rFont val="Calibri"/>
        <family val="2"/>
        <scheme val="minor"/>
      </rPr>
      <t>0</t>
    </r>
    <r>
      <rPr>
        <b/>
        <sz val="11"/>
        <color theme="5" tint="-0.249977111117893"/>
        <rFont val="Calibri"/>
        <family val="2"/>
        <scheme val="minor"/>
      </rPr>
      <t>t</t>
    </r>
    <r>
      <rPr>
        <b/>
        <sz val="14"/>
        <color theme="5" tint="-0.249977111117893"/>
        <rFont val="Calibri"/>
        <family val="2"/>
        <scheme val="minor"/>
      </rPr>
      <t xml:space="preserve"> 
s = (v0+v)*t/2</t>
    </r>
  </si>
  <si>
    <r>
      <t>v0 = (s - (a/2)t</t>
    </r>
    <r>
      <rPr>
        <vertAlign val="superscript"/>
        <sz val="11"/>
        <color theme="5" tint="-0.249977111117893"/>
        <rFont val="Calibri"/>
        <family val="2"/>
        <scheme val="minor"/>
      </rPr>
      <t>2</t>
    </r>
    <r>
      <rPr>
        <sz val="11"/>
        <color theme="5" tint="-0.249977111117893"/>
        <rFont val="Calibri"/>
        <family val="2"/>
        <scheme val="minor"/>
      </rPr>
      <t>)/t
v0 = (2s/t) - v</t>
    </r>
  </si>
  <si>
    <r>
      <t>a [m/s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]</t>
    </r>
  </si>
  <si>
    <r>
      <t>y</t>
    </r>
    <r>
      <rPr>
        <vertAlign val="subscript"/>
        <sz val="11"/>
        <color theme="1"/>
        <rFont val="Calibri"/>
        <family val="2"/>
        <scheme val="minor"/>
      </rPr>
      <t>Resultierend</t>
    </r>
    <r>
      <rPr>
        <sz val="11"/>
        <color theme="1"/>
        <rFont val="Calibri"/>
        <family val="2"/>
        <scheme val="minor"/>
      </rPr>
      <t xml:space="preserve"> = y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+ y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+ y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y</t>
    </r>
    <r>
      <rPr>
        <vertAlign val="subscript"/>
        <sz val="11"/>
        <color theme="1"/>
        <rFont val="Calibri"/>
        <family val="2"/>
        <scheme val="minor"/>
      </rPr>
      <t xml:space="preserve">3 </t>
    </r>
    <r>
      <rPr>
        <sz val="11"/>
        <color theme="1"/>
        <rFont val="Calibri"/>
        <family val="2"/>
        <scheme val="minor"/>
      </rPr>
      <t xml:space="preserve">= </t>
    </r>
  </si>
  <si>
    <t>y = a * sin(b*x + c)</t>
  </si>
  <si>
    <t>Fourierreihe</t>
  </si>
  <si>
    <t xml:space="preserve">phi [rad] = </t>
  </si>
  <si>
    <t xml:space="preserve">phi [°] = </t>
  </si>
  <si>
    <t>Show</t>
  </si>
  <si>
    <t>Ja</t>
  </si>
  <si>
    <t>Nein</t>
  </si>
  <si>
    <t>a
Amplitude</t>
  </si>
  <si>
    <t>b
Frequenz</t>
  </si>
  <si>
    <t>Hilfslinie:</t>
  </si>
  <si>
    <t>c
Phasenlage [rad]</t>
  </si>
  <si>
    <t>c
Phasenlage
[°]</t>
  </si>
  <si>
    <t xml:space="preserve">Min = </t>
  </si>
  <si>
    <t xml:space="preserve">Max = </t>
  </si>
  <si>
    <t xml:space="preserve">Amplitude = </t>
  </si>
  <si>
    <t>v=s/t + at/2</t>
  </si>
  <si>
    <r>
      <t>s = vt - at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/2</t>
    </r>
  </si>
  <si>
    <r>
      <t>t = (v - sqrt(v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- 2as))/a</t>
    </r>
  </si>
  <si>
    <t>a = 2/t * (v - s/t)</t>
  </si>
  <si>
    <r>
      <t>v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= sqrt(v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- 2as)</t>
    </r>
  </si>
  <si>
    <r>
      <t>v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= 2s/t - v</t>
    </r>
  </si>
  <si>
    <r>
      <t>v = sqrt(v</t>
    </r>
    <r>
      <rPr>
        <vertAlign val="subscript"/>
        <sz val="11"/>
        <color theme="1"/>
        <rFont val="Calibri"/>
        <family val="2"/>
        <scheme val="minor"/>
      </rPr>
      <t>0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+ 2as)</t>
    </r>
  </si>
  <si>
    <r>
      <t>v = 2s/t - v</t>
    </r>
    <r>
      <rPr>
        <vertAlign val="subscript"/>
        <sz val="11"/>
        <color theme="1"/>
        <rFont val="Calibri"/>
        <family val="2"/>
        <scheme val="minor"/>
      </rPr>
      <t>0</t>
    </r>
  </si>
  <si>
    <r>
      <t>s = (v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-v</t>
    </r>
    <r>
      <rPr>
        <vertAlign val="subscript"/>
        <sz val="11"/>
        <color theme="1"/>
        <rFont val="Calibri"/>
        <family val="2"/>
        <scheme val="minor"/>
      </rPr>
      <t>0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)/2a</t>
    </r>
  </si>
  <si>
    <r>
      <t>s = (v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+ v)t/2</t>
    </r>
  </si>
  <si>
    <r>
      <t>t = 2s/(v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+ v)</t>
    </r>
  </si>
  <si>
    <r>
      <t>a = (v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- v</t>
    </r>
    <r>
      <rPr>
        <vertAlign val="subscript"/>
        <sz val="11"/>
        <color theme="1"/>
        <rFont val="Calibri"/>
        <family val="2"/>
        <scheme val="minor"/>
      </rPr>
      <t>0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)/2s</t>
    </r>
  </si>
  <si>
    <t>Anfangs-Geschwindigkeit</t>
  </si>
  <si>
    <r>
      <t>v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[m/s]</t>
    </r>
  </si>
  <si>
    <t>Winkelbeschleunigung</t>
  </si>
  <si>
    <t>Anfangs-Winkelgeschwindigkeit</t>
  </si>
  <si>
    <t>Winkelgeschwindigkeit</t>
  </si>
  <si>
    <t>Winkel</t>
  </si>
  <si>
    <t>φ [rad]</t>
  </si>
  <si>
    <r>
      <t>α [rad/s</t>
    </r>
    <r>
      <rPr>
        <vertAlign val="superscript"/>
        <sz val="11"/>
        <color theme="1"/>
        <rFont val="Aptos Narrow"/>
        <family val="2"/>
      </rPr>
      <t>2</t>
    </r>
    <r>
      <rPr>
        <sz val="11"/>
        <color theme="1"/>
        <rFont val="Aptos Narrow"/>
        <family val="2"/>
      </rPr>
      <t>]</t>
    </r>
  </si>
  <si>
    <t>ω [rad/s]</t>
  </si>
  <si>
    <r>
      <t>ω</t>
    </r>
    <r>
      <rPr>
        <vertAlign val="subscript"/>
        <sz val="11"/>
        <color theme="1"/>
        <rFont val="Aptos Narrow"/>
        <family val="2"/>
      </rPr>
      <t>0</t>
    </r>
    <r>
      <rPr>
        <sz val="11"/>
        <color theme="1"/>
        <rFont val="Aptos Narrow"/>
        <family val="2"/>
      </rPr>
      <t xml:space="preserve"> [rad/s]</t>
    </r>
  </si>
  <si>
    <t>gegeben</t>
  </si>
  <si>
    <t>--</t>
  </si>
  <si>
    <t>Inhaltsverzeichnis</t>
  </si>
  <si>
    <t>Kinematik 1</t>
  </si>
  <si>
    <t>Kinematik_2</t>
  </si>
  <si>
    <t>Kinematik 2 Berechnungen</t>
  </si>
  <si>
    <t>Fouirierreihe</t>
  </si>
  <si>
    <t>Flächenberechnungen</t>
  </si>
  <si>
    <t>Quadrat</t>
  </si>
  <si>
    <t>Rechteck</t>
  </si>
  <si>
    <t>s (Seite) [m]</t>
  </si>
  <si>
    <t>d (Diagonale) [m]</t>
  </si>
  <si>
    <r>
      <t>A (Fläche) [m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]</t>
    </r>
  </si>
  <si>
    <t>U (Umfang) [m]</t>
  </si>
  <si>
    <t>l (Länge) [m]</t>
  </si>
  <si>
    <t>b (Breite) [m]</t>
  </si>
  <si>
    <t>Kreis</t>
  </si>
  <si>
    <t>r (Radius)</t>
  </si>
  <si>
    <r>
      <rPr>
        <sz val="11"/>
        <color theme="1"/>
        <rFont val="Aptos Narrow"/>
        <family val="2"/>
      </rPr>
      <t>α</t>
    </r>
    <r>
      <rPr>
        <sz val="9.35"/>
        <color theme="1"/>
        <rFont val="Calibri"/>
        <family val="2"/>
      </rPr>
      <t xml:space="preserve"> (Zentriwinkel) [°]</t>
    </r>
  </si>
  <si>
    <t>d (Durchmesser)</t>
  </si>
  <si>
    <t>b (Bogenlänge Sektor)</t>
  </si>
  <si>
    <r>
      <t>A</t>
    </r>
    <r>
      <rPr>
        <vertAlign val="subscript"/>
        <sz val="11"/>
        <color theme="1"/>
        <rFont val="Calibri"/>
        <family val="2"/>
        <scheme val="minor"/>
      </rPr>
      <t>kreis</t>
    </r>
  </si>
  <si>
    <r>
      <t>U</t>
    </r>
    <r>
      <rPr>
        <vertAlign val="subscript"/>
        <sz val="11"/>
        <color theme="1"/>
        <rFont val="Calibri"/>
        <family val="2"/>
        <scheme val="minor"/>
      </rPr>
      <t>kreis</t>
    </r>
  </si>
  <si>
    <r>
      <t>A</t>
    </r>
    <r>
      <rPr>
        <vertAlign val="subscript"/>
        <sz val="11"/>
        <color theme="1"/>
        <rFont val="Calibri"/>
        <family val="2"/>
        <scheme val="minor"/>
      </rPr>
      <t>sektor</t>
    </r>
  </si>
  <si>
    <t>Schein- / Blind-Leistung</t>
  </si>
  <si>
    <t>Scheinleistung</t>
  </si>
  <si>
    <t xml:space="preserve">Leistung P = U *I = </t>
  </si>
  <si>
    <t>Rechtwinkliges Dreieck</t>
  </si>
  <si>
    <t>c (Hypothenuse)</t>
  </si>
  <si>
    <r>
      <rPr>
        <sz val="11"/>
        <color theme="1"/>
        <rFont val="Aptos Narrow"/>
        <family val="2"/>
      </rPr>
      <t>α</t>
    </r>
    <r>
      <rPr>
        <sz val="9.35"/>
        <color theme="1"/>
        <rFont val="Calibri"/>
        <family val="2"/>
      </rPr>
      <t xml:space="preserve"> [°]</t>
    </r>
  </si>
  <si>
    <r>
      <rPr>
        <sz val="9.35"/>
        <color theme="1"/>
        <rFont val="Aptos Narrow"/>
        <family val="2"/>
      </rPr>
      <t>β</t>
    </r>
    <r>
      <rPr>
        <sz val="9.35"/>
        <color theme="1"/>
        <rFont val="Calibri"/>
        <family val="2"/>
      </rPr>
      <t xml:space="preserve"> [°]</t>
    </r>
  </si>
  <si>
    <r>
      <t xml:space="preserve">b (Ankathete zu </t>
    </r>
    <r>
      <rPr>
        <sz val="11"/>
        <color theme="1"/>
        <rFont val="Aptos Narrow"/>
        <family val="2"/>
      </rPr>
      <t>α)</t>
    </r>
  </si>
  <si>
    <r>
      <t xml:space="preserve">a (Gegenkathete zu </t>
    </r>
    <r>
      <rPr>
        <sz val="11"/>
        <color theme="1"/>
        <rFont val="Aptos Narrow"/>
        <family val="2"/>
      </rPr>
      <t>α)</t>
    </r>
  </si>
  <si>
    <t>A (Fläche)</t>
  </si>
  <si>
    <t>Einheiten umrechnen</t>
  </si>
  <si>
    <t>Temperatur</t>
  </si>
  <si>
    <t>Frau</t>
  </si>
  <si>
    <t>Brigitte</t>
  </si>
  <si>
    <t>Herr</t>
  </si>
  <si>
    <t>Hans</t>
  </si>
  <si>
    <t>Bruhin</t>
  </si>
  <si>
    <t>02.01.1987</t>
  </si>
  <si>
    <t>Dominik</t>
  </si>
  <si>
    <t>Hüppin</t>
  </si>
  <si>
    <t>Werner</t>
  </si>
  <si>
    <t>Nadja</t>
  </si>
  <si>
    <t>02.01.1992</t>
  </si>
  <si>
    <t>Christian</t>
  </si>
  <si>
    <t>06.01.1988</t>
  </si>
  <si>
    <t>Daniel</t>
  </si>
  <si>
    <t>Schnellmann</t>
  </si>
  <si>
    <t>07.01.1976</t>
  </si>
  <si>
    <t>Yvonne</t>
  </si>
  <si>
    <t>09.01.1965</t>
  </si>
  <si>
    <t>Rita</t>
  </si>
  <si>
    <t>Maria</t>
  </si>
  <si>
    <t>09.01.1958</t>
  </si>
  <si>
    <t>Xaver</t>
  </si>
  <si>
    <t>10.01.1997</t>
  </si>
  <si>
    <t>Beda</t>
  </si>
  <si>
    <t>Meinrad</t>
  </si>
  <si>
    <t>Hansjörg</t>
  </si>
  <si>
    <t>11.01.1964</t>
  </si>
  <si>
    <t>Marlise</t>
  </si>
  <si>
    <t>Theres</t>
  </si>
  <si>
    <t>11.01.1983</t>
  </si>
  <si>
    <t>Roman</t>
  </si>
  <si>
    <t>Brigitta</t>
  </si>
  <si>
    <t>Markus</t>
  </si>
  <si>
    <t>Josef</t>
  </si>
  <si>
    <t>Farit</t>
  </si>
  <si>
    <t>14.01.1960</t>
  </si>
  <si>
    <t>Armin</t>
  </si>
  <si>
    <t>Marlen</t>
  </si>
  <si>
    <t>15.01.1980</t>
  </si>
  <si>
    <t>Martin</t>
  </si>
  <si>
    <t>Vogt</t>
  </si>
  <si>
    <t>Ueli</t>
  </si>
  <si>
    <t>Edith</t>
  </si>
  <si>
    <t>Loris</t>
  </si>
  <si>
    <t>Brändle-Schnellmann</t>
  </si>
  <si>
    <t>Heiz-Schnellmann</t>
  </si>
  <si>
    <t>Diethelm-Schnellmann</t>
  </si>
  <si>
    <t>Mächler-Badat</t>
  </si>
  <si>
    <t>Bruhin-Niedermeier</t>
  </si>
  <si>
    <t>Hungerbühler-Vogt</t>
  </si>
  <si>
    <t>Schnellmann-Schuster</t>
  </si>
  <si>
    <t>Bruhin-Schnellmann</t>
  </si>
  <si>
    <t>Bruhin-Wichert</t>
  </si>
  <si>
    <t>Müller</t>
  </si>
  <si>
    <t>Horvath-Vogt</t>
  </si>
  <si>
    <t>Schättin</t>
  </si>
  <si>
    <t>Hüppin-Gyr</t>
  </si>
  <si>
    <t>Widrig-Vogt</t>
  </si>
  <si>
    <t>Geburtstagsliste</t>
  </si>
  <si>
    <t>Geburtsdatum</t>
  </si>
  <si>
    <t>Geschlecht</t>
  </si>
  <si>
    <t>Vorname</t>
  </si>
  <si>
    <t>Familienname</t>
  </si>
  <si>
    <t>Already had birthday this year</t>
  </si>
  <si>
    <t>Heute:</t>
  </si>
  <si>
    <t>Sorter</t>
  </si>
  <si>
    <t>Alter
aktuell</t>
  </si>
  <si>
    <t>Alter in 
diesem Jahr</t>
  </si>
  <si>
    <t>Nächster Geburtstag</t>
  </si>
  <si>
    <t>Vektoren</t>
  </si>
  <si>
    <t>Bezeichnung</t>
  </si>
  <si>
    <t>V1 Einheit</t>
  </si>
  <si>
    <t>V1 Wert</t>
  </si>
  <si>
    <t>V2 Wert</t>
  </si>
  <si>
    <t>V2 Einheit</t>
  </si>
  <si>
    <t>°</t>
  </si>
  <si>
    <t>rad</t>
  </si>
  <si>
    <t>Winkel-Einheiten</t>
  </si>
  <si>
    <t>F1</t>
  </si>
  <si>
    <t>Grösse</t>
  </si>
  <si>
    <t>Betrag</t>
  </si>
  <si>
    <t>Winkel [°]</t>
  </si>
  <si>
    <t>Winkel [rad]</t>
  </si>
  <si>
    <t>Realteil x</t>
  </si>
  <si>
    <t>Imaginärteil y</t>
  </si>
  <si>
    <t>Eingabeformat</t>
  </si>
  <si>
    <t>Kartesisch</t>
  </si>
  <si>
    <t>Polar [rad]</t>
  </si>
  <si>
    <t>Polar [°]</t>
  </si>
  <si>
    <t>Unbekannt</t>
  </si>
  <si>
    <t>Eingabe</t>
  </si>
  <si>
    <t>Zwischenresultat</t>
  </si>
  <si>
    <t>Polar</t>
  </si>
  <si>
    <t>F2</t>
  </si>
  <si>
    <t>F3</t>
  </si>
  <si>
    <t>F4</t>
  </si>
  <si>
    <t>F5</t>
  </si>
  <si>
    <t>F6</t>
  </si>
  <si>
    <t>F7</t>
  </si>
  <si>
    <t>x1</t>
  </si>
  <si>
    <t>x2</t>
  </si>
  <si>
    <t>y1</t>
  </si>
  <si>
    <t>y2</t>
  </si>
  <si>
    <t>Graph</t>
  </si>
  <si>
    <t>Skala</t>
  </si>
  <si>
    <t>Min/Max</t>
  </si>
  <si>
    <t>x-Achse</t>
  </si>
  <si>
    <t>y-Achse</t>
  </si>
  <si>
    <t>Operation</t>
  </si>
  <si>
    <t>+</t>
  </si>
  <si>
    <t>-</t>
  </si>
  <si>
    <t>*</t>
  </si>
  <si>
    <t>Schiefe Ebene</t>
  </si>
  <si>
    <r>
      <t>F</t>
    </r>
    <r>
      <rPr>
        <vertAlign val="subscript"/>
        <sz val="11"/>
        <color theme="1"/>
        <rFont val="Calibri"/>
        <family val="2"/>
        <scheme val="minor"/>
      </rPr>
      <t>G</t>
    </r>
    <r>
      <rPr>
        <sz val="11"/>
        <color theme="1"/>
        <rFont val="Calibri"/>
        <family val="2"/>
        <scheme val="minor"/>
      </rPr>
      <t xml:space="preserve"> = </t>
    </r>
  </si>
  <si>
    <t>Hangabtriebskraft:</t>
  </si>
  <si>
    <t>Normalkraft:</t>
  </si>
  <si>
    <r>
      <t>F</t>
    </r>
    <r>
      <rPr>
        <vertAlign val="subscript"/>
        <sz val="11"/>
        <color theme="1"/>
        <rFont val="Calibri"/>
        <family val="2"/>
        <scheme val="minor"/>
      </rPr>
      <t>H</t>
    </r>
    <r>
      <rPr>
        <sz val="11"/>
        <color theme="1"/>
        <rFont val="Calibri"/>
        <family val="2"/>
        <scheme val="minor"/>
      </rPr>
      <t xml:space="preserve"> = </t>
    </r>
  </si>
  <si>
    <r>
      <t>F</t>
    </r>
    <r>
      <rPr>
        <vertAlign val="subscript"/>
        <sz val="11"/>
        <color theme="1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 xml:space="preserve"> = </t>
    </r>
  </si>
  <si>
    <t>Masse:</t>
  </si>
  <si>
    <t xml:space="preserve">m = </t>
  </si>
  <si>
    <t>Erdbeschleunigung:</t>
  </si>
  <si>
    <t>kg</t>
  </si>
  <si>
    <r>
      <t>m/s</t>
    </r>
    <r>
      <rPr>
        <vertAlign val="superscript"/>
        <sz val="11"/>
        <color theme="1"/>
        <rFont val="Calibri"/>
        <family val="2"/>
        <scheme val="minor"/>
      </rPr>
      <t>2</t>
    </r>
  </si>
  <si>
    <t>m*g =</t>
  </si>
  <si>
    <r>
      <t>F</t>
    </r>
    <r>
      <rPr>
        <vertAlign val="subscript"/>
        <sz val="11"/>
        <color theme="1"/>
        <rFont val="Calibri"/>
        <family val="2"/>
        <scheme val="minor"/>
      </rPr>
      <t>G</t>
    </r>
    <r>
      <rPr>
        <sz val="11"/>
        <color theme="1"/>
        <rFont val="Calibri"/>
        <family val="2"/>
        <scheme val="minor"/>
      </rPr>
      <t xml:space="preserve"> * cos(α) = </t>
    </r>
  </si>
  <si>
    <r>
      <t>F</t>
    </r>
    <r>
      <rPr>
        <vertAlign val="subscript"/>
        <sz val="11"/>
        <color theme="1"/>
        <rFont val="Calibri"/>
        <family val="2"/>
        <scheme val="minor"/>
      </rPr>
      <t>G</t>
    </r>
    <r>
      <rPr>
        <sz val="11"/>
        <color theme="1"/>
        <rFont val="Calibri"/>
        <family val="2"/>
        <scheme val="minor"/>
      </rPr>
      <t xml:space="preserve"> * sin(α) = </t>
    </r>
  </si>
  <si>
    <t>Steigungswinkel:</t>
  </si>
  <si>
    <t xml:space="preserve">α = </t>
  </si>
  <si>
    <t>Winkelmasse</t>
  </si>
  <si>
    <t>Gewichtskraft:</t>
  </si>
  <si>
    <t>t</t>
  </si>
  <si>
    <t>Masse</t>
  </si>
  <si>
    <t>g</t>
  </si>
  <si>
    <t>mg</t>
  </si>
  <si>
    <t>Hide</t>
  </si>
  <si>
    <t>Resultierende</t>
  </si>
  <si>
    <t>Reibungs-Koeffizient:</t>
  </si>
  <si>
    <t>Haftreibung (μₕ)</t>
  </si>
  <si>
    <t>Gleitreibung (μₖ)</t>
  </si>
  <si>
    <t xml:space="preserve">Haftreibung (μₕ) = </t>
  </si>
  <si>
    <t xml:space="preserve">Gleitreibung (μₖ) = </t>
  </si>
  <si>
    <t>Materialkombination</t>
  </si>
  <si>
    <t>Gummi auf trockenem Asphalt</t>
  </si>
  <si>
    <t>0,9 – 1,0</t>
  </si>
  <si>
    <t>0,7 – 0,9</t>
  </si>
  <si>
    <t>Stahl auf Stahl (trocken)</t>
  </si>
  <si>
    <t>0,6 – 0,8</t>
  </si>
  <si>
    <t>0,4 – 0,6</t>
  </si>
  <si>
    <t>Holz auf Holz</t>
  </si>
  <si>
    <t>0,2 – 0,5</t>
  </si>
  <si>
    <t>Eis auf Eis</t>
  </si>
  <si>
    <t>~0,1</t>
  </si>
  <si>
    <t>~0,03 – 0,05</t>
  </si>
  <si>
    <t>Teflon auf Teflon</t>
  </si>
  <si>
    <t>~0,04</t>
  </si>
  <si>
    <r>
      <t>F</t>
    </r>
    <r>
      <rPr>
        <vertAlign val="subscript"/>
        <sz val="11"/>
        <color theme="1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 xml:space="preserve"> * μₕ  = </t>
    </r>
  </si>
  <si>
    <t>Haftreibungskraft:</t>
  </si>
  <si>
    <t>Resultierende Hangabtriebskraft (Haftet):</t>
  </si>
  <si>
    <r>
      <t>F</t>
    </r>
    <r>
      <rPr>
        <vertAlign val="subscript"/>
        <sz val="11"/>
        <color theme="1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 xml:space="preserve"> * μₖ  = </t>
    </r>
  </si>
  <si>
    <t>Gleitreibungskraft:</t>
  </si>
  <si>
    <r>
      <t>F</t>
    </r>
    <r>
      <rPr>
        <vertAlign val="subscript"/>
        <sz val="11"/>
        <color theme="1"/>
        <rFont val="Calibri"/>
        <family val="2"/>
        <scheme val="minor"/>
      </rPr>
      <t>RHaft</t>
    </r>
    <r>
      <rPr>
        <sz val="11"/>
        <color theme="1"/>
        <rFont val="Calibri"/>
        <family val="2"/>
        <scheme val="minor"/>
      </rPr>
      <t xml:space="preserve"> = </t>
    </r>
  </si>
  <si>
    <r>
      <t>F</t>
    </r>
    <r>
      <rPr>
        <vertAlign val="subscript"/>
        <sz val="11"/>
        <color theme="1"/>
        <rFont val="Calibri"/>
        <family val="2"/>
        <scheme val="minor"/>
      </rPr>
      <t>H</t>
    </r>
    <r>
      <rPr>
        <sz val="11"/>
        <color theme="1"/>
        <rFont val="Calibri"/>
        <family val="2"/>
        <scheme val="minor"/>
      </rPr>
      <t xml:space="preserve"> - F</t>
    </r>
    <r>
      <rPr>
        <vertAlign val="subscript"/>
        <sz val="11"/>
        <color theme="1"/>
        <rFont val="Calibri"/>
        <family val="2"/>
        <scheme val="minor"/>
      </rPr>
      <t>RHaft</t>
    </r>
    <r>
      <rPr>
        <sz val="11"/>
        <color theme="1"/>
        <rFont val="Calibri"/>
        <family val="2"/>
        <scheme val="minor"/>
      </rPr>
      <t xml:space="preserve">  = </t>
    </r>
  </si>
  <si>
    <r>
      <t>F</t>
    </r>
    <r>
      <rPr>
        <vertAlign val="subscript"/>
        <sz val="11"/>
        <color theme="1"/>
        <rFont val="Calibri"/>
        <family val="2"/>
        <scheme val="minor"/>
      </rPr>
      <t>RGleit</t>
    </r>
    <r>
      <rPr>
        <sz val="11"/>
        <color theme="1"/>
        <rFont val="Calibri"/>
        <family val="2"/>
        <scheme val="minor"/>
      </rPr>
      <t xml:space="preserve"> = </t>
    </r>
  </si>
  <si>
    <t>Resultierende Hangabtriebskraft (Gleitet):</t>
  </si>
  <si>
    <r>
      <t>F</t>
    </r>
    <r>
      <rPr>
        <vertAlign val="subscript"/>
        <sz val="11"/>
        <color theme="1"/>
        <rFont val="Calibri"/>
        <family val="2"/>
        <scheme val="minor"/>
      </rPr>
      <t>H</t>
    </r>
    <r>
      <rPr>
        <sz val="11"/>
        <color theme="1"/>
        <rFont val="Calibri"/>
        <family val="2"/>
        <scheme val="minor"/>
      </rPr>
      <t xml:space="preserve"> - F</t>
    </r>
    <r>
      <rPr>
        <vertAlign val="subscript"/>
        <sz val="11"/>
        <color theme="1"/>
        <rFont val="Calibri"/>
        <family val="2"/>
        <scheme val="minor"/>
      </rPr>
      <t>RGleit</t>
    </r>
    <r>
      <rPr>
        <sz val="11"/>
        <color theme="1"/>
        <rFont val="Calibri"/>
        <family val="2"/>
        <scheme val="minor"/>
      </rPr>
      <t xml:space="preserve"> = </t>
    </r>
  </si>
  <si>
    <r>
      <t>F</t>
    </r>
    <r>
      <rPr>
        <vertAlign val="subscript"/>
        <sz val="11"/>
        <color theme="1"/>
        <rFont val="Calibri"/>
        <family val="2"/>
        <scheme val="minor"/>
      </rPr>
      <t>HR_Haft</t>
    </r>
    <r>
      <rPr>
        <sz val="11"/>
        <color theme="1"/>
        <rFont val="Calibri"/>
        <family val="2"/>
        <scheme val="minor"/>
      </rPr>
      <t xml:space="preserve"> = </t>
    </r>
  </si>
  <si>
    <r>
      <t>F</t>
    </r>
    <r>
      <rPr>
        <vertAlign val="subscript"/>
        <sz val="11"/>
        <color theme="1"/>
        <rFont val="Calibri"/>
        <family val="2"/>
        <scheme val="minor"/>
      </rPr>
      <t xml:space="preserve">HR _Gleit </t>
    </r>
    <r>
      <rPr>
        <sz val="11"/>
        <color theme="1"/>
        <rFont val="Calibri"/>
        <family val="2"/>
        <scheme val="minor"/>
      </rPr>
      <t xml:space="preserve">= </t>
    </r>
  </si>
  <si>
    <r>
      <t>a = F</t>
    </r>
    <r>
      <rPr>
        <vertAlign val="subscript"/>
        <sz val="11"/>
        <color theme="1"/>
        <rFont val="Calibri"/>
        <family val="2"/>
        <scheme val="minor"/>
      </rPr>
      <t>HR_Gleit</t>
    </r>
    <r>
      <rPr>
        <sz val="11"/>
        <color theme="1"/>
        <rFont val="Calibri"/>
        <family val="2"/>
        <scheme val="minor"/>
      </rPr>
      <t xml:space="preserve"> / m = </t>
    </r>
  </si>
  <si>
    <t xml:space="preserve">[°] </t>
  </si>
  <si>
    <t xml:space="preserve">[rad] </t>
  </si>
  <si>
    <t xml:space="preserve">a = g⋅(sin(α)−μₖ​⋅cos(α)) = </t>
  </si>
  <si>
    <t>Winkel: Haften zu gleiten:</t>
  </si>
  <si>
    <t>[°]</t>
  </si>
  <si>
    <t>Winkel: Gleiten zu haften:</t>
  </si>
  <si>
    <t>[rad]</t>
  </si>
  <si>
    <t>Haften -&gt; Gleiten</t>
  </si>
  <si>
    <t xml:space="preserve">g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</si>
</sst>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0000000"/>
    <numFmt numFmtId="165" formatCode="#,##0.000000000"/>
    <numFmt numFmtId="166" formatCode="#,##0.0000000"/>
    <numFmt numFmtId="167" formatCode="dd/mm"/>
    <numFmt numFmtId="168" formatCode="ddd\ dd/mm/yyyy"/>
  </numFmts>
  <fonts count="3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0"/>
      <color rgb="FFFF0000"/>
      <name val="Calibri"/>
      <family val="2"/>
      <scheme val="minor"/>
    </font>
    <font>
      <sz val="11"/>
      <color rgb="FFFFC000"/>
      <name val="Calibri"/>
      <family val="2"/>
      <scheme val="minor"/>
    </font>
    <font>
      <sz val="20"/>
      <color rgb="FFFFC000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u/>
      <sz val="16"/>
      <color theme="1"/>
      <name val="Calibri"/>
      <family val="2"/>
      <scheme val="minor"/>
    </font>
    <font>
      <b/>
      <sz val="14"/>
      <color rgb="FFFFC000"/>
      <name val="Calibri"/>
      <family val="2"/>
      <scheme val="minor"/>
    </font>
    <font>
      <b/>
      <vertAlign val="subscript"/>
      <sz val="14"/>
      <color rgb="FFFFC000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vertAlign val="superscript"/>
      <sz val="11"/>
      <color theme="5" tint="-0.24997711111789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vertAlign val="subscript"/>
      <sz val="11"/>
      <color theme="5" tint="-0.249977111117893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vertAlign val="superscript"/>
      <sz val="11"/>
      <color theme="5" tint="-0.249977111117893"/>
      <name val="Calibri"/>
      <family val="2"/>
      <scheme val="minor"/>
    </font>
    <font>
      <vertAlign val="superscript"/>
      <sz val="11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  <font>
      <sz val="9"/>
      <color indexed="81"/>
      <name val="Segoe UI"/>
      <family val="2"/>
    </font>
    <font>
      <b/>
      <sz val="16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sz val="11"/>
      <color theme="1"/>
      <name val="Aptos Narrow"/>
      <family val="2"/>
    </font>
    <font>
      <vertAlign val="subscript"/>
      <sz val="11"/>
      <color theme="1"/>
      <name val="Aptos Narrow"/>
      <family val="2"/>
    </font>
    <font>
      <vertAlign val="superscript"/>
      <sz val="11"/>
      <color theme="1"/>
      <name val="Aptos Narrow"/>
      <family val="2"/>
    </font>
    <font>
      <b/>
      <u/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9.35"/>
      <color theme="1"/>
      <name val="Calibri"/>
      <family val="2"/>
    </font>
    <font>
      <sz val="11"/>
      <color theme="1" tint="4.9989318521683403E-2"/>
      <name val="Calibri"/>
      <family val="2"/>
      <scheme val="minor"/>
    </font>
    <font>
      <sz val="11"/>
      <color theme="1"/>
      <name val="Calibri"/>
      <family val="2"/>
    </font>
    <font>
      <sz val="9.35"/>
      <color theme="1"/>
      <name val="Aptos Narrow"/>
      <family val="2"/>
    </font>
    <font>
      <b/>
      <u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8" fillId="0" borderId="0" applyNumberFormat="0" applyFill="0" applyBorder="0" applyAlignment="0" applyProtection="0"/>
  </cellStyleXfs>
  <cellXfs count="180">
    <xf numFmtId="0" fontId="0" fillId="0" borderId="0" xfId="0"/>
    <xf numFmtId="0" fontId="0" fillId="0" borderId="0" xfId="0" applyAlignment="1">
      <alignment horizontal="right"/>
    </xf>
    <xf numFmtId="0" fontId="0" fillId="2" borderId="0" xfId="0" applyFill="1"/>
    <xf numFmtId="0" fontId="0" fillId="3" borderId="0" xfId="0" applyFill="1"/>
    <xf numFmtId="0" fontId="0" fillId="2" borderId="2" xfId="0" applyFill="1" applyBorder="1"/>
    <xf numFmtId="0" fontId="0" fillId="0" borderId="2" xfId="0" applyBorder="1"/>
    <xf numFmtId="0" fontId="0" fillId="0" borderId="3" xfId="0" applyBorder="1"/>
    <xf numFmtId="0" fontId="2" fillId="0" borderId="4" xfId="0" applyFont="1" applyBorder="1"/>
    <xf numFmtId="0" fontId="0" fillId="0" borderId="4" xfId="0" applyBorder="1"/>
    <xf numFmtId="0" fontId="3" fillId="0" borderId="4" xfId="0" applyFon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0" borderId="0" xfId="0" applyFont="1" applyAlignment="1">
      <alignment horizontal="right"/>
    </xf>
    <xf numFmtId="0" fontId="5" fillId="0" borderId="8" xfId="0" applyFont="1" applyBorder="1"/>
    <xf numFmtId="0" fontId="5" fillId="0" borderId="9" xfId="0" applyFont="1" applyBorder="1" applyAlignment="1">
      <alignment horizontal="right"/>
    </xf>
    <xf numFmtId="0" fontId="0" fillId="2" borderId="9" xfId="0" applyFill="1" applyBorder="1"/>
    <xf numFmtId="0" fontId="0" fillId="0" borderId="9" xfId="0" applyBorder="1"/>
    <xf numFmtId="0" fontId="0" fillId="0" borderId="10" xfId="0" applyBorder="1"/>
    <xf numFmtId="0" fontId="0" fillId="0" borderId="2" xfId="0" applyBorder="1" applyAlignment="1">
      <alignment horizontal="right"/>
    </xf>
    <xf numFmtId="0" fontId="0" fillId="0" borderId="16" xfId="0" applyBorder="1" applyAlignment="1">
      <alignment horizontal="right"/>
    </xf>
    <xf numFmtId="0" fontId="0" fillId="2" borderId="17" xfId="0" applyFill="1" applyBorder="1"/>
    <xf numFmtId="0" fontId="9" fillId="0" borderId="0" xfId="0" applyFont="1"/>
    <xf numFmtId="0" fontId="0" fillId="2" borderId="19" xfId="0" applyFill="1" applyBorder="1"/>
    <xf numFmtId="0" fontId="0" fillId="0" borderId="12" xfId="0" applyBorder="1"/>
    <xf numFmtId="0" fontId="0" fillId="2" borderId="20" xfId="0" applyFill="1" applyBorder="1"/>
    <xf numFmtId="0" fontId="0" fillId="0" borderId="14" xfId="0" applyBorder="1"/>
    <xf numFmtId="0" fontId="0" fillId="4" borderId="2" xfId="0" applyFill="1" applyBorder="1"/>
    <xf numFmtId="0" fontId="0" fillId="4" borderId="18" xfId="0" applyFill="1" applyBorder="1" applyAlignment="1">
      <alignment horizontal="center"/>
    </xf>
    <xf numFmtId="0" fontId="0" fillId="0" borderId="19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17" fillId="0" borderId="11" xfId="0" applyFont="1" applyBorder="1" applyAlignment="1">
      <alignment horizontal="center" vertical="center" wrapText="1"/>
    </xf>
    <xf numFmtId="0" fontId="0" fillId="0" borderId="31" xfId="0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2" fontId="0" fillId="0" borderId="0" xfId="0" applyNumberFormat="1"/>
    <xf numFmtId="0" fontId="0" fillId="5" borderId="2" xfId="0" applyFill="1" applyBorder="1" applyAlignment="1">
      <alignment horizontal="right" vertical="center"/>
    </xf>
    <xf numFmtId="0" fontId="0" fillId="0" borderId="0" xfId="0" applyAlignment="1">
      <alignment horizontal="right" vertical="center"/>
    </xf>
    <xf numFmtId="2" fontId="0" fillId="2" borderId="2" xfId="0" applyNumberFormat="1" applyFill="1" applyBorder="1" applyAlignment="1">
      <alignment horizontal="center"/>
    </xf>
    <xf numFmtId="0" fontId="0" fillId="0" borderId="37" xfId="0" applyBorder="1" applyAlignment="1">
      <alignment horizontal="right" vertical="center"/>
    </xf>
    <xf numFmtId="0" fontId="23" fillId="0" borderId="0" xfId="0" applyFont="1"/>
    <xf numFmtId="0" fontId="0" fillId="0" borderId="28" xfId="0" applyBorder="1" applyAlignment="1">
      <alignment horizontal="center" vertical="center"/>
    </xf>
    <xf numFmtId="0" fontId="0" fillId="2" borderId="37" xfId="0" applyFill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0" fillId="9" borderId="15" xfId="0" applyFill="1" applyBorder="1" applyAlignment="1">
      <alignment horizontal="center" vertical="center"/>
    </xf>
    <xf numFmtId="0" fontId="0" fillId="8" borderId="15" xfId="0" applyFill="1" applyBorder="1" applyAlignment="1">
      <alignment horizontal="center" vertical="center"/>
    </xf>
    <xf numFmtId="0" fontId="0" fillId="7" borderId="15" xfId="0" applyFill="1" applyBorder="1" applyAlignment="1">
      <alignment horizontal="center" vertical="center"/>
    </xf>
    <xf numFmtId="0" fontId="0" fillId="6" borderId="15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2" fontId="0" fillId="0" borderId="15" xfId="0" applyNumberFormat="1" applyBorder="1"/>
    <xf numFmtId="2" fontId="0" fillId="0" borderId="2" xfId="0" applyNumberFormat="1" applyBorder="1"/>
    <xf numFmtId="2" fontId="0" fillId="0" borderId="0" xfId="0" applyNumberFormat="1" applyAlignment="1">
      <alignment horizontal="center"/>
    </xf>
    <xf numFmtId="0" fontId="0" fillId="4" borderId="2" xfId="0" applyFill="1" applyBorder="1" applyAlignment="1">
      <alignment horizontal="right" vertical="center"/>
    </xf>
    <xf numFmtId="0" fontId="0" fillId="9" borderId="2" xfId="0" applyFill="1" applyBorder="1" applyAlignment="1">
      <alignment horizontal="right" vertical="center"/>
    </xf>
    <xf numFmtId="0" fontId="0" fillId="8" borderId="2" xfId="0" applyFill="1" applyBorder="1" applyAlignment="1">
      <alignment horizontal="right" vertical="center"/>
    </xf>
    <xf numFmtId="0" fontId="0" fillId="7" borderId="2" xfId="0" applyFill="1" applyBorder="1" applyAlignment="1">
      <alignment horizontal="right" vertical="center"/>
    </xf>
    <xf numFmtId="0" fontId="0" fillId="6" borderId="2" xfId="0" applyFill="1" applyBorder="1" applyAlignment="1">
      <alignment horizontal="right" vertical="center"/>
    </xf>
    <xf numFmtId="0" fontId="0" fillId="4" borderId="2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2" fontId="0" fillId="10" borderId="15" xfId="0" applyNumberFormat="1" applyFill="1" applyBorder="1" applyAlignment="1">
      <alignment vertical="center"/>
    </xf>
    <xf numFmtId="2" fontId="0" fillId="10" borderId="15" xfId="0" applyNumberFormat="1" applyFill="1" applyBorder="1" applyAlignment="1">
      <alignment horizontal="center" vertical="center"/>
    </xf>
    <xf numFmtId="2" fontId="0" fillId="9" borderId="15" xfId="0" applyNumberFormat="1" applyFill="1" applyBorder="1" applyAlignment="1">
      <alignment horizontal="center" vertical="center"/>
    </xf>
    <xf numFmtId="2" fontId="0" fillId="8" borderId="15" xfId="0" applyNumberFormat="1" applyFill="1" applyBorder="1" applyAlignment="1">
      <alignment horizontal="center" vertical="center"/>
    </xf>
    <xf numFmtId="2" fontId="0" fillId="7" borderId="15" xfId="0" applyNumberFormat="1" applyFill="1" applyBorder="1" applyAlignment="1">
      <alignment horizontal="center" vertical="center"/>
    </xf>
    <xf numFmtId="2" fontId="0" fillId="6" borderId="15" xfId="0" applyNumberForma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5" borderId="2" xfId="0" applyNumberFormat="1" applyFill="1" applyBorder="1" applyAlignment="1">
      <alignment horizontal="center" vertical="center"/>
    </xf>
    <xf numFmtId="0" fontId="0" fillId="10" borderId="2" xfId="0" applyFill="1" applyBorder="1" applyAlignment="1">
      <alignment horizontal="right" vertical="center"/>
    </xf>
    <xf numFmtId="2" fontId="0" fillId="11" borderId="2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5" fillId="0" borderId="27" xfId="0" applyFont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24" fillId="0" borderId="0" xfId="0" applyFont="1" applyAlignment="1">
      <alignment horizontal="left" vertical="center"/>
    </xf>
    <xf numFmtId="0" fontId="0" fillId="4" borderId="1" xfId="0" applyFill="1" applyBorder="1" applyAlignment="1">
      <alignment horizontal="center"/>
    </xf>
    <xf numFmtId="0" fontId="0" fillId="0" borderId="37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0" xfId="0" quotePrefix="1"/>
    <xf numFmtId="0" fontId="0" fillId="2" borderId="0" xfId="0" applyFill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27" fillId="0" borderId="0" xfId="0" applyFont="1"/>
    <xf numFmtId="14" fontId="0" fillId="0" borderId="0" xfId="0" applyNumberFormat="1"/>
    <xf numFmtId="0" fontId="28" fillId="0" borderId="0" xfId="1"/>
    <xf numFmtId="0" fontId="29" fillId="0" borderId="0" xfId="0" applyFont="1"/>
    <xf numFmtId="0" fontId="0" fillId="12" borderId="2" xfId="0" applyFill="1" applyBorder="1"/>
    <xf numFmtId="4" fontId="0" fillId="0" borderId="2" xfId="0" applyNumberFormat="1" applyBorder="1"/>
    <xf numFmtId="4" fontId="0" fillId="2" borderId="2" xfId="0" applyNumberFormat="1" applyFill="1" applyBorder="1"/>
    <xf numFmtId="164" fontId="0" fillId="3" borderId="2" xfId="0" applyNumberFormat="1" applyFill="1" applyBorder="1"/>
    <xf numFmtId="0" fontId="0" fillId="3" borderId="2" xfId="0" applyFill="1" applyBorder="1"/>
    <xf numFmtId="0" fontId="31" fillId="5" borderId="2" xfId="0" applyFont="1" applyFill="1" applyBorder="1" applyAlignment="1">
      <alignment horizontal="right" vertical="center"/>
    </xf>
    <xf numFmtId="2" fontId="31" fillId="5" borderId="15" xfId="0" applyNumberFormat="1" applyFont="1" applyFill="1" applyBorder="1" applyAlignment="1">
      <alignment horizontal="center" vertical="center"/>
    </xf>
    <xf numFmtId="0" fontId="31" fillId="5" borderId="15" xfId="0" applyFont="1" applyFill="1" applyBorder="1" applyAlignment="1">
      <alignment horizontal="center" vertical="center"/>
    </xf>
    <xf numFmtId="0" fontId="0" fillId="13" borderId="2" xfId="0" applyFill="1" applyBorder="1" applyAlignment="1">
      <alignment horizontal="right" vertical="center"/>
    </xf>
    <xf numFmtId="2" fontId="0" fillId="13" borderId="2" xfId="0" applyNumberFormat="1" applyFill="1" applyBorder="1" applyAlignment="1">
      <alignment horizontal="center" vertical="center"/>
    </xf>
    <xf numFmtId="0" fontId="0" fillId="13" borderId="2" xfId="0" applyFill="1" applyBorder="1" applyAlignment="1">
      <alignment horizontal="center" vertical="center"/>
    </xf>
    <xf numFmtId="0" fontId="0" fillId="13" borderId="0" xfId="0" applyFill="1"/>
    <xf numFmtId="165" fontId="0" fillId="3" borderId="2" xfId="0" applyNumberFormat="1" applyFill="1" applyBorder="1"/>
    <xf numFmtId="0" fontId="32" fillId="12" borderId="2" xfId="0" applyFont="1" applyFill="1" applyBorder="1"/>
    <xf numFmtId="0" fontId="30" fillId="12" borderId="2" xfId="0" applyFont="1" applyFill="1" applyBorder="1"/>
    <xf numFmtId="166" fontId="0" fillId="3" borderId="2" xfId="0" applyNumberFormat="1" applyFill="1" applyBorder="1"/>
    <xf numFmtId="4" fontId="0" fillId="5" borderId="2" xfId="0" applyNumberFormat="1" applyFill="1" applyBorder="1"/>
    <xf numFmtId="0" fontId="28" fillId="0" borderId="0" xfId="1" applyFill="1"/>
    <xf numFmtId="0" fontId="34" fillId="0" borderId="0" xfId="0" applyFont="1"/>
    <xf numFmtId="168" fontId="35" fillId="0" borderId="0" xfId="0" applyNumberFormat="1" applyFont="1" applyAlignment="1">
      <alignment horizontal="left" vertical="center"/>
    </xf>
    <xf numFmtId="0" fontId="0" fillId="10" borderId="2" xfId="0" applyFill="1" applyBorder="1"/>
    <xf numFmtId="167" fontId="0" fillId="0" borderId="2" xfId="0" applyNumberFormat="1" applyBorder="1"/>
    <xf numFmtId="1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14" fontId="0" fillId="2" borderId="2" xfId="0" applyNumberFormat="1" applyFill="1" applyBorder="1" applyAlignment="1">
      <alignment horizontal="center"/>
    </xf>
    <xf numFmtId="168" fontId="0" fillId="0" borderId="2" xfId="0" applyNumberFormat="1" applyBorder="1"/>
    <xf numFmtId="0" fontId="0" fillId="10" borderId="2" xfId="0" applyFill="1" applyBorder="1" applyAlignment="1">
      <alignment horizontal="center" wrapText="1"/>
    </xf>
    <xf numFmtId="4" fontId="0" fillId="0" borderId="0" xfId="0" applyNumberFormat="1"/>
    <xf numFmtId="0" fontId="0" fillId="4" borderId="2" xfId="0" applyFill="1" applyBorder="1" applyAlignment="1">
      <alignment horizontal="center"/>
    </xf>
    <xf numFmtId="4" fontId="0" fillId="14" borderId="2" xfId="0" applyNumberFormat="1" applyFill="1" applyBorder="1"/>
    <xf numFmtId="4" fontId="0" fillId="15" borderId="2" xfId="0" applyNumberFormat="1" applyFill="1" applyBorder="1"/>
    <xf numFmtId="0" fontId="0" fillId="10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12" borderId="2" xfId="0" applyFill="1" applyBorder="1" applyAlignment="1">
      <alignment horizontal="center"/>
    </xf>
    <xf numFmtId="0" fontId="0" fillId="12" borderId="2" xfId="0" applyFill="1" applyBorder="1" applyAlignment="1">
      <alignment horizontal="center" vertical="center"/>
    </xf>
    <xf numFmtId="0" fontId="38" fillId="0" borderId="2" xfId="0" applyFont="1" applyBorder="1"/>
    <xf numFmtId="4" fontId="38" fillId="0" borderId="2" xfId="0" applyNumberFormat="1" applyFont="1" applyBorder="1"/>
    <xf numFmtId="0" fontId="0" fillId="0" borderId="2" xfId="0" quotePrefix="1" applyBorder="1"/>
    <xf numFmtId="4" fontId="0" fillId="10" borderId="2" xfId="0" applyNumberFormat="1" applyFill="1" applyBorder="1"/>
    <xf numFmtId="0" fontId="0" fillId="0" borderId="2" xfId="0" applyBorder="1" applyAlignment="1">
      <alignment vertical="center" wrapText="1"/>
    </xf>
    <xf numFmtId="0" fontId="36" fillId="4" borderId="2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left"/>
    </xf>
    <xf numFmtId="4" fontId="0" fillId="0" borderId="2" xfId="0" applyNumberFormat="1" applyBorder="1" applyAlignment="1">
      <alignment horizontal="left"/>
    </xf>
    <xf numFmtId="0" fontId="0" fillId="2" borderId="37" xfId="0" applyFill="1" applyBorder="1" applyAlignment="1">
      <alignment horizontal="left"/>
    </xf>
    <xf numFmtId="0" fontId="0" fillId="0" borderId="2" xfId="0" applyBorder="1" applyAlignment="1">
      <alignment horizontal="right" vertical="center" wrapText="1"/>
    </xf>
    <xf numFmtId="0" fontId="0" fillId="0" borderId="37" xfId="0" applyBorder="1"/>
    <xf numFmtId="0" fontId="0" fillId="4" borderId="2" xfId="0" applyFill="1" applyBorder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21" xfId="0" applyBorder="1" applyAlignment="1">
      <alignment horizontal="right"/>
    </xf>
    <xf numFmtId="0" fontId="0" fillId="0" borderId="22" xfId="0" applyBorder="1" applyAlignment="1">
      <alignment horizontal="right"/>
    </xf>
    <xf numFmtId="0" fontId="0" fillId="0" borderId="23" xfId="0" applyBorder="1" applyAlignment="1">
      <alignment horizontal="right"/>
    </xf>
    <xf numFmtId="0" fontId="0" fillId="0" borderId="24" xfId="0" applyBorder="1" applyAlignment="1">
      <alignment horizontal="right"/>
    </xf>
    <xf numFmtId="0" fontId="0" fillId="0" borderId="25" xfId="0" applyBorder="1" applyAlignment="1">
      <alignment horizontal="right"/>
    </xf>
    <xf numFmtId="0" fontId="0" fillId="0" borderId="26" xfId="0" applyBorder="1" applyAlignment="1">
      <alignment horizontal="right"/>
    </xf>
    <xf numFmtId="0" fontId="0" fillId="2" borderId="37" xfId="0" applyFill="1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38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2" borderId="27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4" borderId="23" xfId="0" applyFill="1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4" borderId="33" xfId="0" applyFill="1" applyBorder="1" applyAlignment="1">
      <alignment horizontal="center"/>
    </xf>
    <xf numFmtId="0" fontId="0" fillId="0" borderId="34" xfId="0" applyBorder="1" applyAlignment="1">
      <alignment horizontal="center"/>
    </xf>
    <xf numFmtId="0" fontId="0" fillId="4" borderId="29" xfId="0" applyFill="1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4" borderId="35" xfId="0" applyFill="1" applyBorder="1" applyAlignment="1">
      <alignment horizontal="center"/>
    </xf>
    <xf numFmtId="0" fontId="0" fillId="0" borderId="36" xfId="0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4" borderId="13" xfId="0" applyFill="1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4" borderId="20" xfId="0" applyFill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22" fillId="0" borderId="0" xfId="0" applyFont="1" applyAlignment="1">
      <alignment horizontal="center" vertical="center"/>
    </xf>
    <xf numFmtId="0" fontId="22" fillId="10" borderId="2" xfId="0" applyFont="1" applyFill="1" applyBorder="1" applyAlignment="1">
      <alignment horizontal="center" vertical="center"/>
    </xf>
    <xf numFmtId="0" fontId="0" fillId="4" borderId="37" xfId="0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" xfId="0" applyFont="1" applyBorder="1" applyAlignment="1">
      <alignment horizontal="right"/>
    </xf>
  </cellXfs>
  <cellStyles count="2">
    <cellStyle name="Link" xfId="1" builtinId="8"/>
    <cellStyle name="Standard" xfId="0" builtinId="0"/>
  </cellStyles>
  <dxfs count="3">
    <dxf>
      <font>
        <color theme="5" tint="-0.24994659260841701"/>
      </font>
      <fill>
        <patternFill>
          <bgColor theme="0" tint="-0.14996795556505021"/>
        </patternFill>
      </fill>
    </dxf>
    <dxf>
      <font>
        <color rgb="FF00B0F0"/>
      </font>
      <fill>
        <patternFill>
          <bgColor rgb="FF0070C0"/>
        </patternFill>
      </fill>
    </dxf>
    <dxf>
      <font>
        <color rgb="FF00B0F0"/>
      </font>
      <fill>
        <patternFill>
          <bgColor rgb="FF0070C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Schiefeebene!$O$40</c:f>
              <c:strCache>
                <c:ptCount val="1"/>
                <c:pt idx="0">
                  <c:v>a = g⋅(sin(α)−μₖ​⋅cos(α)) =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dPt>
            <c:idx val="3"/>
            <c:marker>
              <c:symbol val="none"/>
            </c:marker>
            <c:bubble3D val="0"/>
            <c:spPr>
              <a:ln w="19050" cap="rnd">
                <a:solidFill>
                  <a:schemeClr val="accent1"/>
                </a:solidFill>
                <a:round/>
                <a:headEnd type="triangle" w="med" len="med"/>
                <a:tailEnd type="none" w="med" len="med"/>
              </a:ln>
              <a:effectLst/>
            </c:spPr>
            <c:extLst>
              <c:ext xmlns:c16="http://schemas.microsoft.com/office/drawing/2014/chart" uri="{C3380CC4-5D6E-409C-BE32-E72D297353CC}">
                <c16:uniqueId val="{00000007-066C-4401-A6E2-D68B063C863F}"/>
              </c:ext>
            </c:extLst>
          </c:dPt>
          <c:dPt>
            <c:idx val="17"/>
            <c:marker>
              <c:symbol val="none"/>
            </c:marker>
            <c:bubble3D val="0"/>
            <c:spPr>
              <a:ln w="19050" cap="rnd">
                <a:solidFill>
                  <a:schemeClr val="accent1"/>
                </a:solidFill>
                <a:round/>
                <a:headEnd type="triangle" w="med" len="med"/>
                <a:tailEnd type="triangle" w="med" len="med"/>
              </a:ln>
              <a:effectLst/>
            </c:spPr>
            <c:extLst>
              <c:ext xmlns:c16="http://schemas.microsoft.com/office/drawing/2014/chart" uri="{C3380CC4-5D6E-409C-BE32-E72D297353CC}">
                <c16:uniqueId val="{00000006-066C-4401-A6E2-D68B063C863F}"/>
              </c:ext>
            </c:extLst>
          </c:dPt>
          <c:xVal>
            <c:numRef>
              <c:f>Schiefeebene!$Q$32:$AI$32</c:f>
              <c:numCache>
                <c:formatCode>General</c:formatCode>
                <c:ptCount val="1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</c:numCache>
            </c:numRef>
          </c:xVal>
          <c:yVal>
            <c:numRef>
              <c:f>Schiefeebene!$Q$40:$AI$40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0.64386836127657632</c:v>
                </c:pt>
                <c:pt idx="4">
                  <c:v>1.5115406840428576</c:v>
                </c:pt>
                <c:pt idx="5">
                  <c:v>2.3677092695103545</c:v>
                </c:pt>
                <c:pt idx="6">
                  <c:v>3.205858157774931</c:v>
                </c:pt>
                <c:pt idx="7">
                  <c:v>4.0196085297087603</c:v>
                </c:pt>
                <c:pt idx="8">
                  <c:v>4.8027672536255155</c:v>
                </c:pt>
                <c:pt idx="9">
                  <c:v>5.5493740187520242</c:v>
                </c:pt>
                <c:pt idx="10">
                  <c:v>6.2537466967921844</c:v>
                </c:pt>
                <c:pt idx="11">
                  <c:v>6.9105245863542581</c:v>
                </c:pt>
                <c:pt idx="12">
                  <c:v>7.514709211125342</c:v>
                </c:pt>
                <c:pt idx="13">
                  <c:v>8.0617023612942837</c:v>
                </c:pt>
                <c:pt idx="14">
                  <c:v>8.5473410887047994</c:v>
                </c:pt>
                <c:pt idx="15">
                  <c:v>8.967929389404615</c:v>
                </c:pt>
                <c:pt idx="16">
                  <c:v>9.3202663324672432</c:v>
                </c:pt>
                <c:pt idx="17">
                  <c:v>9.6016704210091195</c:v>
                </c:pt>
                <c:pt idx="18">
                  <c:v>9.81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6C-4401-A6E2-D68B063C863F}"/>
            </c:ext>
          </c:extLst>
        </c:ser>
        <c:ser>
          <c:idx val="1"/>
          <c:order val="1"/>
          <c:tx>
            <c:strRef>
              <c:f>Schiefeebene!$AH$41</c:f>
              <c:strCache>
                <c:ptCount val="1"/>
                <c:pt idx="0">
                  <c:v>Haften -&gt; Gleiten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  <a:headEnd type="none" w="med" len="med"/>
              <a:tailEnd type="triangle" w="med" len="med"/>
            </a:ln>
            <a:effectLst/>
          </c:spPr>
          <c:marker>
            <c:symbol val="none"/>
          </c:marker>
          <c:xVal>
            <c:numRef>
              <c:f>Schiefeebene!$AI$41:$AK$41</c:f>
              <c:numCache>
                <c:formatCode>#,##0.00</c:formatCode>
                <c:ptCount val="3"/>
                <c:pt idx="0">
                  <c:v>0</c:v>
                </c:pt>
                <c:pt idx="1">
                  <c:v>30.963756532073521</c:v>
                </c:pt>
                <c:pt idx="2">
                  <c:v>30.963756532073521</c:v>
                </c:pt>
              </c:numCache>
            </c:numRef>
          </c:xVal>
          <c:yVal>
            <c:numRef>
              <c:f>Schiefeebene!$AI$42:$AK$42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3.3648022404960245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66C-4401-A6E2-D68B063C86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3863008"/>
        <c:axId val="553868288"/>
      </c:scatterChart>
      <c:valAx>
        <c:axId val="553863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53868288"/>
        <c:crosses val="autoZero"/>
        <c:crossBetween val="midCat"/>
      </c:valAx>
      <c:valAx>
        <c:axId val="55386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53863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7"/>
          <c:order val="0"/>
          <c:tx>
            <c:strRef>
              <c:f>Vektoren!$Y$3</c:f>
              <c:strCache>
                <c:ptCount val="1"/>
                <c:pt idx="0">
                  <c:v>x-Achse</c:v>
                </c:pt>
              </c:strCache>
            </c:strRef>
          </c:tx>
          <c:spPr>
            <a:ln w="28575" cap="rnd">
              <a:solidFill>
                <a:schemeClr val="tx1">
                  <a:lumMod val="95000"/>
                  <a:lumOff val="5000"/>
                </a:schemeClr>
              </a:solidFill>
              <a:round/>
              <a:headEnd type="none" w="med" len="med"/>
              <a:tailEnd type="arrow" w="med" len="med"/>
            </a:ln>
            <a:effectLst/>
          </c:spPr>
          <c:marker>
            <c:symbol val="none"/>
          </c:marker>
          <c:xVal>
            <c:numRef>
              <c:f>Vektoren!$Z$3:$AA$3</c:f>
              <c:numCache>
                <c:formatCode>General</c:formatCode>
                <c:ptCount val="2"/>
                <c:pt idx="0">
                  <c:v>0</c:v>
                </c:pt>
                <c:pt idx="1">
                  <c:v>22</c:v>
                </c:pt>
              </c:numCache>
            </c:numRef>
          </c:xVal>
          <c:yVal>
            <c:numRef>
              <c:f>Vektoren!$AB$3:$AC$3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386-44E6-995D-F084AE3590EA}"/>
            </c:ext>
          </c:extLst>
        </c:ser>
        <c:ser>
          <c:idx val="8"/>
          <c:order val="1"/>
          <c:tx>
            <c:strRef>
              <c:f>Vektoren!$Y$4</c:f>
              <c:strCache>
                <c:ptCount val="1"/>
                <c:pt idx="0">
                  <c:v>y-Achse</c:v>
                </c:pt>
              </c:strCache>
            </c:strRef>
          </c:tx>
          <c:spPr>
            <a:ln w="28575" cap="rnd">
              <a:solidFill>
                <a:schemeClr val="tx1">
                  <a:lumMod val="95000"/>
                  <a:lumOff val="5000"/>
                </a:schemeClr>
              </a:solidFill>
              <a:round/>
              <a:headEnd type="none" w="med" len="med"/>
              <a:tailEnd type="arrow" w="med" len="med"/>
            </a:ln>
            <a:effectLst/>
          </c:spPr>
          <c:marker>
            <c:symbol val="none"/>
          </c:marker>
          <c:xVal>
            <c:numRef>
              <c:f>Vektoren!$Z$4:$AA$4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Vektoren!$AB$4:$AC$4</c:f>
              <c:numCache>
                <c:formatCode>General</c:formatCode>
                <c:ptCount val="2"/>
                <c:pt idx="0">
                  <c:v>0</c:v>
                </c:pt>
                <c:pt idx="1">
                  <c:v>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386-44E6-995D-F084AE3590EA}"/>
            </c:ext>
          </c:extLst>
        </c:ser>
        <c:ser>
          <c:idx val="0"/>
          <c:order val="2"/>
          <c:tx>
            <c:strRef>
              <c:f>Vektoren!$C$14</c:f>
              <c:strCache>
                <c:ptCount val="1"/>
                <c:pt idx="0">
                  <c:v>F1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  <a:headEnd type="none" w="med" len="med"/>
              <a:tailEnd type="triangle" w="med" len="med"/>
            </a:ln>
            <a:effectLst/>
          </c:spPr>
          <c:marker>
            <c:symbol val="none"/>
          </c:marker>
          <c:xVal>
            <c:numRef>
              <c:f>Vektoren!$P$14:$Q$14</c:f>
              <c:numCache>
                <c:formatCode>#,##0.00</c:formatCode>
                <c:ptCount val="2"/>
                <c:pt idx="0">
                  <c:v>0</c:v>
                </c:pt>
                <c:pt idx="1">
                  <c:v>5</c:v>
                </c:pt>
              </c:numCache>
            </c:numRef>
          </c:xVal>
          <c:yVal>
            <c:numRef>
              <c:f>Vektoren!$R$14:$S$14</c:f>
              <c:numCache>
                <c:formatCode>#,##0.00</c:formatCode>
                <c:ptCount val="2"/>
                <c:pt idx="0">
                  <c:v>0</c:v>
                </c:pt>
                <c:pt idx="1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86-44E6-995D-F084AE3590EA}"/>
            </c:ext>
          </c:extLst>
        </c:ser>
        <c:ser>
          <c:idx val="1"/>
          <c:order val="3"/>
          <c:tx>
            <c:strRef>
              <c:f>Vektoren!$C$15</c:f>
              <c:strCache>
                <c:ptCount val="1"/>
                <c:pt idx="0">
                  <c:v>F2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  <a:headEnd type="none" w="med" len="med"/>
              <a:tailEnd type="triangle" w="med" len="med"/>
            </a:ln>
            <a:effectLst/>
          </c:spPr>
          <c:marker>
            <c:symbol val="none"/>
          </c:marker>
          <c:xVal>
            <c:numRef>
              <c:f>Vektoren!$P$15:$Q$15</c:f>
              <c:numCache>
                <c:formatCode>#,##0.00</c:formatCode>
                <c:ptCount val="2"/>
                <c:pt idx="0">
                  <c:v>5</c:v>
                </c:pt>
                <c:pt idx="1">
                  <c:v>15</c:v>
                </c:pt>
              </c:numCache>
            </c:numRef>
          </c:xVal>
          <c:yVal>
            <c:numRef>
              <c:f>Vektoren!$R$15:$S$15</c:f>
              <c:numCache>
                <c:formatCode>#,##0.00</c:formatCode>
                <c:ptCount val="2"/>
                <c:pt idx="0">
                  <c:v>5</c:v>
                </c:pt>
                <c:pt idx="1">
                  <c:v>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86-44E6-995D-F084AE3590EA}"/>
            </c:ext>
          </c:extLst>
        </c:ser>
        <c:ser>
          <c:idx val="2"/>
          <c:order val="4"/>
          <c:tx>
            <c:strRef>
              <c:f>Vektoren!$C$16</c:f>
              <c:strCache>
                <c:ptCount val="1"/>
                <c:pt idx="0">
                  <c:v>F3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  <a:headEnd type="none" w="med" len="med"/>
              <a:tailEnd type="triangle" w="med" len="med"/>
            </a:ln>
            <a:effectLst/>
          </c:spPr>
          <c:marker>
            <c:symbol val="none"/>
          </c:marker>
          <c:xVal>
            <c:numRef>
              <c:f>Vektoren!$P$16:$Q$16</c:f>
              <c:numCache>
                <c:formatCode>#,##0.00</c:formatCode>
                <c:ptCount val="2"/>
                <c:pt idx="0">
                  <c:v>15</c:v>
                </c:pt>
                <c:pt idx="1">
                  <c:v>7</c:v>
                </c:pt>
              </c:numCache>
            </c:numRef>
          </c:xVal>
          <c:yVal>
            <c:numRef>
              <c:f>Vektoren!$R$16:$S$16</c:f>
              <c:numCache>
                <c:formatCode>#,##0.00</c:formatCode>
                <c:ptCount val="2"/>
                <c:pt idx="0">
                  <c:v>-7</c:v>
                </c:pt>
                <c:pt idx="1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386-44E6-995D-F084AE3590EA}"/>
            </c:ext>
          </c:extLst>
        </c:ser>
        <c:ser>
          <c:idx val="3"/>
          <c:order val="5"/>
          <c:tx>
            <c:strRef>
              <c:f>Vektoren!$C$17</c:f>
              <c:strCache>
                <c:ptCount val="1"/>
                <c:pt idx="0">
                  <c:v>F4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  <a:headEnd type="none" w="med" len="med"/>
              <a:tailEnd type="triangle" w="med" len="med"/>
            </a:ln>
            <a:effectLst/>
          </c:spPr>
          <c:marker>
            <c:symbol val="none"/>
          </c:marker>
          <c:xVal>
            <c:numRef>
              <c:f>Vektoren!$P$17:$Q$17</c:f>
              <c:numCache>
                <c:formatCode>#,##0.00</c:formatCode>
                <c:ptCount val="2"/>
                <c:pt idx="0">
                  <c:v>7</c:v>
                </c:pt>
                <c:pt idx="1">
                  <c:v>-3</c:v>
                </c:pt>
              </c:numCache>
            </c:numRef>
          </c:xVal>
          <c:yVal>
            <c:numRef>
              <c:f>Vektoren!$R$17:$S$17</c:f>
              <c:numCache>
                <c:formatCode>#,##0.00</c:formatCode>
                <c:ptCount val="2"/>
                <c:pt idx="0">
                  <c:v>8</c:v>
                </c:pt>
                <c:pt idx="1">
                  <c:v>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386-44E6-995D-F084AE3590EA}"/>
            </c:ext>
          </c:extLst>
        </c:ser>
        <c:ser>
          <c:idx val="4"/>
          <c:order val="6"/>
          <c:tx>
            <c:strRef>
              <c:f>Vektoren!$C$18</c:f>
              <c:strCache>
                <c:ptCount val="1"/>
                <c:pt idx="0">
                  <c:v>F5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  <a:headEnd type="none" w="med" len="med"/>
              <a:tailEnd type="triangle" w="med" len="med"/>
            </a:ln>
            <a:effectLst/>
          </c:spPr>
          <c:marker>
            <c:symbol val="none"/>
          </c:marker>
          <c:xVal>
            <c:numRef>
              <c:f>Vektoren!$P$18:$Q$18</c:f>
              <c:numCache>
                <c:formatCode>#,##0.00</c:formatCode>
                <c:ptCount val="2"/>
                <c:pt idx="0">
                  <c:v>-3</c:v>
                </c:pt>
                <c:pt idx="1">
                  <c:v>-6.4729635533386061</c:v>
                </c:pt>
              </c:numCache>
            </c:numRef>
          </c:xVal>
          <c:yVal>
            <c:numRef>
              <c:f>Vektoren!$R$18:$S$18</c:f>
              <c:numCache>
                <c:formatCode>#,##0.00</c:formatCode>
                <c:ptCount val="2"/>
                <c:pt idx="0">
                  <c:v>-12</c:v>
                </c:pt>
                <c:pt idx="1">
                  <c:v>7.6961550602441591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386-44E6-995D-F084AE3590EA}"/>
            </c:ext>
          </c:extLst>
        </c:ser>
        <c:ser>
          <c:idx val="5"/>
          <c:order val="7"/>
          <c:tx>
            <c:strRef>
              <c:f>Vektoren!$C$19</c:f>
              <c:strCache>
                <c:ptCount val="1"/>
                <c:pt idx="0">
                  <c:v>F6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  <a:headEnd type="none" w="med" len="med"/>
              <a:tailEnd type="triangle" w="med" len="med"/>
            </a:ln>
            <a:effectLst/>
          </c:spPr>
          <c:marker>
            <c:symbol val="none"/>
          </c:marker>
          <c:xVal>
            <c:numRef>
              <c:f>Vektoren!$P$19:$Q$19</c:f>
              <c:numCache>
                <c:formatCode>#,##0.00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Vektoren!$R$19:$S$19</c:f>
              <c:numCache>
                <c:formatCode>#,##0.00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386-44E6-995D-F084AE3590EA}"/>
            </c:ext>
          </c:extLst>
        </c:ser>
        <c:ser>
          <c:idx val="6"/>
          <c:order val="8"/>
          <c:tx>
            <c:strRef>
              <c:f>Vektoren!$C$20</c:f>
              <c:strCache>
                <c:ptCount val="1"/>
                <c:pt idx="0">
                  <c:v>F7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  <a:headEnd type="none" w="med" len="med"/>
              <a:tailEnd type="triangle" w="med" len="med"/>
            </a:ln>
            <a:effectLst/>
          </c:spPr>
          <c:marker>
            <c:symbol val="none"/>
          </c:marker>
          <c:xVal>
            <c:numRef>
              <c:f>Vektoren!$P$20:$Q$20</c:f>
              <c:numCache>
                <c:formatCode>#,##0.00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Vektoren!$R$20:$S$20</c:f>
              <c:numCache>
                <c:formatCode>#,##0.00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386-44E6-995D-F084AE3590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38752"/>
        <c:axId val="11735872"/>
      </c:scatterChart>
      <c:valAx>
        <c:axId val="11738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735872"/>
        <c:crosses val="autoZero"/>
        <c:crossBetween val="midCat"/>
      </c:valAx>
      <c:valAx>
        <c:axId val="1173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738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465714040043902E-2"/>
          <c:y val="4.6025104602510462E-2"/>
          <c:w val="0.90531900207224802"/>
          <c:h val="0.8569110137383454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Kinematik_1!$B$5</c:f>
              <c:strCache>
                <c:ptCount val="1"/>
                <c:pt idx="0">
                  <c:v>Weg s [m] gemessen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Kinematik_1!$C$4:$F$4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Kinematik_1!$C$5:$F$5</c:f>
              <c:numCache>
                <c:formatCode>General</c:formatCode>
                <c:ptCount val="4"/>
                <c:pt idx="0">
                  <c:v>10</c:v>
                </c:pt>
                <c:pt idx="1">
                  <c:v>19.899999999999999</c:v>
                </c:pt>
                <c:pt idx="2">
                  <c:v>30.05</c:v>
                </c:pt>
                <c:pt idx="3">
                  <c:v>40.5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034-49E4-8CED-60D4545B8694}"/>
            </c:ext>
          </c:extLst>
        </c:ser>
        <c:ser>
          <c:idx val="1"/>
          <c:order val="1"/>
          <c:tx>
            <c:strRef>
              <c:f>Kinematik_1!$B$8</c:f>
              <c:strCache>
                <c:ptCount val="1"/>
                <c:pt idx="0">
                  <c:v>Weg s = v*t [m] gerechnet</c:v>
                </c:pt>
              </c:strCache>
            </c:strRef>
          </c:tx>
          <c:spPr>
            <a:ln w="95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Kinematik_1!$C$4:$F$4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Kinematik_1!$C$8:$F$8</c:f>
              <c:numCache>
                <c:formatCode>General</c:formatCode>
                <c:ptCount val="4"/>
                <c:pt idx="0">
                  <c:v>10.022916666666667</c:v>
                </c:pt>
                <c:pt idx="1">
                  <c:v>20.045833333333334</c:v>
                </c:pt>
                <c:pt idx="2">
                  <c:v>30.068750000000001</c:v>
                </c:pt>
                <c:pt idx="3">
                  <c:v>40.091666666666669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034-49E4-8CED-60D4545B8694}"/>
            </c:ext>
          </c:extLst>
        </c:ser>
        <c:ser>
          <c:idx val="2"/>
          <c:order val="2"/>
          <c:tx>
            <c:strRef>
              <c:f>Kinematik_1!$I$18</c:f>
              <c:strCache>
                <c:ptCount val="1"/>
                <c:pt idx="0">
                  <c:v>y = ax + b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Kinematik_1!$J$17:$AO$17</c:f>
              <c:numCache>
                <c:formatCode>General</c:formatCode>
                <c:ptCount val="32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</c:numCache>
            </c:numRef>
          </c:xVal>
          <c:yVal>
            <c:numRef>
              <c:f>Kinematik_1!$J$18:$AO$18</c:f>
              <c:numCache>
                <c:formatCode>General</c:formatCode>
                <c:ptCount val="32"/>
                <c:pt idx="0">
                  <c:v>10</c:v>
                </c:pt>
                <c:pt idx="1">
                  <c:v>7.5</c:v>
                </c:pt>
                <c:pt idx="2">
                  <c:v>5</c:v>
                </c:pt>
                <c:pt idx="3">
                  <c:v>2.5</c:v>
                </c:pt>
                <c:pt idx="4">
                  <c:v>0</c:v>
                </c:pt>
                <c:pt idx="5">
                  <c:v>-2.5</c:v>
                </c:pt>
                <c:pt idx="6">
                  <c:v>-5</c:v>
                </c:pt>
                <c:pt idx="7">
                  <c:v>-7.5</c:v>
                </c:pt>
                <c:pt idx="8">
                  <c:v>-10</c:v>
                </c:pt>
                <c:pt idx="9">
                  <c:v>-12.5</c:v>
                </c:pt>
                <c:pt idx="10">
                  <c:v>-15</c:v>
                </c:pt>
                <c:pt idx="11">
                  <c:v>-17.5</c:v>
                </c:pt>
                <c:pt idx="12">
                  <c:v>-20</c:v>
                </c:pt>
                <c:pt idx="13">
                  <c:v>-22.5</c:v>
                </c:pt>
                <c:pt idx="14">
                  <c:v>-25</c:v>
                </c:pt>
                <c:pt idx="15">
                  <c:v>-27.5</c:v>
                </c:pt>
                <c:pt idx="16">
                  <c:v>-30</c:v>
                </c:pt>
                <c:pt idx="17">
                  <c:v>-32.5</c:v>
                </c:pt>
                <c:pt idx="18">
                  <c:v>-35</c:v>
                </c:pt>
                <c:pt idx="19">
                  <c:v>-37.5</c:v>
                </c:pt>
                <c:pt idx="20">
                  <c:v>-40</c:v>
                </c:pt>
                <c:pt idx="21">
                  <c:v>-42.5</c:v>
                </c:pt>
                <c:pt idx="22">
                  <c:v>-45</c:v>
                </c:pt>
                <c:pt idx="23">
                  <c:v>-47.5</c:v>
                </c:pt>
                <c:pt idx="24">
                  <c:v>-50</c:v>
                </c:pt>
                <c:pt idx="25">
                  <c:v>-52.5</c:v>
                </c:pt>
                <c:pt idx="26">
                  <c:v>-55</c:v>
                </c:pt>
                <c:pt idx="27">
                  <c:v>-57.5</c:v>
                </c:pt>
                <c:pt idx="28">
                  <c:v>-60</c:v>
                </c:pt>
                <c:pt idx="29">
                  <c:v>-62.5</c:v>
                </c:pt>
                <c:pt idx="30">
                  <c:v>-65</c:v>
                </c:pt>
                <c:pt idx="31">
                  <c:v>-67.5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176-4E7C-99EF-90C15DD1EE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6164415"/>
        <c:axId val="866161535"/>
      </c:scatterChart>
      <c:valAx>
        <c:axId val="866164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66161535"/>
        <c:crosses val="autoZero"/>
        <c:crossBetween val="midCat"/>
      </c:valAx>
      <c:valAx>
        <c:axId val="866161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66164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Kinematik_1!$B$42</c:f>
              <c:strCache>
                <c:ptCount val="1"/>
                <c:pt idx="0">
                  <c:v>Fz_1: s1 = v1 * t 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Kinematik_1!$E$41:$Y$41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</c:numCache>
            </c:numRef>
          </c:xVal>
          <c:yVal>
            <c:numRef>
              <c:f>Kinematik_1!$E$42:$Y$42</c:f>
              <c:numCache>
                <c:formatCode>General</c:formatCode>
                <c:ptCount val="21"/>
                <c:pt idx="0">
                  <c:v>0</c:v>
                </c:pt>
                <c:pt idx="1">
                  <c:v>3.5</c:v>
                </c:pt>
                <c:pt idx="2">
                  <c:v>7</c:v>
                </c:pt>
                <c:pt idx="3">
                  <c:v>10.500000000000002</c:v>
                </c:pt>
                <c:pt idx="4">
                  <c:v>14</c:v>
                </c:pt>
                <c:pt idx="5">
                  <c:v>17.5</c:v>
                </c:pt>
                <c:pt idx="6">
                  <c:v>21</c:v>
                </c:pt>
                <c:pt idx="7">
                  <c:v>24.5</c:v>
                </c:pt>
                <c:pt idx="8">
                  <c:v>27.999999999999996</c:v>
                </c:pt>
                <c:pt idx="9">
                  <c:v>31.499999999999996</c:v>
                </c:pt>
                <c:pt idx="10">
                  <c:v>34.999999999999993</c:v>
                </c:pt>
                <c:pt idx="11">
                  <c:v>38.499999999999993</c:v>
                </c:pt>
                <c:pt idx="12">
                  <c:v>42</c:v>
                </c:pt>
                <c:pt idx="13">
                  <c:v>45.5</c:v>
                </c:pt>
                <c:pt idx="14">
                  <c:v>49.000000000000007</c:v>
                </c:pt>
                <c:pt idx="15">
                  <c:v>52.500000000000007</c:v>
                </c:pt>
                <c:pt idx="16">
                  <c:v>56.000000000000014</c:v>
                </c:pt>
                <c:pt idx="17">
                  <c:v>59.500000000000014</c:v>
                </c:pt>
                <c:pt idx="18">
                  <c:v>63.000000000000014</c:v>
                </c:pt>
                <c:pt idx="19">
                  <c:v>66.500000000000014</c:v>
                </c:pt>
                <c:pt idx="20">
                  <c:v>70.000000000000014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A34-42EA-895E-E3188ED26C61}"/>
            </c:ext>
          </c:extLst>
        </c:ser>
        <c:ser>
          <c:idx val="1"/>
          <c:order val="1"/>
          <c:tx>
            <c:strRef>
              <c:f>Kinematik_1!$B$44</c:f>
              <c:strCache>
                <c:ptCount val="1"/>
                <c:pt idx="0">
                  <c:v>Fz_2: s2 = v2 * t + s0 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Kinematik_1!$E$41:$Y$41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</c:numCache>
            </c:numRef>
          </c:xVal>
          <c:yVal>
            <c:numRef>
              <c:f>Kinematik_1!$E$44:$Y$44</c:f>
              <c:numCache>
                <c:formatCode>General</c:formatCode>
                <c:ptCount val="21"/>
                <c:pt idx="0">
                  <c:v>100</c:v>
                </c:pt>
                <c:pt idx="1">
                  <c:v>98</c:v>
                </c:pt>
                <c:pt idx="2">
                  <c:v>96</c:v>
                </c:pt>
                <c:pt idx="3">
                  <c:v>94</c:v>
                </c:pt>
                <c:pt idx="4">
                  <c:v>92</c:v>
                </c:pt>
                <c:pt idx="5">
                  <c:v>90</c:v>
                </c:pt>
                <c:pt idx="6">
                  <c:v>88</c:v>
                </c:pt>
                <c:pt idx="7">
                  <c:v>86</c:v>
                </c:pt>
                <c:pt idx="8">
                  <c:v>84</c:v>
                </c:pt>
                <c:pt idx="9">
                  <c:v>82</c:v>
                </c:pt>
                <c:pt idx="10">
                  <c:v>80</c:v>
                </c:pt>
                <c:pt idx="11">
                  <c:v>78</c:v>
                </c:pt>
                <c:pt idx="12">
                  <c:v>76</c:v>
                </c:pt>
                <c:pt idx="13">
                  <c:v>74</c:v>
                </c:pt>
                <c:pt idx="14">
                  <c:v>72</c:v>
                </c:pt>
                <c:pt idx="15">
                  <c:v>70</c:v>
                </c:pt>
                <c:pt idx="16">
                  <c:v>68</c:v>
                </c:pt>
                <c:pt idx="17">
                  <c:v>66</c:v>
                </c:pt>
                <c:pt idx="18">
                  <c:v>63.999999999999993</c:v>
                </c:pt>
                <c:pt idx="19">
                  <c:v>61.999999999999986</c:v>
                </c:pt>
                <c:pt idx="20">
                  <c:v>59.999999999999993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A34-42EA-895E-E3188ED26C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5482511"/>
        <c:axId val="1515505071"/>
      </c:scatterChart>
      <c:valAx>
        <c:axId val="1515482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15505071"/>
        <c:crosses val="autoZero"/>
        <c:crossBetween val="midCat"/>
      </c:valAx>
      <c:valAx>
        <c:axId val="1515505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154825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Geschwindigkeit-Zeit</a:t>
            </a:r>
            <a:r>
              <a:rPr lang="de-CH" baseline="0"/>
              <a:t> Diagramm</a:t>
            </a:r>
            <a:endParaRPr lang="de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C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Kinematik_2!$C$10</c:f>
              <c:strCache>
                <c:ptCount val="1"/>
                <c:pt idx="0">
                  <c:v>v = a * t + v0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Kinematik_2!$E$9:$Y$9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Kinematik_2!$E$10:$Y$10</c:f>
              <c:numCache>
                <c:formatCode>General</c:formatCode>
                <c:ptCount val="21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  <c:pt idx="16">
                  <c:v>42</c:v>
                </c:pt>
                <c:pt idx="17">
                  <c:v>44</c:v>
                </c:pt>
                <c:pt idx="18">
                  <c:v>46</c:v>
                </c:pt>
                <c:pt idx="19">
                  <c:v>48</c:v>
                </c:pt>
                <c:pt idx="20">
                  <c:v>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5BB-4B4D-883F-3319D7F46756}"/>
            </c:ext>
          </c:extLst>
        </c:ser>
        <c:ser>
          <c:idx val="1"/>
          <c:order val="1"/>
          <c:tx>
            <c:strRef>
              <c:f>Kinematik_2!$M$2</c:f>
              <c:strCache>
                <c:ptCount val="1"/>
                <c:pt idx="0">
                  <c:v>Senkrechte</c:v>
                </c:pt>
              </c:strCache>
            </c:strRef>
          </c:tx>
          <c:spPr>
            <a:ln w="12700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Kinematik_2!$M$3:$N$3</c:f>
              <c:numCache>
                <c:formatCode>General</c:formatCode>
                <c:ptCount val="2"/>
                <c:pt idx="0">
                  <c:v>7</c:v>
                </c:pt>
                <c:pt idx="1">
                  <c:v>7</c:v>
                </c:pt>
              </c:numCache>
            </c:numRef>
          </c:xVal>
          <c:yVal>
            <c:numRef>
              <c:f>Kinematik_2!$M$4:$N$4</c:f>
              <c:numCache>
                <c:formatCode>General</c:formatCode>
                <c:ptCount val="2"/>
                <c:pt idx="0">
                  <c:v>0</c:v>
                </c:pt>
                <c:pt idx="1">
                  <c:v>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5BB-4B4D-883F-3319D7F46756}"/>
            </c:ext>
          </c:extLst>
        </c:ser>
        <c:ser>
          <c:idx val="2"/>
          <c:order val="2"/>
          <c:tx>
            <c:strRef>
              <c:f>Kinematik_2!$P$2</c:f>
              <c:strCache>
                <c:ptCount val="1"/>
                <c:pt idx="0">
                  <c:v>Vertikale Hilfslinie</c:v>
                </c:pt>
              </c:strCache>
            </c:strRef>
          </c:tx>
          <c:spPr>
            <a:ln w="9525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Kinematik_2!$P$3:$Q$3</c:f>
              <c:numCache>
                <c:formatCode>General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xVal>
          <c:yVal>
            <c:numRef>
              <c:f>Kinematik_2!$P$4:$Q$4</c:f>
              <c:numCache>
                <c:formatCode>General</c:formatCode>
                <c:ptCount val="2"/>
                <c:pt idx="0">
                  <c:v>10</c:v>
                </c:pt>
                <c:pt idx="1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5BB-4B4D-883F-3319D7F46756}"/>
            </c:ext>
          </c:extLst>
        </c:ser>
        <c:ser>
          <c:idx val="3"/>
          <c:order val="3"/>
          <c:tx>
            <c:strRef>
              <c:f>Kinematik_2!$S$2</c:f>
              <c:strCache>
                <c:ptCount val="1"/>
                <c:pt idx="0">
                  <c:v>Vertikale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Kinematik_2!$S$3:$T$3</c:f>
              <c:numCache>
                <c:formatCode>General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xVal>
          <c:yVal>
            <c:numRef>
              <c:f>Kinematik_2!$S$4:$T$4</c:f>
              <c:numCache>
                <c:formatCode>General</c:formatCode>
                <c:ptCount val="2"/>
                <c:pt idx="0">
                  <c:v>24</c:v>
                </c:pt>
                <c:pt idx="1">
                  <c:v>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020-4E87-B567-157405C2BD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0405664"/>
        <c:axId val="1130406144"/>
      </c:scatterChart>
      <c:valAx>
        <c:axId val="1130405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Zeit t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0406144"/>
        <c:crosses val="autoZero"/>
        <c:crossBetween val="midCat"/>
      </c:valAx>
      <c:valAx>
        <c:axId val="113040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Geschwindigkeit v [m/s]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0405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Weg-Zeit Diagramm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Kinematik_2!$C$11</c:f>
              <c:strCache>
                <c:ptCount val="1"/>
                <c:pt idx="0">
                  <c:v>s = a/2 * t2 + v0*t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Kinematik_2!$E$9:$Y$9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Kinematik_2!$E$11:$Y$11</c:f>
              <c:numCache>
                <c:formatCode>General</c:formatCode>
                <c:ptCount val="21"/>
                <c:pt idx="0">
                  <c:v>0</c:v>
                </c:pt>
                <c:pt idx="1">
                  <c:v>11</c:v>
                </c:pt>
                <c:pt idx="2">
                  <c:v>24</c:v>
                </c:pt>
                <c:pt idx="3">
                  <c:v>39</c:v>
                </c:pt>
                <c:pt idx="4">
                  <c:v>56</c:v>
                </c:pt>
                <c:pt idx="5">
                  <c:v>75</c:v>
                </c:pt>
                <c:pt idx="6">
                  <c:v>96</c:v>
                </c:pt>
                <c:pt idx="7">
                  <c:v>119</c:v>
                </c:pt>
                <c:pt idx="8">
                  <c:v>144</c:v>
                </c:pt>
                <c:pt idx="9">
                  <c:v>171</c:v>
                </c:pt>
                <c:pt idx="10">
                  <c:v>200</c:v>
                </c:pt>
                <c:pt idx="11">
                  <c:v>231</c:v>
                </c:pt>
                <c:pt idx="12">
                  <c:v>264</c:v>
                </c:pt>
                <c:pt idx="13">
                  <c:v>299</c:v>
                </c:pt>
                <c:pt idx="14">
                  <c:v>336</c:v>
                </c:pt>
                <c:pt idx="15">
                  <c:v>375</c:v>
                </c:pt>
                <c:pt idx="16">
                  <c:v>416</c:v>
                </c:pt>
                <c:pt idx="17">
                  <c:v>459</c:v>
                </c:pt>
                <c:pt idx="18">
                  <c:v>504</c:v>
                </c:pt>
                <c:pt idx="19">
                  <c:v>551</c:v>
                </c:pt>
                <c:pt idx="20">
                  <c:v>600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30D-4EC4-B2CF-F9F2CB1F2A6C}"/>
            </c:ext>
          </c:extLst>
        </c:ser>
        <c:ser>
          <c:idx val="1"/>
          <c:order val="1"/>
          <c:tx>
            <c:strRef>
              <c:f>Kinematik_2!$W$2</c:f>
              <c:strCache>
                <c:ptCount val="1"/>
                <c:pt idx="0">
                  <c:v>Senkrechte_2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Kinematik_2!$W$3:$X$3</c:f>
              <c:numCache>
                <c:formatCode>General</c:formatCode>
                <c:ptCount val="2"/>
                <c:pt idx="0">
                  <c:v>7</c:v>
                </c:pt>
                <c:pt idx="1">
                  <c:v>7</c:v>
                </c:pt>
              </c:numCache>
            </c:numRef>
          </c:xVal>
          <c:yVal>
            <c:numRef>
              <c:f>Kinematik_2!$W$4:$X$4</c:f>
              <c:numCache>
                <c:formatCode>General</c:formatCode>
                <c:ptCount val="2"/>
                <c:pt idx="0">
                  <c:v>0</c:v>
                </c:pt>
                <c:pt idx="1">
                  <c:v>119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934-4A3D-AC4F-58A3941EEC57}"/>
            </c:ext>
          </c:extLst>
        </c:ser>
        <c:ser>
          <c:idx val="2"/>
          <c:order val="2"/>
          <c:tx>
            <c:strRef>
              <c:f>Kinematik_2!$Z$2</c:f>
              <c:strCache>
                <c:ptCount val="1"/>
                <c:pt idx="0">
                  <c:v>Vertikale_2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Kinematik_2!$Z$3:$AA$3</c:f>
              <c:numCache>
                <c:formatCode>General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xVal>
          <c:yVal>
            <c:numRef>
              <c:f>Kinematik_2!$Z$4:$AA$4</c:f>
              <c:numCache>
                <c:formatCode>General</c:formatCode>
                <c:ptCount val="2"/>
                <c:pt idx="0">
                  <c:v>119</c:v>
                </c:pt>
                <c:pt idx="1">
                  <c:v>119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934-4A3D-AC4F-58A3941EE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1584816"/>
        <c:axId val="631581936"/>
      </c:scatterChart>
      <c:valAx>
        <c:axId val="631584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Zeit t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31581936"/>
        <c:crosses val="autoZero"/>
        <c:crossBetween val="midCat"/>
      </c:valAx>
      <c:valAx>
        <c:axId val="63158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Strecke</a:t>
                </a:r>
                <a:r>
                  <a:rPr lang="de-CH" baseline="0"/>
                  <a:t> s [m]</a:t>
                </a:r>
                <a:endParaRPr lang="de-C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31584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Fourierreihe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3.5689214731536877E-2"/>
          <c:y val="5.5460561318852915E-2"/>
          <c:w val="0.87486611239984313"/>
          <c:h val="0.9051218124333203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Fourierreihe!$J$14</c:f>
              <c:strCache>
                <c:ptCount val="1"/>
                <c:pt idx="0">
                  <c:v>y0 =  sin(x ) = 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Fourierreihe!$M$12:$AY$12</c:f>
              <c:numCache>
                <c:formatCode>General</c:formatCode>
                <c:ptCount val="39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</c:numCache>
            </c:numRef>
          </c:xVal>
          <c:yVal>
            <c:numRef>
              <c:f>Fourierreihe!$M$14:$AY$14</c:f>
              <c:numCache>
                <c:formatCode>0.00</c:formatCode>
                <c:ptCount val="39"/>
                <c:pt idx="0">
                  <c:v>0</c:v>
                </c:pt>
                <c:pt idx="1">
                  <c:v>0.25881904510252074</c:v>
                </c:pt>
                <c:pt idx="2">
                  <c:v>0.49999999999999994</c:v>
                </c:pt>
                <c:pt idx="3">
                  <c:v>0.70710678118654746</c:v>
                </c:pt>
                <c:pt idx="4">
                  <c:v>0.8660254037844386</c:v>
                </c:pt>
                <c:pt idx="5">
                  <c:v>0.96592582628906831</c:v>
                </c:pt>
                <c:pt idx="6">
                  <c:v>1</c:v>
                </c:pt>
                <c:pt idx="7">
                  <c:v>0.96592582628906831</c:v>
                </c:pt>
                <c:pt idx="8">
                  <c:v>0.86602540378443871</c:v>
                </c:pt>
                <c:pt idx="9">
                  <c:v>0.70710678118654757</c:v>
                </c:pt>
                <c:pt idx="10">
                  <c:v>0.49999999999999994</c:v>
                </c:pt>
                <c:pt idx="11">
                  <c:v>0.25881904510252102</c:v>
                </c:pt>
                <c:pt idx="12">
                  <c:v>1.22514845490862E-16</c:v>
                </c:pt>
                <c:pt idx="13">
                  <c:v>-0.25881904510252035</c:v>
                </c:pt>
                <c:pt idx="14">
                  <c:v>-0.50000000000000011</c:v>
                </c:pt>
                <c:pt idx="15">
                  <c:v>-0.70710678118654746</c:v>
                </c:pt>
                <c:pt idx="16">
                  <c:v>-0.86602540378443837</c:v>
                </c:pt>
                <c:pt idx="17">
                  <c:v>-0.96592582628906831</c:v>
                </c:pt>
                <c:pt idx="18">
                  <c:v>-1</c:v>
                </c:pt>
                <c:pt idx="19">
                  <c:v>-0.9659258262890682</c:v>
                </c:pt>
                <c:pt idx="20">
                  <c:v>-0.8660254037844386</c:v>
                </c:pt>
                <c:pt idx="21">
                  <c:v>-0.70710678118654768</c:v>
                </c:pt>
                <c:pt idx="22">
                  <c:v>-0.50000000000000044</c:v>
                </c:pt>
                <c:pt idx="23">
                  <c:v>-0.25881904510252068</c:v>
                </c:pt>
                <c:pt idx="24">
                  <c:v>-2.45029690981724E-16</c:v>
                </c:pt>
                <c:pt idx="25">
                  <c:v>0.25881904510252024</c:v>
                </c:pt>
                <c:pt idx="26">
                  <c:v>0.49999999999999928</c:v>
                </c:pt>
                <c:pt idx="27">
                  <c:v>0.70710678118654668</c:v>
                </c:pt>
                <c:pt idx="28">
                  <c:v>0.86602540378443882</c:v>
                </c:pt>
                <c:pt idx="29">
                  <c:v>0.96592582628906831</c:v>
                </c:pt>
                <c:pt idx="30">
                  <c:v>1</c:v>
                </c:pt>
                <c:pt idx="31">
                  <c:v>0.96592582628906842</c:v>
                </c:pt>
                <c:pt idx="32">
                  <c:v>0.86602540378443915</c:v>
                </c:pt>
                <c:pt idx="33">
                  <c:v>0.70710678118654713</c:v>
                </c:pt>
                <c:pt idx="34">
                  <c:v>0.49999999999999978</c:v>
                </c:pt>
                <c:pt idx="35">
                  <c:v>0.25881904510252079</c:v>
                </c:pt>
                <c:pt idx="36">
                  <c:v>3.67544536472586E-16</c:v>
                </c:pt>
                <c:pt idx="37">
                  <c:v>-0.25881904510252185</c:v>
                </c:pt>
                <c:pt idx="38">
                  <c:v>-0.50000000000000067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617-4BF7-A82C-D744D19A61BA}"/>
            </c:ext>
          </c:extLst>
        </c:ser>
        <c:ser>
          <c:idx val="1"/>
          <c:order val="1"/>
          <c:tx>
            <c:strRef>
              <c:f>Fourierreihe!$J$15</c:f>
              <c:strCache>
                <c:ptCount val="1"/>
                <c:pt idx="0">
                  <c:v>y0 = 0.33 * sin(3*x ) = 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Fourierreihe!$M$12:$AY$12</c:f>
              <c:numCache>
                <c:formatCode>General</c:formatCode>
                <c:ptCount val="39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</c:numCache>
            </c:numRef>
          </c:xVal>
          <c:yVal>
            <c:numRef>
              <c:f>Fourierreihe!$M$15:$AY$15</c:f>
              <c:numCache>
                <c:formatCode>0.00</c:formatCode>
                <c:ptCount val="39"/>
                <c:pt idx="0">
                  <c:v>0</c:v>
                </c:pt>
                <c:pt idx="1">
                  <c:v>0.23570226039551581</c:v>
                </c:pt>
                <c:pt idx="2">
                  <c:v>0.33333333333333331</c:v>
                </c:pt>
                <c:pt idx="3">
                  <c:v>0.23570226039551584</c:v>
                </c:pt>
                <c:pt idx="4">
                  <c:v>4.083828183028733E-17</c:v>
                </c:pt>
                <c:pt idx="5">
                  <c:v>-0.23570226039551581</c:v>
                </c:pt>
                <c:pt idx="6">
                  <c:v>-0.33333333333333331</c:v>
                </c:pt>
                <c:pt idx="7">
                  <c:v>-0.23570226039551567</c:v>
                </c:pt>
                <c:pt idx="8">
                  <c:v>-8.1676563660574659E-17</c:v>
                </c:pt>
                <c:pt idx="9">
                  <c:v>0.23570226039551578</c:v>
                </c:pt>
                <c:pt idx="10">
                  <c:v>0.33333333333333331</c:v>
                </c:pt>
                <c:pt idx="11">
                  <c:v>0.23570226039551612</c:v>
                </c:pt>
                <c:pt idx="12">
                  <c:v>1.22514845490862E-16</c:v>
                </c:pt>
                <c:pt idx="13">
                  <c:v>-0.23570226039551551</c:v>
                </c:pt>
                <c:pt idx="14">
                  <c:v>-0.33333333333333331</c:v>
                </c:pt>
                <c:pt idx="15">
                  <c:v>-0.23570226039551614</c:v>
                </c:pt>
                <c:pt idx="16">
                  <c:v>-1.6335312732114932E-16</c:v>
                </c:pt>
                <c:pt idx="17">
                  <c:v>0.23570226039551592</c:v>
                </c:pt>
                <c:pt idx="18">
                  <c:v>0.33333333333333331</c:v>
                </c:pt>
                <c:pt idx="19">
                  <c:v>0.23570226039551534</c:v>
                </c:pt>
                <c:pt idx="20">
                  <c:v>2.0419140915143666E-16</c:v>
                </c:pt>
                <c:pt idx="21">
                  <c:v>-0.23570226039551589</c:v>
                </c:pt>
                <c:pt idx="22">
                  <c:v>-0.33333333333333331</c:v>
                </c:pt>
                <c:pt idx="23">
                  <c:v>-0.23570226039551537</c:v>
                </c:pt>
                <c:pt idx="24">
                  <c:v>-2.45029690981724E-16</c:v>
                </c:pt>
                <c:pt idx="25">
                  <c:v>0.23570226039551503</c:v>
                </c:pt>
                <c:pt idx="26">
                  <c:v>0.33333333333333331</c:v>
                </c:pt>
                <c:pt idx="27">
                  <c:v>0.23570226039551623</c:v>
                </c:pt>
                <c:pt idx="28">
                  <c:v>-8.9836992012148897E-16</c:v>
                </c:pt>
                <c:pt idx="29">
                  <c:v>-0.23570226039551584</c:v>
                </c:pt>
                <c:pt idx="30">
                  <c:v>-0.33333333333333331</c:v>
                </c:pt>
                <c:pt idx="31">
                  <c:v>-0.23570226039551626</c:v>
                </c:pt>
                <c:pt idx="32">
                  <c:v>-3.2670625464229864E-16</c:v>
                </c:pt>
                <c:pt idx="33">
                  <c:v>0.23570226039551662</c:v>
                </c:pt>
                <c:pt idx="34">
                  <c:v>0.33333333333333331</c:v>
                </c:pt>
                <c:pt idx="35">
                  <c:v>0.23570226039551628</c:v>
                </c:pt>
                <c:pt idx="36">
                  <c:v>3.67544536472586E-16</c:v>
                </c:pt>
                <c:pt idx="37">
                  <c:v>-0.23570226039551662</c:v>
                </c:pt>
                <c:pt idx="38">
                  <c:v>-0.33333333333333331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617-4BF7-A82C-D744D19A61BA}"/>
            </c:ext>
          </c:extLst>
        </c:ser>
        <c:ser>
          <c:idx val="2"/>
          <c:order val="2"/>
          <c:tx>
            <c:strRef>
              <c:f>Fourierreihe!$J$16</c:f>
              <c:strCache>
                <c:ptCount val="1"/>
                <c:pt idx="0">
                  <c:v>y0 = 0.2 * sin(5*x ) = 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Fourierreihe!$M$12:$AY$12</c:f>
              <c:numCache>
                <c:formatCode>General</c:formatCode>
                <c:ptCount val="39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</c:numCache>
            </c:numRef>
          </c:xVal>
          <c:yVal>
            <c:numRef>
              <c:f>Fourierreihe!$M$16:$AY$16</c:f>
              <c:numCache>
                <c:formatCode>0.00</c:formatCode>
                <c:ptCount val="39"/>
                <c:pt idx="0">
                  <c:v>0</c:v>
                </c:pt>
                <c:pt idx="1">
                  <c:v>0.19318516525781365</c:v>
                </c:pt>
                <c:pt idx="2">
                  <c:v>0.10000000000000007</c:v>
                </c:pt>
                <c:pt idx="3">
                  <c:v>-0.1414213562373095</c:v>
                </c:pt>
                <c:pt idx="4">
                  <c:v>-0.17320508075688781</c:v>
                </c:pt>
                <c:pt idx="5">
                  <c:v>5.1763809020504217E-2</c:v>
                </c:pt>
                <c:pt idx="6">
                  <c:v>0.2</c:v>
                </c:pt>
                <c:pt idx="7">
                  <c:v>5.1763809020504162E-2</c:v>
                </c:pt>
                <c:pt idx="8">
                  <c:v>-0.17320508075688756</c:v>
                </c:pt>
                <c:pt idx="9">
                  <c:v>-0.1414213562373097</c:v>
                </c:pt>
                <c:pt idx="10">
                  <c:v>0.10000000000000012</c:v>
                </c:pt>
                <c:pt idx="11">
                  <c:v>0.19318516525781371</c:v>
                </c:pt>
                <c:pt idx="12">
                  <c:v>1.22514845490862E-16</c:v>
                </c:pt>
                <c:pt idx="13">
                  <c:v>-0.19318516525781348</c:v>
                </c:pt>
                <c:pt idx="14">
                  <c:v>-0.10000000000000003</c:v>
                </c:pt>
                <c:pt idx="15">
                  <c:v>0.14142135623730953</c:v>
                </c:pt>
                <c:pt idx="16">
                  <c:v>0.17320508075688806</c:v>
                </c:pt>
                <c:pt idx="17">
                  <c:v>-5.1763809020504273E-2</c:v>
                </c:pt>
                <c:pt idx="18">
                  <c:v>-0.2</c:v>
                </c:pt>
                <c:pt idx="19">
                  <c:v>-5.176380902050394E-2</c:v>
                </c:pt>
                <c:pt idx="20">
                  <c:v>0.1732050807568879</c:v>
                </c:pt>
                <c:pt idx="21">
                  <c:v>0.14142135623730978</c:v>
                </c:pt>
                <c:pt idx="22">
                  <c:v>-9.99999999999997E-2</c:v>
                </c:pt>
                <c:pt idx="23">
                  <c:v>-0.19318516525781373</c:v>
                </c:pt>
                <c:pt idx="24">
                  <c:v>-2.45029690981724E-16</c:v>
                </c:pt>
                <c:pt idx="25">
                  <c:v>0.1931851652578136</c:v>
                </c:pt>
                <c:pt idx="26">
                  <c:v>0.10000000000000137</c:v>
                </c:pt>
                <c:pt idx="27">
                  <c:v>-0.14142135623730842</c:v>
                </c:pt>
                <c:pt idx="28">
                  <c:v>-0.17320508075688779</c:v>
                </c:pt>
                <c:pt idx="29">
                  <c:v>5.1763809020504148E-2</c:v>
                </c:pt>
                <c:pt idx="30">
                  <c:v>0.2</c:v>
                </c:pt>
                <c:pt idx="31">
                  <c:v>5.1763809020505439E-2</c:v>
                </c:pt>
                <c:pt idx="32">
                  <c:v>-0.17320508075688712</c:v>
                </c:pt>
                <c:pt idx="33">
                  <c:v>-0.14142135623730936</c:v>
                </c:pt>
                <c:pt idx="34">
                  <c:v>0.10000000000000023</c:v>
                </c:pt>
                <c:pt idx="35">
                  <c:v>0.1931851652578136</c:v>
                </c:pt>
                <c:pt idx="36">
                  <c:v>1.0780872722326862E-15</c:v>
                </c:pt>
                <c:pt idx="37">
                  <c:v>-0.19318516525781415</c:v>
                </c:pt>
                <c:pt idx="38">
                  <c:v>-9.9999999999999631E-2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617-4BF7-A82C-D744D19A61BA}"/>
            </c:ext>
          </c:extLst>
        </c:ser>
        <c:ser>
          <c:idx val="3"/>
          <c:order val="3"/>
          <c:tx>
            <c:strRef>
              <c:f>Fourierreihe!$J$17</c:f>
              <c:strCache>
                <c:ptCount val="1"/>
                <c:pt idx="0">
                  <c:v>y0 = 0.14 * sin(7*x ) = 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Fourierreihe!$M$12:$AY$12</c:f>
              <c:numCache>
                <c:formatCode>General</c:formatCode>
                <c:ptCount val="39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</c:numCache>
            </c:numRef>
          </c:xVal>
          <c:yVal>
            <c:numRef>
              <c:f>Fourierreihe!$M$17:$AY$17</c:f>
              <c:numCache>
                <c:formatCode>0.00</c:formatCode>
                <c:ptCount val="39"/>
                <c:pt idx="0">
                  <c:v>0</c:v>
                </c:pt>
                <c:pt idx="1">
                  <c:v>0.13798940375558119</c:v>
                </c:pt>
                <c:pt idx="2">
                  <c:v>-7.1428571428571383E-2</c:v>
                </c:pt>
                <c:pt idx="3">
                  <c:v>-0.1010152544552211</c:v>
                </c:pt>
                <c:pt idx="4">
                  <c:v>0.12371791482634834</c:v>
                </c:pt>
                <c:pt idx="5">
                  <c:v>3.697414930036011E-2</c:v>
                </c:pt>
                <c:pt idx="6">
                  <c:v>-0.14285714285714285</c:v>
                </c:pt>
                <c:pt idx="7">
                  <c:v>3.6974149300360241E-2</c:v>
                </c:pt>
                <c:pt idx="8">
                  <c:v>0.12371791482634846</c:v>
                </c:pt>
                <c:pt idx="9">
                  <c:v>-0.1010152544552211</c:v>
                </c:pt>
                <c:pt idx="10">
                  <c:v>-7.1428571428571438E-2</c:v>
                </c:pt>
                <c:pt idx="11">
                  <c:v>0.13798940375558116</c:v>
                </c:pt>
                <c:pt idx="12">
                  <c:v>1.22514845490862E-16</c:v>
                </c:pt>
                <c:pt idx="13">
                  <c:v>-0.13798940375558122</c:v>
                </c:pt>
                <c:pt idx="14">
                  <c:v>7.1428571428571661E-2</c:v>
                </c:pt>
                <c:pt idx="15">
                  <c:v>0.10101525445522126</c:v>
                </c:pt>
                <c:pt idx="16">
                  <c:v>-0.12371791482634821</c:v>
                </c:pt>
                <c:pt idx="17">
                  <c:v>-3.6974149300359985E-2</c:v>
                </c:pt>
                <c:pt idx="18">
                  <c:v>0.14285714285714285</c:v>
                </c:pt>
                <c:pt idx="19">
                  <c:v>-3.6974149300360609E-2</c:v>
                </c:pt>
                <c:pt idx="20">
                  <c:v>-0.12371791482634839</c:v>
                </c:pt>
                <c:pt idx="21">
                  <c:v>0.10101525445522065</c:v>
                </c:pt>
                <c:pt idx="22">
                  <c:v>7.142857142857155E-2</c:v>
                </c:pt>
                <c:pt idx="23">
                  <c:v>-0.13798940375558125</c:v>
                </c:pt>
                <c:pt idx="24">
                  <c:v>-2.45029690981724E-16</c:v>
                </c:pt>
                <c:pt idx="25">
                  <c:v>0.13798940375558139</c:v>
                </c:pt>
                <c:pt idx="26">
                  <c:v>-7.1428571428571119E-2</c:v>
                </c:pt>
                <c:pt idx="27">
                  <c:v>-0.10101525445522171</c:v>
                </c:pt>
                <c:pt idx="28">
                  <c:v>0.12371791482634865</c:v>
                </c:pt>
                <c:pt idx="29">
                  <c:v>3.6974149300360103E-2</c:v>
                </c:pt>
                <c:pt idx="30">
                  <c:v>-0.14285714285714285</c:v>
                </c:pt>
                <c:pt idx="31">
                  <c:v>3.6974149300360006E-2</c:v>
                </c:pt>
                <c:pt idx="32">
                  <c:v>0.1237179148263487</c:v>
                </c:pt>
                <c:pt idx="33">
                  <c:v>-0.10101525445522164</c:v>
                </c:pt>
                <c:pt idx="34">
                  <c:v>-7.1428571428571216E-2</c:v>
                </c:pt>
                <c:pt idx="35">
                  <c:v>0.13798940375558111</c:v>
                </c:pt>
                <c:pt idx="36">
                  <c:v>-1.399859890703427E-16</c:v>
                </c:pt>
                <c:pt idx="37">
                  <c:v>-0.13798940375558102</c:v>
                </c:pt>
                <c:pt idx="38">
                  <c:v>7.1428571428572327E-2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617-4BF7-A82C-D744D19A61BA}"/>
            </c:ext>
          </c:extLst>
        </c:ser>
        <c:ser>
          <c:idx val="4"/>
          <c:order val="4"/>
          <c:tx>
            <c:strRef>
              <c:f>Fourierreihe!$J$20</c:f>
              <c:strCache>
                <c:ptCount val="1"/>
                <c:pt idx="0">
                  <c:v>yResultierend = y0 + y1 + y2 + y3 = </c:v>
                </c:pt>
              </c:strCache>
            </c:strRef>
          </c:tx>
          <c:spPr>
            <a:ln w="317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Fourierreihe!$M$12:$AY$12</c:f>
              <c:numCache>
                <c:formatCode>General</c:formatCode>
                <c:ptCount val="39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</c:numCache>
            </c:numRef>
          </c:xVal>
          <c:yVal>
            <c:numRef>
              <c:f>Fourierreihe!$M$20:$AY$20</c:f>
              <c:numCache>
                <c:formatCode>0.00</c:formatCode>
                <c:ptCount val="39"/>
                <c:pt idx="0">
                  <c:v>0</c:v>
                </c:pt>
                <c:pt idx="1">
                  <c:v>0.82569587451143145</c:v>
                </c:pt>
                <c:pt idx="2">
                  <c:v>0.86190476190476195</c:v>
                </c:pt>
                <c:pt idx="3">
                  <c:v>0.70037243088953283</c:v>
                </c:pt>
                <c:pt idx="4">
                  <c:v>0.81653823785389912</c:v>
                </c:pt>
                <c:pt idx="5">
                  <c:v>0.81896152421441692</c:v>
                </c:pt>
                <c:pt idx="6">
                  <c:v>0.7238095238095239</c:v>
                </c:pt>
                <c:pt idx="7">
                  <c:v>0.81896152421441704</c:v>
                </c:pt>
                <c:pt idx="8">
                  <c:v>0.81653823785389945</c:v>
                </c:pt>
                <c:pt idx="9">
                  <c:v>0.7003724308895326</c:v>
                </c:pt>
                <c:pt idx="10">
                  <c:v>0.86190476190476195</c:v>
                </c:pt>
                <c:pt idx="11">
                  <c:v>0.825695874511432</c:v>
                </c:pt>
                <c:pt idx="12">
                  <c:v>4.90059381963448E-16</c:v>
                </c:pt>
                <c:pt idx="13">
                  <c:v>-0.82569587451143056</c:v>
                </c:pt>
                <c:pt idx="14">
                  <c:v>-0.86190476190476195</c:v>
                </c:pt>
                <c:pt idx="15">
                  <c:v>-0.70037243088953272</c:v>
                </c:pt>
                <c:pt idx="16">
                  <c:v>-0.81653823785389867</c:v>
                </c:pt>
                <c:pt idx="17">
                  <c:v>-0.8189615242144167</c:v>
                </c:pt>
                <c:pt idx="18">
                  <c:v>-0.7238095238095239</c:v>
                </c:pt>
                <c:pt idx="19">
                  <c:v>-0.81896152421441737</c:v>
                </c:pt>
                <c:pt idx="20">
                  <c:v>-0.8165382378538989</c:v>
                </c:pt>
                <c:pt idx="21">
                  <c:v>-0.70037243088953316</c:v>
                </c:pt>
                <c:pt idx="22">
                  <c:v>-0.86190476190476184</c:v>
                </c:pt>
                <c:pt idx="23">
                  <c:v>-0.825695874511431</c:v>
                </c:pt>
                <c:pt idx="24">
                  <c:v>-9.8011876392689601E-16</c:v>
                </c:pt>
                <c:pt idx="25">
                  <c:v>0.82569587451143023</c:v>
                </c:pt>
                <c:pt idx="26">
                  <c:v>0.86190476190476284</c:v>
                </c:pt>
                <c:pt idx="27">
                  <c:v>0.70037243088953272</c:v>
                </c:pt>
                <c:pt idx="28">
                  <c:v>0.81653823785389879</c:v>
                </c:pt>
                <c:pt idx="29">
                  <c:v>0.81896152421441681</c:v>
                </c:pt>
                <c:pt idx="30">
                  <c:v>0.7238095238095239</c:v>
                </c:pt>
                <c:pt idx="31">
                  <c:v>0.8189615242144177</c:v>
                </c:pt>
                <c:pt idx="32">
                  <c:v>0.81653823785390034</c:v>
                </c:pt>
                <c:pt idx="33">
                  <c:v>0.70037243088953283</c:v>
                </c:pt>
                <c:pt idx="34">
                  <c:v>0.86190476190476206</c:v>
                </c:pt>
                <c:pt idx="35">
                  <c:v>0.82569587451143178</c:v>
                </c:pt>
                <c:pt idx="36">
                  <c:v>1.6731903561075154E-15</c:v>
                </c:pt>
                <c:pt idx="37">
                  <c:v>-0.82569587451143367</c:v>
                </c:pt>
                <c:pt idx="38">
                  <c:v>-0.86190476190476129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617-4BF7-A82C-D744D19A61BA}"/>
            </c:ext>
          </c:extLst>
        </c:ser>
        <c:ser>
          <c:idx val="5"/>
          <c:order val="5"/>
          <c:tx>
            <c:strRef>
              <c:f>Fourierreihe!$S$4</c:f>
              <c:strCache>
                <c:ptCount val="1"/>
                <c:pt idx="0">
                  <c:v>Hilfslinie:</c:v>
                </c:pt>
              </c:strCache>
            </c:strRef>
          </c:tx>
          <c:spPr>
            <a:ln w="19050" cap="rnd">
              <a:solidFill>
                <a:schemeClr val="tx1">
                  <a:lumMod val="95000"/>
                  <a:lumOff val="5000"/>
                </a:schemeClr>
              </a:solidFill>
              <a:round/>
              <a:headEnd type="none"/>
              <a:tailEnd type="triangle"/>
            </a:ln>
            <a:effectLst/>
          </c:spPr>
          <c:marker>
            <c:symbol val="none"/>
          </c:marker>
          <c:xVal>
            <c:numRef>
              <c:f>Fourierreihe!$W$5:$X$5</c:f>
              <c:numCache>
                <c:formatCode>General</c:formatCode>
                <c:ptCount val="2"/>
                <c:pt idx="0">
                  <c:v>270</c:v>
                </c:pt>
                <c:pt idx="1">
                  <c:v>270</c:v>
                </c:pt>
              </c:numCache>
            </c:numRef>
          </c:xVal>
          <c:yVal>
            <c:numRef>
              <c:f>Fourierreihe!$W$6:$X$6</c:f>
              <c:numCache>
                <c:formatCode>General</c:formatCode>
                <c:ptCount val="2"/>
                <c:pt idx="0">
                  <c:v>0</c:v>
                </c:pt>
                <c:pt idx="1">
                  <c:v>-1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CB1-4989-AFCF-57F354435A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074943"/>
        <c:axId val="192078783"/>
      </c:scatterChart>
      <c:valAx>
        <c:axId val="192074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Winkel phi [°]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2078783"/>
        <c:crosses val="autoZero"/>
        <c:crossBetween val="midCat"/>
      </c:valAx>
      <c:valAx>
        <c:axId val="192078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Amplitude</a:t>
                </a:r>
              </a:p>
              <a:p>
                <a:pPr>
                  <a:defRPr/>
                </a:pPr>
                <a:endParaRPr lang="de-C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20749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205293305049966E-2"/>
          <c:y val="2.429473953674088E-2"/>
          <c:w val="0.90193554992787428"/>
          <c:h val="0.7588083647640366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Scheinleistung!$J$14</c:f>
              <c:strCache>
                <c:ptCount val="1"/>
                <c:pt idx="0">
                  <c:v>U = 20 * sin(50*x  + 1.57) =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Scheinleistung!$M$12:$AY$12</c:f>
              <c:numCache>
                <c:formatCode>General</c:formatCode>
                <c:ptCount val="39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</c:numCache>
            </c:numRef>
          </c:xVal>
          <c:yVal>
            <c:numRef>
              <c:f>Scheinleistung!$M$14:$AY$14</c:f>
              <c:numCache>
                <c:formatCode>0.00</c:formatCode>
                <c:ptCount val="39"/>
                <c:pt idx="0">
                  <c:v>20</c:v>
                </c:pt>
                <c:pt idx="1">
                  <c:v>17.320508075688785</c:v>
                </c:pt>
                <c:pt idx="2">
                  <c:v>10.000000000000009</c:v>
                </c:pt>
                <c:pt idx="3">
                  <c:v>-3.9200413748385898E-14</c:v>
                </c:pt>
                <c:pt idx="4">
                  <c:v>-9.9999999999999538</c:v>
                </c:pt>
                <c:pt idx="5">
                  <c:v>-17.3205080756887</c:v>
                </c:pt>
                <c:pt idx="6">
                  <c:v>-20</c:v>
                </c:pt>
                <c:pt idx="7">
                  <c:v>-17.320508075688796</c:v>
                </c:pt>
                <c:pt idx="8">
                  <c:v>-10.000000000000247</c:v>
                </c:pt>
                <c:pt idx="9">
                  <c:v>-2.3521982972507516E-13</c:v>
                </c:pt>
                <c:pt idx="10">
                  <c:v>9.9999999999998384</c:v>
                </c:pt>
                <c:pt idx="11">
                  <c:v>17.320508075688707</c:v>
                </c:pt>
                <c:pt idx="12">
                  <c:v>20</c:v>
                </c:pt>
                <c:pt idx="13">
                  <c:v>17.320508075689077</c:v>
                </c:pt>
                <c:pt idx="14">
                  <c:v>9.9999999999999911</c:v>
                </c:pt>
                <c:pt idx="15">
                  <c:v>5.0964007319853621E-13</c:v>
                </c:pt>
                <c:pt idx="16">
                  <c:v>-9.9999999999996021</c:v>
                </c:pt>
                <c:pt idx="17">
                  <c:v>-17.320508075688853</c:v>
                </c:pt>
                <c:pt idx="18">
                  <c:v>-20</c:v>
                </c:pt>
                <c:pt idx="19">
                  <c:v>-17.320508075688647</c:v>
                </c:pt>
                <c:pt idx="20">
                  <c:v>-10.000000000000229</c:v>
                </c:pt>
                <c:pt idx="21">
                  <c:v>-7.8406031667199727E-13</c:v>
                </c:pt>
                <c:pt idx="22">
                  <c:v>9.9999999999998561</c:v>
                </c:pt>
                <c:pt idx="23">
                  <c:v>17.320508075688998</c:v>
                </c:pt>
                <c:pt idx="24">
                  <c:v>20</c:v>
                </c:pt>
                <c:pt idx="25">
                  <c:v>17.320508075689066</c:v>
                </c:pt>
                <c:pt idx="26">
                  <c:v>10.000000000000959</c:v>
                </c:pt>
                <c:pt idx="27">
                  <c:v>1.6269147487535385E-12</c:v>
                </c:pt>
                <c:pt idx="28">
                  <c:v>-10.00000000000011</c:v>
                </c:pt>
                <c:pt idx="29">
                  <c:v>-17.320508075688576</c:v>
                </c:pt>
                <c:pt idx="30">
                  <c:v>-20</c:v>
                </c:pt>
                <c:pt idx="31">
                  <c:v>-17.32050807568892</c:v>
                </c:pt>
                <c:pt idx="32">
                  <c:v>-10.000000000000703</c:v>
                </c:pt>
                <c:pt idx="33">
                  <c:v>9.4083595081340121E-13</c:v>
                </c:pt>
                <c:pt idx="34">
                  <c:v>10.000000000000364</c:v>
                </c:pt>
                <c:pt idx="35">
                  <c:v>17.320508075688721</c:v>
                </c:pt>
                <c:pt idx="36">
                  <c:v>20</c:v>
                </c:pt>
                <c:pt idx="37">
                  <c:v>17.320508075688203</c:v>
                </c:pt>
                <c:pt idx="38">
                  <c:v>9.9999999999994653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D5-4B17-87D9-4BBF3EBE3CE3}"/>
            </c:ext>
          </c:extLst>
        </c:ser>
        <c:ser>
          <c:idx val="1"/>
          <c:order val="1"/>
          <c:tx>
            <c:strRef>
              <c:f>Scheinleistung!$J$15</c:f>
              <c:strCache>
                <c:ptCount val="1"/>
                <c:pt idx="0">
                  <c:v>I =  sin(50*x ) = 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Scheinleistung!$M$12:$AY$12</c:f>
              <c:numCache>
                <c:formatCode>General</c:formatCode>
                <c:ptCount val="39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</c:numCache>
            </c:numRef>
          </c:xVal>
          <c:yVal>
            <c:numRef>
              <c:f>Scheinleistung!$M$15:$AY$15</c:f>
              <c:numCache>
                <c:formatCode>0.00</c:formatCode>
                <c:ptCount val="39"/>
                <c:pt idx="0">
                  <c:v>0</c:v>
                </c:pt>
                <c:pt idx="1">
                  <c:v>0.49999999999999906</c:v>
                </c:pt>
                <c:pt idx="2">
                  <c:v>0.8660254037844376</c:v>
                </c:pt>
                <c:pt idx="3">
                  <c:v>1</c:v>
                </c:pt>
                <c:pt idx="4">
                  <c:v>0.86602540378444082</c:v>
                </c:pt>
                <c:pt idx="5">
                  <c:v>0.50000000000000167</c:v>
                </c:pt>
                <c:pt idx="6">
                  <c:v>-4.898425415289509E-16</c:v>
                </c:pt>
                <c:pt idx="7">
                  <c:v>-0.50000000000000255</c:v>
                </c:pt>
                <c:pt idx="8">
                  <c:v>-0.86602540378443427</c:v>
                </c:pt>
                <c:pt idx="9">
                  <c:v>-1</c:v>
                </c:pt>
                <c:pt idx="10">
                  <c:v>-0.86602540378444059</c:v>
                </c:pt>
                <c:pt idx="11">
                  <c:v>-0.50000000000000122</c:v>
                </c:pt>
                <c:pt idx="12">
                  <c:v>9.7968508305790181E-16</c:v>
                </c:pt>
                <c:pt idx="13">
                  <c:v>0.49999999999997835</c:v>
                </c:pt>
                <c:pt idx="14">
                  <c:v>0.86602540378444159</c:v>
                </c:pt>
                <c:pt idx="15">
                  <c:v>1</c:v>
                </c:pt>
                <c:pt idx="16">
                  <c:v>0.86602540378444748</c:v>
                </c:pt>
                <c:pt idx="17">
                  <c:v>0.49999999999998856</c:v>
                </c:pt>
                <c:pt idx="18">
                  <c:v>1.2741327090615151E-14</c:v>
                </c:pt>
                <c:pt idx="19">
                  <c:v>-0.50000000000001565</c:v>
                </c:pt>
                <c:pt idx="20">
                  <c:v>-0.86602540378443471</c:v>
                </c:pt>
                <c:pt idx="21">
                  <c:v>-1</c:v>
                </c:pt>
                <c:pt idx="22">
                  <c:v>-0.86602540378444015</c:v>
                </c:pt>
                <c:pt idx="23">
                  <c:v>-0.4999999999999758</c:v>
                </c:pt>
                <c:pt idx="24">
                  <c:v>1.9593701661158036E-15</c:v>
                </c:pt>
                <c:pt idx="25">
                  <c:v>0.49999999999997918</c:v>
                </c:pt>
                <c:pt idx="26">
                  <c:v>0.86602540378441362</c:v>
                </c:pt>
                <c:pt idx="27">
                  <c:v>1</c:v>
                </c:pt>
                <c:pt idx="28">
                  <c:v>0.86602540378443271</c:v>
                </c:pt>
                <c:pt idx="29">
                  <c:v>0.50000000000001232</c:v>
                </c:pt>
                <c:pt idx="30">
                  <c:v>4.0183351437961257E-14</c:v>
                </c:pt>
                <c:pt idx="31">
                  <c:v>-0.49999999999999195</c:v>
                </c:pt>
                <c:pt idx="32">
                  <c:v>-0.86602540378442106</c:v>
                </c:pt>
                <c:pt idx="33">
                  <c:v>-1</c:v>
                </c:pt>
                <c:pt idx="34">
                  <c:v>-0.86602540378442538</c:v>
                </c:pt>
                <c:pt idx="35">
                  <c:v>-0.49999999999999956</c:v>
                </c:pt>
                <c:pt idx="36">
                  <c:v>-2.5482654181230302E-14</c:v>
                </c:pt>
                <c:pt idx="37">
                  <c:v>0.50000000000005385</c:v>
                </c:pt>
                <c:pt idx="38">
                  <c:v>0.8660254037844568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0D5-4B17-87D9-4BBF3EBE3CE3}"/>
            </c:ext>
          </c:extLst>
        </c:ser>
        <c:ser>
          <c:idx val="2"/>
          <c:order val="2"/>
          <c:tx>
            <c:strRef>
              <c:f>Scheinleistung!$J$18</c:f>
              <c:strCache>
                <c:ptCount val="1"/>
                <c:pt idx="0">
                  <c:v>Leistung P = U *I = 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Scheinleistung!$M$12:$AY$12</c:f>
              <c:numCache>
                <c:formatCode>General</c:formatCode>
                <c:ptCount val="39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</c:numCache>
            </c:numRef>
          </c:xVal>
          <c:yVal>
            <c:numRef>
              <c:f>Scheinleistung!$M$18:$AY$18</c:f>
              <c:numCache>
                <c:formatCode>0.00</c:formatCode>
                <c:ptCount val="39"/>
                <c:pt idx="0">
                  <c:v>0</c:v>
                </c:pt>
                <c:pt idx="1">
                  <c:v>8.6602540378443766</c:v>
                </c:pt>
                <c:pt idx="2">
                  <c:v>8.6602540378443837</c:v>
                </c:pt>
                <c:pt idx="3">
                  <c:v>-3.9200413748385898E-14</c:v>
                </c:pt>
                <c:pt idx="4">
                  <c:v>-8.6602540378443678</c:v>
                </c:pt>
                <c:pt idx="5">
                  <c:v>-8.6602540378443784</c:v>
                </c:pt>
                <c:pt idx="6">
                  <c:v>9.7968508305790181E-15</c:v>
                </c:pt>
                <c:pt idx="7">
                  <c:v>8.6602540378444424</c:v>
                </c:pt>
                <c:pt idx="8">
                  <c:v>8.6602540378445561</c:v>
                </c:pt>
                <c:pt idx="9">
                  <c:v>2.3521982972507516E-13</c:v>
                </c:pt>
                <c:pt idx="10">
                  <c:v>-8.6602540378442665</c:v>
                </c:pt>
                <c:pt idx="11">
                  <c:v>-8.6602540378443749</c:v>
                </c:pt>
                <c:pt idx="12">
                  <c:v>1.9593701661158036E-14</c:v>
                </c:pt>
                <c:pt idx="13">
                  <c:v>8.6602540378441635</c:v>
                </c:pt>
                <c:pt idx="14">
                  <c:v>8.6602540378444086</c:v>
                </c:pt>
                <c:pt idx="15">
                  <c:v>5.0964007319853621E-13</c:v>
                </c:pt>
                <c:pt idx="16">
                  <c:v>-8.6602540378441297</c:v>
                </c:pt>
                <c:pt idx="17">
                  <c:v>-8.6602540378442274</c:v>
                </c:pt>
                <c:pt idx="18">
                  <c:v>-2.5482654181230302E-13</c:v>
                </c:pt>
                <c:pt idx="19">
                  <c:v>8.6602540378445951</c:v>
                </c:pt>
                <c:pt idx="20">
                  <c:v>8.6602540378445454</c:v>
                </c:pt>
                <c:pt idx="21">
                  <c:v>7.8406031667199727E-13</c:v>
                </c:pt>
                <c:pt idx="22">
                  <c:v>-8.6602540378442772</c:v>
                </c:pt>
                <c:pt idx="23">
                  <c:v>-8.66025403784408</c:v>
                </c:pt>
                <c:pt idx="24">
                  <c:v>3.9187403322316072E-14</c:v>
                </c:pt>
                <c:pt idx="25">
                  <c:v>8.6602540378441724</c:v>
                </c:pt>
                <c:pt idx="26">
                  <c:v>8.6602540378449664</c:v>
                </c:pt>
                <c:pt idx="27">
                  <c:v>1.6269147487535385E-12</c:v>
                </c:pt>
                <c:pt idx="28">
                  <c:v>-8.6602540378444228</c:v>
                </c:pt>
                <c:pt idx="29">
                  <c:v>-8.660254037844501</c:v>
                </c:pt>
                <c:pt idx="30">
                  <c:v>-8.0366702875922513E-13</c:v>
                </c:pt>
                <c:pt idx="31">
                  <c:v>8.6602540378443216</c:v>
                </c:pt>
                <c:pt idx="32">
                  <c:v>8.660254037844819</c:v>
                </c:pt>
                <c:pt idx="33">
                  <c:v>-9.4083595081340121E-13</c:v>
                </c:pt>
                <c:pt idx="34">
                  <c:v>-8.6602540378445685</c:v>
                </c:pt>
                <c:pt idx="35">
                  <c:v>-8.6602540378443535</c:v>
                </c:pt>
                <c:pt idx="36">
                  <c:v>-5.0965308362460604E-13</c:v>
                </c:pt>
                <c:pt idx="37">
                  <c:v>8.6602540378450339</c:v>
                </c:pt>
                <c:pt idx="38">
                  <c:v>8.6602540378441049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D5-4B17-87D9-4BBF3EBE3CE3}"/>
            </c:ext>
          </c:extLst>
        </c:ser>
        <c:ser>
          <c:idx val="3"/>
          <c:order val="3"/>
          <c:tx>
            <c:strRef>
              <c:f>Scheinleistung!$S$4</c:f>
              <c:strCache>
                <c:ptCount val="1"/>
                <c:pt idx="0">
                  <c:v>Hilfslinie:</c:v>
                </c:pt>
              </c:strCache>
            </c:strRef>
          </c:tx>
          <c:spPr>
            <a:ln w="19050" cap="rnd">
              <a:solidFill>
                <a:schemeClr val="tx1">
                  <a:lumMod val="95000"/>
                  <a:lumOff val="5000"/>
                </a:schemeClr>
              </a:solidFill>
              <a:round/>
              <a:headEnd type="triangle" w="med" len="med"/>
              <a:tailEnd type="triangle" w="med" len="med"/>
            </a:ln>
            <a:effectLst/>
          </c:spPr>
          <c:marker>
            <c:symbol val="none"/>
          </c:marker>
          <c:xVal>
            <c:numRef>
              <c:f>Scheinleistung!$W$5:$X$5</c:f>
              <c:numCache>
                <c:formatCode>General</c:formatCode>
                <c:ptCount val="2"/>
                <c:pt idx="0">
                  <c:v>210</c:v>
                </c:pt>
                <c:pt idx="1">
                  <c:v>210</c:v>
                </c:pt>
              </c:numCache>
            </c:numRef>
          </c:xVal>
          <c:yVal>
            <c:numRef>
              <c:f>Scheinleistung!$W$6:$X$6</c:f>
              <c:numCache>
                <c:formatCode>0.00</c:formatCode>
                <c:ptCount val="2"/>
                <c:pt idx="0">
                  <c:v>0.86602540378444159</c:v>
                </c:pt>
                <c:pt idx="1">
                  <c:v>9.9999999999999911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0D5-4B17-87D9-4BBF3EBE3C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0486639"/>
        <c:axId val="970485199"/>
      </c:scatterChart>
      <c:valAx>
        <c:axId val="970486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Phasenwinkel [°]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70485199"/>
        <c:crosses val="autoZero"/>
        <c:crossBetween val="midCat"/>
      </c:valAx>
      <c:valAx>
        <c:axId val="970485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Spannung / Stromstärke / Leistung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704866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5.898518426161177E-2"/>
          <c:y val="0.84164438344576964"/>
          <c:w val="0.74177067188956602"/>
          <c:h val="0.11181179976543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hyperlink" Target="#TOC!A1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hyperlink" Target="#TOC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hyperlink" Target="#TOC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TOC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TOC!A1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TOC!A1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hyperlink" Target="#TOC!A1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hyperlink" Target="#TOC!A1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hyperlink" Target="#TOC!A1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hyperlink" Target="#TOC!A1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293007</xdr:colOff>
      <xdr:row>0</xdr:row>
      <xdr:rowOff>143329</xdr:rowOff>
    </xdr:from>
    <xdr:to>
      <xdr:col>2</xdr:col>
      <xdr:colOff>50800</xdr:colOff>
      <xdr:row>0</xdr:row>
      <xdr:rowOff>463550</xdr:rowOff>
    </xdr:to>
    <xdr:sp macro="" textlink="">
      <xdr:nvSpPr>
        <xdr:cNvPr id="2" name="Pfeil: nach recht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D7D7223-AAE0-4314-8311-2AE59115A6A3}"/>
            </a:ext>
          </a:extLst>
        </xdr:cNvPr>
        <xdr:cNvSpPr/>
      </xdr:nvSpPr>
      <xdr:spPr>
        <a:xfrm rot="10800000">
          <a:off x="559707" y="143329"/>
          <a:ext cx="583293" cy="320221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3</xdr:col>
      <xdr:colOff>1358348</xdr:colOff>
      <xdr:row>2</xdr:row>
      <xdr:rowOff>65244</xdr:rowOff>
    </xdr:from>
    <xdr:to>
      <xdr:col>8</xdr:col>
      <xdr:colOff>531105</xdr:colOff>
      <xdr:row>13</xdr:row>
      <xdr:rowOff>115956</xdr:rowOff>
    </xdr:to>
    <xdr:cxnSp macro="">
      <xdr:nvCxnSpPr>
        <xdr:cNvPr id="5" name="Gerader Verbinder 4">
          <a:extLst>
            <a:ext uri="{FF2B5EF4-FFF2-40B4-BE49-F238E27FC236}">
              <a16:creationId xmlns:a16="http://schemas.microsoft.com/office/drawing/2014/main" id="{6A075162-981A-2E77-68B9-B48F7E906F39}"/>
            </a:ext>
          </a:extLst>
        </xdr:cNvPr>
        <xdr:cNvCxnSpPr/>
      </xdr:nvCxnSpPr>
      <xdr:spPr>
        <a:xfrm flipV="1">
          <a:off x="3288196" y="901787"/>
          <a:ext cx="4548170" cy="2055104"/>
        </a:xfrm>
        <a:prstGeom prst="line">
          <a:avLst/>
        </a:prstGeom>
        <a:ln w="31750">
          <a:solidFill>
            <a:schemeClr val="tx1">
              <a:lumMod val="95000"/>
              <a:lumOff val="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550589</xdr:colOff>
      <xdr:row>1</xdr:row>
      <xdr:rowOff>332565</xdr:rowOff>
    </xdr:from>
    <xdr:to>
      <xdr:col>7</xdr:col>
      <xdr:colOff>520653</xdr:colOff>
      <xdr:row>5</xdr:row>
      <xdr:rowOff>128672</xdr:rowOff>
    </xdr:to>
    <xdr:sp macro="" textlink="">
      <xdr:nvSpPr>
        <xdr:cNvPr id="9" name="Rechteck 8">
          <a:extLst>
            <a:ext uri="{FF2B5EF4-FFF2-40B4-BE49-F238E27FC236}">
              <a16:creationId xmlns:a16="http://schemas.microsoft.com/office/drawing/2014/main" id="{ADEBC53F-BC44-6809-F2F1-79521F047BE0}"/>
            </a:ext>
          </a:extLst>
        </xdr:cNvPr>
        <xdr:cNvSpPr/>
      </xdr:nvSpPr>
      <xdr:spPr>
        <a:xfrm rot="20134171">
          <a:off x="4927076" y="838894"/>
          <a:ext cx="1524143" cy="67341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3</xdr:col>
      <xdr:colOff>2432593</xdr:colOff>
      <xdr:row>10</xdr:row>
      <xdr:rowOff>30118</xdr:rowOff>
    </xdr:from>
    <xdr:to>
      <xdr:col>5</xdr:col>
      <xdr:colOff>17562</xdr:colOff>
      <xdr:row>16</xdr:row>
      <xdr:rowOff>30119</xdr:rowOff>
    </xdr:to>
    <xdr:sp macro="" textlink="">
      <xdr:nvSpPr>
        <xdr:cNvPr id="12" name="Bogen 11">
          <a:extLst>
            <a:ext uri="{FF2B5EF4-FFF2-40B4-BE49-F238E27FC236}">
              <a16:creationId xmlns:a16="http://schemas.microsoft.com/office/drawing/2014/main" id="{0006415D-5647-0ADB-79D2-8A066439C59E}"/>
            </a:ext>
          </a:extLst>
        </xdr:cNvPr>
        <xdr:cNvSpPr/>
      </xdr:nvSpPr>
      <xdr:spPr>
        <a:xfrm>
          <a:off x="4362441" y="2324401"/>
          <a:ext cx="715795" cy="1093305"/>
        </a:xfrm>
        <a:prstGeom prst="arc">
          <a:avLst>
            <a:gd name="adj1" fmla="val 16200000"/>
            <a:gd name="adj2" fmla="val 595574"/>
          </a:avLst>
        </a:prstGeom>
        <a:ln>
          <a:headEnd type="triangl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oneCellAnchor>
    <xdr:from>
      <xdr:col>3</xdr:col>
      <xdr:colOff>2214353</xdr:colOff>
      <xdr:row>10</xdr:row>
      <xdr:rowOff>56668</xdr:rowOff>
    </xdr:from>
    <xdr:ext cx="446597" cy="655885"/>
    <xdr:sp macro="" textlink="">
      <xdr:nvSpPr>
        <xdr:cNvPr id="13" name="Textfeld 12">
          <a:extLst>
            <a:ext uri="{FF2B5EF4-FFF2-40B4-BE49-F238E27FC236}">
              <a16:creationId xmlns:a16="http://schemas.microsoft.com/office/drawing/2014/main" id="{262B1A52-B42B-BD35-B582-E8126A9ABBFF}"/>
            </a:ext>
          </a:extLst>
        </xdr:cNvPr>
        <xdr:cNvSpPr txBox="1"/>
      </xdr:nvSpPr>
      <xdr:spPr>
        <a:xfrm>
          <a:off x="4144201" y="2350951"/>
          <a:ext cx="446597" cy="6558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l-GR" sz="3600"/>
            <a:t>α</a:t>
          </a:r>
          <a:endParaRPr lang="de-CH" sz="3600"/>
        </a:p>
      </xdr:txBody>
    </xdr:sp>
    <xdr:clientData/>
  </xdr:oneCellAnchor>
  <xdr:twoCellAnchor>
    <xdr:from>
      <xdr:col>6</xdr:col>
      <xdr:colOff>449035</xdr:colOff>
      <xdr:row>4</xdr:row>
      <xdr:rowOff>54428</xdr:rowOff>
    </xdr:from>
    <xdr:to>
      <xdr:col>6</xdr:col>
      <xdr:colOff>462642</xdr:colOff>
      <xdr:row>16</xdr:row>
      <xdr:rowOff>68036</xdr:rowOff>
    </xdr:to>
    <xdr:cxnSp macro="">
      <xdr:nvCxnSpPr>
        <xdr:cNvPr id="15" name="Gerade Verbindung mit Pfeil 14">
          <a:extLst>
            <a:ext uri="{FF2B5EF4-FFF2-40B4-BE49-F238E27FC236}">
              <a16:creationId xmlns:a16="http://schemas.microsoft.com/office/drawing/2014/main" id="{AB142219-0A1D-3F2D-28A5-FFA84C08CF4E}"/>
            </a:ext>
          </a:extLst>
        </xdr:cNvPr>
        <xdr:cNvCxnSpPr/>
      </xdr:nvCxnSpPr>
      <xdr:spPr>
        <a:xfrm flipH="1">
          <a:off x="5361214" y="1251857"/>
          <a:ext cx="13607" cy="2136322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513180</xdr:colOff>
      <xdr:row>4</xdr:row>
      <xdr:rowOff>59941</xdr:rowOff>
    </xdr:from>
    <xdr:to>
      <xdr:col>6</xdr:col>
      <xdr:colOff>483219</xdr:colOff>
      <xdr:row>6</xdr:row>
      <xdr:rowOff>80211</xdr:rowOff>
    </xdr:to>
    <xdr:cxnSp macro="">
      <xdr:nvCxnSpPr>
        <xdr:cNvPr id="16" name="Gerade Verbindung mit Pfeil 15">
          <a:extLst>
            <a:ext uri="{FF2B5EF4-FFF2-40B4-BE49-F238E27FC236}">
              <a16:creationId xmlns:a16="http://schemas.microsoft.com/office/drawing/2014/main" id="{5F08F951-EA5E-E463-A306-20BDBF63CAEA}"/>
            </a:ext>
          </a:extLst>
        </xdr:cNvPr>
        <xdr:cNvCxnSpPr/>
      </xdr:nvCxnSpPr>
      <xdr:spPr>
        <a:xfrm flipH="1">
          <a:off x="4889667" y="1263099"/>
          <a:ext cx="837315" cy="381217"/>
        </a:xfrm>
        <a:prstGeom prst="straightConnector1">
          <a:avLst/>
        </a:prstGeom>
        <a:ln w="28575">
          <a:solidFill>
            <a:schemeClr val="accent2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</xdr:col>
      <xdr:colOff>424996</xdr:colOff>
      <xdr:row>7</xdr:row>
      <xdr:rowOff>68750</xdr:rowOff>
    </xdr:from>
    <xdr:ext cx="446597" cy="655885"/>
    <xdr:sp macro="" textlink="">
      <xdr:nvSpPr>
        <xdr:cNvPr id="23" name="Textfeld 22">
          <a:extLst>
            <a:ext uri="{FF2B5EF4-FFF2-40B4-BE49-F238E27FC236}">
              <a16:creationId xmlns:a16="http://schemas.microsoft.com/office/drawing/2014/main" id="{87E53FD8-EB5A-BCD2-7611-21D7BC4B3B34}"/>
            </a:ext>
          </a:extLst>
        </xdr:cNvPr>
        <xdr:cNvSpPr txBox="1"/>
      </xdr:nvSpPr>
      <xdr:spPr>
        <a:xfrm>
          <a:off x="5327864" y="1903566"/>
          <a:ext cx="446597" cy="6558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l-GR" sz="3600"/>
            <a:t>α</a:t>
          </a:r>
          <a:endParaRPr lang="de-CH" sz="3600"/>
        </a:p>
      </xdr:txBody>
    </xdr:sp>
    <xdr:clientData/>
  </xdr:oneCellAnchor>
  <xdr:twoCellAnchor>
    <xdr:from>
      <xdr:col>5</xdr:col>
      <xdr:colOff>825881</xdr:colOff>
      <xdr:row>8</xdr:row>
      <xdr:rowOff>5753</xdr:rowOff>
    </xdr:from>
    <xdr:to>
      <xdr:col>7</xdr:col>
      <xdr:colOff>367344</xdr:colOff>
      <xdr:row>12</xdr:row>
      <xdr:rowOff>21916</xdr:rowOff>
    </xdr:to>
    <xdr:sp macro="" textlink="">
      <xdr:nvSpPr>
        <xdr:cNvPr id="24" name="Bogen 23">
          <a:extLst>
            <a:ext uri="{FF2B5EF4-FFF2-40B4-BE49-F238E27FC236}">
              <a16:creationId xmlns:a16="http://schemas.microsoft.com/office/drawing/2014/main" id="{4C480452-2F73-CFC9-3EDE-63DC4D9E2914}"/>
            </a:ext>
          </a:extLst>
        </xdr:cNvPr>
        <xdr:cNvSpPr/>
      </xdr:nvSpPr>
      <xdr:spPr>
        <a:xfrm rot="5042857">
          <a:off x="5040215" y="1752064"/>
          <a:ext cx="738057" cy="1095542"/>
        </a:xfrm>
        <a:prstGeom prst="arc">
          <a:avLst>
            <a:gd name="adj1" fmla="val 17493114"/>
            <a:gd name="adj2" fmla="val 956737"/>
          </a:avLst>
        </a:prstGeom>
        <a:ln>
          <a:head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6</xdr:col>
      <xdr:colOff>473076</xdr:colOff>
      <xdr:row>4</xdr:row>
      <xdr:rowOff>63333</xdr:rowOff>
    </xdr:from>
    <xdr:to>
      <xdr:col>7</xdr:col>
      <xdr:colOff>576513</xdr:colOff>
      <xdr:row>14</xdr:row>
      <xdr:rowOff>63333</xdr:rowOff>
    </xdr:to>
    <xdr:cxnSp macro="">
      <xdr:nvCxnSpPr>
        <xdr:cNvPr id="17" name="Gerade Verbindung mit Pfeil 16">
          <a:extLst>
            <a:ext uri="{FF2B5EF4-FFF2-40B4-BE49-F238E27FC236}">
              <a16:creationId xmlns:a16="http://schemas.microsoft.com/office/drawing/2014/main" id="{C143CB27-5BE9-C2CD-CBB0-973A73E210FF}"/>
            </a:ext>
          </a:extLst>
        </xdr:cNvPr>
        <xdr:cNvCxnSpPr/>
      </xdr:nvCxnSpPr>
      <xdr:spPr>
        <a:xfrm>
          <a:off x="5375944" y="1266491"/>
          <a:ext cx="790240" cy="1804737"/>
        </a:xfrm>
        <a:prstGeom prst="straightConnector1">
          <a:avLst/>
        </a:prstGeom>
        <a:ln w="28575"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</xdr:col>
      <xdr:colOff>428171</xdr:colOff>
      <xdr:row>14</xdr:row>
      <xdr:rowOff>50536</xdr:rowOff>
    </xdr:from>
    <xdr:ext cx="590931" cy="655885"/>
    <xdr:sp macro="" textlink="">
      <xdr:nvSpPr>
        <xdr:cNvPr id="25" name="Textfeld 24">
          <a:extLst>
            <a:ext uri="{FF2B5EF4-FFF2-40B4-BE49-F238E27FC236}">
              <a16:creationId xmlns:a16="http://schemas.microsoft.com/office/drawing/2014/main" id="{D9506AED-37E0-C9BF-F13D-8D8ED815AA7C}"/>
            </a:ext>
          </a:extLst>
        </xdr:cNvPr>
        <xdr:cNvSpPr txBox="1"/>
      </xdr:nvSpPr>
      <xdr:spPr>
        <a:xfrm>
          <a:off x="5331039" y="3058431"/>
          <a:ext cx="590931" cy="6558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CH" sz="3600"/>
            <a:t>F</a:t>
          </a:r>
          <a:r>
            <a:rPr lang="de-CH" sz="3600" baseline="-25000"/>
            <a:t>G</a:t>
          </a:r>
        </a:p>
      </xdr:txBody>
    </xdr:sp>
    <xdr:clientData/>
  </xdr:oneCellAnchor>
  <xdr:oneCellAnchor>
    <xdr:from>
      <xdr:col>7</xdr:col>
      <xdr:colOff>371188</xdr:colOff>
      <xdr:row>9</xdr:row>
      <xdr:rowOff>123896</xdr:rowOff>
    </xdr:from>
    <xdr:ext cx="595419" cy="655885"/>
    <xdr:sp macro="" textlink="">
      <xdr:nvSpPr>
        <xdr:cNvPr id="26" name="Textfeld 25">
          <a:extLst>
            <a:ext uri="{FF2B5EF4-FFF2-40B4-BE49-F238E27FC236}">
              <a16:creationId xmlns:a16="http://schemas.microsoft.com/office/drawing/2014/main" id="{89E9751F-3065-BFD6-EEEF-2CDECFE2E8DA}"/>
            </a:ext>
          </a:extLst>
        </xdr:cNvPr>
        <xdr:cNvSpPr txBox="1"/>
      </xdr:nvSpPr>
      <xdr:spPr>
        <a:xfrm>
          <a:off x="5960859" y="2229422"/>
          <a:ext cx="595419" cy="6558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CH" sz="3600"/>
            <a:t>F</a:t>
          </a:r>
          <a:r>
            <a:rPr lang="de-CH" sz="3600" baseline="-25000"/>
            <a:t>N</a:t>
          </a:r>
        </a:p>
      </xdr:txBody>
    </xdr:sp>
    <xdr:clientData/>
  </xdr:oneCellAnchor>
  <xdr:oneCellAnchor>
    <xdr:from>
      <xdr:col>5</xdr:col>
      <xdr:colOff>36425</xdr:colOff>
      <xdr:row>4</xdr:row>
      <xdr:rowOff>83979</xdr:rowOff>
    </xdr:from>
    <xdr:ext cx="588559" cy="655885"/>
    <xdr:sp macro="" textlink="">
      <xdr:nvSpPr>
        <xdr:cNvPr id="27" name="Textfeld 26">
          <a:extLst>
            <a:ext uri="{FF2B5EF4-FFF2-40B4-BE49-F238E27FC236}">
              <a16:creationId xmlns:a16="http://schemas.microsoft.com/office/drawing/2014/main" id="{A5027D31-7662-64EA-3510-7AABDBF46D5E}"/>
            </a:ext>
          </a:extLst>
        </xdr:cNvPr>
        <xdr:cNvSpPr txBox="1"/>
      </xdr:nvSpPr>
      <xdr:spPr>
        <a:xfrm>
          <a:off x="4417925" y="1284957"/>
          <a:ext cx="588559" cy="6558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CH" sz="3600"/>
            <a:t>F</a:t>
          </a:r>
          <a:r>
            <a:rPr lang="de-CH" sz="3600" baseline="-25000"/>
            <a:t>H</a:t>
          </a:r>
        </a:p>
      </xdr:txBody>
    </xdr:sp>
    <xdr:clientData/>
  </xdr:oneCellAnchor>
  <xdr:twoCellAnchor>
    <xdr:from>
      <xdr:col>3</xdr:col>
      <xdr:colOff>1391478</xdr:colOff>
      <xdr:row>13</xdr:row>
      <xdr:rowOff>50681</xdr:rowOff>
    </xdr:from>
    <xdr:to>
      <xdr:col>8</xdr:col>
      <xdr:colOff>876897</xdr:colOff>
      <xdr:row>13</xdr:row>
      <xdr:rowOff>115956</xdr:rowOff>
    </xdr:to>
    <xdr:cxnSp macro="">
      <xdr:nvCxnSpPr>
        <xdr:cNvPr id="6" name="Gerader Verbinder 5">
          <a:extLst>
            <a:ext uri="{FF2B5EF4-FFF2-40B4-BE49-F238E27FC236}">
              <a16:creationId xmlns:a16="http://schemas.microsoft.com/office/drawing/2014/main" id="{32AB031B-2CE0-E8ED-5B80-DA5F2264F388}"/>
            </a:ext>
          </a:extLst>
        </xdr:cNvPr>
        <xdr:cNvCxnSpPr/>
      </xdr:nvCxnSpPr>
      <xdr:spPr>
        <a:xfrm flipV="1">
          <a:off x="3321326" y="2891616"/>
          <a:ext cx="4860832" cy="65275"/>
        </a:xfrm>
        <a:prstGeom prst="line">
          <a:avLst/>
        </a:prstGeom>
        <a:ln w="31750">
          <a:solidFill>
            <a:schemeClr val="tx1">
              <a:lumMod val="95000"/>
              <a:lumOff val="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</xdr:col>
      <xdr:colOff>378039</xdr:colOff>
      <xdr:row>1</xdr:row>
      <xdr:rowOff>120720</xdr:rowOff>
    </xdr:from>
    <xdr:ext cx="553485" cy="655885"/>
    <xdr:sp macro="" textlink="">
      <xdr:nvSpPr>
        <xdr:cNvPr id="28" name="Textfeld 27">
          <a:extLst>
            <a:ext uri="{FF2B5EF4-FFF2-40B4-BE49-F238E27FC236}">
              <a16:creationId xmlns:a16="http://schemas.microsoft.com/office/drawing/2014/main" id="{5F9B55E5-B3A3-DC9A-3D2B-6A1AB396F351}"/>
            </a:ext>
          </a:extLst>
        </xdr:cNvPr>
        <xdr:cNvSpPr txBox="1"/>
      </xdr:nvSpPr>
      <xdr:spPr>
        <a:xfrm>
          <a:off x="5621802" y="627049"/>
          <a:ext cx="553485" cy="6558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CH" sz="3600"/>
            <a:t>m</a:t>
          </a:r>
        </a:p>
      </xdr:txBody>
    </xdr:sp>
    <xdr:clientData/>
  </xdr:oneCellAnchor>
  <xdr:twoCellAnchor>
    <xdr:from>
      <xdr:col>6</xdr:col>
      <xdr:colOff>478459</xdr:colOff>
      <xdr:row>1</xdr:row>
      <xdr:rowOff>270151</xdr:rowOff>
    </xdr:from>
    <xdr:to>
      <xdr:col>8</xdr:col>
      <xdr:colOff>193676</xdr:colOff>
      <xdr:row>4</xdr:row>
      <xdr:rowOff>57978</xdr:rowOff>
    </xdr:to>
    <xdr:cxnSp macro="">
      <xdr:nvCxnSpPr>
        <xdr:cNvPr id="29" name="Gerade Verbindung mit Pfeil 28">
          <a:extLst>
            <a:ext uri="{FF2B5EF4-FFF2-40B4-BE49-F238E27FC236}">
              <a16:creationId xmlns:a16="http://schemas.microsoft.com/office/drawing/2014/main" id="{42BB58FC-2ADE-16E3-DC27-A5B8B1C4C2D8}"/>
            </a:ext>
          </a:extLst>
        </xdr:cNvPr>
        <xdr:cNvCxnSpPr/>
      </xdr:nvCxnSpPr>
      <xdr:spPr>
        <a:xfrm flipV="1">
          <a:off x="5729633" y="775390"/>
          <a:ext cx="1090130" cy="483566"/>
        </a:xfrm>
        <a:prstGeom prst="straightConnector1">
          <a:avLst/>
        </a:prstGeom>
        <a:ln w="28575">
          <a:solidFill>
            <a:schemeClr val="accent2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7</xdr:col>
      <xdr:colOff>661079</xdr:colOff>
      <xdr:row>0</xdr:row>
      <xdr:rowOff>203546</xdr:rowOff>
    </xdr:from>
    <xdr:ext cx="563872" cy="655885"/>
    <xdr:sp macro="" textlink="">
      <xdr:nvSpPr>
        <xdr:cNvPr id="32" name="Textfeld 31">
          <a:extLst>
            <a:ext uri="{FF2B5EF4-FFF2-40B4-BE49-F238E27FC236}">
              <a16:creationId xmlns:a16="http://schemas.microsoft.com/office/drawing/2014/main" id="{78927FB3-5D4A-52C9-1366-9D509B31F04F}"/>
            </a:ext>
          </a:extLst>
        </xdr:cNvPr>
        <xdr:cNvSpPr txBox="1"/>
      </xdr:nvSpPr>
      <xdr:spPr>
        <a:xfrm>
          <a:off x="6599709" y="203546"/>
          <a:ext cx="563872" cy="6558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CH" sz="3600"/>
            <a:t>F</a:t>
          </a:r>
          <a:r>
            <a:rPr lang="de-CH" sz="3600" baseline="-25000"/>
            <a:t>R</a:t>
          </a:r>
        </a:p>
      </xdr:txBody>
    </xdr:sp>
    <xdr:clientData/>
  </xdr:oneCellAnchor>
  <xdr:twoCellAnchor>
    <xdr:from>
      <xdr:col>10</xdr:col>
      <xdr:colOff>19739</xdr:colOff>
      <xdr:row>6</xdr:row>
      <xdr:rowOff>52870</xdr:rowOff>
    </xdr:from>
    <xdr:to>
      <xdr:col>14</xdr:col>
      <xdr:colOff>965890</xdr:colOff>
      <xdr:row>17</xdr:row>
      <xdr:rowOff>149914</xdr:rowOff>
    </xdr:to>
    <xdr:graphicFrame macro="">
      <xdr:nvGraphicFramePr>
        <xdr:cNvPr id="37" name="Diagramm 36">
          <a:extLst>
            <a:ext uri="{FF2B5EF4-FFF2-40B4-BE49-F238E27FC236}">
              <a16:creationId xmlns:a16="http://schemas.microsoft.com/office/drawing/2014/main" id="{4EF2FF1A-34D0-C3C9-0AAD-C3A436B35C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29</xdr:col>
      <xdr:colOff>0</xdr:colOff>
      <xdr:row>33</xdr:row>
      <xdr:rowOff>133350</xdr:rowOff>
    </xdr:from>
    <xdr:ext cx="184731" cy="264560"/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E74F87DA-4D2B-484E-BB10-4B019F14C5F8}"/>
            </a:ext>
          </a:extLst>
        </xdr:cNvPr>
        <xdr:cNvSpPr txBox="1"/>
      </xdr:nvSpPr>
      <xdr:spPr>
        <a:xfrm>
          <a:off x="17468850" y="7239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twoCellAnchor>
    <xdr:from>
      <xdr:col>0</xdr:col>
      <xdr:colOff>619125</xdr:colOff>
      <xdr:row>2</xdr:row>
      <xdr:rowOff>47625</xdr:rowOff>
    </xdr:from>
    <xdr:to>
      <xdr:col>2</xdr:col>
      <xdr:colOff>777875</xdr:colOff>
      <xdr:row>7</xdr:row>
      <xdr:rowOff>158750</xdr:rowOff>
    </xdr:to>
    <xdr:sp macro="" textlink="">
      <xdr:nvSpPr>
        <xdr:cNvPr id="4" name="Pfeil: nach rechts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403CD9-A559-4E04-9AFB-A307E4DE1344}"/>
            </a:ext>
          </a:extLst>
        </xdr:cNvPr>
        <xdr:cNvSpPr/>
      </xdr:nvSpPr>
      <xdr:spPr>
        <a:xfrm rot="10800000">
          <a:off x="619125" y="650875"/>
          <a:ext cx="1670050" cy="1031875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3</xdr:col>
      <xdr:colOff>127001</xdr:colOff>
      <xdr:row>20</xdr:row>
      <xdr:rowOff>57148</xdr:rowOff>
    </xdr:from>
    <xdr:to>
      <xdr:col>35</xdr:col>
      <xdr:colOff>381000</xdr:colOff>
      <xdr:row>51</xdr:row>
      <xdr:rowOff>80818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982D249E-353E-F6B6-8638-4DD3F5B792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293007</xdr:colOff>
      <xdr:row>0</xdr:row>
      <xdr:rowOff>143329</xdr:rowOff>
    </xdr:from>
    <xdr:to>
      <xdr:col>2</xdr:col>
      <xdr:colOff>50800</xdr:colOff>
      <xdr:row>0</xdr:row>
      <xdr:rowOff>463550</xdr:rowOff>
    </xdr:to>
    <xdr:sp macro="" textlink="">
      <xdr:nvSpPr>
        <xdr:cNvPr id="2" name="Pfeil: nach recht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36685E7-DD9D-4FC1-A783-3F913E1DCD0F}"/>
            </a:ext>
          </a:extLst>
        </xdr:cNvPr>
        <xdr:cNvSpPr/>
      </xdr:nvSpPr>
      <xdr:spPr>
        <a:xfrm rot="10800000">
          <a:off x="1055007" y="143329"/>
          <a:ext cx="780143" cy="320221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5</xdr:col>
      <xdr:colOff>340179</xdr:colOff>
      <xdr:row>22</xdr:row>
      <xdr:rowOff>2718</xdr:rowOff>
    </xdr:from>
    <xdr:to>
      <xdr:col>15</xdr:col>
      <xdr:colOff>639535</xdr:colOff>
      <xdr:row>65</xdr:row>
      <xdr:rowOff>13606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799A249A-84AD-F7FF-7BDA-CC35D57551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293007</xdr:colOff>
      <xdr:row>0</xdr:row>
      <xdr:rowOff>143329</xdr:rowOff>
    </xdr:from>
    <xdr:to>
      <xdr:col>2</xdr:col>
      <xdr:colOff>50800</xdr:colOff>
      <xdr:row>0</xdr:row>
      <xdr:rowOff>463550</xdr:rowOff>
    </xdr:to>
    <xdr:sp macro="" textlink="">
      <xdr:nvSpPr>
        <xdr:cNvPr id="2" name="Pfeil: nach recht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E52F81A-BC63-406A-A4EA-7EF30F633A1C}"/>
            </a:ext>
          </a:extLst>
        </xdr:cNvPr>
        <xdr:cNvSpPr/>
      </xdr:nvSpPr>
      <xdr:spPr>
        <a:xfrm rot="10800000">
          <a:off x="293007" y="143329"/>
          <a:ext cx="519793" cy="320221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293007</xdr:colOff>
      <xdr:row>0</xdr:row>
      <xdr:rowOff>143329</xdr:rowOff>
    </xdr:from>
    <xdr:to>
      <xdr:col>1</xdr:col>
      <xdr:colOff>50800</xdr:colOff>
      <xdr:row>0</xdr:row>
      <xdr:rowOff>463550</xdr:rowOff>
    </xdr:to>
    <xdr:sp macro="" textlink="">
      <xdr:nvSpPr>
        <xdr:cNvPr id="2" name="Pfeil: nach recht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15DE7D7-4C50-4CCA-912A-904DFE9D8373}"/>
            </a:ext>
          </a:extLst>
        </xdr:cNvPr>
        <xdr:cNvSpPr/>
      </xdr:nvSpPr>
      <xdr:spPr>
        <a:xfrm rot="10800000">
          <a:off x="293007" y="143329"/>
          <a:ext cx="519793" cy="320221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293007</xdr:colOff>
      <xdr:row>0</xdr:row>
      <xdr:rowOff>143329</xdr:rowOff>
    </xdr:from>
    <xdr:to>
      <xdr:col>1</xdr:col>
      <xdr:colOff>50800</xdr:colOff>
      <xdr:row>0</xdr:row>
      <xdr:rowOff>463550</xdr:rowOff>
    </xdr:to>
    <xdr:sp macro="" textlink="">
      <xdr:nvSpPr>
        <xdr:cNvPr id="2" name="Pfeil: nach recht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3950056-721B-4F9A-9EA1-A278A399BB35}"/>
            </a:ext>
          </a:extLst>
        </xdr:cNvPr>
        <xdr:cNvSpPr/>
      </xdr:nvSpPr>
      <xdr:spPr>
        <a:xfrm rot="10800000">
          <a:off x="293007" y="143329"/>
          <a:ext cx="519793" cy="320221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739774</xdr:colOff>
      <xdr:row>14</xdr:row>
      <xdr:rowOff>139700</xdr:rowOff>
    </xdr:from>
    <xdr:to>
      <xdr:col>6</xdr:col>
      <xdr:colOff>501649</xdr:colOff>
      <xdr:row>31</xdr:row>
      <xdr:rowOff>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AF97F07-73D1-15B4-87F8-2A3B55E842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50</xdr:row>
      <xdr:rowOff>0</xdr:rowOff>
    </xdr:from>
    <xdr:to>
      <xdr:col>8</xdr:col>
      <xdr:colOff>598715</xdr:colOff>
      <xdr:row>65</xdr:row>
      <xdr:rowOff>21772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6DF3D2F2-E6F0-470D-9EC9-4EE547F41C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616857</xdr:colOff>
      <xdr:row>1</xdr:row>
      <xdr:rowOff>117929</xdr:rowOff>
    </xdr:from>
    <xdr:to>
      <xdr:col>1</xdr:col>
      <xdr:colOff>544285</xdr:colOff>
      <xdr:row>1</xdr:row>
      <xdr:rowOff>598715</xdr:rowOff>
    </xdr:to>
    <xdr:sp macro="" textlink="">
      <xdr:nvSpPr>
        <xdr:cNvPr id="4" name="Pfeil: nach rechts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5FB6FBCA-4115-F363-0C1F-9B2DC4BB546F}"/>
            </a:ext>
          </a:extLst>
        </xdr:cNvPr>
        <xdr:cNvSpPr/>
      </xdr:nvSpPr>
      <xdr:spPr>
        <a:xfrm rot="10800000">
          <a:off x="616857" y="299358"/>
          <a:ext cx="689428" cy="480786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511175</xdr:colOff>
      <xdr:row>12</xdr:row>
      <xdr:rowOff>69850</xdr:rowOff>
    </xdr:from>
    <xdr:to>
      <xdr:col>7</xdr:col>
      <xdr:colOff>511175</xdr:colOff>
      <xdr:row>27</xdr:row>
      <xdr:rowOff>50800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97BD5F5-5D28-16D2-1DF8-B5ADC62C9E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28575</xdr:colOff>
      <xdr:row>12</xdr:row>
      <xdr:rowOff>76200</xdr:rowOff>
    </xdr:from>
    <xdr:to>
      <xdr:col>14</xdr:col>
      <xdr:colOff>28575</xdr:colOff>
      <xdr:row>27</xdr:row>
      <xdr:rowOff>57150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D34ACAE9-11DB-399B-D450-179027AD2E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173181</xdr:colOff>
      <xdr:row>1</xdr:row>
      <xdr:rowOff>184727</xdr:rowOff>
    </xdr:from>
    <xdr:to>
      <xdr:col>1</xdr:col>
      <xdr:colOff>323272</xdr:colOff>
      <xdr:row>4</xdr:row>
      <xdr:rowOff>92363</xdr:rowOff>
    </xdr:to>
    <xdr:sp macro="" textlink="">
      <xdr:nvSpPr>
        <xdr:cNvPr id="4" name="Pfeil: nach rechts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30019828-5EEF-7C3C-87FD-5A5686701A01}"/>
            </a:ext>
          </a:extLst>
        </xdr:cNvPr>
        <xdr:cNvSpPr/>
      </xdr:nvSpPr>
      <xdr:spPr>
        <a:xfrm rot="10800000">
          <a:off x="173181" y="369454"/>
          <a:ext cx="912091" cy="658091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196273</xdr:colOff>
      <xdr:row>2</xdr:row>
      <xdr:rowOff>0</xdr:rowOff>
    </xdr:from>
    <xdr:to>
      <xdr:col>1</xdr:col>
      <xdr:colOff>496455</xdr:colOff>
      <xdr:row>5</xdr:row>
      <xdr:rowOff>230909</xdr:rowOff>
    </xdr:to>
    <xdr:sp macro="" textlink="">
      <xdr:nvSpPr>
        <xdr:cNvPr id="2" name="Pfeil: nach recht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8CE7423-1C55-19F3-001E-0A8DDA35D507}"/>
            </a:ext>
          </a:extLst>
        </xdr:cNvPr>
        <xdr:cNvSpPr/>
      </xdr:nvSpPr>
      <xdr:spPr>
        <a:xfrm rot="10800000">
          <a:off x="196273" y="484909"/>
          <a:ext cx="1062182" cy="796636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29</xdr:col>
      <xdr:colOff>0</xdr:colOff>
      <xdr:row>35</xdr:row>
      <xdr:rowOff>133350</xdr:rowOff>
    </xdr:from>
    <xdr:ext cx="184731" cy="264560"/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019C7CDC-79FA-429A-985A-B51FE475AB30}"/>
            </a:ext>
          </a:extLst>
        </xdr:cNvPr>
        <xdr:cNvSpPr txBox="1"/>
      </xdr:nvSpPr>
      <xdr:spPr>
        <a:xfrm>
          <a:off x="18059400" y="6286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twoCellAnchor>
    <xdr:from>
      <xdr:col>1</xdr:col>
      <xdr:colOff>721001</xdr:colOff>
      <xdr:row>22</xdr:row>
      <xdr:rowOff>183792</xdr:rowOff>
    </xdr:from>
    <xdr:to>
      <xdr:col>50</xdr:col>
      <xdr:colOff>412749</xdr:colOff>
      <xdr:row>68</xdr:row>
      <xdr:rowOff>158749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40B33054-7231-4A97-A9F8-31B56B694A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619125</xdr:colOff>
      <xdr:row>2</xdr:row>
      <xdr:rowOff>47625</xdr:rowOff>
    </xdr:from>
    <xdr:to>
      <xdr:col>2</xdr:col>
      <xdr:colOff>777875</xdr:colOff>
      <xdr:row>7</xdr:row>
      <xdr:rowOff>158750</xdr:rowOff>
    </xdr:to>
    <xdr:sp macro="" textlink="">
      <xdr:nvSpPr>
        <xdr:cNvPr id="5" name="Pfeil: nach rechts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7F62F0F8-E53B-58D8-0CBE-DC173F63560B}"/>
            </a:ext>
          </a:extLst>
        </xdr:cNvPr>
        <xdr:cNvSpPr/>
      </xdr:nvSpPr>
      <xdr:spPr>
        <a:xfrm rot="10800000">
          <a:off x="619125" y="650875"/>
          <a:ext cx="1682750" cy="1063625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26683-FE2E-404D-B380-566552D5F12F}">
  <sheetPr>
    <tabColor rgb="FFFF0000"/>
  </sheetPr>
  <dimension ref="B2:D14"/>
  <sheetViews>
    <sheetView tabSelected="1" workbookViewId="0">
      <selection activeCell="D12" sqref="D12"/>
    </sheetView>
  </sheetViews>
  <sheetFormatPr baseColWidth="10" defaultRowHeight="14.5" x14ac:dyDescent="0.35"/>
  <cols>
    <col min="2" max="2" width="12.6328125" customWidth="1"/>
    <col min="3" max="3" width="23.26953125" customWidth="1"/>
  </cols>
  <sheetData>
    <row r="2" spans="2:4" ht="21" x14ac:dyDescent="0.5">
      <c r="B2" s="88" t="s">
        <v>106</v>
      </c>
    </row>
    <row r="5" spans="2:4" x14ac:dyDescent="0.35">
      <c r="B5" s="89">
        <v>45695</v>
      </c>
      <c r="C5" s="90" t="s">
        <v>107</v>
      </c>
    </row>
    <row r="6" spans="2:4" x14ac:dyDescent="0.35">
      <c r="B6" s="89">
        <v>45701</v>
      </c>
      <c r="C6" s="90" t="s">
        <v>108</v>
      </c>
    </row>
    <row r="7" spans="2:4" x14ac:dyDescent="0.35">
      <c r="B7" s="89">
        <v>45701</v>
      </c>
      <c r="C7" s="90" t="s">
        <v>109</v>
      </c>
    </row>
    <row r="8" spans="2:4" x14ac:dyDescent="0.35">
      <c r="B8" s="89">
        <v>45701</v>
      </c>
      <c r="C8" s="90" t="s">
        <v>110</v>
      </c>
    </row>
    <row r="9" spans="2:4" x14ac:dyDescent="0.35">
      <c r="B9" s="89">
        <v>45730</v>
      </c>
      <c r="C9" s="90" t="s">
        <v>111</v>
      </c>
      <c r="D9" s="89"/>
    </row>
    <row r="10" spans="2:4" x14ac:dyDescent="0.35">
      <c r="B10" s="89">
        <v>45737</v>
      </c>
      <c r="C10" s="90" t="s">
        <v>129</v>
      </c>
      <c r="D10" s="89"/>
    </row>
    <row r="11" spans="2:4" x14ac:dyDescent="0.35">
      <c r="B11" s="89">
        <v>45750</v>
      </c>
      <c r="C11" s="109" t="s">
        <v>138</v>
      </c>
    </row>
    <row r="12" spans="2:4" x14ac:dyDescent="0.35">
      <c r="B12" s="89">
        <v>45758</v>
      </c>
      <c r="C12" s="90" t="s">
        <v>198</v>
      </c>
    </row>
    <row r="13" spans="2:4" x14ac:dyDescent="0.35">
      <c r="B13" s="89">
        <v>45772</v>
      </c>
      <c r="C13" s="90" t="s">
        <v>209</v>
      </c>
    </row>
    <row r="14" spans="2:4" x14ac:dyDescent="0.35">
      <c r="B14" s="89">
        <v>45786</v>
      </c>
      <c r="C14" s="90" t="s">
        <v>252</v>
      </c>
    </row>
  </sheetData>
  <hyperlinks>
    <hyperlink ref="C5" location="Kinematik_1!A1" display="Kinematik 1" xr:uid="{9BFDC351-688D-4CF1-A81C-1D2AC11060FA}"/>
    <hyperlink ref="C6" location="Kinematik_2!E4" display="Kinematik_2" xr:uid="{0ED973E2-EF1D-49F0-BD37-E2FB8C64272F}"/>
    <hyperlink ref="C7" location="Kinematik_2_Berechnungen!A1" display="Kinematik 2 Berechnungen" xr:uid="{DB60A9A6-3C9B-4444-9F00-AC60502D68B3}"/>
    <hyperlink ref="C8" location="Fourierreihe!A1" display="Fouirierreihe" xr:uid="{CA7D746B-B699-4E02-BE38-0C7F996F76BD}"/>
    <hyperlink ref="C9" location="Flächenberechnungen!A1" display="Flächenberechnungen" xr:uid="{D5743AC9-A34F-4B3C-B139-43A4B498D6F8}"/>
    <hyperlink ref="C10" location="Scheinleistung!A1" display="Scheinleistung" xr:uid="{CAAE3E9B-0504-4F22-BE6A-F3547C6DB238}"/>
    <hyperlink ref="C11" location="'Einheiten umrechnen'!A1" display="Einheiten umrechnen" xr:uid="{63CF0BE5-46CF-4488-897E-89B66FF0D916}"/>
    <hyperlink ref="C12" location="Geburtstagsliste!A1" display="Geburtstagsliste" xr:uid="{951CF648-09E0-4733-A935-D9691C8D79E9}"/>
    <hyperlink ref="C13" location="Vektoren!A1" display="Vektoren" xr:uid="{898F9560-9AB3-43EE-B105-DB9C3B6E61A9}"/>
    <hyperlink ref="C14" location="Schiefeebene!A1" display="Schiefe Ebene" xr:uid="{ED253B79-5E32-4C6D-BC31-035CD76A77DC}"/>
  </hyperlinks>
  <pageMargins left="0.7" right="0.7" top="0.78740157499999996" bottom="0.78740157499999996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6B38E5-43C1-41D2-ADA5-A29109FD68B0}">
  <sheetPr codeName="Tabelle15">
    <pageSetUpPr fitToPage="1"/>
  </sheetPr>
  <dimension ref="C1:AY21"/>
  <sheetViews>
    <sheetView showGridLines="0" zoomScale="40" zoomScaleNormal="40" workbookViewId="0"/>
  </sheetViews>
  <sheetFormatPr baseColWidth="10" defaultColWidth="10.81640625" defaultRowHeight="14.5" x14ac:dyDescent="0.35"/>
  <cols>
    <col min="3" max="6" width="13.81640625" customWidth="1"/>
    <col min="7" max="9" width="3.26953125" customWidth="1"/>
    <col min="10" max="10" width="25.54296875" customWidth="1"/>
    <col min="11" max="11" width="19.90625" customWidth="1"/>
    <col min="12" max="12" width="9.7265625" customWidth="1"/>
    <col min="13" max="51" width="6.36328125" customWidth="1"/>
  </cols>
  <sheetData>
    <row r="1" spans="3:51" ht="21.75" customHeight="1" x14ac:dyDescent="0.35"/>
    <row r="2" spans="3:51" ht="26" x14ac:dyDescent="0.6">
      <c r="C2" s="44" t="s">
        <v>68</v>
      </c>
    </row>
    <row r="4" spans="3:51" x14ac:dyDescent="0.35">
      <c r="R4" s="5"/>
      <c r="S4" s="5" t="s">
        <v>76</v>
      </c>
      <c r="T4" s="5"/>
      <c r="U4" s="5"/>
      <c r="V4" s="5"/>
      <c r="W4" s="5"/>
      <c r="X4" s="5"/>
    </row>
    <row r="5" spans="3:51" x14ac:dyDescent="0.35">
      <c r="R5" s="5"/>
      <c r="S5" s="19" t="s">
        <v>80</v>
      </c>
      <c r="T5" s="55">
        <f>MAX(K14:K20)</f>
        <v>0.33333333333333331</v>
      </c>
      <c r="U5" s="5"/>
      <c r="V5" s="5"/>
      <c r="W5" s="5">
        <f>K12</f>
        <v>270</v>
      </c>
      <c r="X5" s="5">
        <f>W5</f>
        <v>270</v>
      </c>
    </row>
    <row r="6" spans="3:51" x14ac:dyDescent="0.35">
      <c r="R6" s="5"/>
      <c r="S6" s="19" t="s">
        <v>79</v>
      </c>
      <c r="T6" s="55">
        <f>MIN(K14:K20)</f>
        <v>-1</v>
      </c>
      <c r="U6" s="5"/>
      <c r="V6" s="5"/>
      <c r="W6" s="5">
        <v>0</v>
      </c>
      <c r="X6" s="5">
        <f>T7</f>
        <v>-1</v>
      </c>
    </row>
    <row r="7" spans="3:51" x14ac:dyDescent="0.35">
      <c r="R7" s="141" t="s">
        <v>81</v>
      </c>
      <c r="S7" s="141"/>
      <c r="T7" s="5">
        <f>IF(ABS(T5)&gt;ABS(T6),T5,T6)</f>
        <v>-1</v>
      </c>
      <c r="U7" s="5"/>
      <c r="V7" s="5"/>
      <c r="W7" s="5"/>
      <c r="X7" s="5"/>
      <c r="AI7" s="5" t="s">
        <v>72</v>
      </c>
    </row>
    <row r="8" spans="3:51" ht="16" customHeight="1" x14ac:dyDescent="0.35">
      <c r="R8" s="1"/>
      <c r="S8" s="39"/>
      <c r="AI8" s="5" t="s">
        <v>73</v>
      </c>
    </row>
    <row r="11" spans="3:51" ht="21" x14ac:dyDescent="0.35">
      <c r="C11" s="175"/>
      <c r="D11" s="175"/>
      <c r="E11" s="175"/>
      <c r="F11" s="175"/>
      <c r="G11" s="47"/>
      <c r="H11" s="47"/>
      <c r="L11" s="43" t="s">
        <v>8</v>
      </c>
      <c r="M11" s="46">
        <v>15</v>
      </c>
      <c r="N11" s="74"/>
      <c r="O11" s="74"/>
      <c r="P11" s="74"/>
      <c r="Q11" s="74"/>
      <c r="R11" s="74"/>
      <c r="S11" s="74"/>
      <c r="T11" s="74"/>
      <c r="U11" s="74"/>
      <c r="V11" s="74"/>
      <c r="W11" s="74"/>
      <c r="X11" s="74"/>
      <c r="Y11" s="74"/>
      <c r="Z11" s="74"/>
      <c r="AA11" s="74"/>
      <c r="AB11" s="74"/>
      <c r="AC11" s="74"/>
      <c r="AD11" s="74"/>
      <c r="AE11" s="74"/>
      <c r="AF11" s="74"/>
      <c r="AG11" s="74"/>
      <c r="AH11" s="74"/>
      <c r="AI11" s="74"/>
      <c r="AJ11" s="74"/>
      <c r="AK11" s="74"/>
      <c r="AL11" s="74"/>
      <c r="AM11" s="74"/>
      <c r="AN11" s="74"/>
      <c r="AO11" s="74"/>
      <c r="AP11" s="74"/>
      <c r="AQ11" s="74"/>
      <c r="AR11" s="74"/>
      <c r="AS11" s="74"/>
      <c r="AT11" s="74"/>
      <c r="AU11" s="74"/>
      <c r="AV11" s="74"/>
      <c r="AW11" s="74"/>
      <c r="AX11" s="74"/>
      <c r="AY11" s="74"/>
    </row>
    <row r="12" spans="3:51" s="34" customFormat="1" ht="21" x14ac:dyDescent="0.35">
      <c r="C12" s="176" t="s">
        <v>67</v>
      </c>
      <c r="D12" s="176"/>
      <c r="E12" s="176"/>
      <c r="F12" s="176"/>
      <c r="G12" s="47"/>
      <c r="H12" s="47"/>
      <c r="J12" s="57" t="s">
        <v>70</v>
      </c>
      <c r="K12" s="38">
        <v>270</v>
      </c>
      <c r="L12" s="177" t="s">
        <v>71</v>
      </c>
      <c r="M12" s="38">
        <v>0</v>
      </c>
      <c r="N12" s="75">
        <f>M12+$M$11</f>
        <v>15</v>
      </c>
      <c r="O12" s="75">
        <f t="shared" ref="O12:AY12" si="0">N12+$M$11</f>
        <v>30</v>
      </c>
      <c r="P12" s="75">
        <f t="shared" si="0"/>
        <v>45</v>
      </c>
      <c r="Q12" s="75">
        <f t="shared" si="0"/>
        <v>60</v>
      </c>
      <c r="R12" s="75">
        <f t="shared" si="0"/>
        <v>75</v>
      </c>
      <c r="S12" s="75">
        <f t="shared" si="0"/>
        <v>90</v>
      </c>
      <c r="T12" s="75">
        <f t="shared" si="0"/>
        <v>105</v>
      </c>
      <c r="U12" s="75">
        <f t="shared" si="0"/>
        <v>120</v>
      </c>
      <c r="V12" s="75">
        <f t="shared" si="0"/>
        <v>135</v>
      </c>
      <c r="W12" s="75">
        <f t="shared" si="0"/>
        <v>150</v>
      </c>
      <c r="X12" s="75">
        <f t="shared" si="0"/>
        <v>165</v>
      </c>
      <c r="Y12" s="75">
        <f t="shared" si="0"/>
        <v>180</v>
      </c>
      <c r="Z12" s="75">
        <f t="shared" si="0"/>
        <v>195</v>
      </c>
      <c r="AA12" s="75">
        <f t="shared" si="0"/>
        <v>210</v>
      </c>
      <c r="AB12" s="75">
        <f t="shared" si="0"/>
        <v>225</v>
      </c>
      <c r="AC12" s="75">
        <f t="shared" si="0"/>
        <v>240</v>
      </c>
      <c r="AD12" s="75">
        <f t="shared" si="0"/>
        <v>255</v>
      </c>
      <c r="AE12" s="75">
        <f t="shared" si="0"/>
        <v>270</v>
      </c>
      <c r="AF12" s="75">
        <f t="shared" si="0"/>
        <v>285</v>
      </c>
      <c r="AG12" s="75">
        <f t="shared" si="0"/>
        <v>300</v>
      </c>
      <c r="AH12" s="75">
        <f t="shared" si="0"/>
        <v>315</v>
      </c>
      <c r="AI12" s="75">
        <f t="shared" si="0"/>
        <v>330</v>
      </c>
      <c r="AJ12" s="75">
        <f t="shared" si="0"/>
        <v>345</v>
      </c>
      <c r="AK12" s="75">
        <f t="shared" si="0"/>
        <v>360</v>
      </c>
      <c r="AL12" s="75">
        <f t="shared" si="0"/>
        <v>375</v>
      </c>
      <c r="AM12" s="75">
        <f t="shared" si="0"/>
        <v>390</v>
      </c>
      <c r="AN12" s="75">
        <f t="shared" si="0"/>
        <v>405</v>
      </c>
      <c r="AO12" s="75">
        <f t="shared" si="0"/>
        <v>420</v>
      </c>
      <c r="AP12" s="75">
        <f t="shared" si="0"/>
        <v>435</v>
      </c>
      <c r="AQ12" s="75">
        <f t="shared" si="0"/>
        <v>450</v>
      </c>
      <c r="AR12" s="75">
        <f t="shared" si="0"/>
        <v>465</v>
      </c>
      <c r="AS12" s="75">
        <f t="shared" si="0"/>
        <v>480</v>
      </c>
      <c r="AT12" s="75">
        <f t="shared" si="0"/>
        <v>495</v>
      </c>
      <c r="AU12" s="75">
        <f t="shared" si="0"/>
        <v>510</v>
      </c>
      <c r="AV12" s="75">
        <f t="shared" si="0"/>
        <v>525</v>
      </c>
      <c r="AW12" s="75">
        <f t="shared" si="0"/>
        <v>540</v>
      </c>
      <c r="AX12" s="75">
        <f t="shared" si="0"/>
        <v>555</v>
      </c>
      <c r="AY12" s="75">
        <f t="shared" si="0"/>
        <v>570</v>
      </c>
    </row>
    <row r="13" spans="3:51" s="34" customFormat="1" ht="43.5" x14ac:dyDescent="0.35">
      <c r="C13" s="62" t="s">
        <v>74</v>
      </c>
      <c r="D13" s="62" t="s">
        <v>75</v>
      </c>
      <c r="E13" s="62" t="s">
        <v>78</v>
      </c>
      <c r="F13" s="62" t="s">
        <v>77</v>
      </c>
      <c r="G13" s="63"/>
      <c r="H13" s="63"/>
      <c r="J13" s="72" t="s">
        <v>69</v>
      </c>
      <c r="K13" s="65">
        <f t="shared" ref="K13" si="1">PI()*K12/180</f>
        <v>4.7123889803846897</v>
      </c>
      <c r="L13" s="178"/>
      <c r="M13" s="64">
        <f>PI()*M12/180</f>
        <v>0</v>
      </c>
      <c r="N13" s="64">
        <f t="shared" ref="N13:AY13" si="2">PI()*N12/180</f>
        <v>0.26179938779914941</v>
      </c>
      <c r="O13" s="64">
        <f t="shared" si="2"/>
        <v>0.52359877559829882</v>
      </c>
      <c r="P13" s="64">
        <f t="shared" si="2"/>
        <v>0.78539816339744828</v>
      </c>
      <c r="Q13" s="64">
        <f t="shared" si="2"/>
        <v>1.0471975511965976</v>
      </c>
      <c r="R13" s="64">
        <f t="shared" si="2"/>
        <v>1.3089969389957472</v>
      </c>
      <c r="S13" s="64">
        <f t="shared" si="2"/>
        <v>1.5707963267948966</v>
      </c>
      <c r="T13" s="64">
        <f t="shared" si="2"/>
        <v>1.8325957145940461</v>
      </c>
      <c r="U13" s="64">
        <f t="shared" si="2"/>
        <v>2.0943951023931953</v>
      </c>
      <c r="V13" s="64">
        <f t="shared" si="2"/>
        <v>2.3561944901923448</v>
      </c>
      <c r="W13" s="64">
        <f t="shared" si="2"/>
        <v>2.6179938779914944</v>
      </c>
      <c r="X13" s="64">
        <f t="shared" si="2"/>
        <v>2.8797932657906435</v>
      </c>
      <c r="Y13" s="64">
        <f t="shared" si="2"/>
        <v>3.1415926535897931</v>
      </c>
      <c r="Z13" s="64">
        <f t="shared" si="2"/>
        <v>3.4033920413889422</v>
      </c>
      <c r="AA13" s="64">
        <f t="shared" si="2"/>
        <v>3.6651914291880923</v>
      </c>
      <c r="AB13" s="64">
        <f t="shared" si="2"/>
        <v>3.9269908169872414</v>
      </c>
      <c r="AC13" s="64">
        <f t="shared" si="2"/>
        <v>4.1887902047863905</v>
      </c>
      <c r="AD13" s="64">
        <f t="shared" si="2"/>
        <v>4.4505895925855405</v>
      </c>
      <c r="AE13" s="64">
        <f t="shared" si="2"/>
        <v>4.7123889803846897</v>
      </c>
      <c r="AF13" s="64">
        <f t="shared" si="2"/>
        <v>4.9741883681838397</v>
      </c>
      <c r="AG13" s="64">
        <f t="shared" si="2"/>
        <v>5.2359877559829888</v>
      </c>
      <c r="AH13" s="64">
        <f t="shared" si="2"/>
        <v>5.497787143782138</v>
      </c>
      <c r="AI13" s="64">
        <f t="shared" si="2"/>
        <v>5.7595865315812871</v>
      </c>
      <c r="AJ13" s="64">
        <f t="shared" si="2"/>
        <v>6.0213859193804371</v>
      </c>
      <c r="AK13" s="64">
        <f t="shared" si="2"/>
        <v>6.2831853071795862</v>
      </c>
      <c r="AL13" s="64">
        <f t="shared" si="2"/>
        <v>6.5449846949787354</v>
      </c>
      <c r="AM13" s="64">
        <f t="shared" si="2"/>
        <v>6.8067840827778845</v>
      </c>
      <c r="AN13" s="64">
        <f t="shared" si="2"/>
        <v>7.0685834705770336</v>
      </c>
      <c r="AO13" s="64">
        <f t="shared" si="2"/>
        <v>7.3303828583761845</v>
      </c>
      <c r="AP13" s="64">
        <f t="shared" si="2"/>
        <v>7.5921822461753337</v>
      </c>
      <c r="AQ13" s="64">
        <f t="shared" si="2"/>
        <v>7.8539816339744828</v>
      </c>
      <c r="AR13" s="64">
        <f t="shared" si="2"/>
        <v>8.1157810217736319</v>
      </c>
      <c r="AS13" s="64">
        <f t="shared" si="2"/>
        <v>8.3775804095727811</v>
      </c>
      <c r="AT13" s="64">
        <f t="shared" si="2"/>
        <v>8.639379797371932</v>
      </c>
      <c r="AU13" s="64">
        <f t="shared" si="2"/>
        <v>8.9011791851710811</v>
      </c>
      <c r="AV13" s="64">
        <f t="shared" si="2"/>
        <v>9.1629785729702302</v>
      </c>
      <c r="AW13" s="64">
        <f t="shared" si="2"/>
        <v>9.4247779607693793</v>
      </c>
      <c r="AX13" s="64">
        <f t="shared" si="2"/>
        <v>9.6865773485685303</v>
      </c>
      <c r="AY13" s="64">
        <f t="shared" si="2"/>
        <v>9.9483767363676794</v>
      </c>
    </row>
    <row r="14" spans="3:51" x14ac:dyDescent="0.35">
      <c r="C14" s="42">
        <v>1</v>
      </c>
      <c r="D14" s="42">
        <v>1</v>
      </c>
      <c r="E14" s="42">
        <v>0</v>
      </c>
      <c r="F14" s="73">
        <f>PI()*E14/180</f>
        <v>0</v>
      </c>
      <c r="G14" s="56"/>
      <c r="H14" s="56"/>
      <c r="J14" s="58" t="str">
        <f>_xlfn.CONCAT("y0 = ",IF(C14&lt;&gt;1,_xlfn.CONCAT(ROUND(C14,2)," *"),"")," sin(",IF(D14&lt;&gt;1,_xlfn.CONCAT(ROUND(D14,2),"*"),""),"x ",IF(F14&lt;&gt;0,_xlfn.CONCAT(" + ",ROUND(F14,2),""),""),") = ")</f>
        <v xml:space="preserve">y0 =  sin(x ) = </v>
      </c>
      <c r="K14" s="66">
        <f>IF($L$14=$AI$7,$C$14*SIN($D$14*K13 + $F$14),"")</f>
        <v>-1</v>
      </c>
      <c r="L14" s="48" t="s">
        <v>72</v>
      </c>
      <c r="M14" s="54">
        <f>IF($L$14=$AI$7,$C$14*SIN($D$14*M13 + $F$14),"")</f>
        <v>0</v>
      </c>
      <c r="N14" s="54">
        <f t="shared" ref="N14:AY14" si="3">IF($L$14=$AI$7,$C$14*SIN($D$14*N13 + $F$14),"")</f>
        <v>0.25881904510252074</v>
      </c>
      <c r="O14" s="54">
        <f t="shared" si="3"/>
        <v>0.49999999999999994</v>
      </c>
      <c r="P14" s="54">
        <f t="shared" si="3"/>
        <v>0.70710678118654746</v>
      </c>
      <c r="Q14" s="54">
        <f t="shared" si="3"/>
        <v>0.8660254037844386</v>
      </c>
      <c r="R14" s="54">
        <f t="shared" si="3"/>
        <v>0.96592582628906831</v>
      </c>
      <c r="S14" s="54">
        <f t="shared" si="3"/>
        <v>1</v>
      </c>
      <c r="T14" s="54">
        <f t="shared" si="3"/>
        <v>0.96592582628906831</v>
      </c>
      <c r="U14" s="54">
        <f t="shared" si="3"/>
        <v>0.86602540378443871</v>
      </c>
      <c r="V14" s="54">
        <f t="shared" si="3"/>
        <v>0.70710678118654757</v>
      </c>
      <c r="W14" s="54">
        <f t="shared" si="3"/>
        <v>0.49999999999999994</v>
      </c>
      <c r="X14" s="54">
        <f t="shared" si="3"/>
        <v>0.25881904510252102</v>
      </c>
      <c r="Y14" s="54">
        <f t="shared" si="3"/>
        <v>1.22514845490862E-16</v>
      </c>
      <c r="Z14" s="54">
        <f t="shared" si="3"/>
        <v>-0.25881904510252035</v>
      </c>
      <c r="AA14" s="54">
        <f t="shared" si="3"/>
        <v>-0.50000000000000011</v>
      </c>
      <c r="AB14" s="54">
        <f t="shared" si="3"/>
        <v>-0.70710678118654746</v>
      </c>
      <c r="AC14" s="54">
        <f t="shared" si="3"/>
        <v>-0.86602540378443837</v>
      </c>
      <c r="AD14" s="54">
        <f t="shared" si="3"/>
        <v>-0.96592582628906831</v>
      </c>
      <c r="AE14" s="54">
        <f t="shared" si="3"/>
        <v>-1</v>
      </c>
      <c r="AF14" s="54">
        <f t="shared" si="3"/>
        <v>-0.9659258262890682</v>
      </c>
      <c r="AG14" s="54">
        <f t="shared" si="3"/>
        <v>-0.8660254037844386</v>
      </c>
      <c r="AH14" s="54">
        <f t="shared" si="3"/>
        <v>-0.70710678118654768</v>
      </c>
      <c r="AI14" s="54">
        <f t="shared" si="3"/>
        <v>-0.50000000000000044</v>
      </c>
      <c r="AJ14" s="54">
        <f t="shared" si="3"/>
        <v>-0.25881904510252068</v>
      </c>
      <c r="AK14" s="54">
        <f t="shared" si="3"/>
        <v>-2.45029690981724E-16</v>
      </c>
      <c r="AL14" s="54">
        <f t="shared" si="3"/>
        <v>0.25881904510252024</v>
      </c>
      <c r="AM14" s="54">
        <f t="shared" si="3"/>
        <v>0.49999999999999928</v>
      </c>
      <c r="AN14" s="54">
        <f t="shared" si="3"/>
        <v>0.70710678118654668</v>
      </c>
      <c r="AO14" s="54">
        <f t="shared" si="3"/>
        <v>0.86602540378443882</v>
      </c>
      <c r="AP14" s="54">
        <f t="shared" si="3"/>
        <v>0.96592582628906831</v>
      </c>
      <c r="AQ14" s="54">
        <f t="shared" si="3"/>
        <v>1</v>
      </c>
      <c r="AR14" s="54">
        <f t="shared" si="3"/>
        <v>0.96592582628906842</v>
      </c>
      <c r="AS14" s="54">
        <f t="shared" si="3"/>
        <v>0.86602540378443915</v>
      </c>
      <c r="AT14" s="54">
        <f t="shared" si="3"/>
        <v>0.70710678118654713</v>
      </c>
      <c r="AU14" s="54">
        <f t="shared" si="3"/>
        <v>0.49999999999999978</v>
      </c>
      <c r="AV14" s="54">
        <f t="shared" si="3"/>
        <v>0.25881904510252079</v>
      </c>
      <c r="AW14" s="54">
        <f t="shared" si="3"/>
        <v>3.67544536472586E-16</v>
      </c>
      <c r="AX14" s="54">
        <f t="shared" si="3"/>
        <v>-0.25881904510252185</v>
      </c>
      <c r="AY14" s="54">
        <f t="shared" si="3"/>
        <v>-0.50000000000000067</v>
      </c>
    </row>
    <row r="15" spans="3:51" x14ac:dyDescent="0.35">
      <c r="C15" s="42">
        <f>1/3</f>
        <v>0.33333333333333331</v>
      </c>
      <c r="D15" s="42">
        <v>3</v>
      </c>
      <c r="E15" s="42">
        <v>0</v>
      </c>
      <c r="F15" s="73">
        <f t="shared" ref="F15:F17" si="4">PI()*E15/180</f>
        <v>0</v>
      </c>
      <c r="G15" s="56"/>
      <c r="H15" s="56"/>
      <c r="J15" s="59" t="str">
        <f t="shared" ref="J15:J17" si="5">_xlfn.CONCAT("y0 = ",IF(C15&lt;&gt;1,_xlfn.CONCAT(ROUND(C15,2)," *"),"")," sin(",IF(D15&lt;&gt;1,_xlfn.CONCAT(ROUND(D15,2),"*"),""),"x ",IF(F15&lt;&gt;0,_xlfn.CONCAT(" + ",ROUND(F15,2),""),""),") = ")</f>
        <v xml:space="preserve">y0 = 0.33 * sin(3*x ) = </v>
      </c>
      <c r="K15" s="67">
        <f>IF($L$15=$AI$7,$C$15*SIN($D$15*K13 + $F$15),"")</f>
        <v>0.33333333333333331</v>
      </c>
      <c r="L15" s="49" t="s">
        <v>72</v>
      </c>
      <c r="M15" s="55">
        <f t="shared" ref="M15:AY15" si="6">IF($L$15=$AI$7,$C$15*SIN($D$15*M13 + $F$15),"")</f>
        <v>0</v>
      </c>
      <c r="N15" s="55">
        <f t="shared" si="6"/>
        <v>0.23570226039551581</v>
      </c>
      <c r="O15" s="55">
        <f t="shared" si="6"/>
        <v>0.33333333333333331</v>
      </c>
      <c r="P15" s="55">
        <f t="shared" si="6"/>
        <v>0.23570226039551584</v>
      </c>
      <c r="Q15" s="55">
        <f t="shared" si="6"/>
        <v>4.083828183028733E-17</v>
      </c>
      <c r="R15" s="55">
        <f t="shared" si="6"/>
        <v>-0.23570226039551581</v>
      </c>
      <c r="S15" s="55">
        <f t="shared" si="6"/>
        <v>-0.33333333333333331</v>
      </c>
      <c r="T15" s="55">
        <f t="shared" si="6"/>
        <v>-0.23570226039551567</v>
      </c>
      <c r="U15" s="55">
        <f t="shared" si="6"/>
        <v>-8.1676563660574659E-17</v>
      </c>
      <c r="V15" s="55">
        <f t="shared" si="6"/>
        <v>0.23570226039551578</v>
      </c>
      <c r="W15" s="55">
        <f t="shared" si="6"/>
        <v>0.33333333333333331</v>
      </c>
      <c r="X15" s="55">
        <f t="shared" si="6"/>
        <v>0.23570226039551612</v>
      </c>
      <c r="Y15" s="55">
        <f t="shared" si="6"/>
        <v>1.22514845490862E-16</v>
      </c>
      <c r="Z15" s="55">
        <f t="shared" si="6"/>
        <v>-0.23570226039551551</v>
      </c>
      <c r="AA15" s="55">
        <f t="shared" si="6"/>
        <v>-0.33333333333333331</v>
      </c>
      <c r="AB15" s="55">
        <f t="shared" si="6"/>
        <v>-0.23570226039551614</v>
      </c>
      <c r="AC15" s="55">
        <f t="shared" si="6"/>
        <v>-1.6335312732114932E-16</v>
      </c>
      <c r="AD15" s="55">
        <f t="shared" si="6"/>
        <v>0.23570226039551592</v>
      </c>
      <c r="AE15" s="55">
        <f t="shared" si="6"/>
        <v>0.33333333333333331</v>
      </c>
      <c r="AF15" s="55">
        <f t="shared" si="6"/>
        <v>0.23570226039551534</v>
      </c>
      <c r="AG15" s="55">
        <f t="shared" si="6"/>
        <v>2.0419140915143666E-16</v>
      </c>
      <c r="AH15" s="55">
        <f t="shared" si="6"/>
        <v>-0.23570226039551589</v>
      </c>
      <c r="AI15" s="55">
        <f t="shared" si="6"/>
        <v>-0.33333333333333331</v>
      </c>
      <c r="AJ15" s="55">
        <f t="shared" si="6"/>
        <v>-0.23570226039551537</v>
      </c>
      <c r="AK15" s="55">
        <f t="shared" si="6"/>
        <v>-2.45029690981724E-16</v>
      </c>
      <c r="AL15" s="55">
        <f t="shared" si="6"/>
        <v>0.23570226039551503</v>
      </c>
      <c r="AM15" s="55">
        <f t="shared" si="6"/>
        <v>0.33333333333333331</v>
      </c>
      <c r="AN15" s="55">
        <f t="shared" si="6"/>
        <v>0.23570226039551623</v>
      </c>
      <c r="AO15" s="55">
        <f t="shared" si="6"/>
        <v>-8.9836992012148897E-16</v>
      </c>
      <c r="AP15" s="55">
        <f t="shared" si="6"/>
        <v>-0.23570226039551584</v>
      </c>
      <c r="AQ15" s="55">
        <f t="shared" si="6"/>
        <v>-0.33333333333333331</v>
      </c>
      <c r="AR15" s="55">
        <f t="shared" si="6"/>
        <v>-0.23570226039551626</v>
      </c>
      <c r="AS15" s="55">
        <f t="shared" si="6"/>
        <v>-3.2670625464229864E-16</v>
      </c>
      <c r="AT15" s="55">
        <f t="shared" si="6"/>
        <v>0.23570226039551662</v>
      </c>
      <c r="AU15" s="55">
        <f t="shared" si="6"/>
        <v>0.33333333333333331</v>
      </c>
      <c r="AV15" s="55">
        <f t="shared" si="6"/>
        <v>0.23570226039551628</v>
      </c>
      <c r="AW15" s="55">
        <f t="shared" si="6"/>
        <v>3.67544536472586E-16</v>
      </c>
      <c r="AX15" s="55">
        <f t="shared" si="6"/>
        <v>-0.23570226039551662</v>
      </c>
      <c r="AY15" s="55">
        <f t="shared" si="6"/>
        <v>-0.33333333333333331</v>
      </c>
    </row>
    <row r="16" spans="3:51" x14ac:dyDescent="0.35">
      <c r="C16" s="42">
        <f>1/5</f>
        <v>0.2</v>
      </c>
      <c r="D16" s="42">
        <v>5</v>
      </c>
      <c r="E16" s="42">
        <v>0</v>
      </c>
      <c r="F16" s="73">
        <f t="shared" si="4"/>
        <v>0</v>
      </c>
      <c r="G16" s="56"/>
      <c r="H16" s="56"/>
      <c r="J16" s="60" t="str">
        <f t="shared" si="5"/>
        <v xml:space="preserve">y0 = 0.2 * sin(5*x ) = </v>
      </c>
      <c r="K16" s="68">
        <f>IF($L$16=$AI$7,$C$16*SIN($D$16*K13 + $F$16),"")</f>
        <v>-0.2</v>
      </c>
      <c r="L16" s="50" t="s">
        <v>72</v>
      </c>
      <c r="M16" s="55">
        <f t="shared" ref="M16:AY16" si="7">IF($L$16=$AI$7,$C$16*SIN($D$16*M13 + $F$16),"")</f>
        <v>0</v>
      </c>
      <c r="N16" s="55">
        <f t="shared" si="7"/>
        <v>0.19318516525781365</v>
      </c>
      <c r="O16" s="55">
        <f t="shared" si="7"/>
        <v>0.10000000000000007</v>
      </c>
      <c r="P16" s="55">
        <f t="shared" si="7"/>
        <v>-0.1414213562373095</v>
      </c>
      <c r="Q16" s="55">
        <f t="shared" si="7"/>
        <v>-0.17320508075688781</v>
      </c>
      <c r="R16" s="55">
        <f t="shared" si="7"/>
        <v>5.1763809020504217E-2</v>
      </c>
      <c r="S16" s="55">
        <f t="shared" si="7"/>
        <v>0.2</v>
      </c>
      <c r="T16" s="55">
        <f t="shared" si="7"/>
        <v>5.1763809020504162E-2</v>
      </c>
      <c r="U16" s="55">
        <f t="shared" si="7"/>
        <v>-0.17320508075688756</v>
      </c>
      <c r="V16" s="55">
        <f t="shared" si="7"/>
        <v>-0.1414213562373097</v>
      </c>
      <c r="W16" s="55">
        <f t="shared" si="7"/>
        <v>0.10000000000000012</v>
      </c>
      <c r="X16" s="55">
        <f t="shared" si="7"/>
        <v>0.19318516525781371</v>
      </c>
      <c r="Y16" s="55">
        <f t="shared" si="7"/>
        <v>1.22514845490862E-16</v>
      </c>
      <c r="Z16" s="55">
        <f t="shared" si="7"/>
        <v>-0.19318516525781348</v>
      </c>
      <c r="AA16" s="55">
        <f t="shared" si="7"/>
        <v>-0.10000000000000003</v>
      </c>
      <c r="AB16" s="55">
        <f t="shared" si="7"/>
        <v>0.14142135623730953</v>
      </c>
      <c r="AC16" s="55">
        <f t="shared" si="7"/>
        <v>0.17320508075688806</v>
      </c>
      <c r="AD16" s="55">
        <f t="shared" si="7"/>
        <v>-5.1763809020504273E-2</v>
      </c>
      <c r="AE16" s="55">
        <f t="shared" si="7"/>
        <v>-0.2</v>
      </c>
      <c r="AF16" s="55">
        <f t="shared" si="7"/>
        <v>-5.176380902050394E-2</v>
      </c>
      <c r="AG16" s="55">
        <f t="shared" si="7"/>
        <v>0.1732050807568879</v>
      </c>
      <c r="AH16" s="55">
        <f t="shared" si="7"/>
        <v>0.14142135623730978</v>
      </c>
      <c r="AI16" s="55">
        <f t="shared" si="7"/>
        <v>-9.99999999999997E-2</v>
      </c>
      <c r="AJ16" s="55">
        <f t="shared" si="7"/>
        <v>-0.19318516525781373</v>
      </c>
      <c r="AK16" s="55">
        <f t="shared" si="7"/>
        <v>-2.45029690981724E-16</v>
      </c>
      <c r="AL16" s="55">
        <f t="shared" si="7"/>
        <v>0.1931851652578136</v>
      </c>
      <c r="AM16" s="55">
        <f t="shared" si="7"/>
        <v>0.10000000000000137</v>
      </c>
      <c r="AN16" s="55">
        <f t="shared" si="7"/>
        <v>-0.14142135623730842</v>
      </c>
      <c r="AO16" s="55">
        <f t="shared" si="7"/>
        <v>-0.17320508075688779</v>
      </c>
      <c r="AP16" s="55">
        <f t="shared" si="7"/>
        <v>5.1763809020504148E-2</v>
      </c>
      <c r="AQ16" s="55">
        <f t="shared" si="7"/>
        <v>0.2</v>
      </c>
      <c r="AR16" s="55">
        <f t="shared" si="7"/>
        <v>5.1763809020505439E-2</v>
      </c>
      <c r="AS16" s="55">
        <f t="shared" si="7"/>
        <v>-0.17320508075688712</v>
      </c>
      <c r="AT16" s="55">
        <f t="shared" si="7"/>
        <v>-0.14142135623730936</v>
      </c>
      <c r="AU16" s="55">
        <f t="shared" si="7"/>
        <v>0.10000000000000023</v>
      </c>
      <c r="AV16" s="55">
        <f t="shared" si="7"/>
        <v>0.1931851652578136</v>
      </c>
      <c r="AW16" s="55">
        <f t="shared" si="7"/>
        <v>1.0780872722326862E-15</v>
      </c>
      <c r="AX16" s="55">
        <f t="shared" si="7"/>
        <v>-0.19318516525781415</v>
      </c>
      <c r="AY16" s="55">
        <f t="shared" si="7"/>
        <v>-9.9999999999999631E-2</v>
      </c>
    </row>
    <row r="17" spans="3:51" x14ac:dyDescent="0.35">
      <c r="C17" s="42">
        <f>1/7</f>
        <v>0.14285714285714285</v>
      </c>
      <c r="D17" s="42">
        <v>7</v>
      </c>
      <c r="E17" s="42">
        <v>0</v>
      </c>
      <c r="F17" s="73">
        <f t="shared" si="4"/>
        <v>0</v>
      </c>
      <c r="G17" s="56"/>
      <c r="H17" s="56"/>
      <c r="J17" s="61" t="str">
        <f t="shared" si="5"/>
        <v xml:space="preserve">y0 = 0.14 * sin(7*x ) = </v>
      </c>
      <c r="K17" s="69">
        <f>IF($L$17=$AI$7,$C$17*SIN($D$17*K13 + $F$17),"")</f>
        <v>0.14285714285714285</v>
      </c>
      <c r="L17" s="51" t="s">
        <v>72</v>
      </c>
      <c r="M17" s="55">
        <f t="shared" ref="M17:AY17" si="8">IF($L$17=$AI$7,$C$17*SIN($D$17*M13 + $F$17),"")</f>
        <v>0</v>
      </c>
      <c r="N17" s="55">
        <f t="shared" si="8"/>
        <v>0.13798940375558119</v>
      </c>
      <c r="O17" s="55">
        <f t="shared" si="8"/>
        <v>-7.1428571428571383E-2</v>
      </c>
      <c r="P17" s="55">
        <f t="shared" si="8"/>
        <v>-0.1010152544552211</v>
      </c>
      <c r="Q17" s="55">
        <f t="shared" si="8"/>
        <v>0.12371791482634834</v>
      </c>
      <c r="R17" s="55">
        <f t="shared" si="8"/>
        <v>3.697414930036011E-2</v>
      </c>
      <c r="S17" s="55">
        <f t="shared" si="8"/>
        <v>-0.14285714285714285</v>
      </c>
      <c r="T17" s="55">
        <f t="shared" si="8"/>
        <v>3.6974149300360241E-2</v>
      </c>
      <c r="U17" s="55">
        <f t="shared" si="8"/>
        <v>0.12371791482634846</v>
      </c>
      <c r="V17" s="55">
        <f t="shared" si="8"/>
        <v>-0.1010152544552211</v>
      </c>
      <c r="W17" s="55">
        <f t="shared" si="8"/>
        <v>-7.1428571428571438E-2</v>
      </c>
      <c r="X17" s="55">
        <f t="shared" si="8"/>
        <v>0.13798940375558116</v>
      </c>
      <c r="Y17" s="55">
        <f t="shared" si="8"/>
        <v>1.22514845490862E-16</v>
      </c>
      <c r="Z17" s="55">
        <f t="shared" si="8"/>
        <v>-0.13798940375558122</v>
      </c>
      <c r="AA17" s="55">
        <f t="shared" si="8"/>
        <v>7.1428571428571661E-2</v>
      </c>
      <c r="AB17" s="55">
        <f t="shared" si="8"/>
        <v>0.10101525445522126</v>
      </c>
      <c r="AC17" s="55">
        <f t="shared" si="8"/>
        <v>-0.12371791482634821</v>
      </c>
      <c r="AD17" s="55">
        <f t="shared" si="8"/>
        <v>-3.6974149300359985E-2</v>
      </c>
      <c r="AE17" s="55">
        <f t="shared" si="8"/>
        <v>0.14285714285714285</v>
      </c>
      <c r="AF17" s="55">
        <f t="shared" si="8"/>
        <v>-3.6974149300360609E-2</v>
      </c>
      <c r="AG17" s="55">
        <f t="shared" si="8"/>
        <v>-0.12371791482634839</v>
      </c>
      <c r="AH17" s="55">
        <f t="shared" si="8"/>
        <v>0.10101525445522065</v>
      </c>
      <c r="AI17" s="55">
        <f t="shared" si="8"/>
        <v>7.142857142857155E-2</v>
      </c>
      <c r="AJ17" s="55">
        <f t="shared" si="8"/>
        <v>-0.13798940375558125</v>
      </c>
      <c r="AK17" s="55">
        <f t="shared" si="8"/>
        <v>-2.45029690981724E-16</v>
      </c>
      <c r="AL17" s="55">
        <f t="shared" si="8"/>
        <v>0.13798940375558139</v>
      </c>
      <c r="AM17" s="55">
        <f t="shared" si="8"/>
        <v>-7.1428571428571119E-2</v>
      </c>
      <c r="AN17" s="55">
        <f t="shared" si="8"/>
        <v>-0.10101525445522171</v>
      </c>
      <c r="AO17" s="55">
        <f t="shared" si="8"/>
        <v>0.12371791482634865</v>
      </c>
      <c r="AP17" s="55">
        <f t="shared" si="8"/>
        <v>3.6974149300360103E-2</v>
      </c>
      <c r="AQ17" s="55">
        <f t="shared" si="8"/>
        <v>-0.14285714285714285</v>
      </c>
      <c r="AR17" s="55">
        <f t="shared" si="8"/>
        <v>3.6974149300360006E-2</v>
      </c>
      <c r="AS17" s="55">
        <f t="shared" si="8"/>
        <v>0.1237179148263487</v>
      </c>
      <c r="AT17" s="55">
        <f t="shared" si="8"/>
        <v>-0.10101525445522164</v>
      </c>
      <c r="AU17" s="55">
        <f t="shared" si="8"/>
        <v>-7.1428571428571216E-2</v>
      </c>
      <c r="AV17" s="55">
        <f t="shared" si="8"/>
        <v>0.13798940375558111</v>
      </c>
      <c r="AW17" s="55">
        <f t="shared" si="8"/>
        <v>-1.399859890703427E-16</v>
      </c>
      <c r="AX17" s="55">
        <f t="shared" si="8"/>
        <v>-0.13798940375558102</v>
      </c>
      <c r="AY17" s="55">
        <f t="shared" si="8"/>
        <v>7.1428571428572327E-2</v>
      </c>
    </row>
    <row r="18" spans="3:51" ht="8.5" customHeight="1" x14ac:dyDescent="0.35">
      <c r="J18" s="41"/>
      <c r="K18" s="70"/>
      <c r="L18" s="52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  <c r="AG18" s="39"/>
      <c r="AH18" s="39"/>
      <c r="AI18" s="39"/>
      <c r="AJ18" s="39"/>
      <c r="AK18" s="39"/>
      <c r="AL18" s="39"/>
      <c r="AM18" s="39"/>
      <c r="AN18" s="39"/>
      <c r="AO18" s="39"/>
      <c r="AP18" s="39"/>
      <c r="AQ18" s="39"/>
      <c r="AR18" s="39"/>
      <c r="AS18" s="39"/>
      <c r="AT18" s="39"/>
      <c r="AU18" s="39"/>
      <c r="AV18" s="39"/>
      <c r="AW18" s="39"/>
      <c r="AX18" s="39"/>
      <c r="AY18" s="39"/>
    </row>
    <row r="19" spans="3:51" ht="8.5" customHeight="1" x14ac:dyDescent="0.35">
      <c r="J19" s="41"/>
      <c r="K19" s="70"/>
      <c r="L19" s="52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  <c r="AK19" s="39"/>
      <c r="AL19" s="39"/>
      <c r="AM19" s="39"/>
      <c r="AN19" s="39"/>
      <c r="AO19" s="39"/>
      <c r="AP19" s="39"/>
      <c r="AQ19" s="39"/>
      <c r="AR19" s="39"/>
      <c r="AS19" s="39"/>
      <c r="AT19" s="39"/>
      <c r="AU19" s="39"/>
      <c r="AV19" s="39"/>
      <c r="AW19" s="39"/>
      <c r="AX19" s="39"/>
      <c r="AY19" s="39"/>
    </row>
    <row r="20" spans="3:51" ht="16.5" x14ac:dyDescent="0.35">
      <c r="J20" s="40" t="s">
        <v>66</v>
      </c>
      <c r="K20" s="71">
        <f>IF($L$20=$AI$7,SUM(K14:K17),"")</f>
        <v>-0.7238095238095239</v>
      </c>
      <c r="L20" s="53" t="s">
        <v>72</v>
      </c>
      <c r="M20" s="55">
        <f>IF($L$20=$AI$7,SUM(M14:M17),0)</f>
        <v>0</v>
      </c>
      <c r="N20" s="55">
        <f t="shared" ref="N20:AY20" si="9">IF($L$20=$AI$7,SUM(N14:N17),0)</f>
        <v>0.82569587451143145</v>
      </c>
      <c r="O20" s="55">
        <f t="shared" si="9"/>
        <v>0.86190476190476195</v>
      </c>
      <c r="P20" s="55">
        <f t="shared" si="9"/>
        <v>0.70037243088953283</v>
      </c>
      <c r="Q20" s="55">
        <f t="shared" si="9"/>
        <v>0.81653823785389912</v>
      </c>
      <c r="R20" s="55">
        <f t="shared" si="9"/>
        <v>0.81896152421441692</v>
      </c>
      <c r="S20" s="55">
        <f t="shared" si="9"/>
        <v>0.7238095238095239</v>
      </c>
      <c r="T20" s="55">
        <f t="shared" si="9"/>
        <v>0.81896152421441704</v>
      </c>
      <c r="U20" s="55">
        <f t="shared" si="9"/>
        <v>0.81653823785389945</v>
      </c>
      <c r="V20" s="55">
        <f t="shared" si="9"/>
        <v>0.7003724308895326</v>
      </c>
      <c r="W20" s="55">
        <f t="shared" si="9"/>
        <v>0.86190476190476195</v>
      </c>
      <c r="X20" s="55">
        <f t="shared" si="9"/>
        <v>0.825695874511432</v>
      </c>
      <c r="Y20" s="55">
        <f t="shared" si="9"/>
        <v>4.90059381963448E-16</v>
      </c>
      <c r="Z20" s="55">
        <f t="shared" si="9"/>
        <v>-0.82569587451143056</v>
      </c>
      <c r="AA20" s="55">
        <f t="shared" si="9"/>
        <v>-0.86190476190476195</v>
      </c>
      <c r="AB20" s="55">
        <f t="shared" si="9"/>
        <v>-0.70037243088953272</v>
      </c>
      <c r="AC20" s="55">
        <f t="shared" si="9"/>
        <v>-0.81653823785389867</v>
      </c>
      <c r="AD20" s="55">
        <f t="shared" si="9"/>
        <v>-0.8189615242144167</v>
      </c>
      <c r="AE20" s="55">
        <f t="shared" si="9"/>
        <v>-0.7238095238095239</v>
      </c>
      <c r="AF20" s="55">
        <f t="shared" si="9"/>
        <v>-0.81896152421441737</v>
      </c>
      <c r="AG20" s="55">
        <f t="shared" si="9"/>
        <v>-0.8165382378538989</v>
      </c>
      <c r="AH20" s="55">
        <f t="shared" si="9"/>
        <v>-0.70037243088953316</v>
      </c>
      <c r="AI20" s="55">
        <f t="shared" si="9"/>
        <v>-0.86190476190476184</v>
      </c>
      <c r="AJ20" s="55">
        <f t="shared" si="9"/>
        <v>-0.825695874511431</v>
      </c>
      <c r="AK20" s="55">
        <f t="shared" si="9"/>
        <v>-9.8011876392689601E-16</v>
      </c>
      <c r="AL20" s="55">
        <f t="shared" si="9"/>
        <v>0.82569587451143023</v>
      </c>
      <c r="AM20" s="55">
        <f t="shared" si="9"/>
        <v>0.86190476190476284</v>
      </c>
      <c r="AN20" s="55">
        <f t="shared" si="9"/>
        <v>0.70037243088953272</v>
      </c>
      <c r="AO20" s="55">
        <f t="shared" si="9"/>
        <v>0.81653823785389879</v>
      </c>
      <c r="AP20" s="55">
        <f t="shared" si="9"/>
        <v>0.81896152421441681</v>
      </c>
      <c r="AQ20" s="55">
        <f t="shared" si="9"/>
        <v>0.7238095238095239</v>
      </c>
      <c r="AR20" s="55">
        <f t="shared" si="9"/>
        <v>0.8189615242144177</v>
      </c>
      <c r="AS20" s="55">
        <f t="shared" si="9"/>
        <v>0.81653823785390034</v>
      </c>
      <c r="AT20" s="55">
        <f t="shared" si="9"/>
        <v>0.70037243088953283</v>
      </c>
      <c r="AU20" s="55">
        <f t="shared" si="9"/>
        <v>0.86190476190476206</v>
      </c>
      <c r="AV20" s="55">
        <f t="shared" si="9"/>
        <v>0.82569587451143178</v>
      </c>
      <c r="AW20" s="55">
        <f t="shared" si="9"/>
        <v>1.6731903561075154E-15</v>
      </c>
      <c r="AX20" s="55">
        <f t="shared" si="9"/>
        <v>-0.82569587451143367</v>
      </c>
      <c r="AY20" s="55">
        <f t="shared" si="9"/>
        <v>-0.86190476190476129</v>
      </c>
    </row>
    <row r="21" spans="3:51" x14ac:dyDescent="0.35">
      <c r="J21" s="39"/>
      <c r="K21" s="39"/>
      <c r="L21" s="39"/>
    </row>
  </sheetData>
  <mergeCells count="4">
    <mergeCell ref="C11:F11"/>
    <mergeCell ref="C12:F12"/>
    <mergeCell ref="L12:L13"/>
    <mergeCell ref="R7:S7"/>
  </mergeCells>
  <dataValidations count="1">
    <dataValidation type="list" allowBlank="1" showInputMessage="1" showErrorMessage="1" sqref="L14:L17 L20" xr:uid="{14030FAE-C205-4F99-A125-F98CBE2B09BD}">
      <formula1>$AI$7:$AI$8</formula1>
    </dataValidation>
  </dataValidations>
  <pageMargins left="0.7" right="0.7" top="0.78740157499999996" bottom="0.78740157499999996" header="0.3" footer="0.3"/>
  <pageSetup paperSize="9" scale="34" orientation="landscape" verticalDpi="12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F7D5C-D0F8-40D0-BDC5-363CB671BB60}">
  <sheetPr>
    <pageSetUpPr fitToPage="1"/>
  </sheetPr>
  <dimension ref="C1:AY19"/>
  <sheetViews>
    <sheetView showGridLines="0" zoomScale="40" zoomScaleNormal="40" workbookViewId="0">
      <selection activeCell="E15" sqref="E15"/>
    </sheetView>
  </sheetViews>
  <sheetFormatPr baseColWidth="10" defaultColWidth="10.81640625" defaultRowHeight="14.5" x14ac:dyDescent="0.35"/>
  <cols>
    <col min="3" max="6" width="13.81640625" customWidth="1"/>
    <col min="7" max="9" width="3.26953125" customWidth="1"/>
    <col min="10" max="10" width="25.54296875" customWidth="1"/>
    <col min="11" max="11" width="19.90625" customWidth="1"/>
    <col min="12" max="12" width="9.7265625" customWidth="1"/>
    <col min="13" max="51" width="6.36328125" customWidth="1"/>
  </cols>
  <sheetData>
    <row r="1" spans="3:51" ht="21.75" customHeight="1" x14ac:dyDescent="0.35"/>
    <row r="2" spans="3:51" ht="26" x14ac:dyDescent="0.6">
      <c r="C2" s="44" t="s">
        <v>128</v>
      </c>
    </row>
    <row r="4" spans="3:51" x14ac:dyDescent="0.35">
      <c r="R4" s="5"/>
      <c r="S4" s="5" t="s">
        <v>76</v>
      </c>
      <c r="T4" s="5"/>
      <c r="U4" s="5"/>
      <c r="V4" s="5"/>
      <c r="W4" s="5"/>
      <c r="X4" s="5"/>
    </row>
    <row r="5" spans="3:51" x14ac:dyDescent="0.35">
      <c r="R5" s="5"/>
      <c r="S5" s="19" t="s">
        <v>80</v>
      </c>
      <c r="T5" s="55">
        <f>MAX(K14:K18)</f>
        <v>9.9999999999999911</v>
      </c>
      <c r="U5" s="5"/>
      <c r="V5" s="5"/>
      <c r="W5" s="5">
        <f>K12</f>
        <v>210</v>
      </c>
      <c r="X5" s="5">
        <f>W5</f>
        <v>210</v>
      </c>
    </row>
    <row r="6" spans="3:51" x14ac:dyDescent="0.35">
      <c r="R6" s="5"/>
      <c r="S6" s="19" t="s">
        <v>79</v>
      </c>
      <c r="T6" s="55">
        <f>MIN(K14:K18)</f>
        <v>0.86602540378444159</v>
      </c>
      <c r="U6" s="5"/>
      <c r="V6" s="5"/>
      <c r="W6" s="55">
        <f>T6</f>
        <v>0.86602540378444159</v>
      </c>
      <c r="X6" s="55">
        <f>T5</f>
        <v>9.9999999999999911</v>
      </c>
    </row>
    <row r="7" spans="3:51" x14ac:dyDescent="0.35">
      <c r="R7" s="141" t="s">
        <v>81</v>
      </c>
      <c r="S7" s="141"/>
      <c r="T7" s="5">
        <f>IF(ABS(T5)&gt;ABS(T6),T5,T6)</f>
        <v>9.9999999999999911</v>
      </c>
      <c r="U7" s="5"/>
      <c r="V7" s="5"/>
      <c r="W7" s="5"/>
      <c r="X7" s="5"/>
      <c r="AI7" s="5" t="s">
        <v>72</v>
      </c>
      <c r="AP7" s="103"/>
    </row>
    <row r="8" spans="3:51" ht="16" customHeight="1" x14ac:dyDescent="0.35">
      <c r="R8" s="1"/>
      <c r="S8" s="39"/>
      <c r="AI8" s="5" t="s">
        <v>73</v>
      </c>
    </row>
    <row r="11" spans="3:51" ht="21" x14ac:dyDescent="0.35">
      <c r="C11" s="175"/>
      <c r="D11" s="175"/>
      <c r="E11" s="175"/>
      <c r="F11" s="175"/>
      <c r="G11" s="47"/>
      <c r="H11" s="47"/>
      <c r="L11" s="43" t="s">
        <v>8</v>
      </c>
      <c r="M11" s="46">
        <v>15</v>
      </c>
      <c r="N11" s="74"/>
      <c r="O11" s="74"/>
      <c r="P11" s="74"/>
      <c r="Q11" s="74"/>
      <c r="R11" s="74"/>
      <c r="S11" s="74"/>
      <c r="T11" s="74"/>
      <c r="U11" s="74"/>
      <c r="V11" s="74"/>
      <c r="W11" s="74"/>
      <c r="X11" s="74"/>
      <c r="Y11" s="74"/>
      <c r="Z11" s="74"/>
      <c r="AA11" s="74"/>
      <c r="AB11" s="74"/>
      <c r="AC11" s="74"/>
      <c r="AD11" s="74"/>
      <c r="AE11" s="74"/>
      <c r="AF11" s="74"/>
      <c r="AG11" s="74"/>
      <c r="AH11" s="74"/>
      <c r="AI11" s="74"/>
      <c r="AJ11" s="74"/>
      <c r="AK11" s="74"/>
      <c r="AL11" s="74"/>
      <c r="AM11" s="74"/>
      <c r="AN11" s="74"/>
      <c r="AO11" s="74"/>
      <c r="AP11" s="74"/>
      <c r="AQ11" s="74"/>
      <c r="AR11" s="74"/>
      <c r="AS11" s="74"/>
      <c r="AT11" s="74"/>
      <c r="AU11" s="74"/>
      <c r="AV11" s="74"/>
      <c r="AW11" s="74"/>
      <c r="AX11" s="74"/>
      <c r="AY11" s="74"/>
    </row>
    <row r="12" spans="3:51" s="34" customFormat="1" ht="21" x14ac:dyDescent="0.35">
      <c r="C12" s="176" t="s">
        <v>67</v>
      </c>
      <c r="D12" s="176"/>
      <c r="E12" s="176"/>
      <c r="F12" s="176"/>
      <c r="G12" s="47"/>
      <c r="H12" s="47"/>
      <c r="J12" s="57" t="s">
        <v>70</v>
      </c>
      <c r="K12" s="38">
        <v>210</v>
      </c>
      <c r="L12" s="177" t="s">
        <v>71</v>
      </c>
      <c r="M12" s="38">
        <v>0</v>
      </c>
      <c r="N12" s="75">
        <f>M12+$M$11</f>
        <v>15</v>
      </c>
      <c r="O12" s="75">
        <f t="shared" ref="O12:AY12" si="0">N12+$M$11</f>
        <v>30</v>
      </c>
      <c r="P12" s="75">
        <f t="shared" si="0"/>
        <v>45</v>
      </c>
      <c r="Q12" s="75">
        <f t="shared" si="0"/>
        <v>60</v>
      </c>
      <c r="R12" s="75">
        <f t="shared" si="0"/>
        <v>75</v>
      </c>
      <c r="S12" s="75">
        <f t="shared" si="0"/>
        <v>90</v>
      </c>
      <c r="T12" s="75">
        <f t="shared" si="0"/>
        <v>105</v>
      </c>
      <c r="U12" s="75">
        <f t="shared" si="0"/>
        <v>120</v>
      </c>
      <c r="V12" s="75">
        <f t="shared" si="0"/>
        <v>135</v>
      </c>
      <c r="W12" s="75">
        <f t="shared" si="0"/>
        <v>150</v>
      </c>
      <c r="X12" s="75">
        <f t="shared" si="0"/>
        <v>165</v>
      </c>
      <c r="Y12" s="75">
        <f t="shared" si="0"/>
        <v>180</v>
      </c>
      <c r="Z12" s="75">
        <f t="shared" si="0"/>
        <v>195</v>
      </c>
      <c r="AA12" s="75">
        <f t="shared" si="0"/>
        <v>210</v>
      </c>
      <c r="AB12" s="75">
        <f t="shared" si="0"/>
        <v>225</v>
      </c>
      <c r="AC12" s="75">
        <f t="shared" si="0"/>
        <v>240</v>
      </c>
      <c r="AD12" s="75">
        <f t="shared" si="0"/>
        <v>255</v>
      </c>
      <c r="AE12" s="75">
        <f t="shared" si="0"/>
        <v>270</v>
      </c>
      <c r="AF12" s="75">
        <f t="shared" si="0"/>
        <v>285</v>
      </c>
      <c r="AG12" s="75">
        <f t="shared" si="0"/>
        <v>300</v>
      </c>
      <c r="AH12" s="75">
        <f t="shared" si="0"/>
        <v>315</v>
      </c>
      <c r="AI12" s="75">
        <f t="shared" si="0"/>
        <v>330</v>
      </c>
      <c r="AJ12" s="75">
        <f t="shared" si="0"/>
        <v>345</v>
      </c>
      <c r="AK12" s="75">
        <f t="shared" si="0"/>
        <v>360</v>
      </c>
      <c r="AL12" s="75">
        <f t="shared" si="0"/>
        <v>375</v>
      </c>
      <c r="AM12" s="75">
        <f t="shared" si="0"/>
        <v>390</v>
      </c>
      <c r="AN12" s="75">
        <f t="shared" si="0"/>
        <v>405</v>
      </c>
      <c r="AO12" s="75">
        <f t="shared" si="0"/>
        <v>420</v>
      </c>
      <c r="AP12" s="75">
        <f t="shared" si="0"/>
        <v>435</v>
      </c>
      <c r="AQ12" s="75">
        <f t="shared" si="0"/>
        <v>450</v>
      </c>
      <c r="AR12" s="75">
        <f t="shared" si="0"/>
        <v>465</v>
      </c>
      <c r="AS12" s="75">
        <f t="shared" si="0"/>
        <v>480</v>
      </c>
      <c r="AT12" s="75">
        <f t="shared" si="0"/>
        <v>495</v>
      </c>
      <c r="AU12" s="75">
        <f t="shared" si="0"/>
        <v>510</v>
      </c>
      <c r="AV12" s="75">
        <f t="shared" si="0"/>
        <v>525</v>
      </c>
      <c r="AW12" s="75">
        <f t="shared" si="0"/>
        <v>540</v>
      </c>
      <c r="AX12" s="75">
        <f t="shared" si="0"/>
        <v>555</v>
      </c>
      <c r="AY12" s="75">
        <f t="shared" si="0"/>
        <v>570</v>
      </c>
    </row>
    <row r="13" spans="3:51" s="34" customFormat="1" ht="43.5" x14ac:dyDescent="0.35">
      <c r="C13" s="62" t="s">
        <v>74</v>
      </c>
      <c r="D13" s="62" t="s">
        <v>75</v>
      </c>
      <c r="E13" s="62" t="s">
        <v>78</v>
      </c>
      <c r="F13" s="62" t="s">
        <v>77</v>
      </c>
      <c r="G13" s="63"/>
      <c r="H13" s="63"/>
      <c r="J13" s="72" t="s">
        <v>69</v>
      </c>
      <c r="K13" s="65">
        <f t="shared" ref="K13" si="1">PI()*K12/180</f>
        <v>3.6651914291880923</v>
      </c>
      <c r="L13" s="178"/>
      <c r="M13" s="64">
        <f>PI()*M12/180</f>
        <v>0</v>
      </c>
      <c r="N13" s="64">
        <f>PI()*N12/180</f>
        <v>0.26179938779914941</v>
      </c>
      <c r="O13" s="64">
        <f t="shared" ref="O13:AY13" si="2">PI()*O12/180</f>
        <v>0.52359877559829882</v>
      </c>
      <c r="P13" s="64">
        <f t="shared" si="2"/>
        <v>0.78539816339744828</v>
      </c>
      <c r="Q13" s="64">
        <f t="shared" si="2"/>
        <v>1.0471975511965976</v>
      </c>
      <c r="R13" s="64">
        <f t="shared" si="2"/>
        <v>1.3089969389957472</v>
      </c>
      <c r="S13" s="64">
        <f t="shared" si="2"/>
        <v>1.5707963267948966</v>
      </c>
      <c r="T13" s="64">
        <f t="shared" si="2"/>
        <v>1.8325957145940461</v>
      </c>
      <c r="U13" s="64">
        <f t="shared" si="2"/>
        <v>2.0943951023931953</v>
      </c>
      <c r="V13" s="64">
        <f t="shared" si="2"/>
        <v>2.3561944901923448</v>
      </c>
      <c r="W13" s="64">
        <f t="shared" si="2"/>
        <v>2.6179938779914944</v>
      </c>
      <c r="X13" s="64">
        <f t="shared" si="2"/>
        <v>2.8797932657906435</v>
      </c>
      <c r="Y13" s="64">
        <f t="shared" si="2"/>
        <v>3.1415926535897931</v>
      </c>
      <c r="Z13" s="64">
        <f t="shared" si="2"/>
        <v>3.4033920413889422</v>
      </c>
      <c r="AA13" s="64">
        <f t="shared" si="2"/>
        <v>3.6651914291880923</v>
      </c>
      <c r="AB13" s="64">
        <f t="shared" si="2"/>
        <v>3.9269908169872414</v>
      </c>
      <c r="AC13" s="64">
        <f t="shared" si="2"/>
        <v>4.1887902047863905</v>
      </c>
      <c r="AD13" s="64">
        <f t="shared" si="2"/>
        <v>4.4505895925855405</v>
      </c>
      <c r="AE13" s="64">
        <f t="shared" si="2"/>
        <v>4.7123889803846897</v>
      </c>
      <c r="AF13" s="64">
        <f t="shared" si="2"/>
        <v>4.9741883681838397</v>
      </c>
      <c r="AG13" s="64">
        <f t="shared" si="2"/>
        <v>5.2359877559829888</v>
      </c>
      <c r="AH13" s="64">
        <f t="shared" si="2"/>
        <v>5.497787143782138</v>
      </c>
      <c r="AI13" s="64">
        <f t="shared" si="2"/>
        <v>5.7595865315812871</v>
      </c>
      <c r="AJ13" s="64">
        <f t="shared" si="2"/>
        <v>6.0213859193804371</v>
      </c>
      <c r="AK13" s="64">
        <f t="shared" si="2"/>
        <v>6.2831853071795862</v>
      </c>
      <c r="AL13" s="64">
        <f t="shared" si="2"/>
        <v>6.5449846949787354</v>
      </c>
      <c r="AM13" s="64">
        <f t="shared" si="2"/>
        <v>6.8067840827778845</v>
      </c>
      <c r="AN13" s="64">
        <f t="shared" si="2"/>
        <v>7.0685834705770336</v>
      </c>
      <c r="AO13" s="64">
        <f t="shared" si="2"/>
        <v>7.3303828583761845</v>
      </c>
      <c r="AP13" s="64">
        <f t="shared" si="2"/>
        <v>7.5921822461753337</v>
      </c>
      <c r="AQ13" s="64">
        <f t="shared" si="2"/>
        <v>7.8539816339744828</v>
      </c>
      <c r="AR13" s="64">
        <f t="shared" si="2"/>
        <v>8.1157810217736319</v>
      </c>
      <c r="AS13" s="64">
        <f t="shared" si="2"/>
        <v>8.3775804095727811</v>
      </c>
      <c r="AT13" s="64">
        <f t="shared" si="2"/>
        <v>8.639379797371932</v>
      </c>
      <c r="AU13" s="64">
        <f t="shared" si="2"/>
        <v>8.9011791851710811</v>
      </c>
      <c r="AV13" s="64">
        <f t="shared" si="2"/>
        <v>9.1629785729702302</v>
      </c>
      <c r="AW13" s="64">
        <f t="shared" si="2"/>
        <v>9.4247779607693793</v>
      </c>
      <c r="AX13" s="64">
        <f t="shared" si="2"/>
        <v>9.6865773485685303</v>
      </c>
      <c r="AY13" s="64">
        <f t="shared" si="2"/>
        <v>9.9483767363676794</v>
      </c>
    </row>
    <row r="14" spans="3:51" x14ac:dyDescent="0.35">
      <c r="C14" s="42">
        <v>20</v>
      </c>
      <c r="D14" s="42">
        <v>50</v>
      </c>
      <c r="E14" s="42">
        <v>90</v>
      </c>
      <c r="F14" s="73">
        <f>PI()*E14/180</f>
        <v>1.5707963267948966</v>
      </c>
      <c r="G14" s="56"/>
      <c r="H14" s="56"/>
      <c r="J14" s="58" t="str">
        <f>_xlfn.CONCAT("U = ",IF(C14&lt;&gt;1,_xlfn.CONCAT(ROUND(C14,2)," *"),"")," sin(",IF(D14&lt;&gt;1,_xlfn.CONCAT(ROUND(D14,2),"*"),""),"x ",IF(F14&lt;&gt;0,_xlfn.CONCAT(" + ",ROUND(F14,2),""),""),") = ")</f>
        <v xml:space="preserve">U = 20 * sin(50*x  + 1.57) = </v>
      </c>
      <c r="K14" s="66">
        <f>IF($L$14=$AI$7,$C$14*SIN($D$14*K13 + $F$14),0)</f>
        <v>9.9999999999999911</v>
      </c>
      <c r="L14" s="48" t="s">
        <v>72</v>
      </c>
      <c r="M14" s="54">
        <f>IF($L$14=$AI$7,$C$14*SIN($D$14*M13 + $F$14),0)</f>
        <v>20</v>
      </c>
      <c r="N14" s="54">
        <f t="shared" ref="N14:AY14" si="3">IF($L$14=$AI$7,$C$14*SIN($D$14*N13 + $F$14),0)</f>
        <v>17.320508075688785</v>
      </c>
      <c r="O14" s="54">
        <f t="shared" si="3"/>
        <v>10.000000000000009</v>
      </c>
      <c r="P14" s="54">
        <f t="shared" si="3"/>
        <v>-3.9200413748385898E-14</v>
      </c>
      <c r="Q14" s="54">
        <f t="shared" si="3"/>
        <v>-9.9999999999999538</v>
      </c>
      <c r="R14" s="54">
        <f t="shared" si="3"/>
        <v>-17.3205080756887</v>
      </c>
      <c r="S14" s="54">
        <f t="shared" si="3"/>
        <v>-20</v>
      </c>
      <c r="T14" s="54">
        <f t="shared" si="3"/>
        <v>-17.320508075688796</v>
      </c>
      <c r="U14" s="54">
        <f t="shared" si="3"/>
        <v>-10.000000000000247</v>
      </c>
      <c r="V14" s="54">
        <f t="shared" si="3"/>
        <v>-2.3521982972507516E-13</v>
      </c>
      <c r="W14" s="54">
        <f t="shared" si="3"/>
        <v>9.9999999999998384</v>
      </c>
      <c r="X14" s="54">
        <f t="shared" si="3"/>
        <v>17.320508075688707</v>
      </c>
      <c r="Y14" s="54">
        <f t="shared" si="3"/>
        <v>20</v>
      </c>
      <c r="Z14" s="54">
        <f t="shared" si="3"/>
        <v>17.320508075689077</v>
      </c>
      <c r="AA14" s="54">
        <f t="shared" si="3"/>
        <v>9.9999999999999911</v>
      </c>
      <c r="AB14" s="54">
        <f t="shared" si="3"/>
        <v>5.0964007319853621E-13</v>
      </c>
      <c r="AC14" s="54">
        <f t="shared" si="3"/>
        <v>-9.9999999999996021</v>
      </c>
      <c r="AD14" s="54">
        <f t="shared" si="3"/>
        <v>-17.320508075688853</v>
      </c>
      <c r="AE14" s="54">
        <f t="shared" si="3"/>
        <v>-20</v>
      </c>
      <c r="AF14" s="54">
        <f t="shared" si="3"/>
        <v>-17.320508075688647</v>
      </c>
      <c r="AG14" s="54">
        <f t="shared" si="3"/>
        <v>-10.000000000000229</v>
      </c>
      <c r="AH14" s="54">
        <f t="shared" si="3"/>
        <v>-7.8406031667199727E-13</v>
      </c>
      <c r="AI14" s="54">
        <f t="shared" si="3"/>
        <v>9.9999999999998561</v>
      </c>
      <c r="AJ14" s="54">
        <f t="shared" si="3"/>
        <v>17.320508075688998</v>
      </c>
      <c r="AK14" s="54">
        <f t="shared" si="3"/>
        <v>20</v>
      </c>
      <c r="AL14" s="54">
        <f t="shared" si="3"/>
        <v>17.320508075689066</v>
      </c>
      <c r="AM14" s="54">
        <f t="shared" si="3"/>
        <v>10.000000000000959</v>
      </c>
      <c r="AN14" s="54">
        <f t="shared" si="3"/>
        <v>1.6269147487535385E-12</v>
      </c>
      <c r="AO14" s="54">
        <f t="shared" si="3"/>
        <v>-10.00000000000011</v>
      </c>
      <c r="AP14" s="54">
        <f t="shared" si="3"/>
        <v>-17.320508075688576</v>
      </c>
      <c r="AQ14" s="54">
        <f t="shared" si="3"/>
        <v>-20</v>
      </c>
      <c r="AR14" s="54">
        <f t="shared" si="3"/>
        <v>-17.32050807568892</v>
      </c>
      <c r="AS14" s="54">
        <f t="shared" si="3"/>
        <v>-10.000000000000703</v>
      </c>
      <c r="AT14" s="54">
        <f t="shared" si="3"/>
        <v>9.4083595081340121E-13</v>
      </c>
      <c r="AU14" s="54">
        <f t="shared" si="3"/>
        <v>10.000000000000364</v>
      </c>
      <c r="AV14" s="54">
        <f t="shared" si="3"/>
        <v>17.320508075688721</v>
      </c>
      <c r="AW14" s="54">
        <f t="shared" si="3"/>
        <v>20</v>
      </c>
      <c r="AX14" s="54">
        <f t="shared" si="3"/>
        <v>17.320508075688203</v>
      </c>
      <c r="AY14" s="54">
        <f t="shared" si="3"/>
        <v>9.9999999999994653</v>
      </c>
    </row>
    <row r="15" spans="3:51" x14ac:dyDescent="0.35">
      <c r="C15" s="42">
        <v>1</v>
      </c>
      <c r="D15" s="42">
        <v>50</v>
      </c>
      <c r="E15" s="42">
        <v>0</v>
      </c>
      <c r="F15" s="73">
        <f t="shared" ref="F15" si="4">PI()*E15/180</f>
        <v>0</v>
      </c>
      <c r="G15" s="56"/>
      <c r="H15" s="56"/>
      <c r="J15" s="97" t="str">
        <f>_xlfn.CONCAT("I = ",IF(C15&lt;&gt;1,_xlfn.CONCAT(ROUND(C15,2)," *"),"")," sin(",IF(D15&lt;&gt;1,_xlfn.CONCAT(ROUND(D15,2),"*"),""),"x ",IF(F15&lt;&gt;0,_xlfn.CONCAT(" + ",ROUND(F15,2),""),""),") = ")</f>
        <v xml:space="preserve">I =  sin(50*x ) = </v>
      </c>
      <c r="K15" s="98">
        <f>IF($L$15=$AI$7,$C$15*SIN($D$15*K13 + $F$15),"")</f>
        <v>0.86602540378444159</v>
      </c>
      <c r="L15" s="99" t="s">
        <v>72</v>
      </c>
      <c r="M15" s="55">
        <f>IF($L$15=$AI$7,$C$15*SIN($D$15*M13 + $F$15),0)</f>
        <v>0</v>
      </c>
      <c r="N15" s="55">
        <f t="shared" ref="N15:AY15" si="5">IF($L$15=$AI$7,$C$15*SIN($D$15*N13 + $F$15),0)</f>
        <v>0.49999999999999906</v>
      </c>
      <c r="O15" s="55">
        <f t="shared" si="5"/>
        <v>0.8660254037844376</v>
      </c>
      <c r="P15" s="55">
        <f t="shared" si="5"/>
        <v>1</v>
      </c>
      <c r="Q15" s="55">
        <f t="shared" si="5"/>
        <v>0.86602540378444082</v>
      </c>
      <c r="R15" s="55">
        <f t="shared" si="5"/>
        <v>0.50000000000000167</v>
      </c>
      <c r="S15" s="55">
        <f t="shared" si="5"/>
        <v>-4.898425415289509E-16</v>
      </c>
      <c r="T15" s="55">
        <f t="shared" si="5"/>
        <v>-0.50000000000000255</v>
      </c>
      <c r="U15" s="55">
        <f t="shared" si="5"/>
        <v>-0.86602540378443427</v>
      </c>
      <c r="V15" s="55">
        <f t="shared" si="5"/>
        <v>-1</v>
      </c>
      <c r="W15" s="55">
        <f t="shared" si="5"/>
        <v>-0.86602540378444059</v>
      </c>
      <c r="X15" s="55">
        <f t="shared" si="5"/>
        <v>-0.50000000000000122</v>
      </c>
      <c r="Y15" s="55">
        <f t="shared" si="5"/>
        <v>9.7968508305790181E-16</v>
      </c>
      <c r="Z15" s="55">
        <f t="shared" si="5"/>
        <v>0.49999999999997835</v>
      </c>
      <c r="AA15" s="55">
        <f t="shared" si="5"/>
        <v>0.86602540378444159</v>
      </c>
      <c r="AB15" s="55">
        <f t="shared" si="5"/>
        <v>1</v>
      </c>
      <c r="AC15" s="55">
        <f t="shared" si="5"/>
        <v>0.86602540378444748</v>
      </c>
      <c r="AD15" s="55">
        <f t="shared" si="5"/>
        <v>0.49999999999998856</v>
      </c>
      <c r="AE15" s="55">
        <f t="shared" si="5"/>
        <v>1.2741327090615151E-14</v>
      </c>
      <c r="AF15" s="55">
        <f t="shared" si="5"/>
        <v>-0.50000000000001565</v>
      </c>
      <c r="AG15" s="55">
        <f t="shared" si="5"/>
        <v>-0.86602540378443471</v>
      </c>
      <c r="AH15" s="55">
        <f t="shared" si="5"/>
        <v>-1</v>
      </c>
      <c r="AI15" s="55">
        <f t="shared" si="5"/>
        <v>-0.86602540378444015</v>
      </c>
      <c r="AJ15" s="55">
        <f t="shared" si="5"/>
        <v>-0.4999999999999758</v>
      </c>
      <c r="AK15" s="55">
        <f t="shared" si="5"/>
        <v>1.9593701661158036E-15</v>
      </c>
      <c r="AL15" s="55">
        <f t="shared" si="5"/>
        <v>0.49999999999997918</v>
      </c>
      <c r="AM15" s="55">
        <f t="shared" si="5"/>
        <v>0.86602540378441362</v>
      </c>
      <c r="AN15" s="55">
        <f t="shared" si="5"/>
        <v>1</v>
      </c>
      <c r="AO15" s="55">
        <f t="shared" si="5"/>
        <v>0.86602540378443271</v>
      </c>
      <c r="AP15" s="55">
        <f t="shared" si="5"/>
        <v>0.50000000000001232</v>
      </c>
      <c r="AQ15" s="55">
        <f t="shared" si="5"/>
        <v>4.0183351437961257E-14</v>
      </c>
      <c r="AR15" s="55">
        <f t="shared" si="5"/>
        <v>-0.49999999999999195</v>
      </c>
      <c r="AS15" s="55">
        <f t="shared" si="5"/>
        <v>-0.86602540378442106</v>
      </c>
      <c r="AT15" s="55">
        <f t="shared" si="5"/>
        <v>-1</v>
      </c>
      <c r="AU15" s="55">
        <f t="shared" si="5"/>
        <v>-0.86602540378442538</v>
      </c>
      <c r="AV15" s="55">
        <f t="shared" si="5"/>
        <v>-0.49999999999999956</v>
      </c>
      <c r="AW15" s="55">
        <f t="shared" si="5"/>
        <v>-2.5482654181230302E-14</v>
      </c>
      <c r="AX15" s="55">
        <f t="shared" si="5"/>
        <v>0.50000000000005385</v>
      </c>
      <c r="AY15" s="55">
        <f t="shared" si="5"/>
        <v>0.8660254037844568</v>
      </c>
    </row>
    <row r="16" spans="3:51" ht="8.5" customHeight="1" x14ac:dyDescent="0.35">
      <c r="J16" s="41"/>
      <c r="K16" s="70"/>
      <c r="L16" s="52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  <c r="AD16" s="39"/>
      <c r="AE16" s="39"/>
      <c r="AF16" s="39"/>
      <c r="AG16" s="39"/>
      <c r="AH16" s="39"/>
      <c r="AI16" s="39"/>
      <c r="AJ16" s="39"/>
      <c r="AK16" s="39"/>
      <c r="AL16" s="39"/>
      <c r="AM16" s="39"/>
      <c r="AN16" s="39"/>
      <c r="AO16" s="39"/>
      <c r="AP16" s="39"/>
      <c r="AQ16" s="39"/>
      <c r="AR16" s="39"/>
      <c r="AS16" s="39"/>
      <c r="AT16" s="39"/>
      <c r="AU16" s="39"/>
      <c r="AV16" s="39"/>
      <c r="AW16" s="39"/>
      <c r="AX16" s="39"/>
      <c r="AY16" s="39"/>
    </row>
    <row r="17" spans="10:51" ht="8.5" customHeight="1" x14ac:dyDescent="0.35">
      <c r="J17" s="41"/>
      <c r="K17" s="70"/>
      <c r="L17" s="52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  <c r="AG17" s="39"/>
      <c r="AH17" s="39"/>
      <c r="AI17" s="39"/>
      <c r="AJ17" s="39"/>
      <c r="AK17" s="39"/>
      <c r="AL17" s="39"/>
      <c r="AM17" s="39"/>
      <c r="AN17" s="39"/>
      <c r="AO17" s="39"/>
      <c r="AP17" s="39"/>
      <c r="AQ17" s="39"/>
      <c r="AR17" s="39"/>
      <c r="AS17" s="39"/>
      <c r="AT17" s="39"/>
      <c r="AU17" s="39"/>
      <c r="AV17" s="39"/>
      <c r="AW17" s="39"/>
      <c r="AX17" s="39"/>
      <c r="AY17" s="39"/>
    </row>
    <row r="18" spans="10:51" ht="16.5" x14ac:dyDescent="0.35">
      <c r="J18" s="100" t="s">
        <v>130</v>
      </c>
      <c r="K18" s="101">
        <f>IF($L$18=$AI$7,K14*K15,"")</f>
        <v>8.6602540378444086</v>
      </c>
      <c r="L18" s="102" t="s">
        <v>72</v>
      </c>
      <c r="M18" s="55">
        <f>IF($L$18=$AI$7,M14*M15,0)</f>
        <v>0</v>
      </c>
      <c r="N18" s="55">
        <f t="shared" ref="N18:AY18" si="6">IF($L$18=$AI$7,N14*N15,0)</f>
        <v>8.6602540378443766</v>
      </c>
      <c r="O18" s="55">
        <f t="shared" si="6"/>
        <v>8.6602540378443837</v>
      </c>
      <c r="P18" s="55">
        <f t="shared" si="6"/>
        <v>-3.9200413748385898E-14</v>
      </c>
      <c r="Q18" s="55">
        <f t="shared" si="6"/>
        <v>-8.6602540378443678</v>
      </c>
      <c r="R18" s="55">
        <f t="shared" si="6"/>
        <v>-8.6602540378443784</v>
      </c>
      <c r="S18" s="55">
        <f t="shared" si="6"/>
        <v>9.7968508305790181E-15</v>
      </c>
      <c r="T18" s="55">
        <f t="shared" si="6"/>
        <v>8.6602540378444424</v>
      </c>
      <c r="U18" s="55">
        <f t="shared" si="6"/>
        <v>8.6602540378445561</v>
      </c>
      <c r="V18" s="55">
        <f t="shared" si="6"/>
        <v>2.3521982972507516E-13</v>
      </c>
      <c r="W18" s="55">
        <f t="shared" si="6"/>
        <v>-8.6602540378442665</v>
      </c>
      <c r="X18" s="55">
        <f t="shared" si="6"/>
        <v>-8.6602540378443749</v>
      </c>
      <c r="Y18" s="55">
        <f t="shared" si="6"/>
        <v>1.9593701661158036E-14</v>
      </c>
      <c r="Z18" s="55">
        <f t="shared" si="6"/>
        <v>8.6602540378441635</v>
      </c>
      <c r="AA18" s="55">
        <f t="shared" si="6"/>
        <v>8.6602540378444086</v>
      </c>
      <c r="AB18" s="55">
        <f t="shared" si="6"/>
        <v>5.0964007319853621E-13</v>
      </c>
      <c r="AC18" s="55">
        <f t="shared" si="6"/>
        <v>-8.6602540378441297</v>
      </c>
      <c r="AD18" s="55">
        <f t="shared" si="6"/>
        <v>-8.6602540378442274</v>
      </c>
      <c r="AE18" s="55">
        <f t="shared" si="6"/>
        <v>-2.5482654181230302E-13</v>
      </c>
      <c r="AF18" s="55">
        <f t="shared" si="6"/>
        <v>8.6602540378445951</v>
      </c>
      <c r="AG18" s="55">
        <f t="shared" si="6"/>
        <v>8.6602540378445454</v>
      </c>
      <c r="AH18" s="55">
        <f t="shared" si="6"/>
        <v>7.8406031667199727E-13</v>
      </c>
      <c r="AI18" s="55">
        <f t="shared" si="6"/>
        <v>-8.6602540378442772</v>
      </c>
      <c r="AJ18" s="55">
        <f t="shared" si="6"/>
        <v>-8.66025403784408</v>
      </c>
      <c r="AK18" s="55">
        <f t="shared" si="6"/>
        <v>3.9187403322316072E-14</v>
      </c>
      <c r="AL18" s="55">
        <f t="shared" si="6"/>
        <v>8.6602540378441724</v>
      </c>
      <c r="AM18" s="55">
        <f t="shared" si="6"/>
        <v>8.6602540378449664</v>
      </c>
      <c r="AN18" s="55">
        <f t="shared" si="6"/>
        <v>1.6269147487535385E-12</v>
      </c>
      <c r="AO18" s="55">
        <f t="shared" si="6"/>
        <v>-8.6602540378444228</v>
      </c>
      <c r="AP18" s="55">
        <f t="shared" si="6"/>
        <v>-8.660254037844501</v>
      </c>
      <c r="AQ18" s="55">
        <f t="shared" si="6"/>
        <v>-8.0366702875922513E-13</v>
      </c>
      <c r="AR18" s="55">
        <f t="shared" si="6"/>
        <v>8.6602540378443216</v>
      </c>
      <c r="AS18" s="55">
        <f t="shared" si="6"/>
        <v>8.660254037844819</v>
      </c>
      <c r="AT18" s="55">
        <f t="shared" si="6"/>
        <v>-9.4083595081340121E-13</v>
      </c>
      <c r="AU18" s="55">
        <f t="shared" si="6"/>
        <v>-8.6602540378445685</v>
      </c>
      <c r="AV18" s="55">
        <f t="shared" si="6"/>
        <v>-8.6602540378443535</v>
      </c>
      <c r="AW18" s="55">
        <f t="shared" si="6"/>
        <v>-5.0965308362460604E-13</v>
      </c>
      <c r="AX18" s="55">
        <f t="shared" si="6"/>
        <v>8.6602540378450339</v>
      </c>
      <c r="AY18" s="55">
        <f t="shared" si="6"/>
        <v>8.6602540378441049</v>
      </c>
    </row>
    <row r="19" spans="10:51" x14ac:dyDescent="0.35">
      <c r="J19" s="39"/>
      <c r="K19" s="39"/>
      <c r="L19" s="39"/>
    </row>
  </sheetData>
  <mergeCells count="4">
    <mergeCell ref="R7:S7"/>
    <mergeCell ref="C11:F11"/>
    <mergeCell ref="C12:F12"/>
    <mergeCell ref="L12:L13"/>
  </mergeCells>
  <dataValidations count="1">
    <dataValidation type="list" allowBlank="1" showInputMessage="1" showErrorMessage="1" sqref="L14:L15 L18 AP7" xr:uid="{C8E29193-96AE-404C-87B8-B84194F32E1C}">
      <formula1>$AI$7:$AI$8</formula1>
    </dataValidation>
  </dataValidations>
  <pageMargins left="0.7" right="0.7" top="0.78740157499999996" bottom="0.78740157499999996" header="0.3" footer="0.3"/>
  <pageSetup paperSize="9" scale="34" orientation="landscape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9C101-0721-4B41-AB3B-88F5CF5B361C}">
  <dimension ref="C1:AK42"/>
  <sheetViews>
    <sheetView showGridLines="0" zoomScale="70" zoomScaleNormal="70" workbookViewId="0">
      <selection activeCell="E25" sqref="E25"/>
    </sheetView>
  </sheetViews>
  <sheetFormatPr baseColWidth="10" defaultRowHeight="14.5" x14ac:dyDescent="0.35"/>
  <cols>
    <col min="1" max="1" width="3.81640625" customWidth="1"/>
    <col min="2" max="2" width="11.81640625" customWidth="1"/>
    <col min="3" max="3" width="12" customWidth="1"/>
    <col min="4" max="4" width="35.1796875" customWidth="1"/>
    <col min="5" max="5" width="9.54296875" customWidth="1"/>
    <col min="6" max="6" width="12.36328125" customWidth="1"/>
    <col min="7" max="8" width="9.81640625" customWidth="1"/>
    <col min="9" max="9" width="16" customWidth="1"/>
    <col min="10" max="10" width="11.36328125" customWidth="1"/>
    <col min="11" max="11" width="33" customWidth="1"/>
    <col min="12" max="12" width="15.6328125" customWidth="1"/>
    <col min="13" max="13" width="15" customWidth="1"/>
    <col min="14" max="14" width="6.54296875" customWidth="1"/>
    <col min="15" max="15" width="24.54296875" customWidth="1"/>
    <col min="16" max="16" width="7.26953125" customWidth="1"/>
    <col min="21" max="21" width="16.36328125" customWidth="1"/>
  </cols>
  <sheetData>
    <row r="1" spans="3:25" ht="40" customHeight="1" x14ac:dyDescent="0.35"/>
    <row r="2" spans="3:25" ht="26" x14ac:dyDescent="0.6">
      <c r="C2" s="44" t="s">
        <v>252</v>
      </c>
      <c r="D2" s="44"/>
      <c r="L2" s="125" t="s">
        <v>268</v>
      </c>
      <c r="M2" s="126" t="s">
        <v>271</v>
      </c>
      <c r="N2" s="111"/>
    </row>
    <row r="3" spans="3:25" x14ac:dyDescent="0.35">
      <c r="L3" s="115" t="s">
        <v>215</v>
      </c>
      <c r="M3" s="115" t="s">
        <v>273</v>
      </c>
      <c r="T3" s="85"/>
      <c r="X3" s="119"/>
      <c r="Y3" s="119"/>
    </row>
    <row r="4" spans="3:25" x14ac:dyDescent="0.35">
      <c r="L4" s="115" t="s">
        <v>216</v>
      </c>
      <c r="M4" s="115" t="s">
        <v>272</v>
      </c>
      <c r="T4" s="85"/>
    </row>
    <row r="5" spans="3:25" x14ac:dyDescent="0.35">
      <c r="L5" s="115"/>
      <c r="M5" s="115" t="s">
        <v>261</v>
      </c>
      <c r="T5" s="85"/>
    </row>
    <row r="6" spans="3:25" x14ac:dyDescent="0.35">
      <c r="L6" s="115"/>
      <c r="M6" s="115" t="s">
        <v>270</v>
      </c>
    </row>
    <row r="20" spans="4:35" x14ac:dyDescent="0.35">
      <c r="D20" s="5" t="s">
        <v>258</v>
      </c>
      <c r="E20" s="19" t="s">
        <v>259</v>
      </c>
      <c r="F20" s="94">
        <v>5</v>
      </c>
      <c r="G20" s="4" t="s">
        <v>270</v>
      </c>
      <c r="K20" s="5" t="s">
        <v>276</v>
      </c>
      <c r="L20" s="5"/>
    </row>
    <row r="21" spans="4:35" x14ac:dyDescent="0.35">
      <c r="D21" s="5" t="s">
        <v>266</v>
      </c>
      <c r="E21" s="19" t="s">
        <v>267</v>
      </c>
      <c r="F21" s="94">
        <v>30</v>
      </c>
      <c r="G21" s="4" t="s">
        <v>215</v>
      </c>
      <c r="K21" s="19" t="s">
        <v>279</v>
      </c>
      <c r="L21" s="133">
        <v>0.6</v>
      </c>
    </row>
    <row r="22" spans="4:35" x14ac:dyDescent="0.35">
      <c r="D22" s="127"/>
      <c r="E22" s="179" t="str">
        <f>E21</f>
        <v xml:space="preserve">α = </v>
      </c>
      <c r="F22" s="128">
        <f>IF(G21=G22,F21,F21*180/PI())</f>
        <v>30</v>
      </c>
      <c r="G22" s="127" t="str">
        <f>L3</f>
        <v>°</v>
      </c>
      <c r="K22" s="19" t="s">
        <v>280</v>
      </c>
      <c r="L22" s="135">
        <v>0.2</v>
      </c>
    </row>
    <row r="23" spans="4:35" x14ac:dyDescent="0.35">
      <c r="D23" s="127"/>
      <c r="E23" s="179" t="str">
        <f>E21</f>
        <v xml:space="preserve">α = </v>
      </c>
      <c r="F23" s="128">
        <f>IF(G21=G23,F21,F21*PI()/180)</f>
        <v>0.52359877559829882</v>
      </c>
      <c r="G23" s="127" t="str">
        <f>L4</f>
        <v>rad</v>
      </c>
      <c r="K23" s="5" t="s">
        <v>311</v>
      </c>
      <c r="L23" s="134">
        <f>DEGREES(ATAN(L21))</f>
        <v>30.963756532073521</v>
      </c>
      <c r="M23" s="5" t="s">
        <v>312</v>
      </c>
      <c r="O23" s="5">
        <f>L23*PI()/180</f>
        <v>0.54041950027058416</v>
      </c>
      <c r="P23" s="5" t="s">
        <v>314</v>
      </c>
    </row>
    <row r="24" spans="4:35" ht="16.5" x14ac:dyDescent="0.35">
      <c r="D24" s="5" t="s">
        <v>260</v>
      </c>
      <c r="E24" s="19" t="s">
        <v>316</v>
      </c>
      <c r="F24" s="93">
        <v>9.81</v>
      </c>
      <c r="G24" s="5" t="s">
        <v>262</v>
      </c>
      <c r="K24" s="5" t="s">
        <v>313</v>
      </c>
      <c r="L24" s="134">
        <f>DEGREES(ATAN(L22))</f>
        <v>11.309932474020215</v>
      </c>
      <c r="M24" s="5" t="s">
        <v>312</v>
      </c>
      <c r="O24" s="5">
        <f>L24*PI()/180</f>
        <v>0.1973955598498808</v>
      </c>
      <c r="P24" s="5" t="s">
        <v>314</v>
      </c>
    </row>
    <row r="26" spans="4:35" ht="16.5" x14ac:dyDescent="0.45">
      <c r="D26" s="5" t="s">
        <v>269</v>
      </c>
      <c r="E26" s="19" t="s">
        <v>253</v>
      </c>
      <c r="F26" s="5" t="s">
        <v>263</v>
      </c>
      <c r="G26" s="93">
        <f>$F$20*$F$24</f>
        <v>49.050000000000004</v>
      </c>
      <c r="H26" s="5" t="str">
        <f>IF($G$20=$M$5,"N",IF($G$20=$M$6,"kN",IF($G$20=$M$4,"mN",IF($G$20=$M$3,"Mikro N",""))))</f>
        <v>kN</v>
      </c>
    </row>
    <row r="27" spans="4:35" ht="16.5" x14ac:dyDescent="0.45">
      <c r="D27" s="5" t="s">
        <v>254</v>
      </c>
      <c r="E27" s="19" t="s">
        <v>256</v>
      </c>
      <c r="F27" s="5" t="s">
        <v>265</v>
      </c>
      <c r="G27" s="93">
        <f>$G$26*SIN($F$23)</f>
        <v>24.524999999999999</v>
      </c>
      <c r="H27" s="5" t="str">
        <f>H26</f>
        <v>kN</v>
      </c>
    </row>
    <row r="28" spans="4:35" ht="16.5" x14ac:dyDescent="0.45">
      <c r="D28" s="5" t="s">
        <v>255</v>
      </c>
      <c r="E28" s="19" t="s">
        <v>257</v>
      </c>
      <c r="F28" s="5" t="s">
        <v>264</v>
      </c>
      <c r="G28" s="93">
        <f>$G$26*COS($F$23)</f>
        <v>42.478546055626722</v>
      </c>
      <c r="H28" s="5" t="str">
        <f>H27</f>
        <v>kN</v>
      </c>
    </row>
    <row r="29" spans="4:35" x14ac:dyDescent="0.35">
      <c r="D29" s="5"/>
      <c r="E29" s="19"/>
      <c r="F29" s="5"/>
      <c r="G29" s="93"/>
      <c r="H29" s="5"/>
    </row>
    <row r="30" spans="4:35" ht="16.5" x14ac:dyDescent="0.45">
      <c r="D30" s="5" t="s">
        <v>296</v>
      </c>
      <c r="E30" s="19" t="s">
        <v>300</v>
      </c>
      <c r="F30" s="5" t="s">
        <v>295</v>
      </c>
      <c r="G30" s="93">
        <f>$G$28*$L$21</f>
        <v>25.487127633376033</v>
      </c>
      <c r="H30" s="5" t="str">
        <f>H28</f>
        <v>kN</v>
      </c>
    </row>
    <row r="31" spans="4:35" ht="16" customHeight="1" x14ac:dyDescent="0.45">
      <c r="D31" s="5" t="s">
        <v>297</v>
      </c>
      <c r="E31" s="19" t="s">
        <v>305</v>
      </c>
      <c r="F31" s="5" t="s">
        <v>301</v>
      </c>
      <c r="G31" s="93">
        <f>$G$27-G30</f>
        <v>-0.96212763337603491</v>
      </c>
      <c r="H31" s="5" t="str">
        <f>H30</f>
        <v>kN</v>
      </c>
      <c r="I31" t="str">
        <f>IF(G31&gt;0,"Gleiten","Haftet")</f>
        <v>Haftet</v>
      </c>
      <c r="K31" s="132" t="s">
        <v>281</v>
      </c>
      <c r="L31" s="132" t="s">
        <v>277</v>
      </c>
      <c r="M31" s="132" t="s">
        <v>278</v>
      </c>
      <c r="O31" t="str">
        <f>D21</f>
        <v>Steigungswinkel:</v>
      </c>
      <c r="R31" s="1" t="s">
        <v>8</v>
      </c>
      <c r="S31" s="2">
        <v>5</v>
      </c>
    </row>
    <row r="32" spans="4:35" ht="16" customHeight="1" x14ac:dyDescent="0.45">
      <c r="D32" s="5" t="s">
        <v>299</v>
      </c>
      <c r="E32" s="19" t="s">
        <v>302</v>
      </c>
      <c r="F32" s="5" t="s">
        <v>298</v>
      </c>
      <c r="G32" s="93">
        <f>$G$28*$L$22</f>
        <v>8.4957092111253445</v>
      </c>
      <c r="H32" s="5" t="str">
        <f>H31</f>
        <v>kN</v>
      </c>
      <c r="K32" s="131" t="s">
        <v>282</v>
      </c>
      <c r="L32" s="131" t="s">
        <v>283</v>
      </c>
      <c r="M32" s="131" t="s">
        <v>284</v>
      </c>
      <c r="O32" s="136" t="s">
        <v>267</v>
      </c>
      <c r="P32" s="136" t="s">
        <v>308</v>
      </c>
      <c r="Q32" s="4">
        <v>0</v>
      </c>
      <c r="R32" s="5">
        <f>Q32+$S$31</f>
        <v>5</v>
      </c>
      <c r="S32" s="5">
        <f t="shared" ref="S32:AA32" si="0">R32+$S$31</f>
        <v>10</v>
      </c>
      <c r="T32" s="5">
        <f t="shared" si="0"/>
        <v>15</v>
      </c>
      <c r="U32" s="5">
        <f t="shared" si="0"/>
        <v>20</v>
      </c>
      <c r="V32" s="5">
        <f t="shared" si="0"/>
        <v>25</v>
      </c>
      <c r="W32" s="5">
        <f t="shared" si="0"/>
        <v>30</v>
      </c>
      <c r="X32" s="5">
        <f t="shared" si="0"/>
        <v>35</v>
      </c>
      <c r="Y32" s="5">
        <f t="shared" si="0"/>
        <v>40</v>
      </c>
      <c r="Z32" s="5">
        <f t="shared" si="0"/>
        <v>45</v>
      </c>
      <c r="AA32" s="5">
        <f t="shared" si="0"/>
        <v>50</v>
      </c>
      <c r="AB32" s="5">
        <f t="shared" ref="AB32:AF32" si="1">AA32+$S$31</f>
        <v>55</v>
      </c>
      <c r="AC32" s="5">
        <f t="shared" si="1"/>
        <v>60</v>
      </c>
      <c r="AD32" s="5">
        <f t="shared" si="1"/>
        <v>65</v>
      </c>
      <c r="AE32" s="5">
        <f t="shared" si="1"/>
        <v>70</v>
      </c>
      <c r="AF32" s="5">
        <f t="shared" si="1"/>
        <v>75</v>
      </c>
      <c r="AG32" s="5">
        <f t="shared" ref="AG32:AI32" si="2">AF32+$S$31</f>
        <v>80</v>
      </c>
      <c r="AH32" s="5">
        <f t="shared" si="2"/>
        <v>85</v>
      </c>
      <c r="AI32" s="5">
        <f t="shared" si="2"/>
        <v>90</v>
      </c>
    </row>
    <row r="33" spans="4:37" ht="16" customHeight="1" x14ac:dyDescent="0.45">
      <c r="D33" s="5" t="s">
        <v>303</v>
      </c>
      <c r="E33" s="19" t="s">
        <v>306</v>
      </c>
      <c r="F33" s="5" t="s">
        <v>304</v>
      </c>
      <c r="G33" s="93">
        <f>$G$27-G32</f>
        <v>16.029290788874654</v>
      </c>
      <c r="H33" s="5" t="str">
        <f>H32</f>
        <v>kN</v>
      </c>
      <c r="K33" s="131" t="s">
        <v>285</v>
      </c>
      <c r="L33" s="131" t="s">
        <v>286</v>
      </c>
      <c r="M33" s="131" t="s">
        <v>287</v>
      </c>
      <c r="O33" s="136" t="s">
        <v>267</v>
      </c>
      <c r="P33" s="136" t="s">
        <v>309</v>
      </c>
      <c r="Q33" s="5">
        <f>Q32*PI()/180</f>
        <v>0</v>
      </c>
      <c r="R33" s="5">
        <f>R32*PI()/180</f>
        <v>8.7266462599716474E-2</v>
      </c>
      <c r="S33" s="5">
        <f t="shared" ref="S33:AA33" si="3">S32*PI()/180</f>
        <v>0.17453292519943295</v>
      </c>
      <c r="T33" s="5">
        <f t="shared" si="3"/>
        <v>0.26179938779914941</v>
      </c>
      <c r="U33" s="5">
        <f t="shared" si="3"/>
        <v>0.3490658503988659</v>
      </c>
      <c r="V33" s="5">
        <f t="shared" si="3"/>
        <v>0.43633231299858238</v>
      </c>
      <c r="W33" s="5">
        <f t="shared" si="3"/>
        <v>0.52359877559829882</v>
      </c>
      <c r="X33" s="5">
        <f t="shared" si="3"/>
        <v>0.6108652381980153</v>
      </c>
      <c r="Y33" s="5">
        <f t="shared" si="3"/>
        <v>0.69813170079773179</v>
      </c>
      <c r="Z33" s="5">
        <f t="shared" si="3"/>
        <v>0.78539816339744828</v>
      </c>
      <c r="AA33" s="5">
        <f t="shared" si="3"/>
        <v>0.87266462599716477</v>
      </c>
      <c r="AB33" s="5">
        <f t="shared" ref="AB33" si="4">AB32*PI()/180</f>
        <v>0.95993108859688125</v>
      </c>
      <c r="AC33" s="5">
        <f t="shared" ref="AC33" si="5">AC32*PI()/180</f>
        <v>1.0471975511965976</v>
      </c>
      <c r="AD33" s="5">
        <f t="shared" ref="AD33" si="6">AD32*PI()/180</f>
        <v>1.1344640137963142</v>
      </c>
      <c r="AE33" s="5">
        <f t="shared" ref="AE33" si="7">AE32*PI()/180</f>
        <v>1.2217304763960306</v>
      </c>
      <c r="AF33" s="5">
        <f t="shared" ref="AF33" si="8">AF32*PI()/180</f>
        <v>1.3089969389957472</v>
      </c>
      <c r="AG33" s="5">
        <f t="shared" ref="AG33" si="9">AG32*PI()/180</f>
        <v>1.3962634015954636</v>
      </c>
      <c r="AH33" s="5">
        <f t="shared" ref="AH33" si="10">AH32*PI()/180</f>
        <v>1.4835298641951802</v>
      </c>
      <c r="AI33" s="5">
        <f t="shared" ref="AI33" si="11">AI32*PI()/180</f>
        <v>1.5707963267948966</v>
      </c>
    </row>
    <row r="34" spans="4:37" ht="16" customHeight="1" x14ac:dyDescent="0.45">
      <c r="K34" s="131" t="s">
        <v>288</v>
      </c>
      <c r="L34" s="131" t="s">
        <v>287</v>
      </c>
      <c r="M34" s="131" t="s">
        <v>289</v>
      </c>
      <c r="O34" s="19" t="s">
        <v>256</v>
      </c>
      <c r="P34" s="19" t="str">
        <f>H26</f>
        <v>kN</v>
      </c>
      <c r="Q34" s="5">
        <f>$F$20*SIN(Q33)*$F$24</f>
        <v>0</v>
      </c>
      <c r="R34" s="5">
        <f t="shared" ref="R34:AI34" si="12">$F$20*SIN(R33)*$F$24</f>
        <v>4.2749891817726331</v>
      </c>
      <c r="S34" s="5">
        <f t="shared" si="12"/>
        <v>8.5174431145629335</v>
      </c>
      <c r="T34" s="5">
        <f t="shared" si="12"/>
        <v>12.695074162278642</v>
      </c>
      <c r="U34" s="5">
        <f t="shared" si="12"/>
        <v>16.77608803012405</v>
      </c>
      <c r="V34" s="5">
        <f t="shared" si="12"/>
        <v>20.729425738381309</v>
      </c>
      <c r="W34" s="5">
        <f t="shared" si="12"/>
        <v>24.524999999999999</v>
      </c>
      <c r="X34" s="5">
        <f t="shared" si="12"/>
        <v>28.133924203018811</v>
      </c>
      <c r="Y34" s="5">
        <f t="shared" si="12"/>
        <v>31.528732255124751</v>
      </c>
      <c r="Z34" s="5">
        <f t="shared" si="12"/>
        <v>34.683587617200153</v>
      </c>
      <c r="AA34" s="5">
        <f t="shared" si="12"/>
        <v>37.574479934985874</v>
      </c>
      <c r="AB34" s="5">
        <f t="shared" si="12"/>
        <v>40.179407772375043</v>
      </c>
      <c r="AC34" s="5">
        <f t="shared" si="12"/>
        <v>42.478546055626715</v>
      </c>
      <c r="AD34" s="5">
        <f t="shared" si="12"/>
        <v>44.454396954147676</v>
      </c>
      <c r="AE34" s="5">
        <f t="shared" si="12"/>
        <v>46.091923049548804</v>
      </c>
      <c r="AF34" s="5">
        <f t="shared" si="12"/>
        <v>47.378661779478804</v>
      </c>
      <c r="AG34" s="5">
        <f t="shared" si="12"/>
        <v>48.304820285248802</v>
      </c>
      <c r="AH34" s="5">
        <f t="shared" si="12"/>
        <v>48.863349941400116</v>
      </c>
      <c r="AI34" s="5">
        <f t="shared" si="12"/>
        <v>49.050000000000004</v>
      </c>
    </row>
    <row r="35" spans="4:37" ht="16" customHeight="1" x14ac:dyDescent="0.45">
      <c r="K35" s="131" t="s">
        <v>290</v>
      </c>
      <c r="L35" s="131" t="s">
        <v>291</v>
      </c>
      <c r="M35" s="131" t="s">
        <v>292</v>
      </c>
      <c r="O35" s="19" t="s">
        <v>300</v>
      </c>
      <c r="P35" s="19" t="str">
        <f>P34</f>
        <v>kN</v>
      </c>
      <c r="Q35" s="5">
        <f>$F$20*$F$24*COS(Q33)*$L$21</f>
        <v>29.43</v>
      </c>
      <c r="R35" s="5">
        <f t="shared" ref="R35:AI35" si="13">$F$20*$F$24*COS(R33)*$L$21</f>
        <v>29.318009964840073</v>
      </c>
      <c r="S35" s="5">
        <f t="shared" si="13"/>
        <v>28.982892171149285</v>
      </c>
      <c r="T35" s="5">
        <f t="shared" si="13"/>
        <v>28.427197067687281</v>
      </c>
      <c r="U35" s="5">
        <f t="shared" si="13"/>
        <v>27.655153829729286</v>
      </c>
      <c r="V35" s="5">
        <f t="shared" si="13"/>
        <v>26.672638172488607</v>
      </c>
      <c r="W35" s="5">
        <f t="shared" si="13"/>
        <v>25.487127633376033</v>
      </c>
      <c r="X35" s="5">
        <f t="shared" si="13"/>
        <v>24.107644663425031</v>
      </c>
      <c r="Y35" s="5">
        <f t="shared" si="13"/>
        <v>22.544687960991524</v>
      </c>
      <c r="Z35" s="5">
        <f t="shared" si="13"/>
        <v>20.810152570320096</v>
      </c>
      <c r="AA35" s="5">
        <f t="shared" si="13"/>
        <v>18.917239353074855</v>
      </c>
      <c r="AB35" s="5">
        <f t="shared" si="13"/>
        <v>16.880354521811292</v>
      </c>
      <c r="AC35" s="5">
        <f t="shared" si="13"/>
        <v>14.715000000000005</v>
      </c>
      <c r="AD35" s="5">
        <f t="shared" si="13"/>
        <v>12.437655443028785</v>
      </c>
      <c r="AE35" s="5">
        <f t="shared" si="13"/>
        <v>10.065652818074435</v>
      </c>
      <c r="AF35" s="5">
        <f t="shared" si="13"/>
        <v>7.6170444973671856</v>
      </c>
      <c r="AG35" s="5">
        <f t="shared" si="13"/>
        <v>5.1104658687377622</v>
      </c>
      <c r="AH35" s="5">
        <f t="shared" si="13"/>
        <v>2.5649935090635791</v>
      </c>
      <c r="AI35" s="5">
        <f t="shared" si="13"/>
        <v>1.8028059513980344E-15</v>
      </c>
    </row>
    <row r="36" spans="4:37" ht="16" customHeight="1" x14ac:dyDescent="0.45">
      <c r="K36" s="131" t="s">
        <v>293</v>
      </c>
      <c r="L36" s="131" t="s">
        <v>294</v>
      </c>
      <c r="M36" s="131" t="s">
        <v>294</v>
      </c>
      <c r="O36" s="19" t="s">
        <v>302</v>
      </c>
      <c r="P36" s="19" t="str">
        <f t="shared" ref="P36:P38" si="14">P35</f>
        <v>kN</v>
      </c>
      <c r="Q36" s="5">
        <f>$F$20*$F$24*COS(Q33)*$L$22</f>
        <v>9.8100000000000023</v>
      </c>
      <c r="R36" s="5">
        <f t="shared" ref="R36:AI36" si="15">$F$20*$F$24*COS(R33)*$L$22</f>
        <v>9.7726699882800254</v>
      </c>
      <c r="S36" s="5">
        <f t="shared" si="15"/>
        <v>9.6609640570497621</v>
      </c>
      <c r="T36" s="5">
        <f t="shared" si="15"/>
        <v>9.4757323558957616</v>
      </c>
      <c r="U36" s="5">
        <f t="shared" si="15"/>
        <v>9.2183846099097622</v>
      </c>
      <c r="V36" s="5">
        <f t="shared" si="15"/>
        <v>8.8908793908295376</v>
      </c>
      <c r="W36" s="5">
        <f t="shared" si="15"/>
        <v>8.4957092111253445</v>
      </c>
      <c r="X36" s="5">
        <f t="shared" si="15"/>
        <v>8.0358815544750097</v>
      </c>
      <c r="Y36" s="5">
        <f t="shared" si="15"/>
        <v>7.5148959869971748</v>
      </c>
      <c r="Z36" s="5">
        <f t="shared" si="15"/>
        <v>6.9367175234400325</v>
      </c>
      <c r="AA36" s="5">
        <f t="shared" si="15"/>
        <v>6.3057464510249517</v>
      </c>
      <c r="AB36" s="5">
        <f t="shared" si="15"/>
        <v>5.6267848406037642</v>
      </c>
      <c r="AC36" s="5">
        <f t="shared" si="15"/>
        <v>4.905000000000002</v>
      </c>
      <c r="AD36" s="5">
        <f t="shared" si="15"/>
        <v>4.1458851476762622</v>
      </c>
      <c r="AE36" s="5">
        <f t="shared" si="15"/>
        <v>3.3552176060248118</v>
      </c>
      <c r="AF36" s="5">
        <f t="shared" si="15"/>
        <v>2.5390148324557291</v>
      </c>
      <c r="AG36" s="5">
        <f t="shared" si="15"/>
        <v>1.7034886229125874</v>
      </c>
      <c r="AH36" s="5">
        <f t="shared" si="15"/>
        <v>0.85499783635452653</v>
      </c>
      <c r="AI36" s="5">
        <f t="shared" si="15"/>
        <v>6.0093531713267827E-16</v>
      </c>
    </row>
    <row r="37" spans="4:37" ht="16.5" x14ac:dyDescent="0.45">
      <c r="O37" s="19" t="s">
        <v>305</v>
      </c>
      <c r="P37" s="19" t="str">
        <f t="shared" si="14"/>
        <v>kN</v>
      </c>
      <c r="Q37" s="5">
        <f>Q34-Q35</f>
        <v>-29.43</v>
      </c>
      <c r="R37" s="5">
        <f t="shared" ref="R37:AI37" si="16">R34-R35</f>
        <v>-25.043020783067441</v>
      </c>
      <c r="S37" s="5">
        <f t="shared" si="16"/>
        <v>-20.465449056586351</v>
      </c>
      <c r="T37" s="5">
        <f t="shared" si="16"/>
        <v>-15.732122905408639</v>
      </c>
      <c r="U37" s="5">
        <f t="shared" si="16"/>
        <v>-10.879065799605236</v>
      </c>
      <c r="V37" s="5">
        <f t="shared" si="16"/>
        <v>-5.9432124341072985</v>
      </c>
      <c r="W37" s="5">
        <f t="shared" si="16"/>
        <v>-0.96212763337603491</v>
      </c>
      <c r="X37" s="5">
        <f t="shared" si="16"/>
        <v>4.02627953959378</v>
      </c>
      <c r="Y37" s="5">
        <f t="shared" si="16"/>
        <v>8.984044294133227</v>
      </c>
      <c r="Z37" s="5">
        <f t="shared" si="16"/>
        <v>13.873435046880058</v>
      </c>
      <c r="AA37" s="5">
        <f t="shared" si="16"/>
        <v>18.657240581911019</v>
      </c>
      <c r="AB37" s="5">
        <f t="shared" si="16"/>
        <v>23.299053250563752</v>
      </c>
      <c r="AC37" s="5">
        <f t="shared" si="16"/>
        <v>27.763546055626712</v>
      </c>
      <c r="AD37" s="5">
        <f t="shared" si="16"/>
        <v>32.016741511118894</v>
      </c>
      <c r="AE37" s="5">
        <f t="shared" si="16"/>
        <v>36.026270231474371</v>
      </c>
      <c r="AF37" s="5">
        <f t="shared" si="16"/>
        <v>39.761617282111615</v>
      </c>
      <c r="AG37" s="5">
        <f t="shared" si="16"/>
        <v>43.19435441651104</v>
      </c>
      <c r="AH37" s="5">
        <f t="shared" si="16"/>
        <v>46.29835643233654</v>
      </c>
      <c r="AI37" s="5">
        <f t="shared" si="16"/>
        <v>49.050000000000004</v>
      </c>
    </row>
    <row r="38" spans="4:37" ht="16.5" x14ac:dyDescent="0.45">
      <c r="O38" s="19" t="s">
        <v>306</v>
      </c>
      <c r="P38" s="19" t="str">
        <f t="shared" si="14"/>
        <v>kN</v>
      </c>
      <c r="Q38" s="5">
        <f>Q34-Q36</f>
        <v>-9.8100000000000023</v>
      </c>
      <c r="R38" s="5">
        <f t="shared" ref="R38:AI38" si="17">R34-R36</f>
        <v>-5.4976808065073923</v>
      </c>
      <c r="S38" s="5">
        <f t="shared" si="17"/>
        <v>-1.1435209424868287</v>
      </c>
      <c r="T38" s="5">
        <f t="shared" si="17"/>
        <v>3.2193418063828805</v>
      </c>
      <c r="U38" s="5">
        <f t="shared" si="17"/>
        <v>7.5577034202142883</v>
      </c>
      <c r="V38" s="5">
        <f t="shared" si="17"/>
        <v>11.838546347551771</v>
      </c>
      <c r="W38" s="5">
        <f t="shared" si="17"/>
        <v>16.029290788874654</v>
      </c>
      <c r="X38" s="5">
        <f t="shared" si="17"/>
        <v>20.098042648543803</v>
      </c>
      <c r="Y38" s="5">
        <f t="shared" si="17"/>
        <v>24.013836268127577</v>
      </c>
      <c r="Z38" s="5">
        <f t="shared" si="17"/>
        <v>27.746870093760123</v>
      </c>
      <c r="AA38" s="5">
        <f t="shared" si="17"/>
        <v>31.268733483960922</v>
      </c>
      <c r="AB38" s="5">
        <f t="shared" si="17"/>
        <v>34.552622931771282</v>
      </c>
      <c r="AC38" s="5">
        <f t="shared" si="17"/>
        <v>37.573546055626714</v>
      </c>
      <c r="AD38" s="5">
        <f t="shared" si="17"/>
        <v>40.308511806471415</v>
      </c>
      <c r="AE38" s="5">
        <f t="shared" si="17"/>
        <v>42.736705443523995</v>
      </c>
      <c r="AF38" s="5">
        <f t="shared" si="17"/>
        <v>44.839646947023077</v>
      </c>
      <c r="AG38" s="5">
        <f t="shared" si="17"/>
        <v>46.601331662336214</v>
      </c>
      <c r="AH38" s="5">
        <f t="shared" si="17"/>
        <v>48.008352105045589</v>
      </c>
      <c r="AI38" s="5">
        <f t="shared" si="17"/>
        <v>49.050000000000004</v>
      </c>
    </row>
    <row r="39" spans="4:37" ht="16.5" x14ac:dyDescent="0.45">
      <c r="O39" s="19" t="s">
        <v>307</v>
      </c>
      <c r="P39" s="19"/>
      <c r="Q39" s="5">
        <f>IF(Q38&gt;0,Q38/$F$20,0)</f>
        <v>0</v>
      </c>
      <c r="R39" s="5">
        <f t="shared" ref="R39:AI39" si="18">IF(R38&gt;0,R38/$F$20,0)</f>
        <v>0</v>
      </c>
      <c r="S39" s="5">
        <f t="shared" si="18"/>
        <v>0</v>
      </c>
      <c r="T39" s="5">
        <f t="shared" si="18"/>
        <v>0.6438683612765761</v>
      </c>
      <c r="U39" s="5">
        <f t="shared" si="18"/>
        <v>1.5115406840428576</v>
      </c>
      <c r="V39" s="5">
        <f t="shared" si="18"/>
        <v>2.3677092695103541</v>
      </c>
      <c r="W39" s="5">
        <f t="shared" si="18"/>
        <v>3.205858157774931</v>
      </c>
      <c r="X39" s="5">
        <f t="shared" si="18"/>
        <v>4.0196085297087603</v>
      </c>
      <c r="Y39" s="5">
        <f t="shared" si="18"/>
        <v>4.8027672536255155</v>
      </c>
      <c r="Z39" s="5">
        <f t="shared" si="18"/>
        <v>5.5493740187520242</v>
      </c>
      <c r="AA39" s="5">
        <f t="shared" si="18"/>
        <v>6.2537466967921844</v>
      </c>
      <c r="AB39" s="5">
        <f t="shared" si="18"/>
        <v>6.9105245863542564</v>
      </c>
      <c r="AC39" s="5">
        <f t="shared" si="18"/>
        <v>7.5147092111253428</v>
      </c>
      <c r="AD39" s="5">
        <f t="shared" si="18"/>
        <v>8.0617023612942837</v>
      </c>
      <c r="AE39" s="5">
        <f t="shared" si="18"/>
        <v>8.5473410887047994</v>
      </c>
      <c r="AF39" s="5">
        <f t="shared" si="18"/>
        <v>8.967929389404615</v>
      </c>
      <c r="AG39" s="5">
        <f t="shared" si="18"/>
        <v>9.3202663324672432</v>
      </c>
      <c r="AH39" s="5">
        <f t="shared" si="18"/>
        <v>9.6016704210091177</v>
      </c>
      <c r="AI39" s="5">
        <f t="shared" si="18"/>
        <v>9.81</v>
      </c>
    </row>
    <row r="40" spans="4:37" x14ac:dyDescent="0.35">
      <c r="O40" s="19" t="s">
        <v>310</v>
      </c>
      <c r="P40" s="5"/>
      <c r="Q40" s="5">
        <f>IF(Q38&gt;0,$F$24*(SIN(Q33)-$L$22*COS(Q33)),0)</f>
        <v>0</v>
      </c>
      <c r="R40" s="5">
        <f t="shared" ref="R40:AI40" si="19">IF(R38&gt;0,$F$24*(SIN(R33)-$L$22*COS(R33)),0)</f>
        <v>0</v>
      </c>
      <c r="S40" s="5">
        <f t="shared" si="19"/>
        <v>0</v>
      </c>
      <c r="T40" s="5">
        <f t="shared" si="19"/>
        <v>0.64386836127657632</v>
      </c>
      <c r="U40" s="5">
        <f>IF(U38&gt;0,$F$24*(SIN(U33)-$L$22*COS(U33)),0)</f>
        <v>1.5115406840428576</v>
      </c>
      <c r="V40" s="5">
        <f t="shared" si="19"/>
        <v>2.3677092695103545</v>
      </c>
      <c r="W40" s="5">
        <f t="shared" si="19"/>
        <v>3.205858157774931</v>
      </c>
      <c r="X40" s="5">
        <f t="shared" si="19"/>
        <v>4.0196085297087603</v>
      </c>
      <c r="Y40" s="5">
        <f t="shared" si="19"/>
        <v>4.8027672536255155</v>
      </c>
      <c r="Z40" s="5">
        <f t="shared" si="19"/>
        <v>5.5493740187520242</v>
      </c>
      <c r="AA40" s="5">
        <f t="shared" si="19"/>
        <v>6.2537466967921844</v>
      </c>
      <c r="AB40" s="5">
        <f t="shared" si="19"/>
        <v>6.9105245863542581</v>
      </c>
      <c r="AC40" s="5">
        <f t="shared" si="19"/>
        <v>7.514709211125342</v>
      </c>
      <c r="AD40" s="5">
        <f t="shared" si="19"/>
        <v>8.0617023612942837</v>
      </c>
      <c r="AE40" s="5">
        <f t="shared" si="19"/>
        <v>8.5473410887047994</v>
      </c>
      <c r="AF40" s="5">
        <f t="shared" si="19"/>
        <v>8.967929389404615</v>
      </c>
      <c r="AG40" s="5">
        <f t="shared" si="19"/>
        <v>9.3202663324672432</v>
      </c>
      <c r="AH40" s="137">
        <f t="shared" si="19"/>
        <v>9.6016704210091195</v>
      </c>
      <c r="AI40" s="137">
        <f t="shared" si="19"/>
        <v>9.81</v>
      </c>
    </row>
    <row r="41" spans="4:37" x14ac:dyDescent="0.35">
      <c r="AH41" s="5" t="s">
        <v>315</v>
      </c>
      <c r="AI41" s="93">
        <v>0</v>
      </c>
      <c r="AJ41" s="93">
        <f>$L$23</f>
        <v>30.963756532073521</v>
      </c>
      <c r="AK41" s="93">
        <f>$L$23</f>
        <v>30.963756532073521</v>
      </c>
    </row>
    <row r="42" spans="4:37" x14ac:dyDescent="0.35">
      <c r="AH42" s="5"/>
      <c r="AI42" s="5">
        <v>0</v>
      </c>
      <c r="AJ42" s="5">
        <v>0</v>
      </c>
      <c r="AK42" s="5">
        <f>$F$24*(SIN(O23)-$L$22*COS(O23))</f>
        <v>3.3648022404960245</v>
      </c>
    </row>
  </sheetData>
  <conditionalFormatting sqref="Q37:AI37">
    <cfRule type="expression" dxfId="2" priority="2">
      <formula>Q37&gt;0</formula>
    </cfRule>
  </conditionalFormatting>
  <conditionalFormatting sqref="Q38:AI38">
    <cfRule type="expression" dxfId="1" priority="1">
      <formula>Q38&lt;0</formula>
    </cfRule>
  </conditionalFormatting>
  <dataValidations count="2">
    <dataValidation type="list" allowBlank="1" showInputMessage="1" showErrorMessage="1" sqref="G21" xr:uid="{914C84CC-881B-4AD5-BC66-6A288299472A}">
      <formula1>$L$3:$L$4</formula1>
    </dataValidation>
    <dataValidation type="list" allowBlank="1" showInputMessage="1" showErrorMessage="1" sqref="G20" xr:uid="{BB7C4B13-58A2-49D4-9141-FDBC564F0ECC}">
      <formula1>$M$3:$M$6</formula1>
    </dataValidation>
  </dataValidations>
  <pageMargins left="0.7" right="0.7" top="0.78740157499999996" bottom="0.78740157499999996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983CD-95BD-4046-A0B0-33D8FE19B550}">
  <dimension ref="C1:AC20"/>
  <sheetViews>
    <sheetView showGridLines="0" topLeftCell="A2" zoomScale="70" zoomScaleNormal="70" workbookViewId="0">
      <selection activeCell="X40" sqref="X40"/>
    </sheetView>
  </sheetViews>
  <sheetFormatPr baseColWidth="10" defaultRowHeight="14.5" x14ac:dyDescent="0.35"/>
  <cols>
    <col min="1" max="1" width="3.81640625" customWidth="1"/>
    <col min="2" max="2" width="11.81640625" customWidth="1"/>
    <col min="3" max="3" width="19.90625" customWidth="1"/>
    <col min="4" max="4" width="12.36328125" customWidth="1"/>
    <col min="5" max="5" width="9.81640625" customWidth="1"/>
    <col min="6" max="6" width="12.36328125" customWidth="1"/>
    <col min="7" max="7" width="9.81640625" customWidth="1"/>
    <col min="8" max="8" width="11.36328125" customWidth="1"/>
    <col min="9" max="10" width="16" customWidth="1"/>
    <col min="11" max="11" width="15.6328125" customWidth="1"/>
    <col min="12" max="12" width="15" customWidth="1"/>
    <col min="13" max="13" width="17.90625" customWidth="1"/>
    <col min="14" max="14" width="13" customWidth="1"/>
    <col min="19" max="19" width="16.36328125" customWidth="1"/>
    <col min="20" max="20" width="16.81640625" customWidth="1"/>
  </cols>
  <sheetData>
    <row r="1" spans="3:29" ht="40" customHeight="1" x14ac:dyDescent="0.35"/>
    <row r="2" spans="3:29" ht="26" x14ac:dyDescent="0.6">
      <c r="C2" s="44" t="s">
        <v>209</v>
      </c>
      <c r="D2" s="44"/>
      <c r="L2" s="41"/>
      <c r="M2" s="111"/>
      <c r="R2" s="92" t="s">
        <v>248</v>
      </c>
      <c r="S2" s="92" t="s">
        <v>217</v>
      </c>
      <c r="T2" s="92" t="s">
        <v>225</v>
      </c>
      <c r="V2" s="92" t="s">
        <v>245</v>
      </c>
      <c r="W2" s="92"/>
      <c r="Y2" s="92" t="s">
        <v>244</v>
      </c>
      <c r="Z2" s="92"/>
      <c r="AA2" s="92"/>
      <c r="AB2" s="92"/>
      <c r="AC2" s="92"/>
    </row>
    <row r="3" spans="3:29" x14ac:dyDescent="0.35">
      <c r="R3" s="129" t="s">
        <v>249</v>
      </c>
      <c r="S3" s="5" t="s">
        <v>215</v>
      </c>
      <c r="T3" s="5" t="s">
        <v>226</v>
      </c>
      <c r="V3" s="93">
        <f>MIN(K14:L20)</f>
        <v>-20</v>
      </c>
      <c r="W3" s="93">
        <f>MAX(K14:L20)</f>
        <v>19.696155060244159</v>
      </c>
      <c r="Y3" s="5" t="s">
        <v>246</v>
      </c>
      <c r="Z3" s="5">
        <v>0</v>
      </c>
      <c r="AA3" s="5">
        <f>W5</f>
        <v>22</v>
      </c>
      <c r="AB3" s="5">
        <v>0</v>
      </c>
      <c r="AC3" s="5">
        <v>0</v>
      </c>
    </row>
    <row r="4" spans="3:29" x14ac:dyDescent="0.35">
      <c r="R4" s="129" t="s">
        <v>250</v>
      </c>
      <c r="S4" s="5" t="s">
        <v>216</v>
      </c>
      <c r="T4" s="5" t="s">
        <v>227</v>
      </c>
      <c r="V4" s="5">
        <f>ABS(V3)</f>
        <v>20</v>
      </c>
      <c r="W4" s="5">
        <f>ABS(W3)</f>
        <v>19.696155060244159</v>
      </c>
      <c r="Y4" s="5" t="s">
        <v>247</v>
      </c>
      <c r="Z4" s="5">
        <v>0</v>
      </c>
      <c r="AA4" s="5">
        <v>0</v>
      </c>
      <c r="AB4" s="5">
        <v>0</v>
      </c>
      <c r="AC4" s="5">
        <f>AA3</f>
        <v>22</v>
      </c>
    </row>
    <row r="5" spans="3:29" x14ac:dyDescent="0.35">
      <c r="R5" s="129" t="s">
        <v>251</v>
      </c>
      <c r="S5" s="5" t="s">
        <v>219</v>
      </c>
      <c r="T5" s="5" t="s">
        <v>228</v>
      </c>
      <c r="V5" s="5">
        <f>MAX(V4:W4)</f>
        <v>20</v>
      </c>
      <c r="W5" s="5">
        <f>V5*1.1</f>
        <v>22</v>
      </c>
    </row>
    <row r="6" spans="3:29" x14ac:dyDescent="0.35">
      <c r="R6" s="5" t="s">
        <v>274</v>
      </c>
      <c r="S6" s="5"/>
      <c r="T6" s="5" t="s">
        <v>229</v>
      </c>
    </row>
    <row r="7" spans="3:29" x14ac:dyDescent="0.35">
      <c r="R7" s="5" t="s">
        <v>71</v>
      </c>
      <c r="S7" s="5"/>
      <c r="T7" s="5"/>
    </row>
    <row r="8" spans="3:29" x14ac:dyDescent="0.35">
      <c r="R8" s="5"/>
      <c r="S8" s="5"/>
      <c r="T8" s="5"/>
    </row>
    <row r="12" spans="3:29" x14ac:dyDescent="0.35">
      <c r="C12" s="139" t="s">
        <v>230</v>
      </c>
      <c r="D12" s="139"/>
      <c r="E12" s="139"/>
      <c r="F12" s="139"/>
      <c r="G12" s="139"/>
      <c r="H12" s="75"/>
      <c r="I12" s="139" t="s">
        <v>231</v>
      </c>
      <c r="J12" s="139"/>
      <c r="K12" s="139" t="s">
        <v>226</v>
      </c>
      <c r="L12" s="139"/>
      <c r="M12" s="139" t="s">
        <v>232</v>
      </c>
      <c r="N12" s="139"/>
      <c r="O12" s="139"/>
      <c r="P12" s="138" t="s">
        <v>243</v>
      </c>
      <c r="Q12" s="138"/>
      <c r="R12" s="138"/>
      <c r="S12" s="138"/>
      <c r="T12" s="138" t="s">
        <v>275</v>
      </c>
      <c r="U12" s="138"/>
      <c r="V12" s="138"/>
      <c r="W12" s="138"/>
    </row>
    <row r="13" spans="3:29" x14ac:dyDescent="0.35">
      <c r="C13" s="120" t="s">
        <v>210</v>
      </c>
      <c r="D13" s="120" t="s">
        <v>212</v>
      </c>
      <c r="E13" s="120" t="s">
        <v>211</v>
      </c>
      <c r="F13" s="120" t="s">
        <v>213</v>
      </c>
      <c r="G13" s="120" t="s">
        <v>214</v>
      </c>
      <c r="H13" s="120" t="s">
        <v>248</v>
      </c>
      <c r="I13" s="120" t="s">
        <v>225</v>
      </c>
      <c r="J13" s="120" t="s">
        <v>222</v>
      </c>
      <c r="K13" s="120" t="s">
        <v>223</v>
      </c>
      <c r="L13" s="120" t="s">
        <v>224</v>
      </c>
      <c r="M13" s="120" t="s">
        <v>220</v>
      </c>
      <c r="N13" s="120" t="s">
        <v>221</v>
      </c>
      <c r="O13" s="120" t="s">
        <v>222</v>
      </c>
      <c r="P13" s="120" t="s">
        <v>239</v>
      </c>
      <c r="Q13" s="120" t="s">
        <v>240</v>
      </c>
      <c r="R13" s="120" t="s">
        <v>241</v>
      </c>
      <c r="S13" s="120" t="s">
        <v>242</v>
      </c>
      <c r="T13" s="120" t="s">
        <v>239</v>
      </c>
      <c r="U13" s="120" t="s">
        <v>240</v>
      </c>
      <c r="V13" s="120" t="s">
        <v>241</v>
      </c>
      <c r="W13" s="120" t="s">
        <v>242</v>
      </c>
    </row>
    <row r="14" spans="3:29" x14ac:dyDescent="0.35">
      <c r="C14" s="4" t="s">
        <v>218</v>
      </c>
      <c r="D14" s="4">
        <v>5</v>
      </c>
      <c r="E14" s="112" t="s">
        <v>219</v>
      </c>
      <c r="F14" s="4">
        <v>5</v>
      </c>
      <c r="G14" s="4" t="s">
        <v>219</v>
      </c>
      <c r="H14" s="123"/>
      <c r="I14" s="5" t="str">
        <f>IF(AND(E14=$S$5,G14=$S$5),$T$3,IF(AND(E14=$S$5,G14=$S$4),$T$4,IF(AND(E14=$S$5,G14=$S$3),$T$5,$T$6)))</f>
        <v>Kartesisch</v>
      </c>
      <c r="J14" s="93" t="str">
        <f>IF(I14=$T$5,F14*PI()/180,IF(I14=$T$4,F14,""))</f>
        <v/>
      </c>
      <c r="K14" s="121">
        <f>IF(I14=$T$3,D14,D14*COS(J14))</f>
        <v>5</v>
      </c>
      <c r="L14" s="121">
        <f>IF(I14=$T$3,F14,D14*SIN(J14))</f>
        <v>5</v>
      </c>
      <c r="M14" s="122">
        <f>SQRT(K14^2 + L14^2)</f>
        <v>7.0710678118654755</v>
      </c>
      <c r="N14" s="122">
        <f>DEGREES(ATAN2(K14,L14))</f>
        <v>45</v>
      </c>
      <c r="O14" s="122">
        <f>ATAN2(K14,L14)</f>
        <v>0.78539816339744828</v>
      </c>
      <c r="P14" s="93">
        <v>0</v>
      </c>
      <c r="Q14" s="93">
        <f>K14</f>
        <v>5</v>
      </c>
      <c r="R14" s="93">
        <v>0</v>
      </c>
      <c r="S14" s="93">
        <f>L14</f>
        <v>5</v>
      </c>
      <c r="T14" s="130"/>
      <c r="U14" s="130"/>
      <c r="V14" s="130"/>
      <c r="W14" s="130"/>
    </row>
    <row r="15" spans="3:29" x14ac:dyDescent="0.35">
      <c r="C15" s="4" t="s">
        <v>233</v>
      </c>
      <c r="D15" s="4">
        <v>10</v>
      </c>
      <c r="E15" s="112" t="s">
        <v>219</v>
      </c>
      <c r="F15" s="4">
        <v>-12</v>
      </c>
      <c r="G15" s="4" t="s">
        <v>219</v>
      </c>
      <c r="H15" s="124" t="s">
        <v>249</v>
      </c>
      <c r="I15" s="5" t="str">
        <f t="shared" ref="I15:I20" si="0">IF(AND(E15=$S$5,G15=$S$5),$T$3,IF(AND(E15=$S$5,G15=$S$4),$T$4,IF(AND(E15=$S$5,G15=$S$3),$T$5,$T$6)))</f>
        <v>Kartesisch</v>
      </c>
      <c r="J15" s="93" t="str">
        <f t="shared" ref="J15:J20" si="1">IF(I15=$T$5,F15*PI()/180,IF(I15=$T$4,F15,""))</f>
        <v/>
      </c>
      <c r="K15" s="121">
        <f t="shared" ref="K15:K20" si="2">IF(I15=$T$3,D15,D15*COS(J15))</f>
        <v>10</v>
      </c>
      <c r="L15" s="121">
        <f t="shared" ref="L15:L20" si="3">IF(I15=$T$3,F15,D15*SIN(J15))</f>
        <v>-12</v>
      </c>
      <c r="M15" s="122">
        <f t="shared" ref="M15:M20" si="4">SQRT(K15^2 + L15^2)</f>
        <v>15.620499351813308</v>
      </c>
      <c r="N15" s="122">
        <f t="shared" ref="N15:N20" si="5">DEGREES(ATAN2(K15,L15))</f>
        <v>-50.19442890773481</v>
      </c>
      <c r="O15" s="122">
        <f t="shared" ref="O15:O20" si="6">ATAN2(K15,L15)</f>
        <v>-0.87605805059819342</v>
      </c>
      <c r="P15" s="93">
        <f t="shared" ref="P15:P20" si="7">IF(H15=$R$6,0,IF(H15=$R$3,Q14,0))</f>
        <v>5</v>
      </c>
      <c r="Q15" s="93">
        <f t="shared" ref="Q15:Q20" si="8">IF(H15=$R$6,0,IF(H15=$R$3,K15+Q14,K15))</f>
        <v>15</v>
      </c>
      <c r="R15" s="93">
        <f t="shared" ref="R15:R20" si="9">IF(H15=$R$6,0,IF(H15=$R$3,S14,0))</f>
        <v>5</v>
      </c>
      <c r="S15" s="93">
        <f t="shared" ref="S15:S20" si="10">IF(H15=$R$6,0,IF(H15=$R$3,S14+L15,L15))</f>
        <v>-7</v>
      </c>
      <c r="T15" s="93">
        <v>0</v>
      </c>
      <c r="U15" s="93">
        <v>0</v>
      </c>
      <c r="V15" s="93">
        <f>IF(P15&lt;&gt;0,Q15,0)</f>
        <v>15</v>
      </c>
      <c r="W15" s="93">
        <f>IF(R15&lt;&gt;0,S15,0)</f>
        <v>-7</v>
      </c>
    </row>
    <row r="16" spans="3:29" x14ac:dyDescent="0.35">
      <c r="C16" s="4" t="s">
        <v>234</v>
      </c>
      <c r="D16" s="4">
        <v>-8</v>
      </c>
      <c r="E16" s="112" t="s">
        <v>219</v>
      </c>
      <c r="F16" s="4">
        <v>15</v>
      </c>
      <c r="G16" s="4" t="s">
        <v>219</v>
      </c>
      <c r="H16" s="124" t="s">
        <v>249</v>
      </c>
      <c r="I16" s="5" t="str">
        <f t="shared" si="0"/>
        <v>Kartesisch</v>
      </c>
      <c r="J16" s="93" t="str">
        <f t="shared" si="1"/>
        <v/>
      </c>
      <c r="K16" s="121">
        <f t="shared" si="2"/>
        <v>-8</v>
      </c>
      <c r="L16" s="121">
        <f t="shared" si="3"/>
        <v>15</v>
      </c>
      <c r="M16" s="122">
        <f t="shared" si="4"/>
        <v>17</v>
      </c>
      <c r="N16" s="122">
        <f t="shared" si="5"/>
        <v>118.07248693585296</v>
      </c>
      <c r="O16" s="122">
        <f t="shared" si="6"/>
        <v>2.060753653048625</v>
      </c>
      <c r="P16" s="93">
        <f t="shared" si="7"/>
        <v>15</v>
      </c>
      <c r="Q16" s="93">
        <f t="shared" si="8"/>
        <v>7</v>
      </c>
      <c r="R16" s="93">
        <f t="shared" si="9"/>
        <v>-7</v>
      </c>
      <c r="S16" s="93">
        <f t="shared" si="10"/>
        <v>8</v>
      </c>
      <c r="T16" s="93">
        <v>0</v>
      </c>
      <c r="U16" s="93">
        <v>0</v>
      </c>
      <c r="V16" s="93">
        <f t="shared" ref="V16:V20" si="11">IF(P16&lt;&gt;0,Q16,0)</f>
        <v>7</v>
      </c>
      <c r="W16" s="93">
        <f t="shared" ref="W16:W20" si="12">IF(R16&lt;&gt;0,S16,0)</f>
        <v>8</v>
      </c>
    </row>
    <row r="17" spans="3:23" x14ac:dyDescent="0.35">
      <c r="C17" s="4" t="s">
        <v>235</v>
      </c>
      <c r="D17" s="4">
        <v>-10</v>
      </c>
      <c r="E17" s="112" t="s">
        <v>219</v>
      </c>
      <c r="F17" s="4">
        <v>-20</v>
      </c>
      <c r="G17" s="4" t="s">
        <v>219</v>
      </c>
      <c r="H17" s="124" t="s">
        <v>249</v>
      </c>
      <c r="I17" s="5" t="str">
        <f t="shared" si="0"/>
        <v>Kartesisch</v>
      </c>
      <c r="J17" s="93" t="str">
        <f t="shared" si="1"/>
        <v/>
      </c>
      <c r="K17" s="121">
        <f t="shared" si="2"/>
        <v>-10</v>
      </c>
      <c r="L17" s="121">
        <f t="shared" si="3"/>
        <v>-20</v>
      </c>
      <c r="M17" s="122">
        <f t="shared" si="4"/>
        <v>22.360679774997898</v>
      </c>
      <c r="N17" s="122">
        <f t="shared" si="5"/>
        <v>-116.56505117707799</v>
      </c>
      <c r="O17" s="122">
        <f t="shared" si="6"/>
        <v>-2.0344439357957027</v>
      </c>
      <c r="P17" s="93">
        <f t="shared" si="7"/>
        <v>7</v>
      </c>
      <c r="Q17" s="93">
        <f t="shared" si="8"/>
        <v>-3</v>
      </c>
      <c r="R17" s="93">
        <f t="shared" si="9"/>
        <v>8</v>
      </c>
      <c r="S17" s="93">
        <f t="shared" si="10"/>
        <v>-12</v>
      </c>
      <c r="T17" s="93">
        <v>0</v>
      </c>
      <c r="U17" s="93">
        <v>0</v>
      </c>
      <c r="V17" s="93">
        <f t="shared" si="11"/>
        <v>-3</v>
      </c>
      <c r="W17" s="93">
        <f t="shared" si="12"/>
        <v>-12</v>
      </c>
    </row>
    <row r="18" spans="3:23" x14ac:dyDescent="0.35">
      <c r="C18" s="4" t="s">
        <v>236</v>
      </c>
      <c r="D18" s="4">
        <v>20</v>
      </c>
      <c r="E18" s="112" t="s">
        <v>219</v>
      </c>
      <c r="F18" s="4">
        <v>100</v>
      </c>
      <c r="G18" s="4" t="s">
        <v>215</v>
      </c>
      <c r="H18" s="124" t="s">
        <v>249</v>
      </c>
      <c r="I18" s="5" t="str">
        <f t="shared" si="0"/>
        <v>Polar [°]</v>
      </c>
      <c r="J18" s="93">
        <f t="shared" si="1"/>
        <v>1.7453292519943295</v>
      </c>
      <c r="K18" s="121">
        <f t="shared" si="2"/>
        <v>-3.4729635533386061</v>
      </c>
      <c r="L18" s="121">
        <f t="shared" si="3"/>
        <v>19.696155060244159</v>
      </c>
      <c r="M18" s="122">
        <f t="shared" si="4"/>
        <v>19.999999999999996</v>
      </c>
      <c r="N18" s="122">
        <f t="shared" si="5"/>
        <v>100</v>
      </c>
      <c r="O18" s="122">
        <f t="shared" si="6"/>
        <v>1.7453292519943295</v>
      </c>
      <c r="P18" s="93">
        <f t="shared" si="7"/>
        <v>-3</v>
      </c>
      <c r="Q18" s="93">
        <f t="shared" si="8"/>
        <v>-6.4729635533386061</v>
      </c>
      <c r="R18" s="93">
        <f t="shared" si="9"/>
        <v>-12</v>
      </c>
      <c r="S18" s="93">
        <f t="shared" si="10"/>
        <v>7.6961550602441591</v>
      </c>
      <c r="T18" s="93">
        <v>0</v>
      </c>
      <c r="U18" s="93">
        <v>0</v>
      </c>
      <c r="V18" s="93">
        <f t="shared" si="11"/>
        <v>-6.4729635533386061</v>
      </c>
      <c r="W18" s="93">
        <f t="shared" si="12"/>
        <v>7.6961550602441591</v>
      </c>
    </row>
    <row r="19" spans="3:23" x14ac:dyDescent="0.35">
      <c r="C19" s="4" t="s">
        <v>237</v>
      </c>
      <c r="D19" s="4">
        <v>20</v>
      </c>
      <c r="E19" s="112" t="s">
        <v>219</v>
      </c>
      <c r="F19" s="4">
        <v>180</v>
      </c>
      <c r="G19" s="4" t="s">
        <v>215</v>
      </c>
      <c r="H19" s="124" t="s">
        <v>274</v>
      </c>
      <c r="I19" s="5" t="str">
        <f t="shared" si="0"/>
        <v>Polar [°]</v>
      </c>
      <c r="J19" s="93">
        <f t="shared" si="1"/>
        <v>3.1415926535897931</v>
      </c>
      <c r="K19" s="121">
        <f t="shared" si="2"/>
        <v>-20</v>
      </c>
      <c r="L19" s="121">
        <f t="shared" si="3"/>
        <v>2.45029690981724E-15</v>
      </c>
      <c r="M19" s="122">
        <f t="shared" si="4"/>
        <v>20</v>
      </c>
      <c r="N19" s="122">
        <f t="shared" si="5"/>
        <v>180</v>
      </c>
      <c r="O19" s="122">
        <f t="shared" si="6"/>
        <v>3.1415926535897931</v>
      </c>
      <c r="P19" s="93">
        <f t="shared" si="7"/>
        <v>0</v>
      </c>
      <c r="Q19" s="93">
        <f t="shared" si="8"/>
        <v>0</v>
      </c>
      <c r="R19" s="93">
        <f t="shared" si="9"/>
        <v>0</v>
      </c>
      <c r="S19" s="93">
        <f t="shared" si="10"/>
        <v>0</v>
      </c>
      <c r="T19" s="93">
        <v>0</v>
      </c>
      <c r="U19" s="93">
        <v>0</v>
      </c>
      <c r="V19" s="93">
        <f t="shared" si="11"/>
        <v>0</v>
      </c>
      <c r="W19" s="93">
        <f t="shared" si="12"/>
        <v>0</v>
      </c>
    </row>
    <row r="20" spans="3:23" x14ac:dyDescent="0.35">
      <c r="C20" s="4" t="s">
        <v>238</v>
      </c>
      <c r="D20" s="4">
        <v>20</v>
      </c>
      <c r="E20" s="112" t="s">
        <v>219</v>
      </c>
      <c r="F20" s="4">
        <v>6.5</v>
      </c>
      <c r="G20" s="4" t="s">
        <v>216</v>
      </c>
      <c r="H20" s="124" t="s">
        <v>274</v>
      </c>
      <c r="I20" s="5" t="str">
        <f t="shared" si="0"/>
        <v>Polar [rad]</v>
      </c>
      <c r="J20" s="93">
        <f t="shared" si="1"/>
        <v>6.5</v>
      </c>
      <c r="K20" s="121">
        <f t="shared" si="2"/>
        <v>19.53175251456047</v>
      </c>
      <c r="L20" s="121">
        <f t="shared" si="3"/>
        <v>4.3023997617563108</v>
      </c>
      <c r="M20" s="122">
        <f t="shared" si="4"/>
        <v>20</v>
      </c>
      <c r="N20" s="122">
        <f t="shared" si="5"/>
        <v>12.422566835035086</v>
      </c>
      <c r="O20" s="122">
        <f t="shared" si="6"/>
        <v>0.21681469282041352</v>
      </c>
      <c r="P20" s="93">
        <f t="shared" si="7"/>
        <v>0</v>
      </c>
      <c r="Q20" s="93">
        <f t="shared" si="8"/>
        <v>0</v>
      </c>
      <c r="R20" s="93">
        <f t="shared" si="9"/>
        <v>0</v>
      </c>
      <c r="S20" s="93">
        <f t="shared" si="10"/>
        <v>0</v>
      </c>
      <c r="T20" s="93">
        <v>0</v>
      </c>
      <c r="U20" s="93">
        <v>0</v>
      </c>
      <c r="V20" s="93">
        <f t="shared" si="11"/>
        <v>0</v>
      </c>
      <c r="W20" s="93">
        <f t="shared" si="12"/>
        <v>0</v>
      </c>
    </row>
  </sheetData>
  <mergeCells count="6">
    <mergeCell ref="T12:W12"/>
    <mergeCell ref="C12:G12"/>
    <mergeCell ref="K12:L12"/>
    <mergeCell ref="I12:J12"/>
    <mergeCell ref="M12:O12"/>
    <mergeCell ref="P12:S12"/>
  </mergeCells>
  <phoneticPr fontId="37" type="noConversion"/>
  <dataValidations count="2">
    <dataValidation type="list" allowBlank="1" showInputMessage="1" showErrorMessage="1" sqref="G14:G20" xr:uid="{9C4F05FB-CC72-4E7F-A544-E90FF225C3DB}">
      <formula1>$S$3:$S$5</formula1>
    </dataValidation>
    <dataValidation type="list" allowBlank="1" showInputMessage="1" showErrorMessage="1" sqref="H15:H20" xr:uid="{40622481-077B-49B4-B56E-6E260D8C4BBC}">
      <formula1>$R$3:$R$7</formula1>
    </dataValidation>
  </dataValidations>
  <pageMargins left="0.7" right="0.7" top="0.78740157499999996" bottom="0.78740157499999996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1BF1A-9A03-4CA3-9AB4-14BC2465827D}">
  <dimension ref="A1:K34"/>
  <sheetViews>
    <sheetView topLeftCell="A8" zoomScale="55" zoomScaleNormal="55" workbookViewId="0">
      <selection activeCell="Q18" sqref="Q18"/>
    </sheetView>
  </sheetViews>
  <sheetFormatPr baseColWidth="10" defaultRowHeight="14.5" x14ac:dyDescent="0.35"/>
  <cols>
    <col min="2" max="2" width="14.6328125" customWidth="1"/>
    <col min="3" max="3" width="19.90625" customWidth="1"/>
    <col min="4" max="4" width="22.453125" customWidth="1"/>
    <col min="5" max="6" width="13.81640625" customWidth="1"/>
    <col min="7" max="7" width="16" customWidth="1"/>
    <col min="8" max="8" width="12.36328125" customWidth="1"/>
    <col min="10" max="10" width="23.1796875" customWidth="1"/>
    <col min="11" max="11" width="34.7265625" customWidth="1"/>
  </cols>
  <sheetData>
    <row r="1" spans="1:11" ht="40" customHeight="1" x14ac:dyDescent="0.35"/>
    <row r="2" spans="1:11" ht="26" x14ac:dyDescent="0.6">
      <c r="C2" s="44" t="str">
        <f ca="1">_xlfn.CONCAT("Geburtstagsliste für ",YEAR(J2))</f>
        <v>Geburtstagsliste für 2025</v>
      </c>
      <c r="D2" s="44"/>
      <c r="I2" s="41" t="s">
        <v>204</v>
      </c>
      <c r="J2" s="111">
        <f ca="1">NOW()</f>
        <v>45786.487370717594</v>
      </c>
    </row>
    <row r="3" spans="1:11" ht="26" x14ac:dyDescent="0.6">
      <c r="C3" s="44"/>
      <c r="D3" s="44"/>
      <c r="I3" s="41"/>
      <c r="J3" s="111"/>
    </row>
    <row r="4" spans="1:11" ht="28.5" customHeight="1" x14ac:dyDescent="0.35">
      <c r="A4" s="112" t="s">
        <v>205</v>
      </c>
      <c r="B4" s="112" t="s">
        <v>199</v>
      </c>
      <c r="C4" s="112" t="str">
        <f ca="1">_xlfn.CONCAT("Geburtstag im ",YEAR(J2))</f>
        <v>Geburtstag im 2025</v>
      </c>
      <c r="D4" s="112" t="s">
        <v>208</v>
      </c>
      <c r="E4" s="118" t="s">
        <v>206</v>
      </c>
      <c r="F4" s="118" t="s">
        <v>207</v>
      </c>
      <c r="G4" s="112" t="s">
        <v>199</v>
      </c>
      <c r="H4" s="112" t="s">
        <v>200</v>
      </c>
      <c r="I4" s="112" t="s">
        <v>201</v>
      </c>
      <c r="J4" s="112" t="s">
        <v>202</v>
      </c>
      <c r="K4" s="112" t="s">
        <v>203</v>
      </c>
    </row>
    <row r="5" spans="1:11" ht="14.5" customHeight="1" x14ac:dyDescent="0.35">
      <c r="A5" s="5" t="str">
        <f t="shared" ref="A5:A34" si="0">_xlfn.CONCAT(TEXT(MONTH(G5),"00"),"_",TEXT(DAY(G5),"00"))</f>
        <v>01_01</v>
      </c>
      <c r="B5" s="113" t="str">
        <f t="shared" ref="B5:B34" si="1">_xlfn.CONCAT(TEXT(DAY(G5),"00"),".",TEXT(G5,"MMMM"))</f>
        <v>01.Januar</v>
      </c>
      <c r="C5" s="117">
        <f t="shared" ref="C5:C34" ca="1" si="2">DATE(YEAR($J$2),MONTH(G5),DAY(G5))</f>
        <v>45658</v>
      </c>
      <c r="D5" s="117">
        <f t="shared" ref="D5:D34" ca="1" si="3">IF(C5&lt;$J$2,DATE(YEAR($J$2)+1,MONTH(G5),DAY(G5)),DATE(YEAR($J$2),MONTH(G5),DAY(G5)))</f>
        <v>46023</v>
      </c>
      <c r="E5" s="114">
        <f t="shared" ref="E5:E34" ca="1" si="4">YEAR($J$2) - YEAR(G5) - IF(C5&gt;$J$2,1,0)</f>
        <v>62</v>
      </c>
      <c r="F5" s="115">
        <f t="shared" ref="F5:F34" ca="1" si="5">YEAR($J$2) - YEAR(G5)</f>
        <v>62</v>
      </c>
      <c r="G5" s="116">
        <v>23012</v>
      </c>
      <c r="H5" s="5" t="s">
        <v>140</v>
      </c>
      <c r="I5" s="5" t="s">
        <v>141</v>
      </c>
      <c r="J5" s="5" t="s">
        <v>180</v>
      </c>
      <c r="K5" s="96" t="str">
        <f t="shared" ref="K5:K34" ca="1" si="6">IF($J$2&lt;C5,"Noch kein Geburtstag gehabt","Schon Geburtstag gehabt")</f>
        <v>Schon Geburtstag gehabt</v>
      </c>
    </row>
    <row r="6" spans="1:11" ht="14.5" customHeight="1" x14ac:dyDescent="0.35">
      <c r="A6" s="5" t="str">
        <f t="shared" si="0"/>
        <v>01_02</v>
      </c>
      <c r="B6" s="113" t="str">
        <f t="shared" si="1"/>
        <v>02.Januar</v>
      </c>
      <c r="C6" s="117">
        <f t="shared" ca="1" si="2"/>
        <v>45659</v>
      </c>
      <c r="D6" s="117">
        <f t="shared" ca="1" si="3"/>
        <v>46024</v>
      </c>
      <c r="E6" s="114">
        <f t="shared" ca="1" si="4"/>
        <v>38</v>
      </c>
      <c r="F6" s="115">
        <f t="shared" ca="1" si="5"/>
        <v>38</v>
      </c>
      <c r="G6" s="116" t="s">
        <v>145</v>
      </c>
      <c r="H6" s="5" t="s">
        <v>142</v>
      </c>
      <c r="I6" s="5" t="s">
        <v>146</v>
      </c>
      <c r="J6" s="5" t="s">
        <v>147</v>
      </c>
      <c r="K6" s="96" t="str">
        <f t="shared" ca="1" si="6"/>
        <v>Schon Geburtstag gehabt</v>
      </c>
    </row>
    <row r="7" spans="1:11" ht="14.5" customHeight="1" x14ac:dyDescent="0.35">
      <c r="A7" s="5" t="str">
        <f t="shared" si="0"/>
        <v>01_02</v>
      </c>
      <c r="B7" s="113" t="str">
        <f t="shared" si="1"/>
        <v>02.Januar</v>
      </c>
      <c r="C7" s="117">
        <f t="shared" ca="1" si="2"/>
        <v>45659</v>
      </c>
      <c r="D7" s="117">
        <f t="shared" ca="1" si="3"/>
        <v>46024</v>
      </c>
      <c r="E7" s="114">
        <f t="shared" ca="1" si="4"/>
        <v>33</v>
      </c>
      <c r="F7" s="115">
        <f t="shared" ca="1" si="5"/>
        <v>33</v>
      </c>
      <c r="G7" s="116" t="s">
        <v>150</v>
      </c>
      <c r="H7" s="5" t="s">
        <v>142</v>
      </c>
      <c r="I7" s="5" t="s">
        <v>151</v>
      </c>
      <c r="J7" s="5" t="s">
        <v>144</v>
      </c>
      <c r="K7" s="96" t="str">
        <f t="shared" ca="1" si="6"/>
        <v>Schon Geburtstag gehabt</v>
      </c>
    </row>
    <row r="8" spans="1:11" x14ac:dyDescent="0.35">
      <c r="A8" s="5" t="str">
        <f t="shared" si="0"/>
        <v>01_06</v>
      </c>
      <c r="B8" s="113" t="str">
        <f t="shared" si="1"/>
        <v>06.Januar</v>
      </c>
      <c r="C8" s="117">
        <f t="shared" ca="1" si="2"/>
        <v>45663</v>
      </c>
      <c r="D8" s="117">
        <f t="shared" ca="1" si="3"/>
        <v>46028</v>
      </c>
      <c r="E8" s="114">
        <f t="shared" ca="1" si="4"/>
        <v>37</v>
      </c>
      <c r="F8" s="115">
        <f t="shared" ca="1" si="5"/>
        <v>37</v>
      </c>
      <c r="G8" s="116" t="s">
        <v>152</v>
      </c>
      <c r="H8" s="5" t="s">
        <v>142</v>
      </c>
      <c r="I8" s="5" t="s">
        <v>153</v>
      </c>
      <c r="J8" s="5" t="s">
        <v>185</v>
      </c>
      <c r="K8" s="96" t="str">
        <f t="shared" ca="1" si="6"/>
        <v>Schon Geburtstag gehabt</v>
      </c>
    </row>
    <row r="9" spans="1:11" x14ac:dyDescent="0.35">
      <c r="A9" s="5" t="str">
        <f t="shared" si="0"/>
        <v>01_07</v>
      </c>
      <c r="B9" s="113" t="str">
        <f t="shared" si="1"/>
        <v>07.Januar</v>
      </c>
      <c r="C9" s="117">
        <f t="shared" ca="1" si="2"/>
        <v>45664</v>
      </c>
      <c r="D9" s="117">
        <f t="shared" ca="1" si="3"/>
        <v>46029</v>
      </c>
      <c r="E9" s="114">
        <f t="shared" ca="1" si="4"/>
        <v>49</v>
      </c>
      <c r="F9" s="115">
        <f t="shared" ca="1" si="5"/>
        <v>49</v>
      </c>
      <c r="G9" s="116" t="s">
        <v>155</v>
      </c>
      <c r="H9" s="5" t="s">
        <v>140</v>
      </c>
      <c r="I9" s="5" t="s">
        <v>156</v>
      </c>
      <c r="J9" s="5" t="s">
        <v>154</v>
      </c>
      <c r="K9" s="96" t="str">
        <f t="shared" ca="1" si="6"/>
        <v>Schon Geburtstag gehabt</v>
      </c>
    </row>
    <row r="10" spans="1:11" x14ac:dyDescent="0.35">
      <c r="A10" s="5" t="str">
        <f t="shared" si="0"/>
        <v>01_09</v>
      </c>
      <c r="B10" s="113" t="str">
        <f t="shared" si="1"/>
        <v>09.Januar</v>
      </c>
      <c r="C10" s="117">
        <f t="shared" ca="1" si="2"/>
        <v>45666</v>
      </c>
      <c r="D10" s="117">
        <f t="shared" ca="1" si="3"/>
        <v>46031</v>
      </c>
      <c r="E10" s="114">
        <f t="shared" ca="1" si="4"/>
        <v>60</v>
      </c>
      <c r="F10" s="115">
        <f t="shared" ca="1" si="5"/>
        <v>60</v>
      </c>
      <c r="G10" s="116" t="s">
        <v>157</v>
      </c>
      <c r="H10" s="5" t="s">
        <v>140</v>
      </c>
      <c r="I10" s="5" t="s">
        <v>158</v>
      </c>
      <c r="J10" s="5" t="s">
        <v>186</v>
      </c>
      <c r="K10" s="96" t="str">
        <f t="shared" ca="1" si="6"/>
        <v>Schon Geburtstag gehabt</v>
      </c>
    </row>
    <row r="11" spans="1:11" x14ac:dyDescent="0.35">
      <c r="A11" s="5" t="str">
        <f t="shared" si="0"/>
        <v>01_09</v>
      </c>
      <c r="B11" s="113" t="str">
        <f t="shared" si="1"/>
        <v>09.Januar</v>
      </c>
      <c r="C11" s="117">
        <f t="shared" ca="1" si="2"/>
        <v>45666</v>
      </c>
      <c r="D11" s="117">
        <f t="shared" ca="1" si="3"/>
        <v>46031</v>
      </c>
      <c r="E11" s="114">
        <f t="shared" ca="1" si="4"/>
        <v>67</v>
      </c>
      <c r="F11" s="115">
        <f t="shared" ca="1" si="5"/>
        <v>67</v>
      </c>
      <c r="G11" s="116" t="s">
        <v>160</v>
      </c>
      <c r="H11" s="5" t="s">
        <v>142</v>
      </c>
      <c r="I11" s="5" t="s">
        <v>161</v>
      </c>
      <c r="J11" s="5" t="s">
        <v>154</v>
      </c>
      <c r="K11" s="96" t="str">
        <f t="shared" ca="1" si="6"/>
        <v>Schon Geburtstag gehabt</v>
      </c>
    </row>
    <row r="12" spans="1:11" x14ac:dyDescent="0.35">
      <c r="A12" s="5" t="str">
        <f t="shared" si="0"/>
        <v>01_10</v>
      </c>
      <c r="B12" s="113" t="str">
        <f t="shared" si="1"/>
        <v>10.Januar</v>
      </c>
      <c r="C12" s="117">
        <f t="shared" ca="1" si="2"/>
        <v>45667</v>
      </c>
      <c r="D12" s="117">
        <f t="shared" ca="1" si="3"/>
        <v>46032</v>
      </c>
      <c r="E12" s="114">
        <f t="shared" ca="1" si="4"/>
        <v>28</v>
      </c>
      <c r="F12" s="115">
        <f t="shared" ca="1" si="5"/>
        <v>28</v>
      </c>
      <c r="G12" s="116" t="s">
        <v>162</v>
      </c>
      <c r="H12" s="5" t="s">
        <v>142</v>
      </c>
      <c r="I12" s="5" t="s">
        <v>153</v>
      </c>
      <c r="J12" s="5" t="s">
        <v>188</v>
      </c>
      <c r="K12" s="96" t="str">
        <f t="shared" ca="1" si="6"/>
        <v>Schon Geburtstag gehabt</v>
      </c>
    </row>
    <row r="13" spans="1:11" x14ac:dyDescent="0.35">
      <c r="A13" s="5" t="str">
        <f t="shared" si="0"/>
        <v>01_11</v>
      </c>
      <c r="B13" s="113" t="str">
        <f t="shared" si="1"/>
        <v>11.Januar</v>
      </c>
      <c r="C13" s="117">
        <f t="shared" ca="1" si="2"/>
        <v>45668</v>
      </c>
      <c r="D13" s="117">
        <f t="shared" ca="1" si="3"/>
        <v>46033</v>
      </c>
      <c r="E13" s="114">
        <f t="shared" ca="1" si="4"/>
        <v>61</v>
      </c>
      <c r="F13" s="115">
        <f t="shared" ca="1" si="5"/>
        <v>61</v>
      </c>
      <c r="G13" s="116" t="s">
        <v>166</v>
      </c>
      <c r="H13" s="5" t="s">
        <v>140</v>
      </c>
      <c r="I13" s="5" t="s">
        <v>167</v>
      </c>
      <c r="J13" s="5" t="s">
        <v>191</v>
      </c>
      <c r="K13" s="96" t="str">
        <f t="shared" ca="1" si="6"/>
        <v>Schon Geburtstag gehabt</v>
      </c>
    </row>
    <row r="14" spans="1:11" x14ac:dyDescent="0.35">
      <c r="A14" s="5" t="str">
        <f t="shared" si="0"/>
        <v>01_11</v>
      </c>
      <c r="B14" s="113" t="str">
        <f t="shared" si="1"/>
        <v>11.Januar</v>
      </c>
      <c r="C14" s="117">
        <f t="shared" ca="1" si="2"/>
        <v>45668</v>
      </c>
      <c r="D14" s="117">
        <f t="shared" ca="1" si="3"/>
        <v>46033</v>
      </c>
      <c r="E14" s="114">
        <f t="shared" ca="1" si="4"/>
        <v>42</v>
      </c>
      <c r="F14" s="115">
        <f t="shared" ca="1" si="5"/>
        <v>42</v>
      </c>
      <c r="G14" s="116" t="s">
        <v>169</v>
      </c>
      <c r="H14" s="5" t="s">
        <v>142</v>
      </c>
      <c r="I14" s="5" t="s">
        <v>170</v>
      </c>
      <c r="J14" s="5" t="s">
        <v>193</v>
      </c>
      <c r="K14" s="96" t="str">
        <f t="shared" ca="1" si="6"/>
        <v>Schon Geburtstag gehabt</v>
      </c>
    </row>
    <row r="15" spans="1:11" x14ac:dyDescent="0.35">
      <c r="A15" s="5" t="str">
        <f t="shared" si="0"/>
        <v>01_14</v>
      </c>
      <c r="B15" s="113" t="str">
        <f t="shared" si="1"/>
        <v>14.Januar</v>
      </c>
      <c r="C15" s="117">
        <f t="shared" ca="1" si="2"/>
        <v>45671</v>
      </c>
      <c r="D15" s="117">
        <f t="shared" ca="1" si="3"/>
        <v>46036</v>
      </c>
      <c r="E15" s="114">
        <f t="shared" ca="1" si="4"/>
        <v>65</v>
      </c>
      <c r="F15" s="115">
        <f t="shared" ca="1" si="5"/>
        <v>65</v>
      </c>
      <c r="G15" s="116" t="s">
        <v>175</v>
      </c>
      <c r="H15" s="5" t="s">
        <v>142</v>
      </c>
      <c r="I15" s="5" t="s">
        <v>176</v>
      </c>
      <c r="J15" s="5" t="s">
        <v>196</v>
      </c>
      <c r="K15" s="96" t="str">
        <f t="shared" ca="1" si="6"/>
        <v>Schon Geburtstag gehabt</v>
      </c>
    </row>
    <row r="16" spans="1:11" x14ac:dyDescent="0.35">
      <c r="A16" s="5" t="str">
        <f t="shared" si="0"/>
        <v>01_15</v>
      </c>
      <c r="B16" s="113" t="str">
        <f t="shared" si="1"/>
        <v>15.Januar</v>
      </c>
      <c r="C16" s="117">
        <f t="shared" ca="1" si="2"/>
        <v>45672</v>
      </c>
      <c r="D16" s="117">
        <f t="shared" ca="1" si="3"/>
        <v>46037</v>
      </c>
      <c r="E16" s="114">
        <f t="shared" ca="1" si="4"/>
        <v>45</v>
      </c>
      <c r="F16" s="115">
        <f t="shared" ca="1" si="5"/>
        <v>45</v>
      </c>
      <c r="G16" s="116" t="s">
        <v>178</v>
      </c>
      <c r="H16" s="5" t="s">
        <v>142</v>
      </c>
      <c r="I16" s="5" t="s">
        <v>179</v>
      </c>
      <c r="J16" s="5" t="s">
        <v>154</v>
      </c>
      <c r="K16" s="96" t="str">
        <f t="shared" ca="1" si="6"/>
        <v>Schon Geburtstag gehabt</v>
      </c>
    </row>
    <row r="17" spans="1:11" x14ac:dyDescent="0.35">
      <c r="A17" s="5" t="str">
        <f t="shared" si="0"/>
        <v>02_09</v>
      </c>
      <c r="B17" s="113" t="str">
        <f t="shared" si="1"/>
        <v>09.Februar</v>
      </c>
      <c r="C17" s="117">
        <f t="shared" ca="1" si="2"/>
        <v>45697</v>
      </c>
      <c r="D17" s="117">
        <f t="shared" ca="1" si="3"/>
        <v>46062</v>
      </c>
      <c r="E17" s="114">
        <f t="shared" ca="1" si="4"/>
        <v>80</v>
      </c>
      <c r="F17" s="115">
        <f t="shared" ca="1" si="5"/>
        <v>80</v>
      </c>
      <c r="G17" s="116">
        <v>16477</v>
      </c>
      <c r="H17" s="5" t="s">
        <v>140</v>
      </c>
      <c r="I17" s="5" t="s">
        <v>159</v>
      </c>
      <c r="J17" s="5" t="s">
        <v>187</v>
      </c>
      <c r="K17" s="96" t="str">
        <f t="shared" ca="1" si="6"/>
        <v>Schon Geburtstag gehabt</v>
      </c>
    </row>
    <row r="18" spans="1:11" x14ac:dyDescent="0.35">
      <c r="A18" s="5" t="str">
        <f t="shared" si="0"/>
        <v>02_14</v>
      </c>
      <c r="B18" s="113" t="str">
        <f t="shared" si="1"/>
        <v>14.Februar</v>
      </c>
      <c r="C18" s="117">
        <f t="shared" ca="1" si="2"/>
        <v>45702</v>
      </c>
      <c r="D18" s="117">
        <f t="shared" ca="1" si="3"/>
        <v>46067</v>
      </c>
      <c r="E18" s="114">
        <f t="shared" ca="1" si="4"/>
        <v>52</v>
      </c>
      <c r="F18" s="115">
        <f t="shared" ca="1" si="5"/>
        <v>52</v>
      </c>
      <c r="G18" s="116">
        <v>26709</v>
      </c>
      <c r="H18" s="5" t="s">
        <v>142</v>
      </c>
      <c r="I18" s="5" t="s">
        <v>174</v>
      </c>
      <c r="J18" s="5" t="s">
        <v>195</v>
      </c>
      <c r="K18" s="96" t="str">
        <f t="shared" ca="1" si="6"/>
        <v>Schon Geburtstag gehabt</v>
      </c>
    </row>
    <row r="19" spans="1:11" x14ac:dyDescent="0.35">
      <c r="A19" s="5" t="str">
        <f t="shared" si="0"/>
        <v>03_02</v>
      </c>
      <c r="B19" s="113" t="str">
        <f t="shared" si="1"/>
        <v>02.März</v>
      </c>
      <c r="C19" s="117">
        <f t="shared" ca="1" si="2"/>
        <v>45718</v>
      </c>
      <c r="D19" s="117">
        <f t="shared" ca="1" si="3"/>
        <v>46083</v>
      </c>
      <c r="E19" s="114">
        <f t="shared" ca="1" si="4"/>
        <v>66</v>
      </c>
      <c r="F19" s="115">
        <f t="shared" ca="1" si="5"/>
        <v>66</v>
      </c>
      <c r="G19" s="116">
        <v>21611</v>
      </c>
      <c r="H19" s="5" t="s">
        <v>142</v>
      </c>
      <c r="I19" s="5" t="s">
        <v>148</v>
      </c>
      <c r="J19" s="5" t="s">
        <v>144</v>
      </c>
      <c r="K19" s="96" t="str">
        <f t="shared" ca="1" si="6"/>
        <v>Schon Geburtstag gehabt</v>
      </c>
    </row>
    <row r="20" spans="1:11" x14ac:dyDescent="0.35">
      <c r="A20" s="5" t="str">
        <f t="shared" si="0"/>
        <v>03_02</v>
      </c>
      <c r="B20" s="113" t="str">
        <f t="shared" si="1"/>
        <v>02.März</v>
      </c>
      <c r="C20" s="117">
        <f t="shared" ca="1" si="2"/>
        <v>45718</v>
      </c>
      <c r="D20" s="117">
        <f t="shared" ca="1" si="3"/>
        <v>46083</v>
      </c>
      <c r="E20" s="114">
        <f t="shared" ca="1" si="4"/>
        <v>31</v>
      </c>
      <c r="F20" s="115">
        <f t="shared" ca="1" si="5"/>
        <v>31</v>
      </c>
      <c r="G20" s="116">
        <v>34395</v>
      </c>
      <c r="H20" s="5" t="s">
        <v>140</v>
      </c>
      <c r="I20" s="5" t="s">
        <v>149</v>
      </c>
      <c r="J20" s="5" t="s">
        <v>144</v>
      </c>
      <c r="K20" s="96" t="str">
        <f t="shared" ca="1" si="6"/>
        <v>Schon Geburtstag gehabt</v>
      </c>
    </row>
    <row r="21" spans="1:11" x14ac:dyDescent="0.35">
      <c r="A21" s="5" t="str">
        <f t="shared" si="0"/>
        <v>04_10</v>
      </c>
      <c r="B21" s="113" t="str">
        <f t="shared" si="1"/>
        <v>10.April</v>
      </c>
      <c r="C21" s="117">
        <f t="shared" ca="1" si="2"/>
        <v>45757</v>
      </c>
      <c r="D21" s="117">
        <f t="shared" ca="1" si="3"/>
        <v>46122</v>
      </c>
      <c r="E21" s="114">
        <f t="shared" ca="1" si="4"/>
        <v>25</v>
      </c>
      <c r="F21" s="115">
        <f t="shared" ca="1" si="5"/>
        <v>25</v>
      </c>
      <c r="G21" s="116">
        <v>36626</v>
      </c>
      <c r="H21" s="5" t="s">
        <v>142</v>
      </c>
      <c r="I21" s="5" t="s">
        <v>143</v>
      </c>
      <c r="J21" s="5" t="s">
        <v>184</v>
      </c>
      <c r="K21" s="96" t="str">
        <f t="shared" ca="1" si="6"/>
        <v>Schon Geburtstag gehabt</v>
      </c>
    </row>
    <row r="22" spans="1:11" x14ac:dyDescent="0.35">
      <c r="A22" s="5" t="str">
        <f t="shared" si="0"/>
        <v>07_12</v>
      </c>
      <c r="B22" s="113" t="str">
        <f t="shared" si="1"/>
        <v>12.Juli</v>
      </c>
      <c r="C22" s="117">
        <f t="shared" ca="1" si="2"/>
        <v>45850</v>
      </c>
      <c r="D22" s="117">
        <f t="shared" ca="1" si="3"/>
        <v>45850</v>
      </c>
      <c r="E22" s="114">
        <f t="shared" ca="1" si="4"/>
        <v>50</v>
      </c>
      <c r="F22" s="115">
        <f t="shared" ca="1" si="5"/>
        <v>51</v>
      </c>
      <c r="G22" s="116">
        <v>27222</v>
      </c>
      <c r="H22" s="5" t="s">
        <v>142</v>
      </c>
      <c r="I22" s="5" t="s">
        <v>153</v>
      </c>
      <c r="J22" s="5" t="s">
        <v>194</v>
      </c>
      <c r="K22" s="96" t="str">
        <f t="shared" ca="1" si="6"/>
        <v>Noch kein Geburtstag gehabt</v>
      </c>
    </row>
    <row r="23" spans="1:11" x14ac:dyDescent="0.35">
      <c r="A23" s="5" t="str">
        <f t="shared" si="0"/>
        <v>08_05</v>
      </c>
      <c r="B23" s="113" t="str">
        <f t="shared" si="1"/>
        <v>05.August</v>
      </c>
      <c r="C23" s="117">
        <f t="shared" ca="1" si="2"/>
        <v>45874</v>
      </c>
      <c r="D23" s="117">
        <f t="shared" ca="1" si="3"/>
        <v>45874</v>
      </c>
      <c r="E23" s="114">
        <f t="shared" ca="1" si="4"/>
        <v>64</v>
      </c>
      <c r="F23" s="115">
        <f t="shared" ca="1" si="5"/>
        <v>65</v>
      </c>
      <c r="G23" s="116">
        <v>22133</v>
      </c>
      <c r="H23" s="5" t="s">
        <v>140</v>
      </c>
      <c r="I23" s="5" t="s">
        <v>168</v>
      </c>
      <c r="J23" s="5" t="s">
        <v>192</v>
      </c>
      <c r="K23" s="96" t="str">
        <f t="shared" ca="1" si="6"/>
        <v>Noch kein Geburtstag gehabt</v>
      </c>
    </row>
    <row r="24" spans="1:11" x14ac:dyDescent="0.35">
      <c r="A24" s="5" t="str">
        <f t="shared" si="0"/>
        <v>08_12</v>
      </c>
      <c r="B24" s="113" t="str">
        <f t="shared" si="1"/>
        <v>12.August</v>
      </c>
      <c r="C24" s="117">
        <f t="shared" ca="1" si="2"/>
        <v>45881</v>
      </c>
      <c r="D24" s="117">
        <f t="shared" ca="1" si="3"/>
        <v>45881</v>
      </c>
      <c r="E24" s="114">
        <f t="shared" ca="1" si="4"/>
        <v>55</v>
      </c>
      <c r="F24" s="115">
        <f t="shared" ca="1" si="5"/>
        <v>56</v>
      </c>
      <c r="G24" s="116">
        <v>25427</v>
      </c>
      <c r="H24" s="5" t="s">
        <v>142</v>
      </c>
      <c r="I24" s="5" t="s">
        <v>172</v>
      </c>
      <c r="J24" s="5" t="s">
        <v>147</v>
      </c>
      <c r="K24" s="96" t="str">
        <f t="shared" ca="1" si="6"/>
        <v>Noch kein Geburtstag gehabt</v>
      </c>
    </row>
    <row r="25" spans="1:11" x14ac:dyDescent="0.35">
      <c r="A25" s="5" t="str">
        <f t="shared" si="0"/>
        <v>08_13</v>
      </c>
      <c r="B25" s="113" t="str">
        <f t="shared" si="1"/>
        <v>13.August</v>
      </c>
      <c r="C25" s="117">
        <f t="shared" ca="1" si="2"/>
        <v>45882</v>
      </c>
      <c r="D25" s="117">
        <f t="shared" ca="1" si="3"/>
        <v>45882</v>
      </c>
      <c r="E25" s="114">
        <f t="shared" ca="1" si="4"/>
        <v>82</v>
      </c>
      <c r="F25" s="115">
        <f t="shared" ca="1" si="5"/>
        <v>83</v>
      </c>
      <c r="G25" s="116">
        <v>15566</v>
      </c>
      <c r="H25" s="5" t="s">
        <v>142</v>
      </c>
      <c r="I25" s="5" t="s">
        <v>173</v>
      </c>
      <c r="J25" s="5" t="s">
        <v>180</v>
      </c>
      <c r="K25" s="96" t="str">
        <f t="shared" ca="1" si="6"/>
        <v>Noch kein Geburtstag gehabt</v>
      </c>
    </row>
    <row r="26" spans="1:11" x14ac:dyDescent="0.35">
      <c r="A26" s="5" t="str">
        <f t="shared" si="0"/>
        <v>09_12</v>
      </c>
      <c r="B26" s="113" t="str">
        <f t="shared" si="1"/>
        <v>12.September</v>
      </c>
      <c r="C26" s="117">
        <f t="shared" ca="1" si="2"/>
        <v>45912</v>
      </c>
      <c r="D26" s="117">
        <f t="shared" ca="1" si="3"/>
        <v>45912</v>
      </c>
      <c r="E26" s="114">
        <f t="shared" ca="1" si="4"/>
        <v>55</v>
      </c>
      <c r="F26" s="115">
        <f t="shared" ca="1" si="5"/>
        <v>56</v>
      </c>
      <c r="G26" s="116">
        <v>25458</v>
      </c>
      <c r="H26" s="5" t="s">
        <v>140</v>
      </c>
      <c r="I26" s="5" t="s">
        <v>171</v>
      </c>
      <c r="J26" s="5" t="s">
        <v>147</v>
      </c>
      <c r="K26" s="96" t="str">
        <f t="shared" ca="1" si="6"/>
        <v>Noch kein Geburtstag gehabt</v>
      </c>
    </row>
    <row r="27" spans="1:11" x14ac:dyDescent="0.35">
      <c r="A27" s="5" t="str">
        <f t="shared" si="0"/>
        <v>09_16</v>
      </c>
      <c r="B27" s="113" t="str">
        <f t="shared" si="1"/>
        <v>16.September</v>
      </c>
      <c r="C27" s="117">
        <f t="shared" ca="1" si="2"/>
        <v>45916</v>
      </c>
      <c r="D27" s="117">
        <f t="shared" ca="1" si="3"/>
        <v>45916</v>
      </c>
      <c r="E27" s="114">
        <f t="shared" ca="1" si="4"/>
        <v>63</v>
      </c>
      <c r="F27" s="115">
        <f t="shared" ca="1" si="5"/>
        <v>64</v>
      </c>
      <c r="G27" s="116">
        <v>22540</v>
      </c>
      <c r="H27" s="5" t="s">
        <v>140</v>
      </c>
      <c r="I27" s="5" t="s">
        <v>182</v>
      </c>
      <c r="J27" s="5" t="s">
        <v>147</v>
      </c>
      <c r="K27" s="96" t="str">
        <f t="shared" ca="1" si="6"/>
        <v>Noch kein Geburtstag gehabt</v>
      </c>
    </row>
    <row r="28" spans="1:11" x14ac:dyDescent="0.35">
      <c r="A28" s="5" t="str">
        <f t="shared" si="0"/>
        <v>10_10</v>
      </c>
      <c r="B28" s="113" t="str">
        <f t="shared" si="1"/>
        <v>10.Oktober</v>
      </c>
      <c r="C28" s="117">
        <f t="shared" ca="1" si="2"/>
        <v>45940</v>
      </c>
      <c r="D28" s="117">
        <f t="shared" ca="1" si="3"/>
        <v>45940</v>
      </c>
      <c r="E28" s="114">
        <f t="shared" ca="1" si="4"/>
        <v>84</v>
      </c>
      <c r="F28" s="115">
        <f t="shared" ca="1" si="5"/>
        <v>85</v>
      </c>
      <c r="G28" s="116">
        <v>14894</v>
      </c>
      <c r="H28" s="5" t="s">
        <v>142</v>
      </c>
      <c r="I28" s="5" t="s">
        <v>163</v>
      </c>
      <c r="J28" s="5" t="s">
        <v>189</v>
      </c>
      <c r="K28" s="96" t="str">
        <f t="shared" ca="1" si="6"/>
        <v>Noch kein Geburtstag gehabt</v>
      </c>
    </row>
    <row r="29" spans="1:11" x14ac:dyDescent="0.35">
      <c r="A29" s="5" t="str">
        <f t="shared" si="0"/>
        <v>10_12</v>
      </c>
      <c r="B29" s="113" t="str">
        <f t="shared" si="1"/>
        <v>12.Oktober</v>
      </c>
      <c r="C29" s="117">
        <f t="shared" ca="1" si="2"/>
        <v>45942</v>
      </c>
      <c r="D29" s="117">
        <f t="shared" ca="1" si="3"/>
        <v>45942</v>
      </c>
      <c r="E29" s="114">
        <f t="shared" ca="1" si="4"/>
        <v>82</v>
      </c>
      <c r="F29" s="115">
        <f t="shared" ca="1" si="5"/>
        <v>83</v>
      </c>
      <c r="G29" s="116">
        <v>15626</v>
      </c>
      <c r="H29" s="5" t="s">
        <v>142</v>
      </c>
      <c r="I29" s="5" t="s">
        <v>164</v>
      </c>
      <c r="J29" s="5" t="s">
        <v>180</v>
      </c>
      <c r="K29" s="96" t="str">
        <f t="shared" ca="1" si="6"/>
        <v>Noch kein Geburtstag gehabt</v>
      </c>
    </row>
    <row r="30" spans="1:11" x14ac:dyDescent="0.35">
      <c r="A30" s="5" t="str">
        <f t="shared" si="0"/>
        <v>10_14</v>
      </c>
      <c r="B30" s="113" t="str">
        <f t="shared" si="1"/>
        <v>14.Oktober</v>
      </c>
      <c r="C30" s="117">
        <f t="shared" ca="1" si="2"/>
        <v>45944</v>
      </c>
      <c r="D30" s="117">
        <f t="shared" ca="1" si="3"/>
        <v>45944</v>
      </c>
      <c r="E30" s="114">
        <f t="shared" ca="1" si="4"/>
        <v>40</v>
      </c>
      <c r="F30" s="115">
        <f t="shared" ca="1" si="5"/>
        <v>41</v>
      </c>
      <c r="G30" s="116">
        <v>30969</v>
      </c>
      <c r="H30" s="5" t="s">
        <v>140</v>
      </c>
      <c r="I30" s="5" t="s">
        <v>177</v>
      </c>
      <c r="J30" s="5" t="s">
        <v>147</v>
      </c>
      <c r="K30" s="96" t="str">
        <f t="shared" ca="1" si="6"/>
        <v>Noch kein Geburtstag gehabt</v>
      </c>
    </row>
    <row r="31" spans="1:11" x14ac:dyDescent="0.35">
      <c r="A31" s="5" t="str">
        <f t="shared" si="0"/>
        <v>10_15</v>
      </c>
      <c r="B31" s="113" t="str">
        <f t="shared" si="1"/>
        <v>15.Oktober</v>
      </c>
      <c r="C31" s="117">
        <f t="shared" ca="1" si="2"/>
        <v>45945</v>
      </c>
      <c r="D31" s="117">
        <f t="shared" ca="1" si="3"/>
        <v>45945</v>
      </c>
      <c r="E31" s="114">
        <f t="shared" ca="1" si="4"/>
        <v>63</v>
      </c>
      <c r="F31" s="115">
        <f t="shared" ca="1" si="5"/>
        <v>64</v>
      </c>
      <c r="G31" s="116">
        <v>22569</v>
      </c>
      <c r="H31" s="5" t="s">
        <v>142</v>
      </c>
      <c r="I31" s="5" t="s">
        <v>181</v>
      </c>
      <c r="J31" s="5" t="s">
        <v>197</v>
      </c>
      <c r="K31" s="96" t="str">
        <f t="shared" ca="1" si="6"/>
        <v>Noch kein Geburtstag gehabt</v>
      </c>
    </row>
    <row r="32" spans="1:11" x14ac:dyDescent="0.35">
      <c r="A32" s="5" t="str">
        <f t="shared" si="0"/>
        <v>11_10</v>
      </c>
      <c r="B32" s="113" t="str">
        <f t="shared" si="1"/>
        <v>10.November</v>
      </c>
      <c r="C32" s="117">
        <f t="shared" ca="1" si="2"/>
        <v>45971</v>
      </c>
      <c r="D32" s="117">
        <f t="shared" ca="1" si="3"/>
        <v>45971</v>
      </c>
      <c r="E32" s="114">
        <f t="shared" ca="1" si="4"/>
        <v>83</v>
      </c>
      <c r="F32" s="115">
        <f t="shared" ca="1" si="5"/>
        <v>84</v>
      </c>
      <c r="G32" s="116">
        <v>15290</v>
      </c>
      <c r="H32" s="5" t="s">
        <v>142</v>
      </c>
      <c r="I32" s="5" t="s">
        <v>164</v>
      </c>
      <c r="J32" s="5" t="s">
        <v>190</v>
      </c>
      <c r="K32" s="96" t="str">
        <f t="shared" ca="1" si="6"/>
        <v>Noch kein Geburtstag gehabt</v>
      </c>
    </row>
    <row r="33" spans="1:11" x14ac:dyDescent="0.35">
      <c r="A33" s="5" t="str">
        <f t="shared" si="0"/>
        <v>12_10</v>
      </c>
      <c r="B33" s="113" t="str">
        <f t="shared" si="1"/>
        <v>10.Dezember</v>
      </c>
      <c r="C33" s="117">
        <f t="shared" ca="1" si="2"/>
        <v>46001</v>
      </c>
      <c r="D33" s="117">
        <f t="shared" ca="1" si="3"/>
        <v>46001</v>
      </c>
      <c r="E33" s="114">
        <f t="shared" ca="1" si="4"/>
        <v>56</v>
      </c>
      <c r="F33" s="115">
        <f t="shared" ca="1" si="5"/>
        <v>57</v>
      </c>
      <c r="G33" s="116">
        <v>25182</v>
      </c>
      <c r="H33" s="5" t="s">
        <v>142</v>
      </c>
      <c r="I33" s="5" t="s">
        <v>165</v>
      </c>
      <c r="J33" s="5" t="s">
        <v>144</v>
      </c>
      <c r="K33" s="96" t="str">
        <f t="shared" ca="1" si="6"/>
        <v>Noch kein Geburtstag gehabt</v>
      </c>
    </row>
    <row r="34" spans="1:11" x14ac:dyDescent="0.35">
      <c r="A34" s="5" t="str">
        <f t="shared" si="0"/>
        <v>12_16</v>
      </c>
      <c r="B34" s="113" t="str">
        <f t="shared" si="1"/>
        <v>16.Dezember</v>
      </c>
      <c r="C34" s="117">
        <f t="shared" ca="1" si="2"/>
        <v>46007</v>
      </c>
      <c r="D34" s="117">
        <f t="shared" ca="1" si="3"/>
        <v>46007</v>
      </c>
      <c r="E34" s="114">
        <f t="shared" ca="1" si="4"/>
        <v>30</v>
      </c>
      <c r="F34" s="115">
        <f t="shared" ca="1" si="5"/>
        <v>31</v>
      </c>
      <c r="G34" s="116">
        <v>34684</v>
      </c>
      <c r="H34" s="5" t="s">
        <v>142</v>
      </c>
      <c r="I34" s="5" t="s">
        <v>183</v>
      </c>
      <c r="J34" s="5" t="s">
        <v>144</v>
      </c>
      <c r="K34" s="96" t="str">
        <f t="shared" ca="1" si="6"/>
        <v>Noch kein Geburtstag gehabt</v>
      </c>
    </row>
  </sheetData>
  <autoFilter ref="A4:K4" xr:uid="{1841BF1A-9A03-4CA3-9AB4-14BC2465827D}">
    <sortState xmlns:xlrd2="http://schemas.microsoft.com/office/spreadsheetml/2017/richdata2" ref="A5:K34">
      <sortCondition ref="A4"/>
    </sortState>
  </autoFilter>
  <sortState xmlns:xlrd2="http://schemas.microsoft.com/office/spreadsheetml/2017/richdata2" ref="A5:K34">
    <sortCondition ref="A5:A34"/>
  </sortState>
  <conditionalFormatting sqref="B5:B34">
    <cfRule type="expression" dxfId="0" priority="1">
      <formula>IF(K5="Noch kein Geburtstag gehabt",TRUE,FALSE)</formula>
    </cfRule>
  </conditionalFormatting>
  <pageMargins left="0.7" right="0.7" top="0.78740157499999996" bottom="0.78740157499999996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22FC2-F1DD-4976-B11D-F41AF79BE2D1}">
  <dimension ref="B1:C5"/>
  <sheetViews>
    <sheetView zoomScaleNormal="100" workbookViewId="0">
      <selection sqref="A1:XFD2"/>
    </sheetView>
  </sheetViews>
  <sheetFormatPr baseColWidth="10" defaultRowHeight="14.5" x14ac:dyDescent="0.35"/>
  <cols>
    <col min="2" max="4" width="19.08984375" customWidth="1"/>
    <col min="5" max="6" width="16.453125" customWidth="1"/>
    <col min="7" max="7" width="18.81640625" customWidth="1"/>
    <col min="8" max="8" width="20.36328125" customWidth="1"/>
    <col min="9" max="11" width="16.36328125" customWidth="1"/>
  </cols>
  <sheetData>
    <row r="1" spans="2:3" ht="40" customHeight="1" x14ac:dyDescent="0.35"/>
    <row r="2" spans="2:3" ht="26" x14ac:dyDescent="0.6">
      <c r="B2" s="44" t="s">
        <v>138</v>
      </c>
      <c r="C2" s="44"/>
    </row>
    <row r="5" spans="2:3" x14ac:dyDescent="0.35">
      <c r="B5" s="110" t="s">
        <v>139</v>
      </c>
    </row>
  </sheetData>
  <pageMargins left="0.7" right="0.7" top="0.78740157499999996" bottom="0.78740157499999996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57830-AC00-4F43-A73A-16FD420D323A}">
  <dimension ref="B1:K45"/>
  <sheetViews>
    <sheetView topLeftCell="A10" zoomScale="55" zoomScaleNormal="55" workbookViewId="0">
      <selection activeCell="J38" sqref="J37:J38"/>
    </sheetView>
  </sheetViews>
  <sheetFormatPr baseColWidth="10" defaultRowHeight="14.5" x14ac:dyDescent="0.35"/>
  <cols>
    <col min="2" max="4" width="19.08984375" customWidth="1"/>
    <col min="5" max="6" width="16.453125" customWidth="1"/>
    <col min="7" max="7" width="18.81640625" customWidth="1"/>
    <col min="8" max="8" width="20.36328125" customWidth="1"/>
    <col min="9" max="11" width="16.36328125" customWidth="1"/>
  </cols>
  <sheetData>
    <row r="1" spans="2:11" ht="40" customHeight="1" x14ac:dyDescent="0.35"/>
    <row r="2" spans="2:11" ht="26" x14ac:dyDescent="0.6">
      <c r="B2" s="44" t="s">
        <v>111</v>
      </c>
      <c r="C2" s="44"/>
    </row>
    <row r="5" spans="2:11" ht="18.5" x14ac:dyDescent="0.45">
      <c r="B5" s="91" t="s">
        <v>112</v>
      </c>
      <c r="C5" s="91"/>
      <c r="G5" s="91" t="s">
        <v>113</v>
      </c>
      <c r="H5" s="91"/>
      <c r="I5" s="91"/>
    </row>
    <row r="6" spans="2:11" ht="16.5" x14ac:dyDescent="0.35">
      <c r="B6" s="92" t="s">
        <v>114</v>
      </c>
      <c r="C6" s="92" t="s">
        <v>115</v>
      </c>
      <c r="D6" s="92" t="s">
        <v>116</v>
      </c>
      <c r="E6" s="92" t="s">
        <v>117</v>
      </c>
      <c r="G6" s="92" t="s">
        <v>118</v>
      </c>
      <c r="H6" s="92" t="s">
        <v>119</v>
      </c>
      <c r="I6" s="92" t="s">
        <v>115</v>
      </c>
      <c r="J6" s="92" t="s">
        <v>116</v>
      </c>
      <c r="K6" s="92" t="s">
        <v>117</v>
      </c>
    </row>
    <row r="7" spans="2:11" x14ac:dyDescent="0.35">
      <c r="B7" s="94">
        <v>10</v>
      </c>
      <c r="C7" s="104">
        <f>SQRT(2) * B7</f>
        <v>14.142135623730951</v>
      </c>
      <c r="D7" s="93">
        <f>B7^2</f>
        <v>100</v>
      </c>
      <c r="E7" s="93">
        <f>4*B7</f>
        <v>40</v>
      </c>
      <c r="G7" s="94">
        <v>2</v>
      </c>
      <c r="H7" s="94">
        <v>3</v>
      </c>
      <c r="I7" s="95">
        <f>SQRT(G7^2 + H7^2)</f>
        <v>3.6055512754639891</v>
      </c>
      <c r="J7" s="93">
        <f>G7*H7</f>
        <v>6</v>
      </c>
      <c r="K7" s="93">
        <f>2*(G7+H7)</f>
        <v>10</v>
      </c>
    </row>
    <row r="8" spans="2:11" x14ac:dyDescent="0.35">
      <c r="B8" s="93">
        <f>C8/SQRT(2)</f>
        <v>10.000000000190246</v>
      </c>
      <c r="C8" s="94">
        <v>14.142135624</v>
      </c>
      <c r="D8" s="93">
        <f>C8^2 / 2</f>
        <v>100.00000000380493</v>
      </c>
      <c r="E8" s="93">
        <f>4*B8</f>
        <v>40.000000000760984</v>
      </c>
      <c r="G8" s="94">
        <v>2</v>
      </c>
      <c r="H8" s="93">
        <f>SQRT(I8^2-G8^2)</f>
        <v>3.0000000054516063</v>
      </c>
      <c r="I8" s="94">
        <v>3.6055512799999998</v>
      </c>
      <c r="J8" s="93">
        <f>G8*H8</f>
        <v>6.0000000109032126</v>
      </c>
      <c r="K8" s="93">
        <f t="shared" ref="K8:K11" si="0">2*(G8+H8)</f>
        <v>10.000000010903213</v>
      </c>
    </row>
    <row r="9" spans="2:11" x14ac:dyDescent="0.35">
      <c r="B9" s="93">
        <f>SQRT(D9)</f>
        <v>10</v>
      </c>
      <c r="C9" s="93">
        <f>SQRT(2) * B9</f>
        <v>14.142135623730951</v>
      </c>
      <c r="D9" s="94">
        <v>100</v>
      </c>
      <c r="E9" s="93">
        <f>4*B9</f>
        <v>40</v>
      </c>
      <c r="G9" s="94">
        <v>2</v>
      </c>
      <c r="H9" s="93">
        <f>J9/G9</f>
        <v>3</v>
      </c>
      <c r="I9" s="93">
        <f>SQRT(G9^2 + H9^2)</f>
        <v>3.6055512754639891</v>
      </c>
      <c r="J9" s="94">
        <v>6</v>
      </c>
      <c r="K9" s="93">
        <f t="shared" si="0"/>
        <v>10</v>
      </c>
    </row>
    <row r="10" spans="2:11" x14ac:dyDescent="0.35">
      <c r="B10" s="93">
        <f>E10/4</f>
        <v>10</v>
      </c>
      <c r="C10" s="93">
        <f>SQRT(2) * B10</f>
        <v>14.142135623730951</v>
      </c>
      <c r="D10" s="93">
        <f>B10^2</f>
        <v>100</v>
      </c>
      <c r="E10" s="94">
        <v>40</v>
      </c>
      <c r="G10" s="94">
        <v>2</v>
      </c>
      <c r="H10" s="93">
        <f>(K10/2)-G10</f>
        <v>3</v>
      </c>
      <c r="I10" s="93">
        <f>SQRT(G10^2 + H10^2)</f>
        <v>3.6055512754639891</v>
      </c>
      <c r="J10" s="93">
        <f>G10*H10</f>
        <v>6</v>
      </c>
      <c r="K10" s="94">
        <v>10</v>
      </c>
    </row>
    <row r="11" spans="2:11" x14ac:dyDescent="0.35">
      <c r="G11" s="93">
        <f>SQRT((I11^2 - SQRT(I11^4 - 4*J11^2))/2)</f>
        <v>1.9936428724026451</v>
      </c>
      <c r="H11" s="93">
        <f>J11/G11</f>
        <v>3.0095660978483476</v>
      </c>
      <c r="I11" s="94">
        <v>3.61</v>
      </c>
      <c r="J11" s="94">
        <v>6</v>
      </c>
      <c r="K11" s="93">
        <f t="shared" si="0"/>
        <v>10.006417940501986</v>
      </c>
    </row>
    <row r="12" spans="2:11" x14ac:dyDescent="0.35">
      <c r="G12" s="93">
        <f>SQRT(I12^2 - H12^2)</f>
        <v>1.9841996510276481</v>
      </c>
      <c r="H12" s="93">
        <f>(K12+SQRT(8*I12^2 - K12^2))/4</f>
        <v>3.0158003489723519</v>
      </c>
      <c r="I12" s="94">
        <v>3.61</v>
      </c>
      <c r="J12" s="93">
        <f>G12*H12</f>
        <v>5.9839500000000001</v>
      </c>
      <c r="K12" s="94">
        <v>10</v>
      </c>
    </row>
    <row r="16" spans="2:11" ht="18.5" x14ac:dyDescent="0.45">
      <c r="B16" s="91" t="s">
        <v>120</v>
      </c>
    </row>
    <row r="17" spans="2:8" ht="16.5" x14ac:dyDescent="0.45">
      <c r="B17" s="92" t="s">
        <v>121</v>
      </c>
      <c r="C17" s="92" t="s">
        <v>122</v>
      </c>
      <c r="D17" s="92" t="s">
        <v>123</v>
      </c>
      <c r="E17" s="92" t="s">
        <v>125</v>
      </c>
      <c r="F17" s="92" t="s">
        <v>126</v>
      </c>
      <c r="G17" s="92" t="s">
        <v>127</v>
      </c>
      <c r="H17" s="92" t="s">
        <v>124</v>
      </c>
    </row>
    <row r="18" spans="2:8" x14ac:dyDescent="0.35">
      <c r="B18" s="94">
        <v>10</v>
      </c>
      <c r="C18" s="94">
        <v>180</v>
      </c>
      <c r="D18" s="93">
        <f>2*B18</f>
        <v>20</v>
      </c>
      <c r="E18" s="96">
        <f>B18^2*PI()</f>
        <v>314.15926535897933</v>
      </c>
      <c r="F18" s="96">
        <f>2*B18*PI()</f>
        <v>62.831853071795862</v>
      </c>
      <c r="G18" s="96">
        <f>E18*C18/360</f>
        <v>157.07963267948966</v>
      </c>
      <c r="H18" s="96">
        <f>F18*C18/360</f>
        <v>31.415926535897931</v>
      </c>
    </row>
    <row r="19" spans="2:8" x14ac:dyDescent="0.35">
      <c r="B19" s="93">
        <f>D19/2</f>
        <v>10</v>
      </c>
      <c r="C19" s="94">
        <v>180</v>
      </c>
      <c r="D19" s="94">
        <v>20</v>
      </c>
      <c r="E19" s="93">
        <f>B19^2*PI()</f>
        <v>314.15926535897933</v>
      </c>
      <c r="F19" s="93">
        <f>2*B19*PI()</f>
        <v>62.831853071795862</v>
      </c>
      <c r="G19" s="93">
        <f>E19*C19/360</f>
        <v>157.07963267948966</v>
      </c>
      <c r="H19" s="93">
        <f>F19*C19/360</f>
        <v>31.415926535897931</v>
      </c>
    </row>
    <row r="20" spans="2:8" x14ac:dyDescent="0.35">
      <c r="B20" s="93">
        <f>SQRT(E20/PI())</f>
        <v>10.000000000652864</v>
      </c>
      <c r="C20" s="94">
        <v>180</v>
      </c>
      <c r="D20" s="93">
        <f>2*B20</f>
        <v>20.000000001305729</v>
      </c>
      <c r="E20" s="94">
        <v>314.15926539999998</v>
      </c>
      <c r="F20" s="93">
        <f>2*B20*PI()</f>
        <v>62.831853075897932</v>
      </c>
      <c r="G20" s="93">
        <f>E20*C20/360</f>
        <v>157.07963269999999</v>
      </c>
      <c r="H20" s="93">
        <f>F20*C20/360</f>
        <v>31.415926537948966</v>
      </c>
    </row>
    <row r="21" spans="2:8" x14ac:dyDescent="0.35">
      <c r="B21" s="93">
        <f>D21/2</f>
        <v>9.9999999997141806</v>
      </c>
      <c r="C21" s="94">
        <v>180</v>
      </c>
      <c r="D21" s="93">
        <f>F21/PI()</f>
        <v>19.999999999428361</v>
      </c>
      <c r="E21" s="93">
        <f>B21^2*PI()</f>
        <v>314.15926534102073</v>
      </c>
      <c r="F21" s="94">
        <v>62.831853070000001</v>
      </c>
      <c r="G21" s="93">
        <f>E21*C21/360</f>
        <v>157.07963267051036</v>
      </c>
      <c r="H21" s="93">
        <f>F21*C21/360</f>
        <v>31.415926535000001</v>
      </c>
    </row>
    <row r="22" spans="2:8" x14ac:dyDescent="0.35">
      <c r="B22" s="94">
        <v>10</v>
      </c>
      <c r="C22" s="93">
        <f>360/(F22/H22)</f>
        <v>179.99999999485524</v>
      </c>
      <c r="D22" s="93">
        <f>2*B22</f>
        <v>20</v>
      </c>
      <c r="E22" s="93">
        <f t="shared" ref="E22:E25" si="1">B22^2*PI()</f>
        <v>314.15926535897933</v>
      </c>
      <c r="F22" s="93">
        <f t="shared" ref="F22:F25" si="2">2*B22*PI()</f>
        <v>62.831853071795862</v>
      </c>
      <c r="G22" s="93">
        <f t="shared" ref="G22:G23" si="3">E22*C22/360</f>
        <v>157.07963267500003</v>
      </c>
      <c r="H22" s="94">
        <v>31.415926535000001</v>
      </c>
    </row>
    <row r="23" spans="2:8" x14ac:dyDescent="0.35">
      <c r="B23" s="93">
        <f>D23/2</f>
        <v>10</v>
      </c>
      <c r="C23" s="93">
        <f>360/(F23/H23)</f>
        <v>179.99999999485524</v>
      </c>
      <c r="D23" s="94">
        <v>20</v>
      </c>
      <c r="E23" s="93">
        <f t="shared" si="1"/>
        <v>314.15926535897933</v>
      </c>
      <c r="F23" s="93">
        <f t="shared" si="2"/>
        <v>62.831853071795862</v>
      </c>
      <c r="G23" s="93">
        <f t="shared" si="3"/>
        <v>157.07963267500003</v>
      </c>
      <c r="H23" s="94">
        <v>31.415926535000001</v>
      </c>
    </row>
    <row r="24" spans="2:8" x14ac:dyDescent="0.35">
      <c r="B24" s="94">
        <v>10</v>
      </c>
      <c r="C24" s="93">
        <f>360/(E24/G24)</f>
        <v>179.99999999485527</v>
      </c>
      <c r="D24" s="93">
        <f>2*B24</f>
        <v>20</v>
      </c>
      <c r="E24" s="93">
        <f t="shared" si="1"/>
        <v>314.15926535897933</v>
      </c>
      <c r="F24" s="93">
        <f t="shared" si="2"/>
        <v>62.831853071795862</v>
      </c>
      <c r="G24" s="94">
        <v>157.07963267500003</v>
      </c>
      <c r="H24" s="93">
        <f t="shared" ref="H24:H25" si="4">F24*C24/360</f>
        <v>31.415926535000008</v>
      </c>
    </row>
    <row r="25" spans="2:8" x14ac:dyDescent="0.35">
      <c r="B25" s="93">
        <f>D25/2</f>
        <v>10</v>
      </c>
      <c r="C25" s="93">
        <f>360/(E25/G25)</f>
        <v>179.99999999485527</v>
      </c>
      <c r="D25" s="94">
        <v>20</v>
      </c>
      <c r="E25" s="93">
        <f t="shared" si="1"/>
        <v>314.15926535897933</v>
      </c>
      <c r="F25" s="93">
        <f t="shared" si="2"/>
        <v>62.831853071795862</v>
      </c>
      <c r="G25" s="94">
        <v>157.07963267500003</v>
      </c>
      <c r="H25" s="93">
        <f t="shared" si="4"/>
        <v>31.415926535000008</v>
      </c>
    </row>
    <row r="29" spans="2:8" ht="18.5" x14ac:dyDescent="0.45">
      <c r="B29" s="91" t="s">
        <v>131</v>
      </c>
    </row>
    <row r="30" spans="2:8" x14ac:dyDescent="0.35">
      <c r="B30" s="92" t="s">
        <v>136</v>
      </c>
      <c r="C30" s="92" t="s">
        <v>135</v>
      </c>
      <c r="D30" s="92" t="s">
        <v>132</v>
      </c>
      <c r="E30" s="105" t="s">
        <v>133</v>
      </c>
      <c r="F30" s="106" t="s">
        <v>134</v>
      </c>
      <c r="G30" s="105" t="s">
        <v>137</v>
      </c>
    </row>
    <row r="31" spans="2:8" x14ac:dyDescent="0.35">
      <c r="B31" s="94"/>
      <c r="C31" s="94"/>
      <c r="D31" s="107"/>
      <c r="E31" s="107"/>
      <c r="F31" s="107"/>
      <c r="G31" s="107"/>
    </row>
    <row r="32" spans="2:8" x14ac:dyDescent="0.35">
      <c r="B32" s="94"/>
      <c r="C32" s="93"/>
      <c r="D32" s="94"/>
      <c r="E32" s="93"/>
      <c r="F32" s="93"/>
      <c r="G32" s="93"/>
    </row>
    <row r="33" spans="2:7" x14ac:dyDescent="0.35">
      <c r="B33" s="94"/>
      <c r="C33" s="93"/>
      <c r="D33" s="93"/>
      <c r="E33" s="94"/>
      <c r="F33" s="93"/>
      <c r="G33" s="93"/>
    </row>
    <row r="34" spans="2:7" x14ac:dyDescent="0.35">
      <c r="B34" s="94"/>
      <c r="C34" s="93"/>
      <c r="D34" s="93"/>
      <c r="E34" s="93"/>
      <c r="F34" s="94"/>
      <c r="G34" s="93"/>
    </row>
    <row r="35" spans="2:7" x14ac:dyDescent="0.35">
      <c r="B35" s="94"/>
      <c r="C35" s="93"/>
      <c r="D35" s="93"/>
      <c r="E35" s="93"/>
      <c r="F35" s="93"/>
      <c r="G35" s="94"/>
    </row>
    <row r="36" spans="2:7" x14ac:dyDescent="0.35">
      <c r="B36" s="93"/>
      <c r="C36" s="94"/>
      <c r="D36" s="94"/>
      <c r="E36" s="93"/>
      <c r="F36" s="93"/>
      <c r="G36" s="93"/>
    </row>
    <row r="37" spans="2:7" x14ac:dyDescent="0.35">
      <c r="B37" s="93"/>
      <c r="C37" s="94"/>
      <c r="D37" s="93"/>
      <c r="E37" s="94"/>
      <c r="F37" s="93"/>
      <c r="G37" s="93"/>
    </row>
    <row r="38" spans="2:7" x14ac:dyDescent="0.35">
      <c r="B38" s="93"/>
      <c r="C38" s="94"/>
      <c r="D38" s="93"/>
      <c r="E38" s="93"/>
      <c r="F38" s="94"/>
      <c r="G38" s="93"/>
    </row>
    <row r="39" spans="2:7" x14ac:dyDescent="0.35">
      <c r="B39" s="93"/>
      <c r="C39" s="94"/>
      <c r="D39" s="93"/>
      <c r="E39" s="93"/>
      <c r="F39" s="93"/>
      <c r="G39" s="94"/>
    </row>
    <row r="40" spans="2:7" x14ac:dyDescent="0.35">
      <c r="B40" s="93"/>
      <c r="C40" s="93"/>
      <c r="D40" s="94"/>
      <c r="E40" s="94"/>
      <c r="F40" s="93"/>
      <c r="G40" s="93"/>
    </row>
    <row r="41" spans="2:7" x14ac:dyDescent="0.35">
      <c r="B41" s="93"/>
      <c r="C41" s="93"/>
      <c r="D41" s="94"/>
      <c r="E41" s="93"/>
      <c r="F41" s="94"/>
      <c r="G41" s="93"/>
    </row>
    <row r="42" spans="2:7" x14ac:dyDescent="0.35">
      <c r="B42" s="93"/>
      <c r="C42" s="93"/>
      <c r="D42" s="94"/>
      <c r="E42" s="93"/>
      <c r="F42" s="93"/>
      <c r="G42" s="94"/>
    </row>
    <row r="43" spans="2:7" x14ac:dyDescent="0.35">
      <c r="B43" s="108"/>
      <c r="C43" s="108"/>
      <c r="D43" s="108"/>
      <c r="E43" s="94"/>
      <c r="F43" s="94"/>
      <c r="G43" s="108"/>
    </row>
    <row r="44" spans="2:7" x14ac:dyDescent="0.35">
      <c r="B44" s="93"/>
      <c r="C44" s="93"/>
      <c r="D44" s="93"/>
      <c r="E44" s="94"/>
      <c r="F44" s="93"/>
      <c r="G44" s="94"/>
    </row>
    <row r="45" spans="2:7" x14ac:dyDescent="0.35">
      <c r="B45" s="93"/>
      <c r="C45" s="93"/>
      <c r="D45" s="93"/>
      <c r="E45" s="93"/>
      <c r="F45" s="94"/>
      <c r="G45" s="94"/>
    </row>
  </sheetData>
  <pageMargins left="0.7" right="0.7" top="0.78740157499999996" bottom="0.78740157499999996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15A17-1A1D-465A-AB11-E83075F9A2A8}">
  <dimension ref="B2:AO45"/>
  <sheetViews>
    <sheetView zoomScale="70" zoomScaleNormal="70" workbookViewId="0">
      <selection activeCell="B2" sqref="B2"/>
    </sheetView>
  </sheetViews>
  <sheetFormatPr baseColWidth="10" defaultRowHeight="14.5" x14ac:dyDescent="0.35"/>
  <cols>
    <col min="2" max="2" width="26.90625" customWidth="1"/>
    <col min="8" max="8" width="13.1796875" customWidth="1"/>
  </cols>
  <sheetData>
    <row r="2" spans="2:14" ht="64.5" customHeight="1" x14ac:dyDescent="0.35"/>
    <row r="3" spans="2:14" x14ac:dyDescent="0.35">
      <c r="B3" t="s">
        <v>5</v>
      </c>
    </row>
    <row r="4" spans="2:14" x14ac:dyDescent="0.35">
      <c r="B4" s="5" t="s">
        <v>2</v>
      </c>
      <c r="C4" s="4">
        <v>1</v>
      </c>
      <c r="D4" s="4">
        <v>2</v>
      </c>
      <c r="E4" s="4">
        <v>3</v>
      </c>
      <c r="F4" s="4">
        <v>4</v>
      </c>
    </row>
    <row r="5" spans="2:14" x14ac:dyDescent="0.35">
      <c r="B5" s="5" t="s">
        <v>4</v>
      </c>
      <c r="C5" s="4">
        <v>10</v>
      </c>
      <c r="D5" s="4">
        <v>19.899999999999999</v>
      </c>
      <c r="E5" s="4">
        <v>30.05</v>
      </c>
      <c r="F5" s="4">
        <v>40.5</v>
      </c>
    </row>
    <row r="7" spans="2:14" x14ac:dyDescent="0.35">
      <c r="B7" t="s">
        <v>6</v>
      </c>
      <c r="C7" s="3">
        <f>C5/C4</f>
        <v>10</v>
      </c>
      <c r="D7" s="3">
        <f t="shared" ref="D7:F7" si="0">D5/D4</f>
        <v>9.9499999999999993</v>
      </c>
      <c r="E7" s="3">
        <f t="shared" si="0"/>
        <v>10.016666666666667</v>
      </c>
      <c r="F7" s="3">
        <f t="shared" si="0"/>
        <v>10.125</v>
      </c>
      <c r="H7" t="s">
        <v>3</v>
      </c>
      <c r="I7" s="3">
        <f>AVERAGE(C7:F7)</f>
        <v>10.022916666666667</v>
      </c>
    </row>
    <row r="8" spans="2:14" x14ac:dyDescent="0.35">
      <c r="B8" t="s">
        <v>7</v>
      </c>
      <c r="C8">
        <f>$I$7*C4</f>
        <v>10.022916666666667</v>
      </c>
      <c r="D8">
        <f t="shared" ref="D8:F8" si="1">$I$7*D4</f>
        <v>20.045833333333334</v>
      </c>
      <c r="E8">
        <f t="shared" si="1"/>
        <v>30.068750000000001</v>
      </c>
      <c r="F8">
        <f t="shared" si="1"/>
        <v>40.091666666666669</v>
      </c>
    </row>
    <row r="10" spans="2:14" ht="15" thickBot="1" x14ac:dyDescent="0.4"/>
    <row r="11" spans="2:14" ht="26" x14ac:dyDescent="0.6">
      <c r="I11" s="6"/>
      <c r="J11" s="7" t="s">
        <v>9</v>
      </c>
      <c r="K11" s="8"/>
      <c r="L11" s="8"/>
      <c r="M11" s="9" t="s">
        <v>12</v>
      </c>
      <c r="N11" s="10"/>
    </row>
    <row r="12" spans="2:14" x14ac:dyDescent="0.35">
      <c r="I12" s="11"/>
      <c r="N12" s="12"/>
    </row>
    <row r="13" spans="2:14" x14ac:dyDescent="0.35">
      <c r="I13" s="11"/>
      <c r="J13" s="13" t="s">
        <v>10</v>
      </c>
      <c r="K13" s="13" t="s">
        <v>13</v>
      </c>
      <c r="L13" s="2">
        <v>-5</v>
      </c>
      <c r="N13" s="12"/>
    </row>
    <row r="14" spans="2:14" ht="15" thickBot="1" x14ac:dyDescent="0.4">
      <c r="I14" s="14"/>
      <c r="J14" s="15" t="s">
        <v>11</v>
      </c>
      <c r="K14" s="15" t="s">
        <v>14</v>
      </c>
      <c r="L14" s="16">
        <v>10</v>
      </c>
      <c r="M14" s="17"/>
      <c r="N14" s="18"/>
    </row>
    <row r="16" spans="2:14" x14ac:dyDescent="0.35">
      <c r="I16" s="1" t="s">
        <v>16</v>
      </c>
      <c r="J16" s="2">
        <v>0.5</v>
      </c>
    </row>
    <row r="17" spans="9:41" x14ac:dyDescent="0.35">
      <c r="I17" s="1" t="s">
        <v>0</v>
      </c>
      <c r="J17" s="2">
        <v>0</v>
      </c>
      <c r="K17">
        <f>$J$16+J17</f>
        <v>0.5</v>
      </c>
      <c r="L17">
        <f t="shared" ref="L17:AO17" si="2">$J$16+K17</f>
        <v>1</v>
      </c>
      <c r="M17">
        <f t="shared" si="2"/>
        <v>1.5</v>
      </c>
      <c r="N17">
        <f t="shared" si="2"/>
        <v>2</v>
      </c>
      <c r="O17">
        <f t="shared" si="2"/>
        <v>2.5</v>
      </c>
      <c r="P17">
        <f t="shared" si="2"/>
        <v>3</v>
      </c>
      <c r="Q17">
        <f t="shared" si="2"/>
        <v>3.5</v>
      </c>
      <c r="R17">
        <f t="shared" si="2"/>
        <v>4</v>
      </c>
      <c r="S17">
        <f t="shared" si="2"/>
        <v>4.5</v>
      </c>
      <c r="T17">
        <f t="shared" si="2"/>
        <v>5</v>
      </c>
      <c r="U17">
        <f t="shared" si="2"/>
        <v>5.5</v>
      </c>
      <c r="V17">
        <f t="shared" si="2"/>
        <v>6</v>
      </c>
      <c r="W17">
        <f t="shared" si="2"/>
        <v>6.5</v>
      </c>
      <c r="X17">
        <f t="shared" si="2"/>
        <v>7</v>
      </c>
      <c r="Y17">
        <f t="shared" si="2"/>
        <v>7.5</v>
      </c>
      <c r="Z17">
        <f t="shared" si="2"/>
        <v>8</v>
      </c>
      <c r="AA17">
        <f t="shared" si="2"/>
        <v>8.5</v>
      </c>
      <c r="AB17">
        <f t="shared" si="2"/>
        <v>9</v>
      </c>
      <c r="AC17">
        <f t="shared" si="2"/>
        <v>9.5</v>
      </c>
      <c r="AD17">
        <f t="shared" si="2"/>
        <v>10</v>
      </c>
      <c r="AE17">
        <f t="shared" si="2"/>
        <v>10.5</v>
      </c>
      <c r="AF17">
        <f t="shared" si="2"/>
        <v>11</v>
      </c>
      <c r="AG17">
        <f t="shared" si="2"/>
        <v>11.5</v>
      </c>
      <c r="AH17">
        <f t="shared" si="2"/>
        <v>12</v>
      </c>
      <c r="AI17">
        <f t="shared" si="2"/>
        <v>12.5</v>
      </c>
      <c r="AJ17">
        <f t="shared" si="2"/>
        <v>13</v>
      </c>
      <c r="AK17">
        <f t="shared" si="2"/>
        <v>13.5</v>
      </c>
      <c r="AL17">
        <f t="shared" si="2"/>
        <v>14</v>
      </c>
      <c r="AM17">
        <f t="shared" si="2"/>
        <v>14.5</v>
      </c>
      <c r="AN17">
        <f t="shared" si="2"/>
        <v>15</v>
      </c>
      <c r="AO17">
        <f t="shared" si="2"/>
        <v>15.5</v>
      </c>
    </row>
    <row r="18" spans="9:41" x14ac:dyDescent="0.35">
      <c r="I18" s="1" t="s">
        <v>15</v>
      </c>
      <c r="J18">
        <f>$L$13*J17+$L$14</f>
        <v>10</v>
      </c>
      <c r="K18">
        <f t="shared" ref="K18:AO18" si="3">$L$13*K17+$L$14</f>
        <v>7.5</v>
      </c>
      <c r="L18">
        <f t="shared" si="3"/>
        <v>5</v>
      </c>
      <c r="M18">
        <f t="shared" si="3"/>
        <v>2.5</v>
      </c>
      <c r="N18">
        <f t="shared" si="3"/>
        <v>0</v>
      </c>
      <c r="O18">
        <f t="shared" si="3"/>
        <v>-2.5</v>
      </c>
      <c r="P18">
        <f t="shared" si="3"/>
        <v>-5</v>
      </c>
      <c r="Q18">
        <f t="shared" si="3"/>
        <v>-7.5</v>
      </c>
      <c r="R18">
        <f t="shared" si="3"/>
        <v>-10</v>
      </c>
      <c r="S18">
        <f t="shared" si="3"/>
        <v>-12.5</v>
      </c>
      <c r="T18">
        <f t="shared" si="3"/>
        <v>-15</v>
      </c>
      <c r="U18">
        <f t="shared" si="3"/>
        <v>-17.5</v>
      </c>
      <c r="V18">
        <f t="shared" si="3"/>
        <v>-20</v>
      </c>
      <c r="W18">
        <f t="shared" si="3"/>
        <v>-22.5</v>
      </c>
      <c r="X18">
        <f t="shared" si="3"/>
        <v>-25</v>
      </c>
      <c r="Y18">
        <f t="shared" si="3"/>
        <v>-27.5</v>
      </c>
      <c r="Z18">
        <f t="shared" si="3"/>
        <v>-30</v>
      </c>
      <c r="AA18">
        <f t="shared" si="3"/>
        <v>-32.5</v>
      </c>
      <c r="AB18">
        <f t="shared" si="3"/>
        <v>-35</v>
      </c>
      <c r="AC18">
        <f t="shared" si="3"/>
        <v>-37.5</v>
      </c>
      <c r="AD18">
        <f t="shared" si="3"/>
        <v>-40</v>
      </c>
      <c r="AE18">
        <f t="shared" si="3"/>
        <v>-42.5</v>
      </c>
      <c r="AF18">
        <f t="shared" si="3"/>
        <v>-45</v>
      </c>
      <c r="AG18">
        <f t="shared" si="3"/>
        <v>-47.5</v>
      </c>
      <c r="AH18">
        <f t="shared" si="3"/>
        <v>-50</v>
      </c>
      <c r="AI18">
        <f t="shared" si="3"/>
        <v>-52.5</v>
      </c>
      <c r="AJ18">
        <f t="shared" si="3"/>
        <v>-55</v>
      </c>
      <c r="AK18">
        <f t="shared" si="3"/>
        <v>-57.5</v>
      </c>
      <c r="AL18">
        <f t="shared" si="3"/>
        <v>-60</v>
      </c>
      <c r="AM18">
        <f t="shared" si="3"/>
        <v>-62.5</v>
      </c>
      <c r="AN18">
        <f t="shared" si="3"/>
        <v>-65</v>
      </c>
      <c r="AO18">
        <f t="shared" si="3"/>
        <v>-67.5</v>
      </c>
    </row>
    <row r="40" spans="2:25" x14ac:dyDescent="0.35">
      <c r="E40" s="2">
        <v>0.1</v>
      </c>
    </row>
    <row r="41" spans="2:25" x14ac:dyDescent="0.35">
      <c r="C41" t="s">
        <v>17</v>
      </c>
      <c r="E41" s="2">
        <v>0</v>
      </c>
      <c r="F41">
        <f>E41+$E$40</f>
        <v>0.1</v>
      </c>
      <c r="G41">
        <f t="shared" ref="G41:Y41" si="4">F41+$E$40</f>
        <v>0.2</v>
      </c>
      <c r="H41">
        <f t="shared" si="4"/>
        <v>0.30000000000000004</v>
      </c>
      <c r="I41">
        <f t="shared" si="4"/>
        <v>0.4</v>
      </c>
      <c r="J41">
        <f t="shared" si="4"/>
        <v>0.5</v>
      </c>
      <c r="K41">
        <f t="shared" si="4"/>
        <v>0.6</v>
      </c>
      <c r="L41">
        <f t="shared" si="4"/>
        <v>0.7</v>
      </c>
      <c r="M41">
        <f t="shared" si="4"/>
        <v>0.79999999999999993</v>
      </c>
      <c r="N41">
        <f t="shared" si="4"/>
        <v>0.89999999999999991</v>
      </c>
      <c r="O41">
        <f t="shared" si="4"/>
        <v>0.99999999999999989</v>
      </c>
      <c r="P41">
        <f t="shared" si="4"/>
        <v>1.0999999999999999</v>
      </c>
      <c r="Q41">
        <f t="shared" si="4"/>
        <v>1.2</v>
      </c>
      <c r="R41">
        <f t="shared" si="4"/>
        <v>1.3</v>
      </c>
      <c r="S41">
        <f t="shared" si="4"/>
        <v>1.4000000000000001</v>
      </c>
      <c r="T41">
        <f t="shared" si="4"/>
        <v>1.5000000000000002</v>
      </c>
      <c r="U41">
        <f t="shared" si="4"/>
        <v>1.6000000000000003</v>
      </c>
      <c r="V41">
        <f t="shared" si="4"/>
        <v>1.7000000000000004</v>
      </c>
      <c r="W41">
        <f t="shared" si="4"/>
        <v>1.8000000000000005</v>
      </c>
      <c r="X41">
        <f t="shared" si="4"/>
        <v>1.9000000000000006</v>
      </c>
      <c r="Y41">
        <f t="shared" si="4"/>
        <v>2.0000000000000004</v>
      </c>
    </row>
    <row r="42" spans="2:25" ht="16.5" x14ac:dyDescent="0.45">
      <c r="B42" s="1" t="s">
        <v>18</v>
      </c>
      <c r="C42" t="s">
        <v>19</v>
      </c>
      <c r="D42" s="2">
        <v>35</v>
      </c>
      <c r="E42">
        <f>$D$42*E41</f>
        <v>0</v>
      </c>
      <c r="F42">
        <f t="shared" ref="F42:Y42" si="5">$D$42*F41</f>
        <v>3.5</v>
      </c>
      <c r="G42">
        <f t="shared" si="5"/>
        <v>7</v>
      </c>
      <c r="H42">
        <f t="shared" si="5"/>
        <v>10.500000000000002</v>
      </c>
      <c r="I42">
        <f t="shared" si="5"/>
        <v>14</v>
      </c>
      <c r="J42">
        <f t="shared" si="5"/>
        <v>17.5</v>
      </c>
      <c r="K42">
        <f t="shared" si="5"/>
        <v>21</v>
      </c>
      <c r="L42">
        <f t="shared" si="5"/>
        <v>24.5</v>
      </c>
      <c r="M42">
        <f t="shared" si="5"/>
        <v>27.999999999999996</v>
      </c>
      <c r="N42">
        <f t="shared" si="5"/>
        <v>31.499999999999996</v>
      </c>
      <c r="O42">
        <f t="shared" si="5"/>
        <v>34.999999999999993</v>
      </c>
      <c r="P42">
        <f t="shared" si="5"/>
        <v>38.499999999999993</v>
      </c>
      <c r="Q42">
        <f t="shared" si="5"/>
        <v>42</v>
      </c>
      <c r="R42">
        <f t="shared" si="5"/>
        <v>45.5</v>
      </c>
      <c r="S42">
        <f t="shared" si="5"/>
        <v>49.000000000000007</v>
      </c>
      <c r="T42">
        <f t="shared" si="5"/>
        <v>52.500000000000007</v>
      </c>
      <c r="U42">
        <f t="shared" si="5"/>
        <v>56.000000000000014</v>
      </c>
      <c r="V42">
        <f t="shared" si="5"/>
        <v>59.500000000000014</v>
      </c>
      <c r="W42">
        <f t="shared" si="5"/>
        <v>63.000000000000014</v>
      </c>
      <c r="X42">
        <f t="shared" si="5"/>
        <v>66.500000000000014</v>
      </c>
      <c r="Y42">
        <f t="shared" si="5"/>
        <v>70.000000000000014</v>
      </c>
    </row>
    <row r="44" spans="2:25" ht="16.5" x14ac:dyDescent="0.45">
      <c r="B44" s="1" t="s">
        <v>21</v>
      </c>
      <c r="C44" t="s">
        <v>20</v>
      </c>
      <c r="D44" s="2">
        <v>-20</v>
      </c>
      <c r="E44">
        <f>$D$44*E41+$D$45</f>
        <v>100</v>
      </c>
      <c r="F44">
        <f t="shared" ref="F44:Y44" si="6">$D$44*F41+$D$45</f>
        <v>98</v>
      </c>
      <c r="G44">
        <f t="shared" si="6"/>
        <v>96</v>
      </c>
      <c r="H44">
        <f t="shared" si="6"/>
        <v>94</v>
      </c>
      <c r="I44">
        <f t="shared" si="6"/>
        <v>92</v>
      </c>
      <c r="J44">
        <f t="shared" si="6"/>
        <v>90</v>
      </c>
      <c r="K44">
        <f t="shared" si="6"/>
        <v>88</v>
      </c>
      <c r="L44">
        <f t="shared" si="6"/>
        <v>86</v>
      </c>
      <c r="M44">
        <f t="shared" si="6"/>
        <v>84</v>
      </c>
      <c r="N44">
        <f t="shared" si="6"/>
        <v>82</v>
      </c>
      <c r="O44">
        <f t="shared" si="6"/>
        <v>80</v>
      </c>
      <c r="P44">
        <f t="shared" si="6"/>
        <v>78</v>
      </c>
      <c r="Q44">
        <f t="shared" si="6"/>
        <v>76</v>
      </c>
      <c r="R44">
        <f t="shared" si="6"/>
        <v>74</v>
      </c>
      <c r="S44">
        <f t="shared" si="6"/>
        <v>72</v>
      </c>
      <c r="T44">
        <f t="shared" si="6"/>
        <v>70</v>
      </c>
      <c r="U44">
        <f t="shared" si="6"/>
        <v>68</v>
      </c>
      <c r="V44">
        <f t="shared" si="6"/>
        <v>66</v>
      </c>
      <c r="W44">
        <f t="shared" si="6"/>
        <v>63.999999999999993</v>
      </c>
      <c r="X44">
        <f t="shared" si="6"/>
        <v>61.999999999999986</v>
      </c>
      <c r="Y44">
        <f t="shared" si="6"/>
        <v>59.999999999999993</v>
      </c>
    </row>
    <row r="45" spans="2:25" x14ac:dyDescent="0.35">
      <c r="C45" t="s">
        <v>22</v>
      </c>
      <c r="D45" s="2">
        <v>100</v>
      </c>
    </row>
  </sheetData>
  <pageMargins left="0.7" right="0.7" top="0.78740157499999996" bottom="0.78740157499999996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44B65-9415-4C8E-AE7F-C0B8FA4247A3}">
  <dimension ref="B2:AA11"/>
  <sheetViews>
    <sheetView showGridLines="0" zoomScale="55" zoomScaleNormal="55" workbookViewId="0">
      <selection activeCell="E4" sqref="E4"/>
    </sheetView>
  </sheetViews>
  <sheetFormatPr baseColWidth="10" defaultRowHeight="14.5" x14ac:dyDescent="0.35"/>
  <cols>
    <col min="4" max="4" width="17.54296875" customWidth="1"/>
    <col min="7" max="7" width="14" customWidth="1"/>
  </cols>
  <sheetData>
    <row r="2" spans="2:27" ht="24" thickBot="1" x14ac:dyDescent="0.6">
      <c r="B2" s="22" t="s">
        <v>36</v>
      </c>
      <c r="M2" s="5" t="s">
        <v>32</v>
      </c>
      <c r="N2" s="5"/>
      <c r="P2" s="5" t="s">
        <v>30</v>
      </c>
      <c r="Q2" s="5"/>
      <c r="S2" s="5" t="s">
        <v>31</v>
      </c>
      <c r="T2" s="5"/>
      <c r="W2" s="5" t="s">
        <v>33</v>
      </c>
      <c r="X2" s="5"/>
      <c r="Z2" s="5" t="s">
        <v>34</v>
      </c>
      <c r="AA2" s="5"/>
    </row>
    <row r="3" spans="2:27" ht="20" customHeight="1" thickBot="1" x14ac:dyDescent="0.6">
      <c r="B3" s="22"/>
      <c r="J3" s="20" t="s">
        <v>35</v>
      </c>
      <c r="K3" s="21">
        <v>7</v>
      </c>
      <c r="M3" s="5">
        <f>K3</f>
        <v>7</v>
      </c>
      <c r="N3" s="5">
        <f>M3</f>
        <v>7</v>
      </c>
      <c r="P3" s="5">
        <v>0</v>
      </c>
      <c r="Q3" s="5">
        <f>K3</f>
        <v>7</v>
      </c>
      <c r="S3" s="5">
        <v>0</v>
      </c>
      <c r="T3" s="5">
        <f>N3</f>
        <v>7</v>
      </c>
      <c r="W3" s="5">
        <f>Q3</f>
        <v>7</v>
      </c>
      <c r="X3" s="5">
        <f>W3</f>
        <v>7</v>
      </c>
      <c r="Z3" s="5">
        <v>0</v>
      </c>
      <c r="AA3" s="5">
        <f>X3</f>
        <v>7</v>
      </c>
    </row>
    <row r="4" spans="2:27" ht="15.5" customHeight="1" x14ac:dyDescent="0.55000000000000004">
      <c r="B4" s="22"/>
      <c r="C4" s="144" t="s">
        <v>26</v>
      </c>
      <c r="D4" s="145"/>
      <c r="E4" s="23">
        <v>2</v>
      </c>
      <c r="F4" s="24" t="s">
        <v>25</v>
      </c>
      <c r="M4" s="5">
        <v>0</v>
      </c>
      <c r="N4" s="5">
        <f>E4*K3+E5</f>
        <v>24</v>
      </c>
      <c r="P4" s="5">
        <f>E5</f>
        <v>10</v>
      </c>
      <c r="Q4" s="5">
        <f>E5</f>
        <v>10</v>
      </c>
      <c r="S4" s="5">
        <f>N4</f>
        <v>24</v>
      </c>
      <c r="T4" s="5">
        <f>S4</f>
        <v>24</v>
      </c>
      <c r="W4" s="5">
        <v>0</v>
      </c>
      <c r="X4" s="5">
        <f>$E$4/2 * $K$3^2 + $E$5*$K$3</f>
        <v>119</v>
      </c>
      <c r="Z4" s="5">
        <f>X4</f>
        <v>119</v>
      </c>
      <c r="AA4" s="5">
        <f>$E$4/2 * $K$3^2 + $E$5*$K$3</f>
        <v>119</v>
      </c>
    </row>
    <row r="5" spans="2:27" ht="15.5" customHeight="1" thickBot="1" x14ac:dyDescent="0.6">
      <c r="B5" s="22"/>
      <c r="C5" s="146" t="s">
        <v>27</v>
      </c>
      <c r="D5" s="147"/>
      <c r="E5" s="25">
        <v>10</v>
      </c>
      <c r="F5" s="26" t="s">
        <v>28</v>
      </c>
    </row>
    <row r="6" spans="2:27" ht="15.5" customHeight="1" x14ac:dyDescent="0.35"/>
    <row r="7" spans="2:27" ht="15.5" customHeight="1" x14ac:dyDescent="0.35"/>
    <row r="8" spans="2:27" ht="15.5" customHeight="1" x14ac:dyDescent="0.35">
      <c r="C8" s="142" t="s">
        <v>1</v>
      </c>
      <c r="D8" s="143"/>
      <c r="E8" s="4">
        <v>1</v>
      </c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</row>
    <row r="9" spans="2:27" x14ac:dyDescent="0.35">
      <c r="C9" s="140" t="s">
        <v>24</v>
      </c>
      <c r="D9" s="140"/>
      <c r="E9" s="4">
        <v>0</v>
      </c>
      <c r="F9" s="27">
        <f>E9+$E$8</f>
        <v>1</v>
      </c>
      <c r="G9" s="27">
        <f t="shared" ref="G9:Y9" si="0">F9+$E$8</f>
        <v>2</v>
      </c>
      <c r="H9" s="27">
        <f t="shared" si="0"/>
        <v>3</v>
      </c>
      <c r="I9" s="27">
        <f t="shared" si="0"/>
        <v>4</v>
      </c>
      <c r="J9" s="27">
        <f t="shared" si="0"/>
        <v>5</v>
      </c>
      <c r="K9" s="27">
        <f t="shared" si="0"/>
        <v>6</v>
      </c>
      <c r="L9" s="27">
        <f t="shared" si="0"/>
        <v>7</v>
      </c>
      <c r="M9" s="27">
        <f t="shared" si="0"/>
        <v>8</v>
      </c>
      <c r="N9" s="27">
        <f t="shared" si="0"/>
        <v>9</v>
      </c>
      <c r="O9" s="27">
        <f t="shared" si="0"/>
        <v>10</v>
      </c>
      <c r="P9" s="27">
        <f t="shared" si="0"/>
        <v>11</v>
      </c>
      <c r="Q9" s="27">
        <f t="shared" si="0"/>
        <v>12</v>
      </c>
      <c r="R9" s="27">
        <f t="shared" si="0"/>
        <v>13</v>
      </c>
      <c r="S9" s="27">
        <f t="shared" si="0"/>
        <v>14</v>
      </c>
      <c r="T9" s="27">
        <f t="shared" si="0"/>
        <v>15</v>
      </c>
      <c r="U9" s="27">
        <f t="shared" si="0"/>
        <v>16</v>
      </c>
      <c r="V9" s="27">
        <f t="shared" si="0"/>
        <v>17</v>
      </c>
      <c r="W9" s="27">
        <f t="shared" si="0"/>
        <v>18</v>
      </c>
      <c r="X9" s="27">
        <f>W9+$E$8</f>
        <v>19</v>
      </c>
      <c r="Y9" s="27">
        <f t="shared" si="0"/>
        <v>20</v>
      </c>
      <c r="Z9" s="27">
        <f t="shared" ref="Z9" si="1">Y9+$E$8</f>
        <v>21</v>
      </c>
      <c r="AA9" s="27">
        <f t="shared" ref="AA9" si="2">Z9+$E$8</f>
        <v>22</v>
      </c>
    </row>
    <row r="10" spans="2:27" x14ac:dyDescent="0.35">
      <c r="C10" s="141" t="s">
        <v>29</v>
      </c>
      <c r="D10" s="141"/>
      <c r="E10" s="5">
        <f t="shared" ref="E10:Y10" si="3">$E$4*E9+$E$5</f>
        <v>10</v>
      </c>
      <c r="F10" s="5">
        <f t="shared" si="3"/>
        <v>12</v>
      </c>
      <c r="G10" s="5">
        <f t="shared" si="3"/>
        <v>14</v>
      </c>
      <c r="H10" s="5">
        <f t="shared" si="3"/>
        <v>16</v>
      </c>
      <c r="I10" s="5">
        <f t="shared" si="3"/>
        <v>18</v>
      </c>
      <c r="J10" s="5">
        <f t="shared" si="3"/>
        <v>20</v>
      </c>
      <c r="K10" s="5">
        <f t="shared" si="3"/>
        <v>22</v>
      </c>
      <c r="L10" s="5">
        <f t="shared" si="3"/>
        <v>24</v>
      </c>
      <c r="M10" s="5">
        <f t="shared" si="3"/>
        <v>26</v>
      </c>
      <c r="N10" s="5">
        <f t="shared" si="3"/>
        <v>28</v>
      </c>
      <c r="O10" s="5">
        <f t="shared" si="3"/>
        <v>30</v>
      </c>
      <c r="P10" s="5">
        <f t="shared" si="3"/>
        <v>32</v>
      </c>
      <c r="Q10" s="5">
        <f t="shared" si="3"/>
        <v>34</v>
      </c>
      <c r="R10" s="5">
        <f t="shared" si="3"/>
        <v>36</v>
      </c>
      <c r="S10" s="5">
        <f t="shared" si="3"/>
        <v>38</v>
      </c>
      <c r="T10" s="5">
        <f t="shared" si="3"/>
        <v>40</v>
      </c>
      <c r="U10" s="5">
        <f t="shared" si="3"/>
        <v>42</v>
      </c>
      <c r="V10" s="5">
        <f t="shared" si="3"/>
        <v>44</v>
      </c>
      <c r="W10" s="5">
        <f t="shared" si="3"/>
        <v>46</v>
      </c>
      <c r="X10" s="5">
        <f t="shared" si="3"/>
        <v>48</v>
      </c>
      <c r="Y10" s="5">
        <f t="shared" si="3"/>
        <v>50</v>
      </c>
      <c r="Z10" s="5">
        <f t="shared" ref="Z10:AA10" si="4">$E$4*Z9+$E$5</f>
        <v>52</v>
      </c>
      <c r="AA10" s="5">
        <f t="shared" si="4"/>
        <v>54</v>
      </c>
    </row>
    <row r="11" spans="2:27" ht="16.5" x14ac:dyDescent="0.35">
      <c r="C11" s="141" t="s">
        <v>56</v>
      </c>
      <c r="D11" s="141"/>
      <c r="E11" s="5">
        <f t="shared" ref="E11:Y11" si="5">$E$4/2 * E9^2 + $E$5*E9</f>
        <v>0</v>
      </c>
      <c r="F11" s="5">
        <f t="shared" si="5"/>
        <v>11</v>
      </c>
      <c r="G11" s="5">
        <f t="shared" si="5"/>
        <v>24</v>
      </c>
      <c r="H11" s="5">
        <f t="shared" si="5"/>
        <v>39</v>
      </c>
      <c r="I11" s="5">
        <f t="shared" si="5"/>
        <v>56</v>
      </c>
      <c r="J11" s="5">
        <f t="shared" si="5"/>
        <v>75</v>
      </c>
      <c r="K11" s="5">
        <f t="shared" si="5"/>
        <v>96</v>
      </c>
      <c r="L11" s="5">
        <f t="shared" si="5"/>
        <v>119</v>
      </c>
      <c r="M11" s="5">
        <f t="shared" si="5"/>
        <v>144</v>
      </c>
      <c r="N11" s="5">
        <f t="shared" si="5"/>
        <v>171</v>
      </c>
      <c r="O11" s="5">
        <f t="shared" si="5"/>
        <v>200</v>
      </c>
      <c r="P11" s="5">
        <f t="shared" si="5"/>
        <v>231</v>
      </c>
      <c r="Q11" s="5">
        <f t="shared" si="5"/>
        <v>264</v>
      </c>
      <c r="R11" s="5">
        <f t="shared" si="5"/>
        <v>299</v>
      </c>
      <c r="S11" s="5">
        <f t="shared" si="5"/>
        <v>336</v>
      </c>
      <c r="T11" s="5">
        <f t="shared" si="5"/>
        <v>375</v>
      </c>
      <c r="U11" s="5">
        <f t="shared" si="5"/>
        <v>416</v>
      </c>
      <c r="V11" s="5">
        <f t="shared" si="5"/>
        <v>459</v>
      </c>
      <c r="W11" s="5">
        <f t="shared" si="5"/>
        <v>504</v>
      </c>
      <c r="X11" s="5">
        <f t="shared" si="5"/>
        <v>551</v>
      </c>
      <c r="Y11" s="5">
        <f t="shared" si="5"/>
        <v>600</v>
      </c>
      <c r="Z11" s="5">
        <f t="shared" ref="Z11:AA11" si="6">$E$4/2 * Z9^2 + $E$5*Z9</f>
        <v>651</v>
      </c>
      <c r="AA11" s="5">
        <f t="shared" si="6"/>
        <v>704</v>
      </c>
    </row>
  </sheetData>
  <mergeCells count="6">
    <mergeCell ref="C9:D9"/>
    <mergeCell ref="C10:D10"/>
    <mergeCell ref="C11:D11"/>
    <mergeCell ref="C8:D8"/>
    <mergeCell ref="C4:D4"/>
    <mergeCell ref="C5:D5"/>
  </mergeCells>
  <pageMargins left="0.7" right="0.7" top="0.78740157499999996" bottom="0.78740157499999996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67A4D-486D-4722-8BC0-28E89D3D0FE7}">
  <sheetPr>
    <pageSetUpPr fitToPage="1"/>
  </sheetPr>
  <dimension ref="A2:S19"/>
  <sheetViews>
    <sheetView topLeftCell="B1" zoomScale="115" zoomScaleNormal="115" workbookViewId="0">
      <selection activeCell="G12" sqref="G12"/>
    </sheetView>
  </sheetViews>
  <sheetFormatPr baseColWidth="10" defaultRowHeight="14.5" x14ac:dyDescent="0.35"/>
  <cols>
    <col min="3" max="3" width="23" customWidth="1"/>
    <col min="4" max="4" width="13" customWidth="1"/>
    <col min="5" max="5" width="23" customWidth="1"/>
    <col min="6" max="6" width="13" customWidth="1"/>
    <col min="7" max="7" width="23" customWidth="1"/>
    <col min="8" max="8" width="13" customWidth="1"/>
    <col min="9" max="9" width="26.1796875" customWidth="1"/>
    <col min="10" max="10" width="13" customWidth="1"/>
    <col min="11" max="11" width="23" customWidth="1"/>
    <col min="12" max="12" width="13" customWidth="1"/>
    <col min="14" max="14" width="15.54296875" customWidth="1"/>
    <col min="15" max="15" width="35.1796875" customWidth="1"/>
    <col min="18" max="18" width="5.6328125" customWidth="1"/>
  </cols>
  <sheetData>
    <row r="2" spans="1:19" ht="23.5" x14ac:dyDescent="0.55000000000000004">
      <c r="B2" s="22" t="s">
        <v>23</v>
      </c>
    </row>
    <row r="3" spans="1:19" x14ac:dyDescent="0.35">
      <c r="Q3" t="s">
        <v>104</v>
      </c>
    </row>
    <row r="4" spans="1:19" x14ac:dyDescent="0.35">
      <c r="J4" t="s">
        <v>55</v>
      </c>
      <c r="K4" t="s">
        <v>54</v>
      </c>
      <c r="Q4" s="85" t="s">
        <v>105</v>
      </c>
    </row>
    <row r="5" spans="1:19" ht="15" thickBot="1" x14ac:dyDescent="0.4"/>
    <row r="6" spans="1:19" ht="29" customHeight="1" thickBot="1" x14ac:dyDescent="0.4">
      <c r="C6" s="159" t="str">
        <f>$O$8</f>
        <v>Anfangs-Geschwindigkeit</v>
      </c>
      <c r="D6" s="160"/>
      <c r="E6" s="163" t="str">
        <f>$O$9</f>
        <v>Geschwindigkeit</v>
      </c>
      <c r="F6" s="160"/>
      <c r="G6" s="163" t="str">
        <f>$O$10</f>
        <v>Strecke</v>
      </c>
      <c r="H6" s="160"/>
      <c r="I6" s="163" t="str">
        <f>$O$11</f>
        <v>Zeit</v>
      </c>
      <c r="J6" s="160"/>
      <c r="K6" s="163" t="str">
        <f>$O$12</f>
        <v>Beschleunigung</v>
      </c>
      <c r="L6" s="164"/>
    </row>
    <row r="7" spans="1:19" ht="15" thickBot="1" x14ac:dyDescent="0.4">
      <c r="B7" s="28" t="s">
        <v>43</v>
      </c>
      <c r="C7" s="161" t="str">
        <f>$P$8</f>
        <v>v0 [m/s]</v>
      </c>
      <c r="D7" s="162"/>
      <c r="E7" s="165" t="str">
        <f>$P$9</f>
        <v>v [m/s]</v>
      </c>
      <c r="F7" s="162"/>
      <c r="G7" s="165" t="str">
        <f>$P$10</f>
        <v>s [m]</v>
      </c>
      <c r="H7" s="162"/>
      <c r="I7" s="165" t="str">
        <f>$P$11</f>
        <v>t [s]</v>
      </c>
      <c r="J7" s="162"/>
      <c r="K7" s="165" t="str">
        <f>$P$12</f>
        <v>a [m/s2]</v>
      </c>
      <c r="L7" s="166"/>
      <c r="O7" s="80"/>
      <c r="S7" s="63"/>
    </row>
    <row r="8" spans="1:19" s="34" customFormat="1" ht="38" customHeight="1" x14ac:dyDescent="0.35">
      <c r="A8" s="34">
        <v>28</v>
      </c>
      <c r="B8" s="36" t="s">
        <v>44</v>
      </c>
      <c r="C8" s="35" t="s">
        <v>64</v>
      </c>
      <c r="D8" s="29">
        <f>(G8-(K8/2)*I8^2)/I8</f>
        <v>10</v>
      </c>
      <c r="E8" s="29" t="s">
        <v>82</v>
      </c>
      <c r="F8" s="29">
        <f xml:space="preserve"> G8/I8 + K8*I8/2</f>
        <v>24</v>
      </c>
      <c r="G8" s="153">
        <v>119</v>
      </c>
      <c r="H8" s="154"/>
      <c r="I8" s="153">
        <v>7</v>
      </c>
      <c r="J8" s="154"/>
      <c r="K8" s="153">
        <v>2</v>
      </c>
      <c r="L8" s="158"/>
      <c r="N8" s="86" t="s">
        <v>104</v>
      </c>
      <c r="O8" s="80" t="s">
        <v>94</v>
      </c>
      <c r="P8" s="80" t="s">
        <v>95</v>
      </c>
      <c r="Q8" s="52">
        <f>IF(N8=$Q$3,1,0)</f>
        <v>1</v>
      </c>
      <c r="R8" s="52"/>
      <c r="S8" s="52"/>
    </row>
    <row r="9" spans="1:19" ht="38" customHeight="1" x14ac:dyDescent="0.35">
      <c r="A9">
        <v>26</v>
      </c>
      <c r="B9" s="30" t="s">
        <v>45</v>
      </c>
      <c r="C9" s="76" t="s">
        <v>57</v>
      </c>
      <c r="D9" s="31">
        <f>E9-K9*I9</f>
        <v>10</v>
      </c>
      <c r="E9" s="150">
        <v>24</v>
      </c>
      <c r="F9" s="151"/>
      <c r="G9" s="31" t="s">
        <v>83</v>
      </c>
      <c r="H9" s="31">
        <f>E9*I9 - K9*I9^2/2</f>
        <v>119</v>
      </c>
      <c r="I9" s="150">
        <v>7</v>
      </c>
      <c r="J9" s="151"/>
      <c r="K9" s="150">
        <v>2</v>
      </c>
      <c r="L9" s="156"/>
      <c r="N9" s="86" t="s">
        <v>104</v>
      </c>
      <c r="O9" s="80" t="s">
        <v>37</v>
      </c>
      <c r="P9" s="80" t="s">
        <v>41</v>
      </c>
      <c r="Q9" s="52">
        <f>IF(N9=$Q$3,2,0)</f>
        <v>2</v>
      </c>
      <c r="R9" s="52"/>
      <c r="S9" s="74"/>
    </row>
    <row r="10" spans="1:19" ht="38" customHeight="1" x14ac:dyDescent="0.35">
      <c r="A10">
        <v>22</v>
      </c>
      <c r="B10" s="30" t="s">
        <v>46</v>
      </c>
      <c r="C10" s="77" t="s">
        <v>86</v>
      </c>
      <c r="D10" s="31">
        <f>SQRT(E10^2 - 2*K10*G10)</f>
        <v>10</v>
      </c>
      <c r="E10" s="150">
        <v>24</v>
      </c>
      <c r="F10" s="151"/>
      <c r="G10" s="150">
        <v>119</v>
      </c>
      <c r="H10" s="151"/>
      <c r="I10" s="31" t="s">
        <v>84</v>
      </c>
      <c r="J10" s="31">
        <f>(E10 - SQRT(E10^2 - 2*K10*G10))/K10</f>
        <v>7</v>
      </c>
      <c r="K10" s="150">
        <v>2</v>
      </c>
      <c r="L10" s="156"/>
      <c r="N10" s="86" t="s">
        <v>104</v>
      </c>
      <c r="O10" s="80" t="s">
        <v>38</v>
      </c>
      <c r="P10" s="80" t="s">
        <v>42</v>
      </c>
      <c r="Q10" s="52">
        <f>IF(N10=$Q$3,4,0)</f>
        <v>4</v>
      </c>
      <c r="R10" s="74"/>
      <c r="S10" s="74"/>
    </row>
    <row r="11" spans="1:19" ht="38" customHeight="1" x14ac:dyDescent="0.35">
      <c r="A11">
        <v>14</v>
      </c>
      <c r="B11" s="30" t="s">
        <v>47</v>
      </c>
      <c r="C11" s="77" t="s">
        <v>87</v>
      </c>
      <c r="D11" s="31">
        <f>2*G11/I11 - E11</f>
        <v>10</v>
      </c>
      <c r="E11" s="150">
        <v>24</v>
      </c>
      <c r="F11" s="151"/>
      <c r="G11" s="150">
        <v>119</v>
      </c>
      <c r="H11" s="151"/>
      <c r="I11" s="150">
        <v>7</v>
      </c>
      <c r="J11" s="151"/>
      <c r="K11" s="31" t="s">
        <v>85</v>
      </c>
      <c r="L11" s="45">
        <f xml:space="preserve"> 2/I11 * (E11 - G11/I11)</f>
        <v>2</v>
      </c>
      <c r="N11" s="86" t="s">
        <v>105</v>
      </c>
      <c r="O11" s="80" t="s">
        <v>39</v>
      </c>
      <c r="P11" s="80" t="s">
        <v>24</v>
      </c>
      <c r="Q11" s="52">
        <f>IF(N11=$Q$3,8,0)</f>
        <v>0</v>
      </c>
      <c r="R11" s="74"/>
      <c r="S11" s="74"/>
    </row>
    <row r="12" spans="1:19" s="34" customFormat="1" ht="38" customHeight="1" x14ac:dyDescent="0.35">
      <c r="A12" s="34">
        <v>25</v>
      </c>
      <c r="B12" s="30" t="s">
        <v>48</v>
      </c>
      <c r="C12" s="155">
        <v>10</v>
      </c>
      <c r="D12" s="151"/>
      <c r="E12" s="32" t="s">
        <v>60</v>
      </c>
      <c r="F12" s="31">
        <f>K12*I12+C12</f>
        <v>24</v>
      </c>
      <c r="G12" s="33" t="s">
        <v>63</v>
      </c>
      <c r="H12" s="31">
        <f>K12/2 * I12^2 + C12*I12</f>
        <v>119</v>
      </c>
      <c r="I12" s="150">
        <v>7</v>
      </c>
      <c r="J12" s="151"/>
      <c r="K12" s="150">
        <v>2</v>
      </c>
      <c r="L12" s="156"/>
      <c r="N12" s="86" t="s">
        <v>105</v>
      </c>
      <c r="O12" s="80" t="s">
        <v>40</v>
      </c>
      <c r="P12" s="80" t="s">
        <v>65</v>
      </c>
      <c r="Q12" s="52">
        <f>IF(N12=$Q$3,16,0)</f>
        <v>0</v>
      </c>
      <c r="R12" s="74"/>
      <c r="S12" s="52">
        <f>SUM(Q8:Q12)</f>
        <v>7</v>
      </c>
    </row>
    <row r="13" spans="1:19" ht="38" customHeight="1" x14ac:dyDescent="0.35">
      <c r="A13">
        <v>21</v>
      </c>
      <c r="B13" s="30" t="s">
        <v>50</v>
      </c>
      <c r="C13" s="155">
        <v>10</v>
      </c>
      <c r="D13" s="151"/>
      <c r="E13" s="31" t="s">
        <v>88</v>
      </c>
      <c r="F13" s="31">
        <f>SQRT(C13^2 + 2*K13*G13)</f>
        <v>24</v>
      </c>
      <c r="G13" s="150">
        <v>119</v>
      </c>
      <c r="H13" s="151"/>
      <c r="I13" s="37" t="s">
        <v>62</v>
      </c>
      <c r="J13" s="31">
        <f xml:space="preserve"> (-C13 + SQRT(C13^2 + 2*K13*G13))/K13</f>
        <v>7</v>
      </c>
      <c r="K13" s="148">
        <v>2</v>
      </c>
      <c r="L13" s="156"/>
      <c r="O13" s="80" t="s">
        <v>97</v>
      </c>
      <c r="P13" s="81" t="s">
        <v>103</v>
      </c>
    </row>
    <row r="14" spans="1:19" ht="38" customHeight="1" x14ac:dyDescent="0.35">
      <c r="A14">
        <v>13</v>
      </c>
      <c r="B14" s="30" t="s">
        <v>49</v>
      </c>
      <c r="C14" s="155">
        <v>10</v>
      </c>
      <c r="D14" s="151"/>
      <c r="E14" s="31" t="s">
        <v>89</v>
      </c>
      <c r="F14" s="31">
        <f>2*G14/I14 - C14</f>
        <v>24</v>
      </c>
      <c r="G14" s="150">
        <v>119</v>
      </c>
      <c r="H14" s="151"/>
      <c r="I14" s="150">
        <v>7</v>
      </c>
      <c r="J14" s="157"/>
      <c r="K14" s="87" t="s">
        <v>61</v>
      </c>
      <c r="L14" s="45">
        <f>2*((G14-C14*I14)/I14^2)</f>
        <v>2</v>
      </c>
      <c r="O14" s="80" t="s">
        <v>98</v>
      </c>
      <c r="P14" s="81" t="s">
        <v>102</v>
      </c>
    </row>
    <row r="15" spans="1:19" ht="38" customHeight="1" x14ac:dyDescent="0.35">
      <c r="A15">
        <v>19</v>
      </c>
      <c r="B15" s="30" t="s">
        <v>51</v>
      </c>
      <c r="C15" s="155">
        <v>10</v>
      </c>
      <c r="D15" s="151"/>
      <c r="E15" s="150">
        <v>24</v>
      </c>
      <c r="F15" s="151"/>
      <c r="G15" s="31" t="s">
        <v>90</v>
      </c>
      <c r="H15" s="31">
        <f>(E15^2 - C15^2)/(2*K15)</f>
        <v>119</v>
      </c>
      <c r="I15" s="78" t="s">
        <v>59</v>
      </c>
      <c r="J15" s="31">
        <f>(E15-C15)/K15</f>
        <v>7</v>
      </c>
      <c r="K15" s="150">
        <v>2</v>
      </c>
      <c r="L15" s="156"/>
      <c r="O15" s="80" t="s">
        <v>99</v>
      </c>
      <c r="P15" s="81" t="s">
        <v>100</v>
      </c>
    </row>
    <row r="16" spans="1:19" ht="38" customHeight="1" x14ac:dyDescent="0.35">
      <c r="A16">
        <v>11</v>
      </c>
      <c r="B16" s="30" t="s">
        <v>52</v>
      </c>
      <c r="C16" s="155">
        <v>10</v>
      </c>
      <c r="D16" s="151"/>
      <c r="E16" s="150">
        <v>24</v>
      </c>
      <c r="F16" s="151"/>
      <c r="G16" s="31" t="s">
        <v>91</v>
      </c>
      <c r="H16" s="31">
        <f>(C16+E16)*I16/2</f>
        <v>119</v>
      </c>
      <c r="I16" s="150">
        <v>7</v>
      </c>
      <c r="J16" s="151"/>
      <c r="K16" s="78" t="s">
        <v>58</v>
      </c>
      <c r="L16" s="45">
        <f>(E16-C16)/I16</f>
        <v>2</v>
      </c>
      <c r="O16" s="80" t="s">
        <v>39</v>
      </c>
      <c r="P16" s="81" t="s">
        <v>24</v>
      </c>
    </row>
    <row r="17" spans="1:16" ht="38" customHeight="1" thickBot="1" x14ac:dyDescent="0.4">
      <c r="A17">
        <v>7</v>
      </c>
      <c r="B17" s="79" t="s">
        <v>53</v>
      </c>
      <c r="C17" s="152">
        <v>10</v>
      </c>
      <c r="D17" s="149"/>
      <c r="E17" s="148">
        <v>24</v>
      </c>
      <c r="F17" s="149"/>
      <c r="G17" s="148">
        <v>119</v>
      </c>
      <c r="H17" s="149"/>
      <c r="I17" s="83" t="s">
        <v>92</v>
      </c>
      <c r="J17" s="83">
        <f>2*G17/(C17+E17)</f>
        <v>7</v>
      </c>
      <c r="K17" s="83" t="s">
        <v>93</v>
      </c>
      <c r="L17" s="84">
        <f>(E17^2 - C17^2)/(2*G17)</f>
        <v>2</v>
      </c>
      <c r="O17" s="80" t="s">
        <v>96</v>
      </c>
      <c r="P17" s="81" t="s">
        <v>101</v>
      </c>
    </row>
    <row r="18" spans="1:16" ht="15" thickBot="1" x14ac:dyDescent="0.4">
      <c r="B18" s="82" t="s">
        <v>43</v>
      </c>
      <c r="C18" s="167" t="str">
        <f>P13</f>
        <v>ω0 [rad/s]</v>
      </c>
      <c r="D18" s="168"/>
      <c r="E18" s="169" t="str">
        <f>P14</f>
        <v>ω [rad/s]</v>
      </c>
      <c r="F18" s="168"/>
      <c r="G18" s="169" t="str">
        <f>P15</f>
        <v>φ [rad]</v>
      </c>
      <c r="H18" s="168"/>
      <c r="I18" s="169" t="str">
        <f>P16</f>
        <v>t [s]</v>
      </c>
      <c r="J18" s="168"/>
      <c r="K18" s="169" t="str">
        <f>P17</f>
        <v>α [rad/s2]</v>
      </c>
      <c r="L18" s="170"/>
    </row>
    <row r="19" spans="1:16" ht="29" customHeight="1" thickBot="1" x14ac:dyDescent="0.4">
      <c r="C19" s="171" t="str">
        <f>O13</f>
        <v>Anfangs-Winkelgeschwindigkeit</v>
      </c>
      <c r="D19" s="172"/>
      <c r="E19" s="173" t="str">
        <f>O14</f>
        <v>Winkelgeschwindigkeit</v>
      </c>
      <c r="F19" s="172"/>
      <c r="G19" s="173" t="str">
        <f>O15</f>
        <v>Winkel</v>
      </c>
      <c r="H19" s="172"/>
      <c r="I19" s="173" t="str">
        <f>O16</f>
        <v>Zeit</v>
      </c>
      <c r="J19" s="172"/>
      <c r="K19" s="173" t="str">
        <f>O17</f>
        <v>Winkelbeschleunigung</v>
      </c>
      <c r="L19" s="174"/>
    </row>
  </sheetData>
  <mergeCells count="50">
    <mergeCell ref="C19:D19"/>
    <mergeCell ref="E19:F19"/>
    <mergeCell ref="G19:H19"/>
    <mergeCell ref="I19:J19"/>
    <mergeCell ref="K19:L19"/>
    <mergeCell ref="C18:D18"/>
    <mergeCell ref="E18:F18"/>
    <mergeCell ref="G18:H18"/>
    <mergeCell ref="I18:J18"/>
    <mergeCell ref="K18:L18"/>
    <mergeCell ref="C6:D6"/>
    <mergeCell ref="C7:D7"/>
    <mergeCell ref="K6:L6"/>
    <mergeCell ref="K7:L7"/>
    <mergeCell ref="I6:J6"/>
    <mergeCell ref="I7:J7"/>
    <mergeCell ref="G6:H6"/>
    <mergeCell ref="G7:H7"/>
    <mergeCell ref="E6:F6"/>
    <mergeCell ref="E7:F7"/>
    <mergeCell ref="K8:L8"/>
    <mergeCell ref="K9:L9"/>
    <mergeCell ref="K10:L10"/>
    <mergeCell ref="K12:L12"/>
    <mergeCell ref="K13:L13"/>
    <mergeCell ref="I8:J8"/>
    <mergeCell ref="I9:J9"/>
    <mergeCell ref="I11:J11"/>
    <mergeCell ref="I12:J12"/>
    <mergeCell ref="I14:J14"/>
    <mergeCell ref="E9:F9"/>
    <mergeCell ref="E10:F10"/>
    <mergeCell ref="E11:F11"/>
    <mergeCell ref="E15:F15"/>
    <mergeCell ref="K15:L15"/>
    <mergeCell ref="C12:D12"/>
    <mergeCell ref="C13:D13"/>
    <mergeCell ref="C14:D14"/>
    <mergeCell ref="C15:D15"/>
    <mergeCell ref="C16:D16"/>
    <mergeCell ref="G8:H8"/>
    <mergeCell ref="G10:H10"/>
    <mergeCell ref="G11:H11"/>
    <mergeCell ref="G13:H13"/>
    <mergeCell ref="G14:H14"/>
    <mergeCell ref="G17:H17"/>
    <mergeCell ref="E16:F16"/>
    <mergeCell ref="E17:F17"/>
    <mergeCell ref="C17:D17"/>
    <mergeCell ref="I16:J16"/>
  </mergeCells>
  <dataValidations count="2">
    <dataValidation type="list" allowBlank="1" showInputMessage="1" showErrorMessage="1" sqref="E24" xr:uid="{F0227B52-6C3F-4B29-A45C-B261C0C0E4F1}">
      <formula1>$C$7:$L$7</formula1>
    </dataValidation>
    <dataValidation type="list" allowBlank="1" showInputMessage="1" showErrorMessage="1" sqref="N8:N12" xr:uid="{DCF60D17-7633-456A-A407-CB000447DE9C}">
      <formula1>$Q$3:$Q$4</formula1>
    </dataValidation>
  </dataValidations>
  <pageMargins left="0.7" right="0.7" top="0.78740157499999996" bottom="0.78740157499999996" header="0.3" footer="0.3"/>
  <pageSetup scale="40" orientation="landscape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11</vt:i4>
      </vt:variant>
    </vt:vector>
  </HeadingPairs>
  <TitlesOfParts>
    <vt:vector size="11" baseType="lpstr">
      <vt:lpstr>TOC</vt:lpstr>
      <vt:lpstr>Schiefeebene</vt:lpstr>
      <vt:lpstr>Vektoren</vt:lpstr>
      <vt:lpstr>Geburtstagsliste</vt:lpstr>
      <vt:lpstr>Einheiten umrechnen</vt:lpstr>
      <vt:lpstr>Flächenberechnungen</vt:lpstr>
      <vt:lpstr>Kinematik_1</vt:lpstr>
      <vt:lpstr>Kinematik_2</vt:lpstr>
      <vt:lpstr>Kinematik_2_Berechnungen</vt:lpstr>
      <vt:lpstr>Fourierreihe</vt:lpstr>
      <vt:lpstr>Scheinleistung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Landwirtschaft</dc:creator>
  <cp:lastModifiedBy>Walter Rothlin</cp:lastModifiedBy>
  <cp:lastPrinted>2025-01-16T10:01:35Z</cp:lastPrinted>
  <dcterms:created xsi:type="dcterms:W3CDTF">2015-06-05T18:19:34Z</dcterms:created>
  <dcterms:modified xsi:type="dcterms:W3CDTF">2025-05-09T09:41:52Z</dcterms:modified>
</cp:coreProperties>
</file>