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ink/ink1.xml" ContentType="application/inkml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+xml"/>
  <Override PartName="/xl/ink/ink2.xml" ContentType="application/inkml+xml"/>
  <Override PartName="/xl/ink/ink3.xml" ContentType="application/inkml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ink/ink10.xml" ContentType="application/inkml+xml"/>
  <Override PartName="/xl/ink/ink11.xml" ContentType="application/inkml+xml"/>
  <Override PartName="/xl/ink/ink12.xml" ContentType="application/inkml+xml"/>
  <Override PartName="/xl/ink/ink13.xml" ContentType="application/inkml+xml"/>
  <Override PartName="/xl/ink/ink14.xml" ContentType="application/inkml+xml"/>
  <Override PartName="/xl/ink/ink15.xml" ContentType="application/inkml+xml"/>
  <Override PartName="/xl/ink/ink16.xml" ContentType="application/inkml+xml"/>
  <Override PartName="/xl/ink/ink17.xml" ContentType="application/inkml+xml"/>
  <Override PartName="/xl/ink/ink18.xml" ContentType="application/inkml+xml"/>
  <Override PartName="/xl/ink/ink19.xml" ContentType="application/inkml+xml"/>
  <Override PartName="/xl/ink/ink20.xml" ContentType="application/inkml+xml"/>
  <Override PartName="/xl/ink/ink21.xml" ContentType="application/inkml+xml"/>
  <Override PartName="/xl/ink/ink22.xml" ContentType="application/inkml+xml"/>
  <Override PartName="/xl/ink/ink23.xml" ContentType="application/inkml+xml"/>
  <Override PartName="/xl/ink/ink24.xml" ContentType="application/inkml+xml"/>
  <Override PartName="/xl/ink/ink25.xml" ContentType="application/inkml+xml"/>
  <Override PartName="/xl/ink/ink26.xml" ContentType="application/inkml+xml"/>
  <Override PartName="/xl/ink/ink27.xml" ContentType="application/inkml+xml"/>
  <Override PartName="/xl/ink/ink28.xml" ContentType="application/inkml+xml"/>
  <Override PartName="/xl/ink/ink29.xml" ContentType="application/inkml+xml"/>
  <Override PartName="/xl/ink/ink30.xml" ContentType="application/inkml+xml"/>
  <Override PartName="/xl/ink/ink31.xml" ContentType="application/inkml+xml"/>
  <Override PartName="/xl/ink/ink32.xml" ContentType="application/inkml+xml"/>
  <Override PartName="/xl/ink/ink33.xml" ContentType="application/inkml+xml"/>
  <Override PartName="/xl/ink/ink34.xml" ContentType="application/inkml+xml"/>
  <Override PartName="/xl/ink/ink35.xml" ContentType="application/inkml+xml"/>
  <Override PartName="/xl/ink/ink36.xml" ContentType="application/inkml+xml"/>
  <Override PartName="/xl/ink/ink37.xml" ContentType="application/inkml+xml"/>
  <Override PartName="/xl/ink/ink38.xml" ContentType="application/inkml+xml"/>
  <Override PartName="/xl/ink/ink39.xml" ContentType="application/inkml+xml"/>
  <Override PartName="/xl/ink/ink40.xml" ContentType="application/inkml+xml"/>
  <Override PartName="/xl/ink/ink41.xml" ContentType="application/inkml+xml"/>
  <Override PartName="/xl/ink/ink42.xml" ContentType="application/inkml+xml"/>
  <Override PartName="/xl/ink/ink43.xml" ContentType="application/inkml+xml"/>
  <Override PartName="/xl/ink/ink44.xml" ContentType="application/inkml+xml"/>
  <Override PartName="/xl/ink/ink45.xml" ContentType="application/inkml+xml"/>
  <Override PartName="/xl/ink/ink46.xml" ContentType="application/inkml+xml"/>
  <Override PartName="/xl/ink/ink47.xml" ContentType="application/inkml+xml"/>
  <Override PartName="/xl/ink/ink48.xml" ContentType="application/inkml+xml"/>
  <Override PartName="/xl/ink/ink49.xml" ContentType="application/inkml+xml"/>
  <Override PartName="/xl/ink/ink50.xml" ContentType="application/inkml+xml"/>
  <Override PartName="/xl/ink/ink51.xml" ContentType="application/inkml+xml"/>
  <Override PartName="/xl/ink/ink52.xml" ContentType="application/inkml+xml"/>
  <Override PartName="/xl/ink/ink53.xml" ContentType="application/inkml+xml"/>
  <Override PartName="/xl/ink/ink54.xml" ContentType="application/inkml+xml"/>
  <Override PartName="/xl/ink/ink55.xml" ContentType="application/inkml+xml"/>
  <Override PartName="/xl/ink/ink56.xml" ContentType="application/inkml+xml"/>
  <Override PartName="/xl/ink/ink57.xml" ContentType="application/inkml+xml"/>
  <Override PartName="/xl/ink/ink58.xml" ContentType="application/inkml+xml"/>
  <Override PartName="/xl/ink/ink59.xml" ContentType="application/inkml+xml"/>
  <Override PartName="/xl/ink/ink60.xml" ContentType="application/inkml+xml"/>
  <Override PartName="/xl/ink/ink61.xml" ContentType="application/inkml+xml"/>
  <Override PartName="/xl/ink/ink62.xml" ContentType="application/inkml+xml"/>
  <Override PartName="/xl/ink/ink63.xml" ContentType="application/inkml+xml"/>
  <Override PartName="/xl/ink/ink64.xml" ContentType="application/inkml+xml"/>
  <Override PartName="/xl/ink/ink65.xml" ContentType="application/inkml+xml"/>
  <Override PartName="/xl/ink/ink66.xml" ContentType="application/inkml+xml"/>
  <Override PartName="/xl/ink/ink67.xml" ContentType="application/inkml+xml"/>
  <Override PartName="/xl/ink/ink68.xml" ContentType="application/inkml+xml"/>
  <Override PartName="/xl/ink/ink69.xml" ContentType="application/inkml+xml"/>
  <Override PartName="/xl/ink/ink70.xml" ContentType="application/inkml+xml"/>
  <Override PartName="/xl/ink/ink71.xml" ContentType="application/inkml+xml"/>
  <Override PartName="/xl/ink/ink72.xml" ContentType="application/inkml+xml"/>
  <Override PartName="/xl/ink/ink73.xml" ContentType="application/inkml+xml"/>
  <Override PartName="/xl/ink/ink74.xml" ContentType="application/inkml+xml"/>
  <Override PartName="/xl/ink/ink75.xml" ContentType="application/inkml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9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3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14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15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16.xml" ContentType="application/vnd.openxmlformats-officedocument.drawing+xml"/>
  <Override PartName="/xl/comments1.xml" ContentType="application/vnd.openxmlformats-officedocument.spreadsheetml.comments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drawings/drawing21.xml" ContentType="application/vnd.openxmlformats-officedocument.drawing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drawings/drawing22.xml" ContentType="application/vnd.openxmlformats-officedocument.drawing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drawings/drawing23.xml" ContentType="application/vnd.openxmlformats-officedocument.drawing+xml"/>
  <Override PartName="/xl/comments2.xml" ContentType="application/vnd.openxmlformats-officedocument.spreadsheetml.comments+xml"/>
  <Override PartName="/xl/drawings/drawing24.xml" ContentType="application/vnd.openxmlformats-officedocument.drawing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drawings/drawing25.xml" ContentType="application/vnd.openxmlformats-officedocument.drawing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drawings/drawing26.xml" ContentType="application/vnd.openxmlformats-officedocument.drawing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drawings/drawing27.xml" ContentType="application/vnd.openxmlformats-officedocument.drawing+xml"/>
  <Override PartName="/xl/comments3.xml" ContentType="application/vnd.openxmlformats-officedocument.spreadsheetml.comments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Landwirtschaft\Documents\SoruceCode\SchulungsUnterlagen\"/>
    </mc:Choice>
  </mc:AlternateContent>
  <xr:revisionPtr revIDLastSave="0" documentId="13_ncr:1_{9FA82EC6-85FD-42E4-9B84-B16AE1A4C2BC}" xr6:coauthVersionLast="47" xr6:coauthVersionMax="47" xr10:uidLastSave="{00000000-0000-0000-0000-000000000000}"/>
  <bookViews>
    <workbookView xWindow="-28920" yWindow="-120" windowWidth="29040" windowHeight="16440" firstSheet="3" activeTab="7" xr2:uid="{00000000-000D-0000-FFFF-FFFF00000000}"/>
  </bookViews>
  <sheets>
    <sheet name="TOC" sheetId="13" r:id="rId1"/>
    <sheet name="Gemischte Schaltungen" sheetId="41" r:id="rId2"/>
    <sheet name="Belasteter Spannungsteiler" sheetId="40" r:id="rId3"/>
    <sheet name="Magnetismus" sheetId="38" r:id="rId4"/>
    <sheet name="Einheitenvorsätze" sheetId="32" r:id="rId5"/>
    <sheet name="Edizio_Bestellungen" sheetId="37" r:id="rId6"/>
    <sheet name="Elektronische Schaltzeichen" sheetId="30" r:id="rId7"/>
    <sheet name="LCR-Glieder an Wechselspannung" sheetId="35" r:id="rId8"/>
    <sheet name="Kondensator an Gleichspannung" sheetId="36" r:id="rId9"/>
    <sheet name="Quelle mit Innenwiderstand" sheetId="29" r:id="rId10"/>
    <sheet name="Schiefeebene" sheetId="19" r:id="rId11"/>
    <sheet name="Leistung bei Wechselstrom" sheetId="28" r:id="rId12"/>
    <sheet name="Sinus_Cosinus" sheetId="22" r:id="rId13"/>
    <sheet name="Sinuskurve" sheetId="39" r:id="rId14"/>
    <sheet name="Vektoroperationen" sheetId="18" r:id="rId15"/>
    <sheet name="VektorZeitbereich" sheetId="24" r:id="rId16"/>
    <sheet name="Geburtstagsliste" sheetId="17" r:id="rId17"/>
    <sheet name="Einheiten umrechnen" sheetId="16" r:id="rId18"/>
    <sheet name="Flächenberechnungen" sheetId="14" r:id="rId19"/>
    <sheet name="Kinematik_1" sheetId="4" r:id="rId20"/>
    <sheet name="Kinematik_1 (Weg-Zeit)" sheetId="33" r:id="rId21"/>
    <sheet name="Kinematik_2" sheetId="9" r:id="rId22"/>
    <sheet name="Kinematik_2_Berechnungen" sheetId="11" r:id="rId23"/>
    <sheet name="Kinematik_2 (Weg-Zeit)" sheetId="34" r:id="rId24"/>
    <sheet name="Fourierreihe" sheetId="12" r:id="rId25"/>
    <sheet name="Scheinleistung" sheetId="15" r:id="rId26"/>
    <sheet name="3-Phasenstrom" sheetId="25" r:id="rId27"/>
    <sheet name="Gemischte Schaltung" sheetId="23" r:id="rId28"/>
    <sheet name="Theoreme" sheetId="26" r:id="rId29"/>
    <sheet name="Fläche eines Polygones" sheetId="27" r:id="rId30"/>
  </sheets>
  <definedNames>
    <definedName name="_xlnm._FilterDatabase" localSheetId="16" hidden="1">Geburtstagsliste!$A$4:$K$4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9" i="35" l="1"/>
  <c r="D48" i="35"/>
  <c r="D47" i="35"/>
  <c r="D46" i="35"/>
  <c r="D45" i="35"/>
  <c r="D44" i="35"/>
  <c r="D43" i="35"/>
  <c r="E42" i="35"/>
  <c r="F42" i="35" s="1"/>
  <c r="G42" i="35" s="1"/>
  <c r="H42" i="35" s="1"/>
  <c r="I42" i="35" s="1"/>
  <c r="J42" i="35" s="1"/>
  <c r="K42" i="35" s="1"/>
  <c r="L42" i="35" s="1"/>
  <c r="M42" i="35" s="1"/>
  <c r="N42" i="35" s="1"/>
  <c r="O42" i="35" s="1"/>
  <c r="P42" i="35" s="1"/>
  <c r="Q42" i="35" s="1"/>
  <c r="R42" i="35" s="1"/>
  <c r="S42" i="35" s="1"/>
  <c r="T42" i="35" s="1"/>
  <c r="U42" i="35" s="1"/>
  <c r="V42" i="35" s="1"/>
  <c r="W42" i="35" s="1"/>
  <c r="X42" i="35" s="1"/>
  <c r="X43" i="35" s="1"/>
  <c r="G126" i="22"/>
  <c r="K126" i="22" s="1"/>
  <c r="J125" i="22"/>
  <c r="G130" i="22" s="1"/>
  <c r="J126" i="22"/>
  <c r="J127" i="22"/>
  <c r="J128" i="22"/>
  <c r="J129" i="22"/>
  <c r="J130" i="22"/>
  <c r="J131" i="22"/>
  <c r="J132" i="22"/>
  <c r="J124" i="22"/>
  <c r="G128" i="22" s="1"/>
  <c r="G20" i="35"/>
  <c r="K125" i="22"/>
  <c r="M125" i="22"/>
  <c r="M126" i="22"/>
  <c r="K127" i="22"/>
  <c r="M127" i="22"/>
  <c r="M124" i="22"/>
  <c r="L111" i="22"/>
  <c r="K124" i="22"/>
  <c r="J111" i="22"/>
  <c r="E8" i="13"/>
  <c r="X268" i="41"/>
  <c r="V268" i="41"/>
  <c r="U268" i="41"/>
  <c r="S268" i="41"/>
  <c r="Q268" i="41"/>
  <c r="P268" i="41"/>
  <c r="X267" i="41"/>
  <c r="W267" i="41"/>
  <c r="V267" i="41"/>
  <c r="U267" i="41"/>
  <c r="S267" i="41"/>
  <c r="X219" i="41" s="1"/>
  <c r="R267" i="41"/>
  <c r="Q267" i="41"/>
  <c r="P267" i="41"/>
  <c r="U219" i="41" s="1"/>
  <c r="W219" i="41"/>
  <c r="V219" i="41"/>
  <c r="X218" i="41"/>
  <c r="V218" i="41"/>
  <c r="U218" i="41"/>
  <c r="S218" i="41"/>
  <c r="Q218" i="41"/>
  <c r="P218" i="41"/>
  <c r="X217" i="41"/>
  <c r="V217" i="41"/>
  <c r="V176" i="41" s="1"/>
  <c r="U217" i="41"/>
  <c r="S217" i="41"/>
  <c r="Q217" i="41"/>
  <c r="V174" i="41" s="1"/>
  <c r="P217" i="41"/>
  <c r="U174" i="41" s="1"/>
  <c r="X176" i="41"/>
  <c r="U176" i="41"/>
  <c r="V175" i="41"/>
  <c r="X174" i="41"/>
  <c r="X173" i="41"/>
  <c r="V173" i="41"/>
  <c r="U173" i="41"/>
  <c r="S173" i="41"/>
  <c r="Q173" i="41"/>
  <c r="P173" i="41"/>
  <c r="X172" i="41"/>
  <c r="X13" i="41" s="1"/>
  <c r="V172" i="41"/>
  <c r="U172" i="41"/>
  <c r="S172" i="41"/>
  <c r="X136" i="41" s="1"/>
  <c r="R172" i="41"/>
  <c r="Q172" i="41"/>
  <c r="P172" i="41"/>
  <c r="X137" i="41"/>
  <c r="V137" i="41"/>
  <c r="U137" i="41"/>
  <c r="W136" i="41"/>
  <c r="V136" i="41"/>
  <c r="U136" i="41"/>
  <c r="S136" i="41"/>
  <c r="Q136" i="41"/>
  <c r="P136" i="41"/>
  <c r="X135" i="41"/>
  <c r="V135" i="41"/>
  <c r="U135" i="41"/>
  <c r="S135" i="41"/>
  <c r="Q135" i="41"/>
  <c r="P135" i="41"/>
  <c r="U90" i="41" s="1"/>
  <c r="S91" i="41"/>
  <c r="R91" i="41"/>
  <c r="Q91" i="41"/>
  <c r="P91" i="41"/>
  <c r="X90" i="41"/>
  <c r="V90" i="41"/>
  <c r="S90" i="41"/>
  <c r="Q90" i="41"/>
  <c r="P90" i="41"/>
  <c r="X89" i="41"/>
  <c r="V89" i="41"/>
  <c r="U89" i="41"/>
  <c r="S89" i="41"/>
  <c r="R89" i="41"/>
  <c r="R101" i="41" s="1"/>
  <c r="Q89" i="41"/>
  <c r="P89" i="41"/>
  <c r="X88" i="41"/>
  <c r="X9" i="41" s="1"/>
  <c r="V88" i="41"/>
  <c r="U88" i="41"/>
  <c r="U9" i="41" s="1"/>
  <c r="S88" i="41"/>
  <c r="R88" i="41"/>
  <c r="Q88" i="41"/>
  <c r="P88" i="41"/>
  <c r="R65" i="41"/>
  <c r="R62" i="41"/>
  <c r="R19" i="41" s="1"/>
  <c r="R59" i="41"/>
  <c r="W51" i="41" s="1"/>
  <c r="X53" i="41"/>
  <c r="W53" i="41"/>
  <c r="V53" i="41"/>
  <c r="U53" i="41"/>
  <c r="S53" i="41"/>
  <c r="R53" i="41"/>
  <c r="Q53" i="41"/>
  <c r="P53" i="41"/>
  <c r="X52" i="41"/>
  <c r="W52" i="41"/>
  <c r="V52" i="41"/>
  <c r="U52" i="41"/>
  <c r="S52" i="41"/>
  <c r="R52" i="41"/>
  <c r="Q52" i="41"/>
  <c r="P52" i="41"/>
  <c r="X51" i="41"/>
  <c r="V51" i="41"/>
  <c r="U51" i="41"/>
  <c r="S51" i="41"/>
  <c r="R51" i="41"/>
  <c r="Q51" i="41"/>
  <c r="P51" i="41"/>
  <c r="X50" i="41"/>
  <c r="W50" i="41"/>
  <c r="V50" i="41"/>
  <c r="U50" i="41"/>
  <c r="S50" i="41"/>
  <c r="R50" i="41"/>
  <c r="Q50" i="41"/>
  <c r="P50" i="41"/>
  <c r="X49" i="41"/>
  <c r="V49" i="41"/>
  <c r="U49" i="41"/>
  <c r="S49" i="41"/>
  <c r="R49" i="41"/>
  <c r="Q49" i="41"/>
  <c r="P49" i="41"/>
  <c r="X48" i="41"/>
  <c r="V48" i="41"/>
  <c r="U48" i="41"/>
  <c r="S48" i="41"/>
  <c r="R48" i="41"/>
  <c r="Q48" i="41"/>
  <c r="P48" i="41"/>
  <c r="S31" i="41"/>
  <c r="Q31" i="41"/>
  <c r="P31" i="41"/>
  <c r="S29" i="41"/>
  <c r="Q29" i="41"/>
  <c r="P29" i="41"/>
  <c r="S27" i="41"/>
  <c r="Q27" i="41"/>
  <c r="P27" i="41"/>
  <c r="S25" i="41"/>
  <c r="Q25" i="41"/>
  <c r="P25" i="41"/>
  <c r="S23" i="41"/>
  <c r="Q23" i="41"/>
  <c r="P23" i="41"/>
  <c r="S22" i="41"/>
  <c r="Q22" i="41"/>
  <c r="P22" i="41"/>
  <c r="S20" i="41"/>
  <c r="R20" i="41"/>
  <c r="Q20" i="41"/>
  <c r="P20" i="41"/>
  <c r="S19" i="41"/>
  <c r="Q19" i="41"/>
  <c r="P19" i="41"/>
  <c r="S18" i="41"/>
  <c r="Q18" i="41"/>
  <c r="P18" i="41"/>
  <c r="AC15" i="41"/>
  <c r="AA15" i="41"/>
  <c r="Z15" i="41"/>
  <c r="AC14" i="41"/>
  <c r="AA14" i="41"/>
  <c r="Z14" i="41"/>
  <c r="X14" i="41"/>
  <c r="V14" i="41"/>
  <c r="U14" i="41"/>
  <c r="AC13" i="41"/>
  <c r="AA13" i="41"/>
  <c r="Z13" i="41"/>
  <c r="V13" i="41"/>
  <c r="U13" i="41"/>
  <c r="AC12" i="41"/>
  <c r="AA12" i="41"/>
  <c r="Z12" i="41"/>
  <c r="X12" i="41"/>
  <c r="V12" i="41"/>
  <c r="U12" i="41"/>
  <c r="AC11" i="41"/>
  <c r="AA11" i="41"/>
  <c r="Z11" i="41"/>
  <c r="X11" i="41"/>
  <c r="V11" i="41"/>
  <c r="U11" i="41"/>
  <c r="AC10" i="41"/>
  <c r="AA10" i="41"/>
  <c r="Z10" i="41"/>
  <c r="X10" i="41"/>
  <c r="V10" i="41"/>
  <c r="U10" i="41"/>
  <c r="AC9" i="41"/>
  <c r="AA9" i="41"/>
  <c r="Z9" i="41"/>
  <c r="V9" i="41"/>
  <c r="AC8" i="41"/>
  <c r="AA8" i="41"/>
  <c r="Z8" i="41"/>
  <c r="V8" i="41"/>
  <c r="AC7" i="41"/>
  <c r="AA7" i="41"/>
  <c r="Z7" i="41"/>
  <c r="X7" i="41"/>
  <c r="V7" i="41"/>
  <c r="U7" i="41"/>
  <c r="AC6" i="41"/>
  <c r="AA6" i="41"/>
  <c r="Z6" i="41"/>
  <c r="X6" i="41"/>
  <c r="V6" i="41"/>
  <c r="U6" i="41"/>
  <c r="AC5" i="41"/>
  <c r="AA5" i="41"/>
  <c r="Z5" i="41"/>
  <c r="X5" i="41"/>
  <c r="V5" i="41"/>
  <c r="U5" i="41"/>
  <c r="E43" i="35" l="1"/>
  <c r="E44" i="35" s="1"/>
  <c r="X44" i="35"/>
  <c r="X45" i="35"/>
  <c r="P43" i="35"/>
  <c r="G43" i="35"/>
  <c r="M43" i="35"/>
  <c r="T43" i="35"/>
  <c r="K43" i="35"/>
  <c r="H43" i="35"/>
  <c r="W43" i="35"/>
  <c r="O43" i="35"/>
  <c r="V43" i="35"/>
  <c r="N43" i="35"/>
  <c r="F43" i="35"/>
  <c r="J43" i="35"/>
  <c r="U43" i="35"/>
  <c r="L43" i="35"/>
  <c r="S43" i="35"/>
  <c r="R43" i="35"/>
  <c r="Q43" i="35"/>
  <c r="I43" i="35"/>
  <c r="G129" i="22"/>
  <c r="G131" i="22" s="1"/>
  <c r="G132" i="22"/>
  <c r="K128" i="22"/>
  <c r="M128" i="22"/>
  <c r="R23" i="41"/>
  <c r="R217" i="41"/>
  <c r="U175" i="41"/>
  <c r="R18" i="41"/>
  <c r="U8" i="41"/>
  <c r="W175" i="41"/>
  <c r="X175" i="41"/>
  <c r="R90" i="41"/>
  <c r="R98" i="41" s="1"/>
  <c r="X8" i="41"/>
  <c r="R135" i="41"/>
  <c r="I273" i="41"/>
  <c r="E45" i="35" l="1"/>
  <c r="E47" i="35" s="1"/>
  <c r="X47" i="35"/>
  <c r="X49" i="35"/>
  <c r="X46" i="35"/>
  <c r="X48" i="35" s="1"/>
  <c r="E46" i="35"/>
  <c r="E48" i="35" s="1"/>
  <c r="F44" i="35"/>
  <c r="F45" i="35"/>
  <c r="I45" i="35"/>
  <c r="I44" i="35"/>
  <c r="U44" i="35"/>
  <c r="U45" i="35"/>
  <c r="M45" i="35"/>
  <c r="M44" i="35"/>
  <c r="S45" i="35"/>
  <c r="S44" i="35"/>
  <c r="K45" i="35"/>
  <c r="K44" i="35"/>
  <c r="J45" i="35"/>
  <c r="J44" i="35"/>
  <c r="T45" i="35"/>
  <c r="T44" i="35"/>
  <c r="N44" i="35"/>
  <c r="N45" i="35"/>
  <c r="Q45" i="35"/>
  <c r="Q44" i="35"/>
  <c r="V44" i="35"/>
  <c r="V45" i="35"/>
  <c r="G44" i="35"/>
  <c r="G45" i="35"/>
  <c r="R45" i="35"/>
  <c r="R44" i="35"/>
  <c r="O44" i="35"/>
  <c r="O45" i="35"/>
  <c r="P45" i="35"/>
  <c r="P44" i="35"/>
  <c r="W44" i="35"/>
  <c r="W45" i="35"/>
  <c r="L45" i="35"/>
  <c r="L44" i="35"/>
  <c r="H44" i="35"/>
  <c r="H45" i="35"/>
  <c r="W90" i="41"/>
  <c r="W174" i="41"/>
  <c r="R22" i="41"/>
  <c r="R136" i="41"/>
  <c r="R141" i="41" s="1"/>
  <c r="W89" i="41"/>
  <c r="E49" i="35" l="1"/>
  <c r="G46" i="35"/>
  <c r="G48" i="35" s="1"/>
  <c r="W47" i="35"/>
  <c r="W49" i="35"/>
  <c r="M46" i="35"/>
  <c r="M48" i="35"/>
  <c r="T47" i="35"/>
  <c r="T49" i="35" s="1"/>
  <c r="P46" i="35"/>
  <c r="P48" i="35" s="1"/>
  <c r="V47" i="35"/>
  <c r="V49" i="35"/>
  <c r="U47" i="35"/>
  <c r="U49" i="35"/>
  <c r="V46" i="35"/>
  <c r="V48" i="35" s="1"/>
  <c r="J47" i="35"/>
  <c r="J49" i="35" s="1"/>
  <c r="O47" i="35"/>
  <c r="O49" i="35" s="1"/>
  <c r="Q46" i="35"/>
  <c r="Q48" i="35"/>
  <c r="K46" i="35"/>
  <c r="K48" i="35" s="1"/>
  <c r="I46" i="35"/>
  <c r="I48" i="35" s="1"/>
  <c r="H46" i="35"/>
  <c r="H48" i="35"/>
  <c r="O46" i="35"/>
  <c r="O48" i="35" s="1"/>
  <c r="Q47" i="35"/>
  <c r="Q49" i="35"/>
  <c r="K47" i="35"/>
  <c r="K49" i="35" s="1"/>
  <c r="I47" i="35"/>
  <c r="I49" i="35"/>
  <c r="T46" i="35"/>
  <c r="T48" i="35"/>
  <c r="W46" i="35"/>
  <c r="W48" i="35"/>
  <c r="M47" i="35"/>
  <c r="M49" i="35" s="1"/>
  <c r="J46" i="35"/>
  <c r="J48" i="35"/>
  <c r="L46" i="35"/>
  <c r="L48" i="35"/>
  <c r="F47" i="35"/>
  <c r="F49" i="35" s="1"/>
  <c r="G47" i="35"/>
  <c r="G49" i="35" s="1"/>
  <c r="P47" i="35"/>
  <c r="P49" i="35"/>
  <c r="U46" i="35"/>
  <c r="U48" i="35"/>
  <c r="H47" i="35"/>
  <c r="H49" i="35"/>
  <c r="R46" i="35"/>
  <c r="R48" i="35" s="1"/>
  <c r="N47" i="35"/>
  <c r="N49" i="35"/>
  <c r="S46" i="35"/>
  <c r="S48" i="35"/>
  <c r="L47" i="35"/>
  <c r="L49" i="35" s="1"/>
  <c r="R47" i="35"/>
  <c r="R49" i="35" s="1"/>
  <c r="N46" i="35"/>
  <c r="N48" i="35"/>
  <c r="S47" i="35"/>
  <c r="S49" i="35"/>
  <c r="F46" i="35"/>
  <c r="F48" i="35"/>
  <c r="R173" i="41"/>
  <c r="R180" i="41" s="1"/>
  <c r="W135" i="41"/>
  <c r="R25" i="41"/>
  <c r="R27" i="41" l="1"/>
  <c r="R218" i="41"/>
  <c r="R226" i="41" s="1"/>
  <c r="W173" i="41"/>
  <c r="R268" i="41" l="1"/>
  <c r="R273" i="41" s="1"/>
  <c r="W218" i="41"/>
  <c r="R29" i="41"/>
  <c r="R31" i="41" l="1"/>
  <c r="W268" i="41"/>
  <c r="W273" i="41" s="1"/>
  <c r="R15" i="41"/>
  <c r="W217" i="41" l="1"/>
  <c r="AB15" i="41"/>
  <c r="H268" i="41"/>
  <c r="E171" i="41"/>
  <c r="H219" i="41"/>
  <c r="AB14" i="41"/>
  <c r="W176" i="41" l="1"/>
  <c r="W229" i="41"/>
  <c r="W226" i="41"/>
  <c r="I225" i="41" l="1"/>
  <c r="W49" i="41"/>
  <c r="V232" i="41"/>
  <c r="W172" i="41"/>
  <c r="I178" i="41"/>
  <c r="F178" i="41"/>
  <c r="D221" i="41"/>
  <c r="W14" i="41"/>
  <c r="D179" i="41"/>
  <c r="W183" i="41" l="1"/>
  <c r="W180" i="41"/>
  <c r="W13" i="41"/>
  <c r="W68" i="41"/>
  <c r="W65" i="41"/>
  <c r="V73" i="41" l="1"/>
  <c r="AB13" i="41"/>
  <c r="W31" i="41"/>
  <c r="W11" i="41" s="1"/>
  <c r="W34" i="41"/>
  <c r="W12" i="41" s="1"/>
  <c r="AB12" i="41"/>
  <c r="AB11" i="41"/>
  <c r="G187" i="41"/>
  <c r="V186" i="41"/>
  <c r="W137" i="41"/>
  <c r="I187" i="41"/>
  <c r="AB10" i="41"/>
  <c r="W144" i="41" l="1"/>
  <c r="W141" i="41"/>
  <c r="W88" i="41" s="1"/>
  <c r="W98" i="41" l="1"/>
  <c r="W27" i="41"/>
  <c r="AB9" i="41" s="1"/>
  <c r="W9" i="41"/>
  <c r="W8" i="41"/>
  <c r="W24" i="41"/>
  <c r="AB8" i="41" s="1"/>
  <c r="W101" i="41"/>
  <c r="V146" i="41"/>
  <c r="W10" i="41"/>
  <c r="W48" i="41" l="1"/>
  <c r="V104" i="41"/>
  <c r="AB5" i="41"/>
  <c r="W62" i="41" l="1"/>
  <c r="W59" i="41"/>
  <c r="W5" i="41" l="1"/>
  <c r="V71" i="41"/>
  <c r="W18" i="41"/>
  <c r="AB6" i="41" s="1"/>
  <c r="W7" i="41"/>
  <c r="W6" i="41"/>
  <c r="W21" i="41"/>
  <c r="AB7" i="41" s="1"/>
  <c r="V7" i="40" l="1"/>
  <c r="P7" i="40"/>
  <c r="V8" i="40"/>
  <c r="W8" i="40"/>
  <c r="W7" i="40"/>
  <c r="D32" i="40" s="1"/>
  <c r="Q7" i="40"/>
  <c r="U8" i="40"/>
  <c r="U7" i="40"/>
  <c r="F26" i="40"/>
  <c r="E27" i="40" s="1"/>
  <c r="I17" i="32"/>
  <c r="N14" i="40"/>
  <c r="P10" i="40"/>
  <c r="Q10" i="40"/>
  <c r="P8" i="40"/>
  <c r="Q8" i="40"/>
  <c r="P9" i="40"/>
  <c r="Q9" i="40"/>
  <c r="H20" i="35"/>
  <c r="O8" i="40"/>
  <c r="O9" i="40"/>
  <c r="O7" i="40"/>
  <c r="F20" i="35"/>
  <c r="J26" i="39"/>
  <c r="J25" i="39"/>
  <c r="J24" i="39"/>
  <c r="J23" i="39"/>
  <c r="G14" i="39"/>
  <c r="H25" i="39"/>
  <c r="H32" i="39"/>
  <c r="H29" i="39"/>
  <c r="H23" i="39"/>
  <c r="H13" i="39"/>
  <c r="F29" i="39"/>
  <c r="E29" i="39"/>
  <c r="D23" i="39"/>
  <c r="E14" i="39"/>
  <c r="F14" i="39" s="1"/>
  <c r="E23" i="39" s="1"/>
  <c r="F23" i="39" s="1"/>
  <c r="E13" i="39"/>
  <c r="F13" i="39" s="1"/>
  <c r="C12" i="39"/>
  <c r="H12" i="39"/>
  <c r="M11" i="39"/>
  <c r="J11" i="39"/>
  <c r="E26" i="39" s="1"/>
  <c r="C7" i="13"/>
  <c r="E18" i="13"/>
  <c r="E17" i="13"/>
  <c r="E16" i="13"/>
  <c r="E15" i="13"/>
  <c r="E11" i="13"/>
  <c r="E10" i="13"/>
  <c r="E9" i="13"/>
  <c r="E7" i="13"/>
  <c r="E6" i="13"/>
  <c r="E5" i="13"/>
  <c r="C23" i="13"/>
  <c r="C19" i="13"/>
  <c r="C18" i="13"/>
  <c r="C6" i="13"/>
  <c r="C12" i="13"/>
  <c r="C10" i="13"/>
  <c r="C8" i="13"/>
  <c r="C11" i="13"/>
  <c r="K9" i="39"/>
  <c r="L9" i="39" s="1"/>
  <c r="M9" i="39" s="1"/>
  <c r="H10" i="39"/>
  <c r="H9" i="39"/>
  <c r="J10" i="39"/>
  <c r="J12" i="39" s="1"/>
  <c r="C11" i="36"/>
  <c r="Y32" i="36"/>
  <c r="P45" i="36"/>
  <c r="O45" i="36"/>
  <c r="D30" i="36"/>
  <c r="B32" i="36" s="1"/>
  <c r="Z32" i="36"/>
  <c r="Y31" i="36"/>
  <c r="D32" i="36"/>
  <c r="C13" i="36"/>
  <c r="G13" i="36"/>
  <c r="I13" i="36"/>
  <c r="C12" i="36"/>
  <c r="I12" i="36" s="1"/>
  <c r="O13" i="36"/>
  <c r="O12" i="36"/>
  <c r="O9" i="36"/>
  <c r="O11" i="36"/>
  <c r="S18" i="36"/>
  <c r="S19" i="36"/>
  <c r="S20" i="36"/>
  <c r="S21" i="36"/>
  <c r="S22" i="36"/>
  <c r="S23" i="36"/>
  <c r="S17" i="36"/>
  <c r="I11" i="36"/>
  <c r="R16" i="36"/>
  <c r="O44" i="36"/>
  <c r="P43" i="36"/>
  <c r="P44" i="36" s="1"/>
  <c r="G12" i="36"/>
  <c r="J9" i="36"/>
  <c r="H8" i="36"/>
  <c r="G11" i="36"/>
  <c r="G23" i="35"/>
  <c r="K9" i="36"/>
  <c r="I9" i="36"/>
  <c r="H9" i="36"/>
  <c r="G9" i="36"/>
  <c r="C31" i="36" s="1"/>
  <c r="K6" i="36"/>
  <c r="J6" i="36"/>
  <c r="I6" i="36"/>
  <c r="H6" i="36"/>
  <c r="J41" i="36" s="1"/>
  <c r="I45" i="36" s="1"/>
  <c r="J45" i="36" s="1"/>
  <c r="G6" i="36"/>
  <c r="F7" i="36"/>
  <c r="K7" i="36" s="1"/>
  <c r="K8" i="36"/>
  <c r="J8" i="36"/>
  <c r="M8" i="36" s="1"/>
  <c r="I8" i="36"/>
  <c r="G8" i="36"/>
  <c r="I7" i="36"/>
  <c r="H7" i="36"/>
  <c r="G7" i="36"/>
  <c r="G3" i="9"/>
  <c r="N3" i="9" s="1"/>
  <c r="O3" i="9" s="1"/>
  <c r="F12" i="9"/>
  <c r="F11" i="9"/>
  <c r="G6" i="9"/>
  <c r="G5" i="9"/>
  <c r="Q4" i="9" s="1"/>
  <c r="R4" i="9" s="1"/>
  <c r="H6" i="9"/>
  <c r="H3" i="9"/>
  <c r="H5" i="9"/>
  <c r="R3" i="9"/>
  <c r="X3" i="9" s="1"/>
  <c r="Y3" i="9" s="1"/>
  <c r="F19" i="9"/>
  <c r="AI67" i="35"/>
  <c r="D15" i="33"/>
  <c r="D13" i="33"/>
  <c r="D14" i="33"/>
  <c r="D12" i="33"/>
  <c r="I34" i="35"/>
  <c r="G34" i="35"/>
  <c r="I33" i="35"/>
  <c r="G33" i="35"/>
  <c r="I32" i="35"/>
  <c r="G32" i="35"/>
  <c r="I29" i="35"/>
  <c r="G29" i="35"/>
  <c r="I28" i="35"/>
  <c r="G28" i="35"/>
  <c r="G25" i="35"/>
  <c r="G21" i="35"/>
  <c r="G22" i="35"/>
  <c r="I19" i="32"/>
  <c r="H19" i="32"/>
  <c r="I25" i="35"/>
  <c r="K21" i="35"/>
  <c r="K22" i="35"/>
  <c r="K23" i="35"/>
  <c r="I21" i="35"/>
  <c r="I22" i="35"/>
  <c r="I23" i="35"/>
  <c r="I20" i="35"/>
  <c r="J21" i="35"/>
  <c r="J22" i="35"/>
  <c r="J23" i="35"/>
  <c r="O12" i="32"/>
  <c r="K20" i="35"/>
  <c r="H21" i="35"/>
  <c r="H22" i="35"/>
  <c r="H23" i="35"/>
  <c r="L12" i="32"/>
  <c r="H12" i="34"/>
  <c r="I12" i="34"/>
  <c r="J12" i="34"/>
  <c r="K12" i="34"/>
  <c r="L12" i="34"/>
  <c r="M12" i="34"/>
  <c r="N12" i="34"/>
  <c r="O12" i="34"/>
  <c r="P12" i="34"/>
  <c r="Q12" i="34"/>
  <c r="R12" i="34"/>
  <c r="S12" i="34"/>
  <c r="T12" i="34"/>
  <c r="U12" i="34"/>
  <c r="V12" i="34"/>
  <c r="W12" i="34"/>
  <c r="X12" i="34"/>
  <c r="Y12" i="34"/>
  <c r="Z12" i="34"/>
  <c r="AA12" i="34"/>
  <c r="H13" i="34"/>
  <c r="I13" i="34"/>
  <c r="J13" i="34"/>
  <c r="K13" i="34"/>
  <c r="L13" i="34"/>
  <c r="M13" i="34"/>
  <c r="N13" i="34"/>
  <c r="O13" i="34"/>
  <c r="P13" i="34"/>
  <c r="Q13" i="34"/>
  <c r="R13" i="34"/>
  <c r="S13" i="34"/>
  <c r="T13" i="34"/>
  <c r="U13" i="34"/>
  <c r="V13" i="34"/>
  <c r="W13" i="34"/>
  <c r="X13" i="34"/>
  <c r="Y13" i="34"/>
  <c r="Z13" i="34"/>
  <c r="AA13" i="34"/>
  <c r="G12" i="34"/>
  <c r="G13" i="34"/>
  <c r="E15" i="34"/>
  <c r="E16" i="34"/>
  <c r="E14" i="34"/>
  <c r="C45" i="34"/>
  <c r="J45" i="34" s="1"/>
  <c r="I48" i="34" s="1"/>
  <c r="J48" i="34" s="1"/>
  <c r="C23" i="34"/>
  <c r="G18" i="34"/>
  <c r="H11" i="34"/>
  <c r="I11" i="34" s="1"/>
  <c r="J11" i="34" s="1"/>
  <c r="M24" i="4"/>
  <c r="K24" i="4"/>
  <c r="L24" i="4"/>
  <c r="J24" i="4"/>
  <c r="M28" i="4"/>
  <c r="L27" i="4"/>
  <c r="K26" i="4"/>
  <c r="J25" i="4"/>
  <c r="C39" i="33"/>
  <c r="C43" i="33" s="1"/>
  <c r="C17" i="33"/>
  <c r="F14" i="33"/>
  <c r="F12" i="33"/>
  <c r="G11" i="33"/>
  <c r="H11" i="33" s="1"/>
  <c r="L94" i="22"/>
  <c r="L95" i="22"/>
  <c r="L96" i="22"/>
  <c r="L93" i="22"/>
  <c r="I132" i="22"/>
  <c r="I128" i="22"/>
  <c r="H118" i="22"/>
  <c r="J112" i="22"/>
  <c r="K112" i="22"/>
  <c r="L112" i="22"/>
  <c r="J113" i="22"/>
  <c r="K113" i="22"/>
  <c r="L113" i="22"/>
  <c r="F117" i="22" s="1"/>
  <c r="I18" i="32"/>
  <c r="I16" i="32"/>
  <c r="K111" i="22"/>
  <c r="M12" i="32"/>
  <c r="G104" i="22"/>
  <c r="H104" i="22" s="1"/>
  <c r="H106" i="22"/>
  <c r="I106" i="22"/>
  <c r="H102" i="22"/>
  <c r="I102" i="22"/>
  <c r="H105" i="22"/>
  <c r="I105" i="22"/>
  <c r="I103" i="22"/>
  <c r="H103" i="22"/>
  <c r="I101" i="22"/>
  <c r="H101" i="22"/>
  <c r="H93" i="22"/>
  <c r="K93" i="22" s="1"/>
  <c r="Q11" i="40" l="1"/>
  <c r="B41" i="40" s="1"/>
  <c r="L23" i="35"/>
  <c r="AB63" i="35" s="1"/>
  <c r="Q12" i="40"/>
  <c r="Q13" i="40" s="1"/>
  <c r="D25" i="35"/>
  <c r="D28" i="35" s="1"/>
  <c r="W12" i="40"/>
  <c r="W13" i="40" s="1"/>
  <c r="D28" i="40"/>
  <c r="D29" i="40" s="1"/>
  <c r="D30" i="40" s="1"/>
  <c r="D31" i="40" s="1"/>
  <c r="E32" i="40"/>
  <c r="E33" i="40" s="1"/>
  <c r="E34" i="40" s="1"/>
  <c r="E35" i="40" s="1"/>
  <c r="D33" i="40"/>
  <c r="D34" i="40" s="1"/>
  <c r="D35" i="40" s="1"/>
  <c r="W11" i="40"/>
  <c r="B42" i="40" s="1"/>
  <c r="E28" i="40"/>
  <c r="E29" i="40" s="1"/>
  <c r="E30" i="40" s="1"/>
  <c r="E31" i="40" s="1"/>
  <c r="M14" i="40"/>
  <c r="M15" i="40" s="1"/>
  <c r="M16" i="40" s="1"/>
  <c r="M17" i="40" s="1"/>
  <c r="F27" i="40"/>
  <c r="F32" i="40" s="1"/>
  <c r="F33" i="40" s="1"/>
  <c r="F34" i="40" s="1"/>
  <c r="F35" i="40" s="1"/>
  <c r="J13" i="39"/>
  <c r="G15" i="39"/>
  <c r="K11" i="39"/>
  <c r="L11" i="39"/>
  <c r="N9" i="39"/>
  <c r="K10" i="39"/>
  <c r="L10" i="39"/>
  <c r="L12" i="39" s="1"/>
  <c r="M10" i="39"/>
  <c r="M12" i="39" s="1"/>
  <c r="D11" i="36"/>
  <c r="J11" i="36" s="1"/>
  <c r="C34" i="36"/>
  <c r="C33" i="36"/>
  <c r="I74" i="36"/>
  <c r="H78" i="36" s="1"/>
  <c r="I78" i="36" s="1"/>
  <c r="L8" i="36"/>
  <c r="I20" i="36" s="1"/>
  <c r="N11" i="36"/>
  <c r="Q43" i="36"/>
  <c r="Q45" i="36" s="1"/>
  <c r="L6" i="36"/>
  <c r="M6" i="36"/>
  <c r="M9" i="36"/>
  <c r="L9" i="36"/>
  <c r="L7" i="36"/>
  <c r="J7" i="36"/>
  <c r="M7" i="36" s="1"/>
  <c r="O4" i="9"/>
  <c r="F20" i="9"/>
  <c r="E11" i="9"/>
  <c r="G11" i="9" s="1"/>
  <c r="E12" i="9"/>
  <c r="G12" i="9" s="1"/>
  <c r="Y4" i="9"/>
  <c r="AA4" i="9" s="1"/>
  <c r="AB4" i="9" s="1"/>
  <c r="E21" i="9"/>
  <c r="F21" i="9"/>
  <c r="E20" i="9"/>
  <c r="T4" i="9"/>
  <c r="U4" i="9" s="1"/>
  <c r="AB22" i="35"/>
  <c r="AF20" i="35"/>
  <c r="AI20" i="35" s="1"/>
  <c r="AI24" i="35" s="1"/>
  <c r="AF38" i="35"/>
  <c r="AF58" i="35"/>
  <c r="G14" i="33"/>
  <c r="J20" i="35"/>
  <c r="M20" i="35" s="1"/>
  <c r="L22" i="35"/>
  <c r="F28" i="35"/>
  <c r="F34" i="35" s="1"/>
  <c r="F29" i="35"/>
  <c r="M22" i="35"/>
  <c r="M21" i="35"/>
  <c r="M23" i="35"/>
  <c r="L21" i="35"/>
  <c r="L20" i="35"/>
  <c r="H18" i="34"/>
  <c r="C46" i="34"/>
  <c r="C48" i="34"/>
  <c r="I46" i="34" s="1"/>
  <c r="J49" i="34" s="1"/>
  <c r="J18" i="34"/>
  <c r="K11" i="34"/>
  <c r="I18" i="34"/>
  <c r="C49" i="34"/>
  <c r="G12" i="33"/>
  <c r="H14" i="33"/>
  <c r="I11" i="33"/>
  <c r="H12" i="33"/>
  <c r="I39" i="33"/>
  <c r="H42" i="33" s="1"/>
  <c r="I42" i="33" s="1"/>
  <c r="C40" i="33"/>
  <c r="C42" i="33"/>
  <c r="H40" i="33" s="1"/>
  <c r="J93" i="22"/>
  <c r="F116" i="22"/>
  <c r="F118" i="22"/>
  <c r="G116" i="22"/>
  <c r="G117" i="22"/>
  <c r="G118" i="22"/>
  <c r="I104" i="22"/>
  <c r="H96" i="22"/>
  <c r="H95" i="22"/>
  <c r="H94" i="22"/>
  <c r="I94" i="22" s="1"/>
  <c r="F17" i="28"/>
  <c r="G12" i="22"/>
  <c r="BC13" i="22"/>
  <c r="BC12" i="22"/>
  <c r="BD13" i="22"/>
  <c r="BD12" i="22"/>
  <c r="G13" i="22"/>
  <c r="BC3" i="22"/>
  <c r="BD3" i="22" s="1"/>
  <c r="BA11" i="22"/>
  <c r="AZ11" i="22"/>
  <c r="AZ12" i="22" s="1"/>
  <c r="H11" i="22"/>
  <c r="H37" i="27"/>
  <c r="H36" i="27"/>
  <c r="G36" i="27"/>
  <c r="F36" i="27"/>
  <c r="H35" i="27"/>
  <c r="G35" i="27"/>
  <c r="F35" i="27"/>
  <c r="H34" i="27"/>
  <c r="G34" i="27"/>
  <c r="F34" i="27"/>
  <c r="H33" i="27"/>
  <c r="G33" i="27"/>
  <c r="F33" i="27"/>
  <c r="H32" i="27"/>
  <c r="G32" i="27"/>
  <c r="F32" i="27"/>
  <c r="H31" i="27"/>
  <c r="G31" i="27"/>
  <c r="F31" i="27"/>
  <c r="H30" i="27"/>
  <c r="G30" i="27"/>
  <c r="F30" i="27"/>
  <c r="H29" i="27"/>
  <c r="G29" i="27"/>
  <c r="F29" i="27"/>
  <c r="H28" i="27"/>
  <c r="G28" i="27"/>
  <c r="F28" i="27"/>
  <c r="H27" i="27"/>
  <c r="G27" i="27"/>
  <c r="F27" i="27"/>
  <c r="H26" i="27"/>
  <c r="G26" i="27"/>
  <c r="F26" i="27"/>
  <c r="H25" i="27"/>
  <c r="G25" i="27"/>
  <c r="F25" i="27"/>
  <c r="H24" i="27"/>
  <c r="G24" i="27"/>
  <c r="F24" i="27"/>
  <c r="L23" i="27"/>
  <c r="H23" i="27"/>
  <c r="G23" i="27"/>
  <c r="F23" i="27"/>
  <c r="W273" i="23"/>
  <c r="R273" i="23"/>
  <c r="I273" i="23"/>
  <c r="X268" i="23"/>
  <c r="W268" i="23"/>
  <c r="V268" i="23"/>
  <c r="U268" i="23"/>
  <c r="S268" i="23"/>
  <c r="R268" i="23"/>
  <c r="Q268" i="23"/>
  <c r="P268" i="23"/>
  <c r="H268" i="23"/>
  <c r="X267" i="23"/>
  <c r="W267" i="23"/>
  <c r="V267" i="23"/>
  <c r="U267" i="23"/>
  <c r="S267" i="23"/>
  <c r="R267" i="23"/>
  <c r="Q267" i="23"/>
  <c r="P267" i="23"/>
  <c r="V232" i="23"/>
  <c r="W229" i="23"/>
  <c r="W226" i="23"/>
  <c r="R226" i="23"/>
  <c r="I225" i="23"/>
  <c r="D221" i="23"/>
  <c r="X219" i="23"/>
  <c r="W219" i="23"/>
  <c r="V219" i="23"/>
  <c r="U219" i="23"/>
  <c r="H219" i="23"/>
  <c r="X218" i="23"/>
  <c r="W218" i="23"/>
  <c r="V218" i="23"/>
  <c r="U218" i="23"/>
  <c r="S218" i="23"/>
  <c r="R218" i="23"/>
  <c r="Q218" i="23"/>
  <c r="P218" i="23"/>
  <c r="X217" i="23"/>
  <c r="W217" i="23"/>
  <c r="V217" i="23"/>
  <c r="U217" i="23"/>
  <c r="S217" i="23"/>
  <c r="R217" i="23"/>
  <c r="Q217" i="23"/>
  <c r="P217" i="23"/>
  <c r="I187" i="23"/>
  <c r="G187" i="23"/>
  <c r="V186" i="23"/>
  <c r="W183" i="23"/>
  <c r="W180" i="23"/>
  <c r="R180" i="23"/>
  <c r="D179" i="23"/>
  <c r="I178" i="23"/>
  <c r="F178" i="23"/>
  <c r="X176" i="23"/>
  <c r="W176" i="23"/>
  <c r="V176" i="23"/>
  <c r="U176" i="23"/>
  <c r="X175" i="23"/>
  <c r="W175" i="23"/>
  <c r="V175" i="23"/>
  <c r="U175" i="23"/>
  <c r="X174" i="23"/>
  <c r="W174" i="23"/>
  <c r="V174" i="23"/>
  <c r="U174" i="23"/>
  <c r="X173" i="23"/>
  <c r="W173" i="23"/>
  <c r="V173" i="23"/>
  <c r="U173" i="23"/>
  <c r="S173" i="23"/>
  <c r="R173" i="23"/>
  <c r="Q173" i="23"/>
  <c r="P173" i="23"/>
  <c r="X172" i="23"/>
  <c r="W172" i="23"/>
  <c r="V172" i="23"/>
  <c r="U172" i="23"/>
  <c r="S172" i="23"/>
  <c r="R172" i="23"/>
  <c r="Q172" i="23"/>
  <c r="P172" i="23"/>
  <c r="E171" i="23"/>
  <c r="V146" i="23"/>
  <c r="W144" i="23"/>
  <c r="W141" i="23"/>
  <c r="R141" i="23"/>
  <c r="X137" i="23"/>
  <c r="W137" i="23"/>
  <c r="V137" i="23"/>
  <c r="U137" i="23"/>
  <c r="X136" i="23"/>
  <c r="W136" i="23"/>
  <c r="V136" i="23"/>
  <c r="U136" i="23"/>
  <c r="S136" i="23"/>
  <c r="R136" i="23"/>
  <c r="Q136" i="23"/>
  <c r="P136" i="23"/>
  <c r="X135" i="23"/>
  <c r="W135" i="23"/>
  <c r="V135" i="23"/>
  <c r="U135" i="23"/>
  <c r="S135" i="23"/>
  <c r="R135" i="23"/>
  <c r="Q135" i="23"/>
  <c r="P135" i="23"/>
  <c r="V104" i="23"/>
  <c r="W101" i="23"/>
  <c r="R101" i="23"/>
  <c r="W98" i="23"/>
  <c r="R98" i="23"/>
  <c r="S91" i="23"/>
  <c r="R91" i="23"/>
  <c r="Q91" i="23"/>
  <c r="P91" i="23"/>
  <c r="X90" i="23"/>
  <c r="W90" i="23"/>
  <c r="V90" i="23"/>
  <c r="U90" i="23"/>
  <c r="S90" i="23"/>
  <c r="R90" i="23"/>
  <c r="Q90" i="23"/>
  <c r="P90" i="23"/>
  <c r="X89" i="23"/>
  <c r="W89" i="23"/>
  <c r="V89" i="23"/>
  <c r="U89" i="23"/>
  <c r="S89" i="23"/>
  <c r="R89" i="23"/>
  <c r="Q89" i="23"/>
  <c r="P89" i="23"/>
  <c r="X88" i="23"/>
  <c r="W88" i="23"/>
  <c r="V88" i="23"/>
  <c r="U88" i="23"/>
  <c r="S88" i="23"/>
  <c r="R88" i="23"/>
  <c r="Q88" i="23"/>
  <c r="P88" i="23"/>
  <c r="V73" i="23"/>
  <c r="V71" i="23"/>
  <c r="W68" i="23"/>
  <c r="W65" i="23"/>
  <c r="R65" i="23"/>
  <c r="W62" i="23"/>
  <c r="R62" i="23"/>
  <c r="W59" i="23"/>
  <c r="R59" i="23"/>
  <c r="X53" i="23"/>
  <c r="W53" i="23"/>
  <c r="V53" i="23"/>
  <c r="U53" i="23"/>
  <c r="S53" i="23"/>
  <c r="R53" i="23"/>
  <c r="Q53" i="23"/>
  <c r="P53" i="23"/>
  <c r="X52" i="23"/>
  <c r="W52" i="23"/>
  <c r="V52" i="23"/>
  <c r="U52" i="23"/>
  <c r="S52" i="23"/>
  <c r="R52" i="23"/>
  <c r="Q52" i="23"/>
  <c r="P52" i="23"/>
  <c r="X51" i="23"/>
  <c r="W51" i="23"/>
  <c r="V51" i="23"/>
  <c r="U51" i="23"/>
  <c r="S51" i="23"/>
  <c r="R51" i="23"/>
  <c r="Q51" i="23"/>
  <c r="P51" i="23"/>
  <c r="X50" i="23"/>
  <c r="W50" i="23"/>
  <c r="V50" i="23"/>
  <c r="U50" i="23"/>
  <c r="S50" i="23"/>
  <c r="R50" i="23"/>
  <c r="Q50" i="23"/>
  <c r="P50" i="23"/>
  <c r="X49" i="23"/>
  <c r="W49" i="23"/>
  <c r="V49" i="23"/>
  <c r="U49" i="23"/>
  <c r="S49" i="23"/>
  <c r="R49" i="23"/>
  <c r="Q49" i="23"/>
  <c r="P49" i="23"/>
  <c r="X48" i="23"/>
  <c r="W48" i="23"/>
  <c r="V48" i="23"/>
  <c r="U48" i="23"/>
  <c r="S48" i="23"/>
  <c r="R48" i="23"/>
  <c r="Q48" i="23"/>
  <c r="P48" i="23"/>
  <c r="W34" i="23"/>
  <c r="W31" i="23"/>
  <c r="S31" i="23"/>
  <c r="R31" i="23"/>
  <c r="Q31" i="23"/>
  <c r="P31" i="23"/>
  <c r="S29" i="23"/>
  <c r="R29" i="23"/>
  <c r="Q29" i="23"/>
  <c r="P29" i="23"/>
  <c r="W27" i="23"/>
  <c r="S27" i="23"/>
  <c r="R27" i="23"/>
  <c r="Q27" i="23"/>
  <c r="P27" i="23"/>
  <c r="S25" i="23"/>
  <c r="R25" i="23"/>
  <c r="Q25" i="23"/>
  <c r="P25" i="23"/>
  <c r="W24" i="23"/>
  <c r="S23" i="23"/>
  <c r="R23" i="23"/>
  <c r="Q23" i="23"/>
  <c r="P23" i="23"/>
  <c r="S22" i="23"/>
  <c r="R22" i="23"/>
  <c r="Q22" i="23"/>
  <c r="P22" i="23"/>
  <c r="W21" i="23"/>
  <c r="S20" i="23"/>
  <c r="R20" i="23"/>
  <c r="Q20" i="23"/>
  <c r="P20" i="23"/>
  <c r="S19" i="23"/>
  <c r="R19" i="23"/>
  <c r="Q19" i="23"/>
  <c r="P19" i="23"/>
  <c r="W18" i="23"/>
  <c r="S18" i="23"/>
  <c r="R18" i="23"/>
  <c r="Q18" i="23"/>
  <c r="P18" i="23"/>
  <c r="AC15" i="23"/>
  <c r="AB15" i="23"/>
  <c r="AA15" i="23"/>
  <c r="Z15" i="23"/>
  <c r="R15" i="23"/>
  <c r="AC14" i="23"/>
  <c r="AB14" i="23"/>
  <c r="AA14" i="23"/>
  <c r="Z14" i="23"/>
  <c r="X14" i="23"/>
  <c r="W14" i="23"/>
  <c r="V14" i="23"/>
  <c r="U14" i="23"/>
  <c r="AC13" i="23"/>
  <c r="AB13" i="23"/>
  <c r="AA13" i="23"/>
  <c r="Z13" i="23"/>
  <c r="X13" i="23"/>
  <c r="W13" i="23"/>
  <c r="V13" i="23"/>
  <c r="U13" i="23"/>
  <c r="AC12" i="23"/>
  <c r="AB12" i="23"/>
  <c r="AA12" i="23"/>
  <c r="Z12" i="23"/>
  <c r="X12" i="23"/>
  <c r="W12" i="23"/>
  <c r="V12" i="23"/>
  <c r="U12" i="23"/>
  <c r="AC11" i="23"/>
  <c r="AB11" i="23"/>
  <c r="AA11" i="23"/>
  <c r="Z11" i="23"/>
  <c r="X11" i="23"/>
  <c r="W11" i="23"/>
  <c r="V11" i="23"/>
  <c r="U11" i="23"/>
  <c r="AC10" i="23"/>
  <c r="AB10" i="23"/>
  <c r="AA10" i="23"/>
  <c r="Z10" i="23"/>
  <c r="X10" i="23"/>
  <c r="W10" i="23"/>
  <c r="V10" i="23"/>
  <c r="U10" i="23"/>
  <c r="AC9" i="23"/>
  <c r="AB9" i="23"/>
  <c r="AA9" i="23"/>
  <c r="Z9" i="23"/>
  <c r="X9" i="23"/>
  <c r="W9" i="23"/>
  <c r="V9" i="23"/>
  <c r="U9" i="23"/>
  <c r="AC8" i="23"/>
  <c r="AB8" i="23"/>
  <c r="AA8" i="23"/>
  <c r="Z8" i="23"/>
  <c r="X8" i="23"/>
  <c r="W8" i="23"/>
  <c r="V8" i="23"/>
  <c r="U8" i="23"/>
  <c r="AC7" i="23"/>
  <c r="AB7" i="23"/>
  <c r="AA7" i="23"/>
  <c r="Z7" i="23"/>
  <c r="X7" i="23"/>
  <c r="W7" i="23"/>
  <c r="V7" i="23"/>
  <c r="U7" i="23"/>
  <c r="AC6" i="23"/>
  <c r="AB6" i="23"/>
  <c r="AA6" i="23"/>
  <c r="Z6" i="23"/>
  <c r="X6" i="23"/>
  <c r="W6" i="23"/>
  <c r="V6" i="23"/>
  <c r="U6" i="23"/>
  <c r="AC5" i="23"/>
  <c r="AB5" i="23"/>
  <c r="AA5" i="23"/>
  <c r="Z5" i="23"/>
  <c r="X5" i="23"/>
  <c r="W5" i="23"/>
  <c r="V5" i="23"/>
  <c r="U5" i="23"/>
  <c r="O126" i="25"/>
  <c r="N126" i="25"/>
  <c r="O123" i="25"/>
  <c r="N123" i="25"/>
  <c r="N119" i="25"/>
  <c r="N118" i="25"/>
  <c r="L118" i="25"/>
  <c r="N117" i="25"/>
  <c r="M117" i="25"/>
  <c r="L117" i="25"/>
  <c r="K117" i="25"/>
  <c r="N116" i="25"/>
  <c r="M116" i="25"/>
  <c r="L116" i="25"/>
  <c r="K116" i="25"/>
  <c r="N115" i="25"/>
  <c r="L115" i="25"/>
  <c r="N110" i="25"/>
  <c r="M110" i="25"/>
  <c r="L110" i="25"/>
  <c r="K110" i="25"/>
  <c r="N109" i="25"/>
  <c r="M109" i="25"/>
  <c r="L109" i="25"/>
  <c r="N108" i="25"/>
  <c r="M108" i="25"/>
  <c r="L108" i="25"/>
  <c r="N107" i="25"/>
  <c r="M107" i="25"/>
  <c r="L107" i="25"/>
  <c r="L103" i="25"/>
  <c r="L102" i="25"/>
  <c r="L101" i="25"/>
  <c r="L99" i="25"/>
  <c r="L98" i="25"/>
  <c r="L97" i="25"/>
  <c r="L96" i="25"/>
  <c r="Q87" i="25"/>
  <c r="N87" i="25"/>
  <c r="Q86" i="25"/>
  <c r="BB26" i="25"/>
  <c r="BA26" i="25"/>
  <c r="AZ26" i="25"/>
  <c r="AY26" i="25"/>
  <c r="AX26" i="25"/>
  <c r="AW26" i="25"/>
  <c r="AV26" i="25"/>
  <c r="AU26" i="25"/>
  <c r="AT26" i="25"/>
  <c r="AS26" i="25"/>
  <c r="AR26" i="25"/>
  <c r="AQ26" i="25"/>
  <c r="AP26" i="25"/>
  <c r="AO26" i="25"/>
  <c r="AN26" i="25"/>
  <c r="AM26" i="25"/>
  <c r="AL26" i="25"/>
  <c r="AK26" i="25"/>
  <c r="AJ26" i="25"/>
  <c r="AI26" i="25"/>
  <c r="AH26" i="25"/>
  <c r="AG26" i="25"/>
  <c r="AF26" i="25"/>
  <c r="AE26" i="25"/>
  <c r="AD26" i="25"/>
  <c r="AC26" i="25"/>
  <c r="AB26" i="25"/>
  <c r="AA26" i="25"/>
  <c r="Z26" i="25"/>
  <c r="Y26" i="25"/>
  <c r="X26" i="25"/>
  <c r="W26" i="25"/>
  <c r="V26" i="25"/>
  <c r="U26" i="25"/>
  <c r="T26" i="25"/>
  <c r="S26" i="25"/>
  <c r="R26" i="25"/>
  <c r="BB25" i="25"/>
  <c r="BA25" i="25"/>
  <c r="AZ25" i="25"/>
  <c r="AY25" i="25"/>
  <c r="AX25" i="25"/>
  <c r="AW25" i="25"/>
  <c r="AV25" i="25"/>
  <c r="AU25" i="25"/>
  <c r="AT25" i="25"/>
  <c r="AS25" i="25"/>
  <c r="AR25" i="25"/>
  <c r="AQ25" i="25"/>
  <c r="AP25" i="25"/>
  <c r="AO25" i="25"/>
  <c r="AN25" i="25"/>
  <c r="AM25" i="25"/>
  <c r="AL25" i="25"/>
  <c r="AK25" i="25"/>
  <c r="AJ25" i="25"/>
  <c r="AI25" i="25"/>
  <c r="AH25" i="25"/>
  <c r="AG25" i="25"/>
  <c r="AF25" i="25"/>
  <c r="AE25" i="25"/>
  <c r="AD25" i="25"/>
  <c r="AC25" i="25"/>
  <c r="AB25" i="25"/>
  <c r="AA25" i="25"/>
  <c r="Z25" i="25"/>
  <c r="Y25" i="25"/>
  <c r="X25" i="25"/>
  <c r="W25" i="25"/>
  <c r="V25" i="25"/>
  <c r="U25" i="25"/>
  <c r="T25" i="25"/>
  <c r="S25" i="25"/>
  <c r="R25" i="25"/>
  <c r="BB24" i="25"/>
  <c r="BA24" i="25"/>
  <c r="AZ24" i="25"/>
  <c r="AY24" i="25"/>
  <c r="AX24" i="25"/>
  <c r="AW24" i="25"/>
  <c r="AV24" i="25"/>
  <c r="AU24" i="25"/>
  <c r="AT24" i="25"/>
  <c r="AS24" i="25"/>
  <c r="AR24" i="25"/>
  <c r="AQ24" i="25"/>
  <c r="AP24" i="25"/>
  <c r="AO24" i="25"/>
  <c r="AN24" i="25"/>
  <c r="AM24" i="25"/>
  <c r="AL24" i="25"/>
  <c r="AK24" i="25"/>
  <c r="AJ24" i="25"/>
  <c r="AI24" i="25"/>
  <c r="AH24" i="25"/>
  <c r="AG24" i="25"/>
  <c r="AF24" i="25"/>
  <c r="AE24" i="25"/>
  <c r="AD24" i="25"/>
  <c r="AC24" i="25"/>
  <c r="AB24" i="25"/>
  <c r="AA24" i="25"/>
  <c r="Z24" i="25"/>
  <c r="Y24" i="25"/>
  <c r="X24" i="25"/>
  <c r="W24" i="25"/>
  <c r="V24" i="25"/>
  <c r="U24" i="25"/>
  <c r="T24" i="25"/>
  <c r="S24" i="25"/>
  <c r="R24" i="25"/>
  <c r="BB23" i="25"/>
  <c r="BA23" i="25"/>
  <c r="AZ23" i="25"/>
  <c r="AY23" i="25"/>
  <c r="AX23" i="25"/>
  <c r="AW23" i="25"/>
  <c r="AV23" i="25"/>
  <c r="AU23" i="25"/>
  <c r="AT23" i="25"/>
  <c r="AS23" i="25"/>
  <c r="AR23" i="25"/>
  <c r="AQ23" i="25"/>
  <c r="AP23" i="25"/>
  <c r="AO23" i="25"/>
  <c r="AN23" i="25"/>
  <c r="AM23" i="25"/>
  <c r="AL23" i="25"/>
  <c r="AK23" i="25"/>
  <c r="AJ23" i="25"/>
  <c r="AI23" i="25"/>
  <c r="AH23" i="25"/>
  <c r="AG23" i="25"/>
  <c r="AF23" i="25"/>
  <c r="AE23" i="25"/>
  <c r="AD23" i="25"/>
  <c r="AC23" i="25"/>
  <c r="AB23" i="25"/>
  <c r="AA23" i="25"/>
  <c r="Z23" i="25"/>
  <c r="Y23" i="25"/>
  <c r="X23" i="25"/>
  <c r="W23" i="25"/>
  <c r="V23" i="25"/>
  <c r="U23" i="25"/>
  <c r="T23" i="25"/>
  <c r="S23" i="25"/>
  <c r="R23" i="25"/>
  <c r="BB22" i="25"/>
  <c r="BA22" i="25"/>
  <c r="AZ22" i="25"/>
  <c r="AY22" i="25"/>
  <c r="AX22" i="25"/>
  <c r="AW22" i="25"/>
  <c r="AV22" i="25"/>
  <c r="AU22" i="25"/>
  <c r="AT22" i="25"/>
  <c r="AS22" i="25"/>
  <c r="AR22" i="25"/>
  <c r="AQ22" i="25"/>
  <c r="AP22" i="25"/>
  <c r="AO22" i="25"/>
  <c r="AN22" i="25"/>
  <c r="AM22" i="25"/>
  <c r="AL22" i="25"/>
  <c r="AK22" i="25"/>
  <c r="AJ22" i="25"/>
  <c r="AI22" i="25"/>
  <c r="AH22" i="25"/>
  <c r="AG22" i="25"/>
  <c r="AF22" i="25"/>
  <c r="AE22" i="25"/>
  <c r="AD22" i="25"/>
  <c r="AC22" i="25"/>
  <c r="AB22" i="25"/>
  <c r="AA22" i="25"/>
  <c r="Z22" i="25"/>
  <c r="Y22" i="25"/>
  <c r="X22" i="25"/>
  <c r="W22" i="25"/>
  <c r="V22" i="25"/>
  <c r="U22" i="25"/>
  <c r="T22" i="25"/>
  <c r="S22" i="25"/>
  <c r="R22" i="25"/>
  <c r="BB21" i="25"/>
  <c r="BA21" i="25"/>
  <c r="AZ21" i="25"/>
  <c r="AY21" i="25"/>
  <c r="AX21" i="25"/>
  <c r="AW21" i="25"/>
  <c r="AV21" i="25"/>
  <c r="AU21" i="25"/>
  <c r="AT21" i="25"/>
  <c r="AS21" i="25"/>
  <c r="AR21" i="25"/>
  <c r="AQ21" i="25"/>
  <c r="AP21" i="25"/>
  <c r="AO21" i="25"/>
  <c r="AN21" i="25"/>
  <c r="AM21" i="25"/>
  <c r="AL21" i="25"/>
  <c r="AK21" i="25"/>
  <c r="AJ21" i="25"/>
  <c r="AI21" i="25"/>
  <c r="AH21" i="25"/>
  <c r="AG21" i="25"/>
  <c r="AF21" i="25"/>
  <c r="AE21" i="25"/>
  <c r="AD21" i="25"/>
  <c r="AC21" i="25"/>
  <c r="AB21" i="25"/>
  <c r="AA21" i="25"/>
  <c r="Z21" i="25"/>
  <c r="Y21" i="25"/>
  <c r="X21" i="25"/>
  <c r="W21" i="25"/>
  <c r="V21" i="25"/>
  <c r="U21" i="25"/>
  <c r="T21" i="25"/>
  <c r="S21" i="25"/>
  <c r="R21" i="25"/>
  <c r="BB20" i="25"/>
  <c r="BA20" i="25"/>
  <c r="AZ20" i="25"/>
  <c r="AY20" i="25"/>
  <c r="AX20" i="25"/>
  <c r="AW20" i="25"/>
  <c r="AV20" i="25"/>
  <c r="AU20" i="25"/>
  <c r="AT20" i="25"/>
  <c r="AS20" i="25"/>
  <c r="AR20" i="25"/>
  <c r="AQ20" i="25"/>
  <c r="AP20" i="25"/>
  <c r="AO20" i="25"/>
  <c r="AN20" i="25"/>
  <c r="AM20" i="25"/>
  <c r="AL20" i="25"/>
  <c r="AK20" i="25"/>
  <c r="AJ20" i="25"/>
  <c r="AI20" i="25"/>
  <c r="AH20" i="25"/>
  <c r="AG20" i="25"/>
  <c r="AF20" i="25"/>
  <c r="AE20" i="25"/>
  <c r="AD20" i="25"/>
  <c r="AC20" i="25"/>
  <c r="AB20" i="25"/>
  <c r="AA20" i="25"/>
  <c r="Z20" i="25"/>
  <c r="Y20" i="25"/>
  <c r="X20" i="25"/>
  <c r="W20" i="25"/>
  <c r="V20" i="25"/>
  <c r="U20" i="25"/>
  <c r="T20" i="25"/>
  <c r="S20" i="25"/>
  <c r="AD16" i="25"/>
  <c r="AC16" i="25"/>
  <c r="AC15" i="25"/>
  <c r="Y14" i="25"/>
  <c r="P14" i="25"/>
  <c r="O14" i="25"/>
  <c r="N14" i="25"/>
  <c r="M14" i="25"/>
  <c r="J14" i="25"/>
  <c r="I14" i="25"/>
  <c r="H14" i="25"/>
  <c r="G14" i="25"/>
  <c r="F14" i="25"/>
  <c r="E14" i="25"/>
  <c r="C14" i="25"/>
  <c r="V13" i="25"/>
  <c r="T13" i="25"/>
  <c r="R13" i="25"/>
  <c r="P13" i="25"/>
  <c r="N13" i="25"/>
  <c r="J13" i="25"/>
  <c r="I13" i="25"/>
  <c r="G13" i="25"/>
  <c r="F13" i="25"/>
  <c r="C13" i="25"/>
  <c r="V12" i="25"/>
  <c r="T12" i="25"/>
  <c r="R12" i="25"/>
  <c r="P12" i="25"/>
  <c r="N12" i="25"/>
  <c r="J12" i="25"/>
  <c r="I12" i="25"/>
  <c r="G12" i="25"/>
  <c r="F12" i="25"/>
  <c r="C12" i="25"/>
  <c r="AB11" i="25"/>
  <c r="U11" i="25"/>
  <c r="S11" i="25"/>
  <c r="R11" i="25"/>
  <c r="P11" i="25"/>
  <c r="N11" i="25"/>
  <c r="J11" i="25"/>
  <c r="I11" i="25"/>
  <c r="G11" i="25"/>
  <c r="C11" i="25"/>
  <c r="AB10" i="25"/>
  <c r="AA10" i="25"/>
  <c r="Y10" i="25"/>
  <c r="AH5" i="25"/>
  <c r="AE5" i="25"/>
  <c r="AB5" i="25"/>
  <c r="AH4" i="25"/>
  <c r="AE4" i="25"/>
  <c r="AB4" i="25"/>
  <c r="AH3" i="25"/>
  <c r="AB3" i="25"/>
  <c r="AY23" i="15"/>
  <c r="AX23" i="15"/>
  <c r="AW23" i="15"/>
  <c r="AV23" i="15"/>
  <c r="AU23" i="15"/>
  <c r="AT23" i="15"/>
  <c r="AS23" i="15"/>
  <c r="AR23" i="15"/>
  <c r="AQ23" i="15"/>
  <c r="AP23" i="15"/>
  <c r="AO23" i="15"/>
  <c r="AN23" i="15"/>
  <c r="AM23" i="15"/>
  <c r="AL23" i="15"/>
  <c r="AK23" i="15"/>
  <c r="AJ23" i="15"/>
  <c r="AI23" i="15"/>
  <c r="AH23" i="15"/>
  <c r="AG23" i="15"/>
  <c r="AF23" i="15"/>
  <c r="AE23" i="15"/>
  <c r="AD23" i="15"/>
  <c r="AC23" i="15"/>
  <c r="AB23" i="15"/>
  <c r="AA23" i="15"/>
  <c r="Z23" i="15"/>
  <c r="Y23" i="15"/>
  <c r="X23" i="15"/>
  <c r="W23" i="15"/>
  <c r="V23" i="15"/>
  <c r="U23" i="15"/>
  <c r="T23" i="15"/>
  <c r="S23" i="15"/>
  <c r="R23" i="15"/>
  <c r="Q23" i="15"/>
  <c r="P23" i="15"/>
  <c r="O23" i="15"/>
  <c r="N23" i="15"/>
  <c r="M23" i="15"/>
  <c r="K23" i="15"/>
  <c r="AY22" i="15"/>
  <c r="AX22" i="15"/>
  <c r="AW22" i="15"/>
  <c r="AV22" i="15"/>
  <c r="AU22" i="15"/>
  <c r="AT22" i="15"/>
  <c r="AS22" i="15"/>
  <c r="AR22" i="15"/>
  <c r="AQ22" i="15"/>
  <c r="AP22" i="15"/>
  <c r="AO22" i="15"/>
  <c r="AN22" i="15"/>
  <c r="AM22" i="15"/>
  <c r="AL22" i="15"/>
  <c r="AK22" i="15"/>
  <c r="AJ22" i="15"/>
  <c r="AI22" i="15"/>
  <c r="AH22" i="15"/>
  <c r="AG22" i="15"/>
  <c r="AF22" i="15"/>
  <c r="AE22" i="15"/>
  <c r="AD22" i="15"/>
  <c r="AC22" i="15"/>
  <c r="AB22" i="15"/>
  <c r="AA22" i="15"/>
  <c r="Z22" i="15"/>
  <c r="Y22" i="15"/>
  <c r="X22" i="15"/>
  <c r="W22" i="15"/>
  <c r="V22" i="15"/>
  <c r="U22" i="15"/>
  <c r="T22" i="15"/>
  <c r="S22" i="15"/>
  <c r="R22" i="15"/>
  <c r="Q22" i="15"/>
  <c r="P22" i="15"/>
  <c r="O22" i="15"/>
  <c r="N22" i="15"/>
  <c r="M22" i="15"/>
  <c r="K22" i="15"/>
  <c r="AY21" i="15"/>
  <c r="AX21" i="15"/>
  <c r="AW21" i="15"/>
  <c r="AV21" i="15"/>
  <c r="AU21" i="15"/>
  <c r="AT21" i="15"/>
  <c r="AS21" i="15"/>
  <c r="AR21" i="15"/>
  <c r="AQ21" i="15"/>
  <c r="AP21" i="15"/>
  <c r="AO21" i="15"/>
  <c r="AN21" i="15"/>
  <c r="AM21" i="15"/>
  <c r="AL21" i="15"/>
  <c r="AK21" i="15"/>
  <c r="AJ21" i="15"/>
  <c r="AI21" i="15"/>
  <c r="AH21" i="15"/>
  <c r="AG21" i="15"/>
  <c r="AF21" i="15"/>
  <c r="AE21" i="15"/>
  <c r="AD21" i="15"/>
  <c r="AC21" i="15"/>
  <c r="AB21" i="15"/>
  <c r="AA21" i="15"/>
  <c r="Z21" i="15"/>
  <c r="Y21" i="15"/>
  <c r="X21" i="15"/>
  <c r="W21" i="15"/>
  <c r="V21" i="15"/>
  <c r="U21" i="15"/>
  <c r="T21" i="15"/>
  <c r="S21" i="15"/>
  <c r="R21" i="15"/>
  <c r="Q21" i="15"/>
  <c r="P21" i="15"/>
  <c r="O21" i="15"/>
  <c r="N21" i="15"/>
  <c r="M21" i="15"/>
  <c r="K21" i="15"/>
  <c r="AY18" i="15"/>
  <c r="AX18" i="15"/>
  <c r="AW18" i="15"/>
  <c r="AV18" i="15"/>
  <c r="AU18" i="15"/>
  <c r="AT18" i="15"/>
  <c r="AS18" i="15"/>
  <c r="AR18" i="15"/>
  <c r="AQ18" i="15"/>
  <c r="AP18" i="15"/>
  <c r="AO18" i="15"/>
  <c r="AN18" i="15"/>
  <c r="AM18" i="15"/>
  <c r="AL18" i="15"/>
  <c r="AK18" i="15"/>
  <c r="AJ18" i="15"/>
  <c r="AI18" i="15"/>
  <c r="AH18" i="15"/>
  <c r="AG18" i="15"/>
  <c r="AF18" i="15"/>
  <c r="AE18" i="15"/>
  <c r="AD18" i="15"/>
  <c r="AC18" i="15"/>
  <c r="AB18" i="15"/>
  <c r="AA18" i="15"/>
  <c r="Z18" i="15"/>
  <c r="Y18" i="15"/>
  <c r="X18" i="15"/>
  <c r="W18" i="15"/>
  <c r="V18" i="15"/>
  <c r="U18" i="15"/>
  <c r="T18" i="15"/>
  <c r="S18" i="15"/>
  <c r="R18" i="15"/>
  <c r="Q18" i="15"/>
  <c r="P18" i="15"/>
  <c r="O18" i="15"/>
  <c r="N18" i="15"/>
  <c r="M18" i="15"/>
  <c r="K18" i="15"/>
  <c r="F18" i="15"/>
  <c r="E18" i="15"/>
  <c r="C18" i="15"/>
  <c r="B18" i="15"/>
  <c r="AY17" i="15"/>
  <c r="AX17" i="15"/>
  <c r="AW17" i="15"/>
  <c r="AV17" i="15"/>
  <c r="AU17" i="15"/>
  <c r="AT17" i="15"/>
  <c r="AS17" i="15"/>
  <c r="AR17" i="15"/>
  <c r="AQ17" i="15"/>
  <c r="AP17" i="15"/>
  <c r="AO17" i="15"/>
  <c r="AN17" i="15"/>
  <c r="AM17" i="15"/>
  <c r="AL17" i="15"/>
  <c r="AK17" i="15"/>
  <c r="AJ17" i="15"/>
  <c r="AI17" i="15"/>
  <c r="AH17" i="15"/>
  <c r="AG17" i="15"/>
  <c r="AF17" i="15"/>
  <c r="AE17" i="15"/>
  <c r="AD17" i="15"/>
  <c r="AC17" i="15"/>
  <c r="AB17" i="15"/>
  <c r="AA17" i="15"/>
  <c r="Z17" i="15"/>
  <c r="Y17" i="15"/>
  <c r="X17" i="15"/>
  <c r="W17" i="15"/>
  <c r="V17" i="15"/>
  <c r="U17" i="15"/>
  <c r="T17" i="15"/>
  <c r="S17" i="15"/>
  <c r="R17" i="15"/>
  <c r="Q17" i="15"/>
  <c r="P17" i="15"/>
  <c r="O17" i="15"/>
  <c r="N17" i="15"/>
  <c r="M17" i="15"/>
  <c r="K17" i="15"/>
  <c r="J17" i="15"/>
  <c r="F17" i="15"/>
  <c r="D17" i="15"/>
  <c r="C17" i="15"/>
  <c r="AY16" i="15"/>
  <c r="AX16" i="15"/>
  <c r="AW16" i="15"/>
  <c r="AV16" i="15"/>
  <c r="AU16" i="15"/>
  <c r="AT16" i="15"/>
  <c r="AS16" i="15"/>
  <c r="AR16" i="15"/>
  <c r="AQ16" i="15"/>
  <c r="AP16" i="15"/>
  <c r="AO16" i="15"/>
  <c r="AN16" i="15"/>
  <c r="AM16" i="15"/>
  <c r="AL16" i="15"/>
  <c r="AK16" i="15"/>
  <c r="AJ16" i="15"/>
  <c r="AI16" i="15"/>
  <c r="AH16" i="15"/>
  <c r="AG16" i="15"/>
  <c r="AF16" i="15"/>
  <c r="AE16" i="15"/>
  <c r="AD16" i="15"/>
  <c r="AC16" i="15"/>
  <c r="AB16" i="15"/>
  <c r="AA16" i="15"/>
  <c r="Z16" i="15"/>
  <c r="Y16" i="15"/>
  <c r="X16" i="15"/>
  <c r="W16" i="15"/>
  <c r="V16" i="15"/>
  <c r="U16" i="15"/>
  <c r="T16" i="15"/>
  <c r="S16" i="15"/>
  <c r="R16" i="15"/>
  <c r="Q16" i="15"/>
  <c r="P16" i="15"/>
  <c r="O16" i="15"/>
  <c r="N16" i="15"/>
  <c r="M16" i="15"/>
  <c r="K16" i="15"/>
  <c r="J16" i="15"/>
  <c r="F16" i="15"/>
  <c r="E16" i="15"/>
  <c r="D16" i="15"/>
  <c r="C16" i="15"/>
  <c r="AY15" i="15"/>
  <c r="AX15" i="15"/>
  <c r="AW15" i="15"/>
  <c r="AV15" i="15"/>
  <c r="AU15" i="15"/>
  <c r="AT15" i="15"/>
  <c r="AS15" i="15"/>
  <c r="AR15" i="15"/>
  <c r="AQ15" i="15"/>
  <c r="AP15" i="15"/>
  <c r="AO15" i="15"/>
  <c r="AN15" i="15"/>
  <c r="AM15" i="15"/>
  <c r="AL15" i="15"/>
  <c r="AK15" i="15"/>
  <c r="AJ15" i="15"/>
  <c r="AI15" i="15"/>
  <c r="AH15" i="15"/>
  <c r="AG15" i="15"/>
  <c r="AF15" i="15"/>
  <c r="AE15" i="15"/>
  <c r="AD15" i="15"/>
  <c r="AC15" i="15"/>
  <c r="AB15" i="15"/>
  <c r="AA15" i="15"/>
  <c r="Z15" i="15"/>
  <c r="Y15" i="15"/>
  <c r="X15" i="15"/>
  <c r="W15" i="15"/>
  <c r="V15" i="15"/>
  <c r="U15" i="15"/>
  <c r="T15" i="15"/>
  <c r="S15" i="15"/>
  <c r="R15" i="15"/>
  <c r="Q15" i="15"/>
  <c r="P15" i="15"/>
  <c r="O15" i="15"/>
  <c r="N15" i="15"/>
  <c r="M15" i="15"/>
  <c r="K15" i="15"/>
  <c r="J15" i="15"/>
  <c r="F15" i="15"/>
  <c r="D15" i="15"/>
  <c r="AY14" i="15"/>
  <c r="AX14" i="15"/>
  <c r="AW14" i="15"/>
  <c r="AV14" i="15"/>
  <c r="AU14" i="15"/>
  <c r="AT14" i="15"/>
  <c r="AS14" i="15"/>
  <c r="AR14" i="15"/>
  <c r="AQ14" i="15"/>
  <c r="AP14" i="15"/>
  <c r="AO14" i="15"/>
  <c r="AN14" i="15"/>
  <c r="AM14" i="15"/>
  <c r="AL14" i="15"/>
  <c r="AK14" i="15"/>
  <c r="AJ14" i="15"/>
  <c r="AI14" i="15"/>
  <c r="AH14" i="15"/>
  <c r="AG14" i="15"/>
  <c r="AF14" i="15"/>
  <c r="AE14" i="15"/>
  <c r="AD14" i="15"/>
  <c r="AC14" i="15"/>
  <c r="AB14" i="15"/>
  <c r="AA14" i="15"/>
  <c r="Z14" i="15"/>
  <c r="Y14" i="15"/>
  <c r="X14" i="15"/>
  <c r="W14" i="15"/>
  <c r="V14" i="15"/>
  <c r="U14" i="15"/>
  <c r="T14" i="15"/>
  <c r="S14" i="15"/>
  <c r="R14" i="15"/>
  <c r="Q14" i="15"/>
  <c r="P14" i="15"/>
  <c r="O14" i="15"/>
  <c r="N14" i="15"/>
  <c r="M14" i="15"/>
  <c r="K14" i="15"/>
  <c r="J14" i="15"/>
  <c r="F14" i="15"/>
  <c r="AY13" i="15"/>
  <c r="AX13" i="15"/>
  <c r="AW13" i="15"/>
  <c r="AV13" i="15"/>
  <c r="AU13" i="15"/>
  <c r="AT13" i="15"/>
  <c r="AS13" i="15"/>
  <c r="AR13" i="15"/>
  <c r="AQ13" i="15"/>
  <c r="AP13" i="15"/>
  <c r="AO13" i="15"/>
  <c r="AN13" i="15"/>
  <c r="AM13" i="15"/>
  <c r="AL13" i="15"/>
  <c r="AK13" i="15"/>
  <c r="AJ13" i="15"/>
  <c r="AI13" i="15"/>
  <c r="AH13" i="15"/>
  <c r="AG13" i="15"/>
  <c r="AF13" i="15"/>
  <c r="AE13" i="15"/>
  <c r="AD13" i="15"/>
  <c r="AC13" i="15"/>
  <c r="AB13" i="15"/>
  <c r="AA13" i="15"/>
  <c r="Z13" i="15"/>
  <c r="Y13" i="15"/>
  <c r="X13" i="15"/>
  <c r="W13" i="15"/>
  <c r="V13" i="15"/>
  <c r="U13" i="15"/>
  <c r="T13" i="15"/>
  <c r="S13" i="15"/>
  <c r="R13" i="15"/>
  <c r="Q13" i="15"/>
  <c r="P13" i="15"/>
  <c r="O13" i="15"/>
  <c r="N13" i="15"/>
  <c r="M13" i="15"/>
  <c r="K13" i="15"/>
  <c r="AY12" i="15"/>
  <c r="AX12" i="15"/>
  <c r="AW12" i="15"/>
  <c r="AV12" i="15"/>
  <c r="AU12" i="15"/>
  <c r="AT12" i="15"/>
  <c r="AS12" i="15"/>
  <c r="AR12" i="15"/>
  <c r="AQ12" i="15"/>
  <c r="AP12" i="15"/>
  <c r="AO12" i="15"/>
  <c r="AN12" i="15"/>
  <c r="AM12" i="15"/>
  <c r="AL12" i="15"/>
  <c r="AK12" i="15"/>
  <c r="AJ12" i="15"/>
  <c r="AI12" i="15"/>
  <c r="AH12" i="15"/>
  <c r="AG12" i="15"/>
  <c r="AF12" i="15"/>
  <c r="AE12" i="15"/>
  <c r="AD12" i="15"/>
  <c r="AC12" i="15"/>
  <c r="AB12" i="15"/>
  <c r="AA12" i="15"/>
  <c r="Z12" i="15"/>
  <c r="Y12" i="15"/>
  <c r="X12" i="15"/>
  <c r="W12" i="15"/>
  <c r="V12" i="15"/>
  <c r="U12" i="15"/>
  <c r="T12" i="15"/>
  <c r="S12" i="15"/>
  <c r="R12" i="15"/>
  <c r="Q12" i="15"/>
  <c r="P12" i="15"/>
  <c r="O12" i="15"/>
  <c r="N12" i="15"/>
  <c r="E8" i="15"/>
  <c r="T7" i="15"/>
  <c r="AD6" i="15"/>
  <c r="AC6" i="15"/>
  <c r="X6" i="15"/>
  <c r="W6" i="15"/>
  <c r="T6" i="15"/>
  <c r="AA5" i="15"/>
  <c r="X5" i="15"/>
  <c r="W5" i="15"/>
  <c r="T5" i="15"/>
  <c r="BB19" i="12"/>
  <c r="BA19" i="12"/>
  <c r="AZ19" i="12"/>
  <c r="AY19" i="12"/>
  <c r="AX19" i="12"/>
  <c r="AW19" i="12"/>
  <c r="AV19" i="12"/>
  <c r="AU19" i="12"/>
  <c r="AT19" i="12"/>
  <c r="AS19" i="12"/>
  <c r="AR19" i="12"/>
  <c r="AQ19" i="12"/>
  <c r="AP19" i="12"/>
  <c r="AO19" i="12"/>
  <c r="AN19" i="12"/>
  <c r="AM19" i="12"/>
  <c r="AL19" i="12"/>
  <c r="AK19" i="12"/>
  <c r="AJ19" i="12"/>
  <c r="AI19" i="12"/>
  <c r="AH19" i="12"/>
  <c r="AG19" i="12"/>
  <c r="AF19" i="12"/>
  <c r="AE19" i="12"/>
  <c r="AD19" i="12"/>
  <c r="AC19" i="12"/>
  <c r="AB19" i="12"/>
  <c r="AA19" i="12"/>
  <c r="Z19" i="12"/>
  <c r="Y19" i="12"/>
  <c r="X19" i="12"/>
  <c r="W19" i="12"/>
  <c r="V19" i="12"/>
  <c r="U19" i="12"/>
  <c r="T19" i="12"/>
  <c r="S19" i="12"/>
  <c r="R19" i="12"/>
  <c r="Q19" i="12"/>
  <c r="P19" i="12"/>
  <c r="N19" i="12"/>
  <c r="G19" i="12"/>
  <c r="F19" i="12"/>
  <c r="D19" i="12"/>
  <c r="BB18" i="12"/>
  <c r="BA18" i="12"/>
  <c r="AZ18" i="12"/>
  <c r="AY18" i="12"/>
  <c r="AX18" i="12"/>
  <c r="AW18" i="12"/>
  <c r="AV18" i="12"/>
  <c r="AU18" i="12"/>
  <c r="AT18" i="12"/>
  <c r="AS18" i="12"/>
  <c r="AR18" i="12"/>
  <c r="AQ18" i="12"/>
  <c r="AP18" i="12"/>
  <c r="AO18" i="12"/>
  <c r="AN18" i="12"/>
  <c r="AM18" i="12"/>
  <c r="AL18" i="12"/>
  <c r="AK18" i="12"/>
  <c r="AJ18" i="12"/>
  <c r="AI18" i="12"/>
  <c r="AH18" i="12"/>
  <c r="AG18" i="12"/>
  <c r="AF18" i="12"/>
  <c r="AE18" i="12"/>
  <c r="AD18" i="12"/>
  <c r="AC18" i="12"/>
  <c r="AB18" i="12"/>
  <c r="AA18" i="12"/>
  <c r="Z18" i="12"/>
  <c r="Y18" i="12"/>
  <c r="X18" i="12"/>
  <c r="W18" i="12"/>
  <c r="V18" i="12"/>
  <c r="U18" i="12"/>
  <c r="T18" i="12"/>
  <c r="S18" i="12"/>
  <c r="R18" i="12"/>
  <c r="Q18" i="12"/>
  <c r="P18" i="12"/>
  <c r="N18" i="12"/>
  <c r="M18" i="12"/>
  <c r="I18" i="12"/>
  <c r="G18" i="12"/>
  <c r="F18" i="12"/>
  <c r="E18" i="12"/>
  <c r="D18" i="12"/>
  <c r="C18" i="12"/>
  <c r="BB17" i="12"/>
  <c r="BA17" i="12"/>
  <c r="AZ17" i="12"/>
  <c r="AY17" i="12"/>
  <c r="AX17" i="12"/>
  <c r="AW17" i="12"/>
  <c r="AV17" i="12"/>
  <c r="AU17" i="12"/>
  <c r="AT17" i="12"/>
  <c r="AS17" i="12"/>
  <c r="AR17" i="12"/>
  <c r="AQ17" i="12"/>
  <c r="AP17" i="12"/>
  <c r="AO17" i="12"/>
  <c r="AN17" i="12"/>
  <c r="AM17" i="12"/>
  <c r="AL17" i="12"/>
  <c r="AK17" i="12"/>
  <c r="AJ17" i="12"/>
  <c r="AI17" i="12"/>
  <c r="AH17" i="12"/>
  <c r="AG17" i="12"/>
  <c r="AF17" i="12"/>
  <c r="AE17" i="12"/>
  <c r="AD17" i="12"/>
  <c r="AC17" i="12"/>
  <c r="AB17" i="12"/>
  <c r="AA17" i="12"/>
  <c r="Z17" i="12"/>
  <c r="Y17" i="12"/>
  <c r="X17" i="12"/>
  <c r="W17" i="12"/>
  <c r="V17" i="12"/>
  <c r="U17" i="12"/>
  <c r="T17" i="12"/>
  <c r="S17" i="12"/>
  <c r="R17" i="12"/>
  <c r="Q17" i="12"/>
  <c r="P17" i="12"/>
  <c r="N17" i="12"/>
  <c r="M17" i="12"/>
  <c r="I17" i="12"/>
  <c r="G17" i="12"/>
  <c r="F17" i="12"/>
  <c r="E17" i="12"/>
  <c r="D17" i="12"/>
  <c r="C17" i="12"/>
  <c r="BB16" i="12"/>
  <c r="BA16" i="12"/>
  <c r="AZ16" i="12"/>
  <c r="AY16" i="12"/>
  <c r="AX16" i="12"/>
  <c r="AW16" i="12"/>
  <c r="AV16" i="12"/>
  <c r="AU16" i="12"/>
  <c r="AT16" i="12"/>
  <c r="AS16" i="12"/>
  <c r="AR16" i="12"/>
  <c r="AQ16" i="12"/>
  <c r="AP16" i="12"/>
  <c r="AO16" i="12"/>
  <c r="AN16" i="12"/>
  <c r="AM16" i="12"/>
  <c r="AL16" i="12"/>
  <c r="AK16" i="12"/>
  <c r="AJ16" i="12"/>
  <c r="AI16" i="12"/>
  <c r="AH16" i="12"/>
  <c r="AG16" i="12"/>
  <c r="AF16" i="12"/>
  <c r="AE16" i="12"/>
  <c r="AD16" i="12"/>
  <c r="AC16" i="12"/>
  <c r="AB16" i="12"/>
  <c r="AA16" i="12"/>
  <c r="Z16" i="12"/>
  <c r="Y16" i="12"/>
  <c r="X16" i="12"/>
  <c r="W16" i="12"/>
  <c r="V16" i="12"/>
  <c r="U16" i="12"/>
  <c r="T16" i="12"/>
  <c r="S16" i="12"/>
  <c r="R16" i="12"/>
  <c r="Q16" i="12"/>
  <c r="P16" i="12"/>
  <c r="N16" i="12"/>
  <c r="M16" i="12"/>
  <c r="I16" i="12"/>
  <c r="G16" i="12"/>
  <c r="F16" i="12"/>
  <c r="E16" i="12"/>
  <c r="D16" i="12"/>
  <c r="C16" i="12"/>
  <c r="BB15" i="12"/>
  <c r="BA15" i="12"/>
  <c r="AZ15" i="12"/>
  <c r="AY15" i="12"/>
  <c r="AX15" i="12"/>
  <c r="AW15" i="12"/>
  <c r="AV15" i="12"/>
  <c r="AU15" i="12"/>
  <c r="AT15" i="12"/>
  <c r="AS15" i="12"/>
  <c r="AR15" i="12"/>
  <c r="AQ15" i="12"/>
  <c r="AP15" i="12"/>
  <c r="AO15" i="12"/>
  <c r="AN15" i="12"/>
  <c r="AM15" i="12"/>
  <c r="AL15" i="12"/>
  <c r="AK15" i="12"/>
  <c r="AJ15" i="12"/>
  <c r="AI15" i="12"/>
  <c r="AH15" i="12"/>
  <c r="AG15" i="12"/>
  <c r="AF15" i="12"/>
  <c r="AE15" i="12"/>
  <c r="AD15" i="12"/>
  <c r="AC15" i="12"/>
  <c r="AB15" i="12"/>
  <c r="AA15" i="12"/>
  <c r="Z15" i="12"/>
  <c r="Y15" i="12"/>
  <c r="X15" i="12"/>
  <c r="W15" i="12"/>
  <c r="V15" i="12"/>
  <c r="U15" i="12"/>
  <c r="T15" i="12"/>
  <c r="S15" i="12"/>
  <c r="R15" i="12"/>
  <c r="Q15" i="12"/>
  <c r="P15" i="12"/>
  <c r="N15" i="12"/>
  <c r="M15" i="12"/>
  <c r="I15" i="12"/>
  <c r="G15" i="12"/>
  <c r="F15" i="12"/>
  <c r="E15" i="12"/>
  <c r="BB14" i="12"/>
  <c r="BA14" i="12"/>
  <c r="AZ14" i="12"/>
  <c r="AY14" i="12"/>
  <c r="AX14" i="12"/>
  <c r="AW14" i="12"/>
  <c r="AV14" i="12"/>
  <c r="AU14" i="12"/>
  <c r="AT14" i="12"/>
  <c r="AS14" i="12"/>
  <c r="AR14" i="12"/>
  <c r="AQ14" i="12"/>
  <c r="AP14" i="12"/>
  <c r="AO14" i="12"/>
  <c r="AN14" i="12"/>
  <c r="AM14" i="12"/>
  <c r="AL14" i="12"/>
  <c r="AK14" i="12"/>
  <c r="AJ14" i="12"/>
  <c r="AI14" i="12"/>
  <c r="AH14" i="12"/>
  <c r="AG14" i="12"/>
  <c r="AF14" i="12"/>
  <c r="AE14" i="12"/>
  <c r="AD14" i="12"/>
  <c r="AC14" i="12"/>
  <c r="AB14" i="12"/>
  <c r="AA14" i="12"/>
  <c r="Z14" i="12"/>
  <c r="Y14" i="12"/>
  <c r="X14" i="12"/>
  <c r="W14" i="12"/>
  <c r="V14" i="12"/>
  <c r="U14" i="12"/>
  <c r="T14" i="12"/>
  <c r="S14" i="12"/>
  <c r="R14" i="12"/>
  <c r="Q14" i="12"/>
  <c r="P14" i="12"/>
  <c r="N14" i="12"/>
  <c r="BB13" i="12"/>
  <c r="BA13" i="12"/>
  <c r="AZ13" i="12"/>
  <c r="AY13" i="12"/>
  <c r="AX13" i="12"/>
  <c r="AW13" i="12"/>
  <c r="AV13" i="12"/>
  <c r="AU13" i="12"/>
  <c r="AT13" i="12"/>
  <c r="AS13" i="12"/>
  <c r="AR13" i="12"/>
  <c r="AQ13" i="12"/>
  <c r="AP13" i="12"/>
  <c r="AO13" i="12"/>
  <c r="AN13" i="12"/>
  <c r="AM13" i="12"/>
  <c r="AL13" i="12"/>
  <c r="AK13" i="12"/>
  <c r="AJ13" i="12"/>
  <c r="AI13" i="12"/>
  <c r="AH13" i="12"/>
  <c r="AG13" i="12"/>
  <c r="AF13" i="12"/>
  <c r="AE13" i="12"/>
  <c r="AD13" i="12"/>
  <c r="AC13" i="12"/>
  <c r="AB13" i="12"/>
  <c r="AA13" i="12"/>
  <c r="Z13" i="12"/>
  <c r="Y13" i="12"/>
  <c r="X13" i="12"/>
  <c r="W13" i="12"/>
  <c r="V13" i="12"/>
  <c r="U13" i="12"/>
  <c r="T13" i="12"/>
  <c r="S13" i="12"/>
  <c r="R13" i="12"/>
  <c r="Q13" i="12"/>
  <c r="P13" i="12"/>
  <c r="N13" i="12"/>
  <c r="BB12" i="12"/>
  <c r="BA12" i="12"/>
  <c r="AZ12" i="12"/>
  <c r="AY12" i="12"/>
  <c r="AX12" i="12"/>
  <c r="AW12" i="12"/>
  <c r="AV12" i="12"/>
  <c r="AU12" i="12"/>
  <c r="AT12" i="12"/>
  <c r="AS12" i="12"/>
  <c r="AR12" i="12"/>
  <c r="AQ12" i="12"/>
  <c r="AP12" i="12"/>
  <c r="AO12" i="12"/>
  <c r="AN12" i="12"/>
  <c r="AM12" i="12"/>
  <c r="AL12" i="12"/>
  <c r="AK12" i="12"/>
  <c r="AJ12" i="12"/>
  <c r="AI12" i="12"/>
  <c r="AH12" i="12"/>
  <c r="AG12" i="12"/>
  <c r="AF12" i="12"/>
  <c r="AE12" i="12"/>
  <c r="AD12" i="12"/>
  <c r="AC12" i="12"/>
  <c r="AB12" i="12"/>
  <c r="AA12" i="12"/>
  <c r="Z12" i="12"/>
  <c r="Y12" i="12"/>
  <c r="X12" i="12"/>
  <c r="W12" i="12"/>
  <c r="V12" i="12"/>
  <c r="U12" i="12"/>
  <c r="T12" i="12"/>
  <c r="S12" i="12"/>
  <c r="R12" i="12"/>
  <c r="Q12" i="12"/>
  <c r="W7" i="12"/>
  <c r="AA6" i="12"/>
  <c r="W6" i="12"/>
  <c r="AA5" i="12"/>
  <c r="Z5" i="12"/>
  <c r="W5" i="12"/>
  <c r="K19" i="11"/>
  <c r="I19" i="11"/>
  <c r="G19" i="11"/>
  <c r="E19" i="11"/>
  <c r="C19" i="11"/>
  <c r="K18" i="11"/>
  <c r="I18" i="11"/>
  <c r="G18" i="11"/>
  <c r="E18" i="11"/>
  <c r="C18" i="11"/>
  <c r="L17" i="11"/>
  <c r="J17" i="11"/>
  <c r="L16" i="11"/>
  <c r="H16" i="11"/>
  <c r="J15" i="11"/>
  <c r="H15" i="11"/>
  <c r="L14" i="11"/>
  <c r="F14" i="11"/>
  <c r="J13" i="11"/>
  <c r="F13" i="11"/>
  <c r="S12" i="11"/>
  <c r="Q12" i="11"/>
  <c r="H12" i="11"/>
  <c r="F12" i="11"/>
  <c r="Q11" i="11"/>
  <c r="L11" i="11"/>
  <c r="D11" i="11"/>
  <c r="Q10" i="11"/>
  <c r="J10" i="11"/>
  <c r="D10" i="11"/>
  <c r="Q9" i="11"/>
  <c r="H9" i="11"/>
  <c r="D9" i="11"/>
  <c r="Q8" i="11"/>
  <c r="F8" i="11"/>
  <c r="D8" i="11"/>
  <c r="K7" i="11"/>
  <c r="I7" i="11"/>
  <c r="G7" i="11"/>
  <c r="E7" i="11"/>
  <c r="C7" i="11"/>
  <c r="K6" i="11"/>
  <c r="I6" i="11"/>
  <c r="G6" i="11"/>
  <c r="E6" i="11"/>
  <c r="C6" i="11"/>
  <c r="AB3" i="9"/>
  <c r="U3" i="9"/>
  <c r="J18" i="4"/>
  <c r="K17" i="4"/>
  <c r="L17" i="4" s="1"/>
  <c r="F7" i="4"/>
  <c r="E7" i="4"/>
  <c r="D7" i="4"/>
  <c r="C7" i="4"/>
  <c r="I7" i="4" s="1"/>
  <c r="F8" i="4" s="1"/>
  <c r="H25" i="14"/>
  <c r="F25" i="14"/>
  <c r="E25" i="14"/>
  <c r="C25" i="14"/>
  <c r="B25" i="14"/>
  <c r="H24" i="14"/>
  <c r="F24" i="14"/>
  <c r="E24" i="14"/>
  <c r="D24" i="14"/>
  <c r="C24" i="14"/>
  <c r="G23" i="14"/>
  <c r="F23" i="14"/>
  <c r="E23" i="14"/>
  <c r="C23" i="14"/>
  <c r="B23" i="14"/>
  <c r="G22" i="14"/>
  <c r="F22" i="14"/>
  <c r="E22" i="14"/>
  <c r="D22" i="14"/>
  <c r="C22" i="14"/>
  <c r="H21" i="14"/>
  <c r="G21" i="14"/>
  <c r="E21" i="14"/>
  <c r="D21" i="14"/>
  <c r="B21" i="14"/>
  <c r="H20" i="14"/>
  <c r="G20" i="14"/>
  <c r="F20" i="14"/>
  <c r="D20" i="14"/>
  <c r="B20" i="14"/>
  <c r="H19" i="14"/>
  <c r="G19" i="14"/>
  <c r="F19" i="14"/>
  <c r="E19" i="14"/>
  <c r="B19" i="14"/>
  <c r="H18" i="14"/>
  <c r="G18" i="14"/>
  <c r="F18" i="14"/>
  <c r="E18" i="14"/>
  <c r="D18" i="14"/>
  <c r="J12" i="14"/>
  <c r="H12" i="14"/>
  <c r="G12" i="14"/>
  <c r="K11" i="14"/>
  <c r="H11" i="14"/>
  <c r="G11" i="14"/>
  <c r="J10" i="14"/>
  <c r="I10" i="14"/>
  <c r="H10" i="14"/>
  <c r="D10" i="14"/>
  <c r="C10" i="14"/>
  <c r="B10" i="14"/>
  <c r="K9" i="14"/>
  <c r="I9" i="14"/>
  <c r="H9" i="14"/>
  <c r="E9" i="14"/>
  <c r="C9" i="14"/>
  <c r="B9" i="14"/>
  <c r="K8" i="14"/>
  <c r="J8" i="14"/>
  <c r="H8" i="14"/>
  <c r="E8" i="14"/>
  <c r="D8" i="14"/>
  <c r="B8" i="14"/>
  <c r="K7" i="14"/>
  <c r="J7" i="14"/>
  <c r="I7" i="14"/>
  <c r="E7" i="14"/>
  <c r="D7" i="14"/>
  <c r="C7" i="14"/>
  <c r="B34" i="17"/>
  <c r="A34" i="17"/>
  <c r="B33" i="17"/>
  <c r="A33" i="17"/>
  <c r="B32" i="17"/>
  <c r="A32" i="17"/>
  <c r="B31" i="17"/>
  <c r="A31" i="17"/>
  <c r="B30" i="17"/>
  <c r="A30" i="17"/>
  <c r="B29" i="17"/>
  <c r="A29" i="17"/>
  <c r="B28" i="17"/>
  <c r="A28" i="17"/>
  <c r="B27" i="17"/>
  <c r="A27" i="17"/>
  <c r="B26" i="17"/>
  <c r="A26" i="17"/>
  <c r="B25" i="17"/>
  <c r="A25" i="17"/>
  <c r="B24" i="17"/>
  <c r="A24" i="17"/>
  <c r="B23" i="17"/>
  <c r="A23" i="17"/>
  <c r="B22" i="17"/>
  <c r="A22" i="17"/>
  <c r="B21" i="17"/>
  <c r="A21" i="17"/>
  <c r="B20" i="17"/>
  <c r="A20" i="17"/>
  <c r="B19" i="17"/>
  <c r="A19" i="17"/>
  <c r="B18" i="17"/>
  <c r="A18" i="17"/>
  <c r="B17" i="17"/>
  <c r="A17" i="17"/>
  <c r="B16" i="17"/>
  <c r="A16" i="17"/>
  <c r="B15" i="17"/>
  <c r="A15" i="17"/>
  <c r="B14" i="17"/>
  <c r="A14" i="17"/>
  <c r="B13" i="17"/>
  <c r="A13" i="17"/>
  <c r="B12" i="17"/>
  <c r="A12" i="17"/>
  <c r="B11" i="17"/>
  <c r="A11" i="17"/>
  <c r="B10" i="17"/>
  <c r="A10" i="17"/>
  <c r="B9" i="17"/>
  <c r="A9" i="17"/>
  <c r="B8" i="17"/>
  <c r="A8" i="17"/>
  <c r="B7" i="17"/>
  <c r="A7" i="17"/>
  <c r="B6" i="17"/>
  <c r="A6" i="17"/>
  <c r="B5" i="17"/>
  <c r="A5" i="17"/>
  <c r="J2" i="17"/>
  <c r="C33" i="17" s="1"/>
  <c r="D33" i="17" s="1"/>
  <c r="N22" i="24"/>
  <c r="M22" i="24"/>
  <c r="N21" i="24"/>
  <c r="O21" i="24" s="1"/>
  <c r="G17" i="24"/>
  <c r="G18" i="24" s="1"/>
  <c r="E17" i="24"/>
  <c r="E18" i="24" s="1"/>
  <c r="O16" i="24"/>
  <c r="M16" i="24"/>
  <c r="G16" i="24"/>
  <c r="F16" i="24"/>
  <c r="E16" i="24"/>
  <c r="C16" i="24"/>
  <c r="G15" i="24"/>
  <c r="F15" i="24"/>
  <c r="I15" i="24" s="1"/>
  <c r="G8" i="24"/>
  <c r="F8" i="24"/>
  <c r="G7" i="24"/>
  <c r="F7" i="24"/>
  <c r="D7" i="24"/>
  <c r="G6" i="24"/>
  <c r="F6" i="24"/>
  <c r="D6" i="24"/>
  <c r="S20" i="18"/>
  <c r="R20" i="18"/>
  <c r="W20" i="18" s="1"/>
  <c r="Q20" i="18"/>
  <c r="P20" i="18"/>
  <c r="V20" i="18" s="1"/>
  <c r="O20" i="18"/>
  <c r="N20" i="18"/>
  <c r="M20" i="18"/>
  <c r="L20" i="18"/>
  <c r="K20" i="18"/>
  <c r="J20" i="18"/>
  <c r="I20" i="18"/>
  <c r="S19" i="18"/>
  <c r="R19" i="18"/>
  <c r="W19" i="18" s="1"/>
  <c r="Q19" i="18"/>
  <c r="P19" i="18"/>
  <c r="V19" i="18" s="1"/>
  <c r="O19" i="18"/>
  <c r="N19" i="18"/>
  <c r="M19" i="18"/>
  <c r="L19" i="18"/>
  <c r="K19" i="18"/>
  <c r="J19" i="18"/>
  <c r="I19" i="18"/>
  <c r="S18" i="18"/>
  <c r="R18" i="18"/>
  <c r="W18" i="18" s="1"/>
  <c r="Q18" i="18"/>
  <c r="P18" i="18"/>
  <c r="V18" i="18" s="1"/>
  <c r="O18" i="18"/>
  <c r="N18" i="18"/>
  <c r="M18" i="18"/>
  <c r="L18" i="18"/>
  <c r="K18" i="18"/>
  <c r="J18" i="18"/>
  <c r="I18" i="18"/>
  <c r="S17" i="18"/>
  <c r="R17" i="18"/>
  <c r="W17" i="18" s="1"/>
  <c r="Q17" i="18"/>
  <c r="P17" i="18"/>
  <c r="L17" i="18"/>
  <c r="K17" i="18"/>
  <c r="J17" i="18"/>
  <c r="I17" i="18"/>
  <c r="S16" i="18"/>
  <c r="R16" i="18"/>
  <c r="W16" i="18" s="1"/>
  <c r="Q16" i="18"/>
  <c r="P16" i="18"/>
  <c r="I16" i="18"/>
  <c r="I15" i="18"/>
  <c r="J15" i="18" s="1"/>
  <c r="I14" i="18"/>
  <c r="AK42" i="19"/>
  <c r="AK41" i="19"/>
  <c r="AJ41" i="19"/>
  <c r="AI40" i="19"/>
  <c r="AH40" i="19"/>
  <c r="AG40" i="19"/>
  <c r="AF40" i="19"/>
  <c r="AE40" i="19"/>
  <c r="AD40" i="19"/>
  <c r="AC40" i="19"/>
  <c r="AB40" i="19"/>
  <c r="AA40" i="19"/>
  <c r="Z40" i="19"/>
  <c r="Y40" i="19"/>
  <c r="X40" i="19"/>
  <c r="W40" i="19"/>
  <c r="V40" i="19"/>
  <c r="U40" i="19"/>
  <c r="T40" i="19"/>
  <c r="S40" i="19"/>
  <c r="R40" i="19"/>
  <c r="Q40" i="19"/>
  <c r="AI39" i="19"/>
  <c r="AH39" i="19"/>
  <c r="AG39" i="19"/>
  <c r="AF39" i="19"/>
  <c r="AE39" i="19"/>
  <c r="AD39" i="19"/>
  <c r="AC39" i="19"/>
  <c r="AB39" i="19"/>
  <c r="AA39" i="19"/>
  <c r="Z39" i="19"/>
  <c r="Y39" i="19"/>
  <c r="X39" i="19"/>
  <c r="W39" i="19"/>
  <c r="V39" i="19"/>
  <c r="U39" i="19"/>
  <c r="T39" i="19"/>
  <c r="S39" i="19"/>
  <c r="R39" i="19"/>
  <c r="Q39" i="19"/>
  <c r="AI38" i="19"/>
  <c r="AH38" i="19"/>
  <c r="AG38" i="19"/>
  <c r="AF38" i="19"/>
  <c r="AE38" i="19"/>
  <c r="AD38" i="19"/>
  <c r="AC38" i="19"/>
  <c r="AB38" i="19"/>
  <c r="AA38" i="19"/>
  <c r="Z38" i="19"/>
  <c r="Y38" i="19"/>
  <c r="X38" i="19"/>
  <c r="W38" i="19"/>
  <c r="V38" i="19"/>
  <c r="U38" i="19"/>
  <c r="T38" i="19"/>
  <c r="S38" i="19"/>
  <c r="R38" i="19"/>
  <c r="Q38" i="19"/>
  <c r="P38" i="19"/>
  <c r="AI37" i="19"/>
  <c r="AH37" i="19"/>
  <c r="AG37" i="19"/>
  <c r="AF37" i="19"/>
  <c r="AE37" i="19"/>
  <c r="AD37" i="19"/>
  <c r="AC37" i="19"/>
  <c r="AB37" i="19"/>
  <c r="AA37" i="19"/>
  <c r="Z37" i="19"/>
  <c r="Y37" i="19"/>
  <c r="X37" i="19"/>
  <c r="W37" i="19"/>
  <c r="V37" i="19"/>
  <c r="U37" i="19"/>
  <c r="T37" i="19"/>
  <c r="S37" i="19"/>
  <c r="R37" i="19"/>
  <c r="Q37" i="19"/>
  <c r="P37" i="19"/>
  <c r="AI36" i="19"/>
  <c r="AH36" i="19"/>
  <c r="AG36" i="19"/>
  <c r="AF36" i="19"/>
  <c r="AE36" i="19"/>
  <c r="AD36" i="19"/>
  <c r="AC36" i="19"/>
  <c r="AB36" i="19"/>
  <c r="AA36" i="19"/>
  <c r="Z36" i="19"/>
  <c r="Y36" i="19"/>
  <c r="X36" i="19"/>
  <c r="W36" i="19"/>
  <c r="V36" i="19"/>
  <c r="U36" i="19"/>
  <c r="T36" i="19"/>
  <c r="S36" i="19"/>
  <c r="R36" i="19"/>
  <c r="Q36" i="19"/>
  <c r="P36" i="19"/>
  <c r="AI35" i="19"/>
  <c r="AH35" i="19"/>
  <c r="AG35" i="19"/>
  <c r="AF35" i="19"/>
  <c r="AE35" i="19"/>
  <c r="AD35" i="19"/>
  <c r="AC35" i="19"/>
  <c r="AB35" i="19"/>
  <c r="AA35" i="19"/>
  <c r="Z35" i="19"/>
  <c r="Y35" i="19"/>
  <c r="X35" i="19"/>
  <c r="W35" i="19"/>
  <c r="V35" i="19"/>
  <c r="U35" i="19"/>
  <c r="T35" i="19"/>
  <c r="S35" i="19"/>
  <c r="R35" i="19"/>
  <c r="Q35" i="19"/>
  <c r="P35" i="19"/>
  <c r="AI34" i="19"/>
  <c r="AH34" i="19"/>
  <c r="AG34" i="19"/>
  <c r="AF34" i="19"/>
  <c r="AE34" i="19"/>
  <c r="AD34" i="19"/>
  <c r="AC34" i="19"/>
  <c r="AB34" i="19"/>
  <c r="AA34" i="19"/>
  <c r="Z34" i="19"/>
  <c r="Y34" i="19"/>
  <c r="X34" i="19"/>
  <c r="W34" i="19"/>
  <c r="V34" i="19"/>
  <c r="U34" i="19"/>
  <c r="T34" i="19"/>
  <c r="S34" i="19"/>
  <c r="R34" i="19"/>
  <c r="Q34" i="19"/>
  <c r="P34" i="19"/>
  <c r="AI33" i="19"/>
  <c r="AH33" i="19"/>
  <c r="AG33" i="19"/>
  <c r="AF33" i="19"/>
  <c r="AE33" i="19"/>
  <c r="AD33" i="19"/>
  <c r="AC33" i="19"/>
  <c r="AB33" i="19"/>
  <c r="AA33" i="19"/>
  <c r="Z33" i="19"/>
  <c r="Y33" i="19"/>
  <c r="X33" i="19"/>
  <c r="W33" i="19"/>
  <c r="V33" i="19"/>
  <c r="U33" i="19"/>
  <c r="T33" i="19"/>
  <c r="S33" i="19"/>
  <c r="R33" i="19"/>
  <c r="Q33" i="19"/>
  <c r="H33" i="19"/>
  <c r="G33" i="19"/>
  <c r="AI32" i="19"/>
  <c r="AH32" i="19"/>
  <c r="AG32" i="19"/>
  <c r="AF32" i="19"/>
  <c r="AE32" i="19"/>
  <c r="AD32" i="19"/>
  <c r="AC32" i="19"/>
  <c r="AB32" i="19"/>
  <c r="AA32" i="19"/>
  <c r="Z32" i="19"/>
  <c r="Y32" i="19"/>
  <c r="X32" i="19"/>
  <c r="W32" i="19"/>
  <c r="V32" i="19"/>
  <c r="U32" i="19"/>
  <c r="T32" i="19"/>
  <c r="S32" i="19"/>
  <c r="R32" i="19"/>
  <c r="H32" i="19"/>
  <c r="G32" i="19"/>
  <c r="O31" i="19"/>
  <c r="I31" i="19"/>
  <c r="H31" i="19"/>
  <c r="G31" i="19"/>
  <c r="H30" i="19"/>
  <c r="G30" i="19"/>
  <c r="H28" i="19"/>
  <c r="G28" i="19"/>
  <c r="H27" i="19"/>
  <c r="G27" i="19"/>
  <c r="H26" i="19"/>
  <c r="G26" i="19"/>
  <c r="O24" i="19"/>
  <c r="L24" i="19"/>
  <c r="O23" i="19"/>
  <c r="L23" i="19"/>
  <c r="G23" i="19"/>
  <c r="F23" i="19"/>
  <c r="E23" i="19"/>
  <c r="G22" i="19"/>
  <c r="F22" i="19"/>
  <c r="E22" i="19"/>
  <c r="I10" i="22"/>
  <c r="I11" i="22" s="1"/>
  <c r="I61" i="22" s="1"/>
  <c r="AT12" i="28"/>
  <c r="AS12" i="28"/>
  <c r="AR12" i="28"/>
  <c r="AQ12" i="28"/>
  <c r="AP12" i="28"/>
  <c r="AO12" i="28"/>
  <c r="AN12" i="28"/>
  <c r="AM12" i="28"/>
  <c r="AL12" i="28"/>
  <c r="AK12" i="28"/>
  <c r="AJ12" i="28"/>
  <c r="AI12" i="28"/>
  <c r="AH12" i="28"/>
  <c r="AG12" i="28"/>
  <c r="AF12" i="28"/>
  <c r="AE12" i="28"/>
  <c r="AD12" i="28"/>
  <c r="AC12" i="28"/>
  <c r="AB12" i="28"/>
  <c r="AA12" i="28"/>
  <c r="Z12" i="28"/>
  <c r="Y12" i="28"/>
  <c r="X12" i="28"/>
  <c r="W12" i="28"/>
  <c r="V12" i="28"/>
  <c r="U12" i="28"/>
  <c r="T12" i="28"/>
  <c r="S12" i="28"/>
  <c r="R12" i="28"/>
  <c r="Q12" i="28"/>
  <c r="P12" i="28"/>
  <c r="O12" i="28"/>
  <c r="N12" i="28"/>
  <c r="M12" i="28"/>
  <c r="L12" i="28"/>
  <c r="K12" i="28"/>
  <c r="J12" i="28"/>
  <c r="I12" i="28"/>
  <c r="H12" i="28"/>
  <c r="G12" i="28"/>
  <c r="F12" i="28"/>
  <c r="D12" i="28"/>
  <c r="AL10" i="28"/>
  <c r="AI10" i="28"/>
  <c r="AD10" i="28"/>
  <c r="V10" i="28"/>
  <c r="F10" i="28"/>
  <c r="AT9" i="28"/>
  <c r="AS9" i="28"/>
  <c r="AR9" i="28"/>
  <c r="AQ9" i="28"/>
  <c r="AP9" i="28"/>
  <c r="AO9" i="28"/>
  <c r="AN9" i="28"/>
  <c r="AM9" i="28"/>
  <c r="AL9" i="28"/>
  <c r="AK9" i="28"/>
  <c r="AJ9" i="28"/>
  <c r="AI9" i="28"/>
  <c r="AH9" i="28"/>
  <c r="AG9" i="28"/>
  <c r="AF9" i="28"/>
  <c r="AE9" i="28"/>
  <c r="AD9" i="28"/>
  <c r="AC9" i="28"/>
  <c r="AB9" i="28"/>
  <c r="AA9" i="28"/>
  <c r="Z9" i="28"/>
  <c r="Y9" i="28"/>
  <c r="X9" i="28"/>
  <c r="W9" i="28"/>
  <c r="V9" i="28"/>
  <c r="U9" i="28"/>
  <c r="T9" i="28"/>
  <c r="S9" i="28"/>
  <c r="R9" i="28"/>
  <c r="Q9" i="28"/>
  <c r="P9" i="28"/>
  <c r="O9" i="28"/>
  <c r="N9" i="28"/>
  <c r="M9" i="28"/>
  <c r="L9" i="28"/>
  <c r="K9" i="28"/>
  <c r="J9" i="28"/>
  <c r="I9" i="28"/>
  <c r="H9" i="28"/>
  <c r="G9" i="28"/>
  <c r="F9" i="28"/>
  <c r="AT8" i="28"/>
  <c r="AS8" i="28"/>
  <c r="AR8" i="28"/>
  <c r="AQ8" i="28"/>
  <c r="AP8" i="28"/>
  <c r="AO8" i="28"/>
  <c r="AN8" i="28"/>
  <c r="AM8" i="28"/>
  <c r="AL8" i="28"/>
  <c r="AK8" i="28"/>
  <c r="AJ8" i="28"/>
  <c r="AI8" i="28"/>
  <c r="AH8" i="28"/>
  <c r="AG8" i="28"/>
  <c r="AF8" i="28"/>
  <c r="AE8" i="28"/>
  <c r="AD8" i="28"/>
  <c r="AC8" i="28"/>
  <c r="AB8" i="28"/>
  <c r="AA8" i="28"/>
  <c r="Z8" i="28"/>
  <c r="Y8" i="28"/>
  <c r="X8" i="28"/>
  <c r="W8" i="28"/>
  <c r="V8" i="28"/>
  <c r="U8" i="28"/>
  <c r="T8" i="28"/>
  <c r="S8" i="28"/>
  <c r="R8" i="28"/>
  <c r="Q8" i="28"/>
  <c r="P8" i="28"/>
  <c r="O8" i="28"/>
  <c r="N8" i="28"/>
  <c r="M8" i="28"/>
  <c r="L8" i="28"/>
  <c r="K8" i="28"/>
  <c r="J8" i="28"/>
  <c r="I8" i="28"/>
  <c r="H8" i="28"/>
  <c r="G8" i="28"/>
  <c r="L5" i="28"/>
  <c r="AO11" i="28" s="1"/>
  <c r="V4" i="28"/>
  <c r="U4" i="28"/>
  <c r="L4" i="28"/>
  <c r="AO10" i="28" s="1"/>
  <c r="K24" i="29"/>
  <c r="J24" i="29"/>
  <c r="K23" i="29"/>
  <c r="J23" i="29"/>
  <c r="K22" i="29"/>
  <c r="J22" i="29"/>
  <c r="K21" i="29"/>
  <c r="J21" i="29"/>
  <c r="K20" i="29"/>
  <c r="J20" i="29"/>
  <c r="K19" i="29"/>
  <c r="J19" i="29"/>
  <c r="AD14" i="29"/>
  <c r="AC14" i="29"/>
  <c r="AB14" i="29"/>
  <c r="AA14" i="29"/>
  <c r="Z14" i="29"/>
  <c r="Y14" i="29"/>
  <c r="X14" i="29"/>
  <c r="W14" i="29"/>
  <c r="V14" i="29"/>
  <c r="U14" i="29"/>
  <c r="T14" i="29"/>
  <c r="S14" i="29"/>
  <c r="R14" i="29"/>
  <c r="Q14" i="29"/>
  <c r="P14" i="29"/>
  <c r="O14" i="29"/>
  <c r="N14" i="29"/>
  <c r="M14" i="29"/>
  <c r="L14" i="29"/>
  <c r="K14" i="29"/>
  <c r="J14" i="29"/>
  <c r="AD13" i="29"/>
  <c r="AC13" i="29"/>
  <c r="AB13" i="29"/>
  <c r="AA13" i="29"/>
  <c r="Z13" i="29"/>
  <c r="Y13" i="29"/>
  <c r="X13" i="29"/>
  <c r="W13" i="29"/>
  <c r="V13" i="29"/>
  <c r="U13" i="29"/>
  <c r="T13" i="29"/>
  <c r="S13" i="29"/>
  <c r="R13" i="29"/>
  <c r="Q13" i="29"/>
  <c r="P13" i="29"/>
  <c r="O13" i="29"/>
  <c r="N13" i="29"/>
  <c r="M13" i="29"/>
  <c r="L13" i="29"/>
  <c r="K13" i="29"/>
  <c r="J13" i="29"/>
  <c r="AD12" i="29"/>
  <c r="AC12" i="29"/>
  <c r="AB12" i="29"/>
  <c r="AA12" i="29"/>
  <c r="Z12" i="29"/>
  <c r="Y12" i="29"/>
  <c r="X12" i="29"/>
  <c r="W12" i="29"/>
  <c r="V12" i="29"/>
  <c r="U12" i="29"/>
  <c r="T12" i="29"/>
  <c r="S12" i="29"/>
  <c r="R12" i="29"/>
  <c r="Q12" i="29"/>
  <c r="P12" i="29"/>
  <c r="O12" i="29"/>
  <c r="N12" i="29"/>
  <c r="M12" i="29"/>
  <c r="L12" i="29"/>
  <c r="K12" i="29"/>
  <c r="J12" i="29"/>
  <c r="AD11" i="29"/>
  <c r="AC11" i="29"/>
  <c r="AB11" i="29"/>
  <c r="AA11" i="29"/>
  <c r="Z11" i="29"/>
  <c r="Y11" i="29"/>
  <c r="X11" i="29"/>
  <c r="W11" i="29"/>
  <c r="V11" i="29"/>
  <c r="U11" i="29"/>
  <c r="T11" i="29"/>
  <c r="S11" i="29"/>
  <c r="R11" i="29"/>
  <c r="Q11" i="29"/>
  <c r="P11" i="29"/>
  <c r="O11" i="29"/>
  <c r="N11" i="29"/>
  <c r="M11" i="29"/>
  <c r="L11" i="29"/>
  <c r="K11" i="29"/>
  <c r="O8" i="29"/>
  <c r="R7" i="29"/>
  <c r="O7" i="29"/>
  <c r="R6" i="29"/>
  <c r="Q6" i="29"/>
  <c r="O6" i="29"/>
  <c r="H61" i="22" l="1"/>
  <c r="H12" i="22"/>
  <c r="AB40" i="35"/>
  <c r="K25" i="35"/>
  <c r="L25" i="35" s="1"/>
  <c r="AD20" i="35" s="1"/>
  <c r="J25" i="35"/>
  <c r="M25" i="35" s="1"/>
  <c r="K10" i="28"/>
  <c r="AQ10" i="28"/>
  <c r="N10" i="28"/>
  <c r="AT10" i="28"/>
  <c r="S10" i="28"/>
  <c r="AA10" i="28"/>
  <c r="J10" i="28"/>
  <c r="R10" i="28"/>
  <c r="Z10" i="28"/>
  <c r="AH10" i="28"/>
  <c r="AP10" i="28"/>
  <c r="AO13" i="28"/>
  <c r="L10" i="28"/>
  <c r="T10" i="28"/>
  <c r="AB10" i="28"/>
  <c r="AJ10" i="28"/>
  <c r="AR10" i="28"/>
  <c r="M10" i="28"/>
  <c r="U10" i="28"/>
  <c r="AC10" i="28"/>
  <c r="AK10" i="28"/>
  <c r="AS10" i="28"/>
  <c r="G10" i="28"/>
  <c r="O10" i="28"/>
  <c r="W10" i="28"/>
  <c r="AE10" i="28"/>
  <c r="AM10" i="28"/>
  <c r="H10" i="28"/>
  <c r="P10" i="28"/>
  <c r="X10" i="28"/>
  <c r="AF10" i="28"/>
  <c r="AN10" i="28"/>
  <c r="I10" i="28"/>
  <c r="Q10" i="28"/>
  <c r="Y10" i="28"/>
  <c r="AG10" i="28"/>
  <c r="K11" i="28"/>
  <c r="K13" i="28" s="1"/>
  <c r="S11" i="28"/>
  <c r="S13" i="28" s="1"/>
  <c r="AA11" i="28"/>
  <c r="AI11" i="28"/>
  <c r="AI13" i="28" s="1"/>
  <c r="AQ11" i="28"/>
  <c r="O11" i="28"/>
  <c r="AE11" i="28"/>
  <c r="J11" i="28"/>
  <c r="R11" i="28"/>
  <c r="Z11" i="28"/>
  <c r="Z13" i="28" s="1"/>
  <c r="AH11" i="28"/>
  <c r="AP11" i="28"/>
  <c r="AP13" i="28" s="1"/>
  <c r="L11" i="28"/>
  <c r="T11" i="28"/>
  <c r="T13" i="28" s="1"/>
  <c r="AB11" i="28"/>
  <c r="AJ11" i="28"/>
  <c r="AR11" i="28"/>
  <c r="AR13" i="28" s="1"/>
  <c r="M11" i="28"/>
  <c r="U11" i="28"/>
  <c r="U13" i="28" s="1"/>
  <c r="AC11" i="28"/>
  <c r="AC13" i="28" s="1"/>
  <c r="AK11" i="28"/>
  <c r="AS11" i="28"/>
  <c r="AS13" i="28" s="1"/>
  <c r="F11" i="28"/>
  <c r="F13" i="28" s="1"/>
  <c r="N11" i="28"/>
  <c r="N13" i="28" s="1"/>
  <c r="V11" i="28"/>
  <c r="V13" i="28" s="1"/>
  <c r="AD11" i="28"/>
  <c r="AD13" i="28" s="1"/>
  <c r="AL11" i="28"/>
  <c r="AL13" i="28" s="1"/>
  <c r="AT11" i="28"/>
  <c r="AT13" i="28" s="1"/>
  <c r="G11" i="28"/>
  <c r="W11" i="28"/>
  <c r="W13" i="28" s="1"/>
  <c r="AM11" i="28"/>
  <c r="AM13" i="28" s="1"/>
  <c r="H11" i="28"/>
  <c r="H13" i="28" s="1"/>
  <c r="P11" i="28"/>
  <c r="P13" i="28" s="1"/>
  <c r="X11" i="28"/>
  <c r="X13" i="28" s="1"/>
  <c r="AF11" i="28"/>
  <c r="AF13" i="28" s="1"/>
  <c r="AN11" i="28"/>
  <c r="AN13" i="28" s="1"/>
  <c r="I11" i="28"/>
  <c r="I13" i="28" s="1"/>
  <c r="Q11" i="28"/>
  <c r="Q13" i="28" s="1"/>
  <c r="Y11" i="28"/>
  <c r="Y13" i="28" s="1"/>
  <c r="AG11" i="28"/>
  <c r="AG13" i="28" s="1"/>
  <c r="N23" i="24"/>
  <c r="V17" i="18"/>
  <c r="V16" i="18"/>
  <c r="O17" i="18"/>
  <c r="J16" i="18"/>
  <c r="L16" i="18" s="1"/>
  <c r="N17" i="18"/>
  <c r="M17" i="18"/>
  <c r="L15" i="18"/>
  <c r="K15" i="18"/>
  <c r="N15" i="18" s="1"/>
  <c r="J14" i="18"/>
  <c r="L14" i="18" s="1"/>
  <c r="S14" i="18" s="1"/>
  <c r="R15" i="18" s="1"/>
  <c r="M23" i="24"/>
  <c r="G27" i="40"/>
  <c r="G32" i="40" s="1"/>
  <c r="G33" i="40" s="1"/>
  <c r="G34" i="40" s="1"/>
  <c r="G35" i="40" s="1"/>
  <c r="F28" i="40"/>
  <c r="F29" i="40" s="1"/>
  <c r="F30" i="40" s="1"/>
  <c r="F31" i="40" s="1"/>
  <c r="K12" i="39"/>
  <c r="K13" i="39"/>
  <c r="M13" i="39"/>
  <c r="L13" i="39"/>
  <c r="E24" i="39"/>
  <c r="F24" i="39"/>
  <c r="O9" i="39"/>
  <c r="O11" i="39" s="1"/>
  <c r="N11" i="39"/>
  <c r="N10" i="39"/>
  <c r="N13" i="39" s="1"/>
  <c r="O15" i="24"/>
  <c r="I17" i="24"/>
  <c r="O17" i="24" s="1"/>
  <c r="P21" i="24"/>
  <c r="O22" i="24"/>
  <c r="O23" i="24" s="1"/>
  <c r="F18" i="24"/>
  <c r="H15" i="24"/>
  <c r="D16" i="24"/>
  <c r="D18" i="24" s="1"/>
  <c r="N24" i="24"/>
  <c r="N25" i="24" s="1"/>
  <c r="C18" i="24"/>
  <c r="M24" i="24"/>
  <c r="K11" i="36"/>
  <c r="L11" i="36" s="1"/>
  <c r="K19" i="36" s="1"/>
  <c r="I21" i="36"/>
  <c r="I22" i="36"/>
  <c r="I19" i="36"/>
  <c r="H11" i="36"/>
  <c r="D13" i="36" s="1"/>
  <c r="R12" i="36"/>
  <c r="E32" i="36"/>
  <c r="R43" i="36"/>
  <c r="R45" i="36" s="1"/>
  <c r="Q44" i="36"/>
  <c r="M11" i="36"/>
  <c r="D29" i="35"/>
  <c r="H29" i="35" s="1"/>
  <c r="H25" i="35"/>
  <c r="G19" i="9"/>
  <c r="AI58" i="35"/>
  <c r="AI64" i="35" s="1"/>
  <c r="AB39" i="35"/>
  <c r="AB61" i="35"/>
  <c r="AB60" i="35"/>
  <c r="AB20" i="35"/>
  <c r="AB38" i="35"/>
  <c r="AI38" i="35"/>
  <c r="AI42" i="35" s="1"/>
  <c r="AB21" i="35"/>
  <c r="AB62" i="35"/>
  <c r="F33" i="35"/>
  <c r="F32" i="35"/>
  <c r="K28" i="35"/>
  <c r="L28" i="35" s="1"/>
  <c r="J28" i="35"/>
  <c r="M28" i="35" s="1"/>
  <c r="H28" i="35"/>
  <c r="J46" i="34"/>
  <c r="L11" i="34"/>
  <c r="K18" i="34"/>
  <c r="K18" i="4"/>
  <c r="I43" i="33"/>
  <c r="I40" i="33"/>
  <c r="J11" i="33"/>
  <c r="I12" i="33"/>
  <c r="I14" i="33"/>
  <c r="K94" i="22"/>
  <c r="J94" i="22"/>
  <c r="K95" i="22"/>
  <c r="J95" i="22"/>
  <c r="I96" i="22"/>
  <c r="K96" i="22"/>
  <c r="J96" i="22"/>
  <c r="H13" i="22"/>
  <c r="I13" i="22"/>
  <c r="I12" i="22"/>
  <c r="I95" i="22"/>
  <c r="I93" i="22"/>
  <c r="E8" i="4"/>
  <c r="M17" i="4"/>
  <c r="L18" i="4"/>
  <c r="D8" i="4"/>
  <c r="C8" i="4"/>
  <c r="AZ13" i="22"/>
  <c r="AZ16" i="22" s="1"/>
  <c r="H62" i="22"/>
  <c r="I62" i="22"/>
  <c r="BF13" i="22"/>
  <c r="BM16" i="22" s="1"/>
  <c r="BE13" i="22"/>
  <c r="BK16" i="22" s="1"/>
  <c r="BE12" i="22"/>
  <c r="BF12" i="22"/>
  <c r="BQ16" i="22" s="1"/>
  <c r="J10" i="22"/>
  <c r="C4" i="17"/>
  <c r="C8" i="17"/>
  <c r="D8" i="17" s="1"/>
  <c r="F11" i="17"/>
  <c r="C16" i="17"/>
  <c r="D16" i="17" s="1"/>
  <c r="F19" i="17"/>
  <c r="C24" i="17"/>
  <c r="D24" i="17" s="1"/>
  <c r="F27" i="17"/>
  <c r="C32" i="17"/>
  <c r="C7" i="17"/>
  <c r="D7" i="17" s="1"/>
  <c r="F10" i="17"/>
  <c r="C15" i="17"/>
  <c r="D15" i="17" s="1"/>
  <c r="F18" i="17"/>
  <c r="C23" i="17"/>
  <c r="D23" i="17" s="1"/>
  <c r="F26" i="17"/>
  <c r="C31" i="17"/>
  <c r="D31" i="17" s="1"/>
  <c r="E33" i="17"/>
  <c r="F34" i="17"/>
  <c r="C6" i="17"/>
  <c r="D6" i="17" s="1"/>
  <c r="F9" i="17"/>
  <c r="C14" i="17"/>
  <c r="D14" i="17" s="1"/>
  <c r="F17" i="17"/>
  <c r="C22" i="17"/>
  <c r="D22" i="17" s="1"/>
  <c r="F25" i="17"/>
  <c r="C30" i="17"/>
  <c r="D30" i="17" s="1"/>
  <c r="F33" i="17"/>
  <c r="C5" i="17"/>
  <c r="D5" i="17" s="1"/>
  <c r="F8" i="17"/>
  <c r="C13" i="17"/>
  <c r="D13" i="17" s="1"/>
  <c r="F16" i="17"/>
  <c r="C21" i="17"/>
  <c r="D21" i="17" s="1"/>
  <c r="F24" i="17"/>
  <c r="C29" i="17"/>
  <c r="D29" i="17" s="1"/>
  <c r="F32" i="17"/>
  <c r="K33" i="17"/>
  <c r="F31" i="17"/>
  <c r="F6" i="17"/>
  <c r="C11" i="17"/>
  <c r="D11" i="17" s="1"/>
  <c r="F14" i="17"/>
  <c r="C19" i="17"/>
  <c r="D19" i="17" s="1"/>
  <c r="F22" i="17"/>
  <c r="C27" i="17"/>
  <c r="D27" i="17" s="1"/>
  <c r="F30" i="17"/>
  <c r="F7" i="17"/>
  <c r="C12" i="17"/>
  <c r="D12" i="17" s="1"/>
  <c r="F15" i="17"/>
  <c r="C20" i="17"/>
  <c r="D20" i="17" s="1"/>
  <c r="F23" i="17"/>
  <c r="C28" i="17"/>
  <c r="D28" i="17" s="1"/>
  <c r="C2" i="17"/>
  <c r="G5" i="13" s="1"/>
  <c r="F5" i="17"/>
  <c r="C10" i="17"/>
  <c r="D10" i="17" s="1"/>
  <c r="F13" i="17"/>
  <c r="C18" i="17"/>
  <c r="D18" i="17" s="1"/>
  <c r="F21" i="17"/>
  <c r="C26" i="17"/>
  <c r="D26" i="17" s="1"/>
  <c r="F29" i="17"/>
  <c r="C34" i="17"/>
  <c r="D34" i="17" s="1"/>
  <c r="C9" i="17"/>
  <c r="D9" i="17" s="1"/>
  <c r="F12" i="17"/>
  <c r="C17" i="17"/>
  <c r="D17" i="17" s="1"/>
  <c r="F20" i="17"/>
  <c r="C25" i="17"/>
  <c r="D25" i="17" s="1"/>
  <c r="F28" i="17"/>
  <c r="D34" i="35" l="1"/>
  <c r="AF39" i="35"/>
  <c r="AL39" i="35" s="1"/>
  <c r="AL42" i="35" s="1"/>
  <c r="P34" i="35"/>
  <c r="R34" i="35" s="1"/>
  <c r="I17" i="22"/>
  <c r="AD38" i="35"/>
  <c r="AD60" i="35"/>
  <c r="B34" i="35"/>
  <c r="AD66" i="35" s="1"/>
  <c r="AH13" i="28"/>
  <c r="AA13" i="28"/>
  <c r="R13" i="28"/>
  <c r="AJ13" i="28"/>
  <c r="AQ13" i="28"/>
  <c r="M13" i="28"/>
  <c r="J13" i="28"/>
  <c r="AB13" i="28"/>
  <c r="AE13" i="28"/>
  <c r="O13" i="28"/>
  <c r="G13" i="28"/>
  <c r="AK13" i="28"/>
  <c r="L13" i="28"/>
  <c r="M25" i="24"/>
  <c r="K16" i="18"/>
  <c r="N16" i="18" s="1"/>
  <c r="M15" i="18"/>
  <c r="S15" i="18"/>
  <c r="W15" i="18" s="1"/>
  <c r="O15" i="18"/>
  <c r="K14" i="18"/>
  <c r="H27" i="40"/>
  <c r="H32" i="40" s="1"/>
  <c r="H33" i="40" s="1"/>
  <c r="H34" i="40" s="1"/>
  <c r="H35" i="40" s="1"/>
  <c r="G28" i="40"/>
  <c r="G29" i="40" s="1"/>
  <c r="G30" i="40" s="1"/>
  <c r="G31" i="40" s="1"/>
  <c r="O10" i="39"/>
  <c r="O13" i="39" s="1"/>
  <c r="P9" i="39"/>
  <c r="P11" i="39" s="1"/>
  <c r="O12" i="39"/>
  <c r="N12" i="39"/>
  <c r="Q9" i="39"/>
  <c r="Q11" i="39" s="1"/>
  <c r="P10" i="39"/>
  <c r="P13" i="39" s="1"/>
  <c r="M15" i="24"/>
  <c r="H17" i="24"/>
  <c r="Q21" i="24"/>
  <c r="P22" i="24"/>
  <c r="O24" i="24"/>
  <c r="O25" i="24" s="1"/>
  <c r="H18" i="24"/>
  <c r="I18" i="24"/>
  <c r="H73" i="36"/>
  <c r="I73" i="36" s="1"/>
  <c r="I77" i="36" s="1"/>
  <c r="I40" i="36"/>
  <c r="J40" i="36" s="1"/>
  <c r="J44" i="36" s="1"/>
  <c r="O16" i="36"/>
  <c r="O17" i="36" s="1"/>
  <c r="O18" i="36" s="1"/>
  <c r="D12" i="36"/>
  <c r="E31" i="36"/>
  <c r="E33" i="36" s="1"/>
  <c r="E34" i="36"/>
  <c r="D31" i="36"/>
  <c r="D33" i="36" s="1"/>
  <c r="D34" i="36"/>
  <c r="S43" i="36"/>
  <c r="S45" i="36" s="1"/>
  <c r="R44" i="36"/>
  <c r="F32" i="36"/>
  <c r="AF60" i="35"/>
  <c r="AL60" i="35" s="1"/>
  <c r="AL67" i="35" s="1"/>
  <c r="K29" i="35"/>
  <c r="L29" i="35" s="1"/>
  <c r="AD39" i="35" s="1"/>
  <c r="D33" i="35"/>
  <c r="H33" i="35" s="1"/>
  <c r="P33" i="35"/>
  <c r="R33" i="35" s="1"/>
  <c r="J29" i="35"/>
  <c r="M29" i="35" s="1"/>
  <c r="G21" i="9"/>
  <c r="G20" i="9"/>
  <c r="H19" i="9"/>
  <c r="D32" i="35"/>
  <c r="H32" i="35" s="1"/>
  <c r="AF59" i="35"/>
  <c r="AF21" i="35"/>
  <c r="AL21" i="35" s="1"/>
  <c r="AL24" i="35" s="1"/>
  <c r="AF40" i="35"/>
  <c r="AH40" i="35" s="1"/>
  <c r="AK41" i="35" s="1"/>
  <c r="AD21" i="35"/>
  <c r="AD62" i="35"/>
  <c r="P32" i="35"/>
  <c r="R32" i="35" s="1"/>
  <c r="L18" i="34"/>
  <c r="M11" i="34"/>
  <c r="J14" i="33"/>
  <c r="J12" i="33"/>
  <c r="K11" i="33"/>
  <c r="H16" i="22"/>
  <c r="I16" i="22"/>
  <c r="H17" i="22"/>
  <c r="N17" i="4"/>
  <c r="M18" i="4"/>
  <c r="AZ17" i="22"/>
  <c r="BC4" i="22" s="1"/>
  <c r="BH13" i="22"/>
  <c r="BJ13" i="22"/>
  <c r="BF16" i="22"/>
  <c r="BN16" i="22" s="1"/>
  <c r="BR16" i="22" s="1"/>
  <c r="BE16" i="22"/>
  <c r="BO16" i="22"/>
  <c r="BH12" i="22"/>
  <c r="BJ12" i="22"/>
  <c r="K8" i="17"/>
  <c r="J11" i="22"/>
  <c r="K10" i="22"/>
  <c r="E8" i="17"/>
  <c r="K6" i="17"/>
  <c r="K29" i="17"/>
  <c r="K5" i="17"/>
  <c r="E6" i="17"/>
  <c r="K7" i="17"/>
  <c r="E19" i="17"/>
  <c r="K23" i="17"/>
  <c r="K30" i="17"/>
  <c r="E7" i="17"/>
  <c r="E23" i="17"/>
  <c r="E29" i="17"/>
  <c r="E5" i="17"/>
  <c r="K13" i="17"/>
  <c r="K22" i="17"/>
  <c r="K24" i="17"/>
  <c r="E13" i="17"/>
  <c r="E31" i="17"/>
  <c r="E22" i="17"/>
  <c r="K21" i="17"/>
  <c r="E27" i="17"/>
  <c r="E11" i="17"/>
  <c r="E30" i="17"/>
  <c r="E24" i="17"/>
  <c r="E20" i="17"/>
  <c r="K15" i="17"/>
  <c r="K25" i="17"/>
  <c r="E25" i="17"/>
  <c r="E21" i="17"/>
  <c r="K14" i="17"/>
  <c r="K31" i="17"/>
  <c r="E15" i="17"/>
  <c r="E9" i="17"/>
  <c r="E14" i="17"/>
  <c r="K9" i="17"/>
  <c r="K20" i="17"/>
  <c r="E28" i="17"/>
  <c r="E12" i="17"/>
  <c r="K19" i="17"/>
  <c r="E34" i="17"/>
  <c r="E18" i="17"/>
  <c r="K17" i="17"/>
  <c r="K34" i="17"/>
  <c r="K18" i="17"/>
  <c r="K32" i="17"/>
  <c r="D32" i="17"/>
  <c r="K16" i="17"/>
  <c r="E17" i="17"/>
  <c r="K28" i="17"/>
  <c r="K12" i="17"/>
  <c r="E32" i="17"/>
  <c r="E16" i="17"/>
  <c r="K27" i="17"/>
  <c r="K11" i="17"/>
  <c r="E26" i="17"/>
  <c r="E10" i="17"/>
  <c r="K26" i="17"/>
  <c r="K10" i="17"/>
  <c r="T32" i="35" l="1"/>
  <c r="AD23" i="35" s="1"/>
  <c r="W32" i="35"/>
  <c r="X32" i="35" s="1"/>
  <c r="T33" i="35"/>
  <c r="AD41" i="35" s="1"/>
  <c r="W33" i="35"/>
  <c r="X33" i="35" s="1"/>
  <c r="AD42" i="35" s="1"/>
  <c r="AF65" i="35"/>
  <c r="AA5" i="28"/>
  <c r="Z5" i="28"/>
  <c r="AD61" i="35"/>
  <c r="O16" i="18"/>
  <c r="M16" i="18"/>
  <c r="O14" i="18"/>
  <c r="Q14" i="18"/>
  <c r="W3" i="18"/>
  <c r="W4" i="18" s="1"/>
  <c r="V3" i="18"/>
  <c r="V4" i="18" s="1"/>
  <c r="V5" i="18" s="1"/>
  <c r="W5" i="18" s="1"/>
  <c r="AA3" i="18" s="1"/>
  <c r="AC4" i="18" s="1"/>
  <c r="M14" i="18"/>
  <c r="N14" i="18"/>
  <c r="I27" i="40"/>
  <c r="I32" i="40" s="1"/>
  <c r="I33" i="40" s="1"/>
  <c r="I34" i="40" s="1"/>
  <c r="I35" i="40" s="1"/>
  <c r="H28" i="40"/>
  <c r="H29" i="40" s="1"/>
  <c r="H30" i="40" s="1"/>
  <c r="H31" i="40" s="1"/>
  <c r="P12" i="39"/>
  <c r="R9" i="39"/>
  <c r="R11" i="39" s="1"/>
  <c r="Q10" i="39"/>
  <c r="Q13" i="39" s="1"/>
  <c r="P23" i="24"/>
  <c r="P24" i="24"/>
  <c r="R21" i="24"/>
  <c r="Q22" i="24"/>
  <c r="F17" i="24"/>
  <c r="D17" i="24" s="1"/>
  <c r="M17" i="24"/>
  <c r="Q15" i="24" s="1"/>
  <c r="Q16" i="24" s="1"/>
  <c r="R15" i="24" s="1"/>
  <c r="C17" i="24"/>
  <c r="H12" i="36"/>
  <c r="L20" i="36" s="1"/>
  <c r="K12" i="36"/>
  <c r="L12" i="36" s="1"/>
  <c r="K20" i="36" s="1"/>
  <c r="J12" i="36"/>
  <c r="M12" i="36" s="1"/>
  <c r="R9" i="36"/>
  <c r="K13" i="36"/>
  <c r="L13" i="36" s="1"/>
  <c r="J13" i="36"/>
  <c r="M13" i="36" s="1"/>
  <c r="H13" i="36"/>
  <c r="F31" i="36"/>
  <c r="F33" i="36" s="1"/>
  <c r="F34" i="36"/>
  <c r="R11" i="36"/>
  <c r="T43" i="36"/>
  <c r="T45" i="36" s="1"/>
  <c r="S44" i="36"/>
  <c r="J33" i="35"/>
  <c r="M33" i="35" s="1"/>
  <c r="K33" i="35"/>
  <c r="L33" i="35" s="1"/>
  <c r="AD40" i="35" s="1"/>
  <c r="G32" i="36"/>
  <c r="H20" i="9"/>
  <c r="H21" i="9"/>
  <c r="I19" i="9"/>
  <c r="AF22" i="35"/>
  <c r="AI22" i="35" s="1"/>
  <c r="AL23" i="35" s="1"/>
  <c r="AL59" i="35"/>
  <c r="AL61" i="35" s="1"/>
  <c r="AL64" i="35" s="1"/>
  <c r="AI40" i="35"/>
  <c r="AL41" i="35" s="1"/>
  <c r="J32" i="35"/>
  <c r="M32" i="35" s="1"/>
  <c r="K32" i="35"/>
  <c r="L32" i="35" s="1"/>
  <c r="AD22" i="35" s="1"/>
  <c r="K34" i="35"/>
  <c r="L34" i="35" s="1"/>
  <c r="AD63" i="35" s="1"/>
  <c r="J34" i="35"/>
  <c r="M34" i="35" s="1"/>
  <c r="H34" i="35"/>
  <c r="M18" i="34"/>
  <c r="N11" i="34"/>
  <c r="K14" i="33"/>
  <c r="L11" i="33"/>
  <c r="K12" i="33"/>
  <c r="J12" i="22"/>
  <c r="J13" i="22"/>
  <c r="BD4" i="22"/>
  <c r="O17" i="4"/>
  <c r="N18" i="4"/>
  <c r="BD16" i="22"/>
  <c r="BL16" i="22"/>
  <c r="BP16" i="22" s="1"/>
  <c r="BJ16" i="22"/>
  <c r="BH16" i="22"/>
  <c r="BC16" i="22"/>
  <c r="BK11" i="22" s="1" a="1"/>
  <c r="BK11" i="22" s="1"/>
  <c r="J61" i="22"/>
  <c r="J62" i="22"/>
  <c r="K11" i="22"/>
  <c r="L10" i="22"/>
  <c r="AD24" i="35" l="1"/>
  <c r="P25" i="24"/>
  <c r="P15" i="18"/>
  <c r="Q15" i="18"/>
  <c r="J27" i="40"/>
  <c r="J32" i="40" s="1"/>
  <c r="J33" i="40" s="1"/>
  <c r="J34" i="40" s="1"/>
  <c r="J35" i="40" s="1"/>
  <c r="I28" i="40"/>
  <c r="I29" i="40" s="1"/>
  <c r="I30" i="40" s="1"/>
  <c r="I31" i="40" s="1"/>
  <c r="Q12" i="39"/>
  <c r="R10" i="39"/>
  <c r="R13" i="39" s="1"/>
  <c r="S9" i="39"/>
  <c r="S11" i="39" s="1"/>
  <c r="Q23" i="24"/>
  <c r="Q24" i="24"/>
  <c r="S16" i="24"/>
  <c r="T15" i="24"/>
  <c r="U16" i="24" s="1"/>
  <c r="S21" i="24"/>
  <c r="R22" i="24"/>
  <c r="G31" i="36"/>
  <c r="G33" i="36" s="1"/>
  <c r="G34" i="36"/>
  <c r="U43" i="36"/>
  <c r="U45" i="36" s="1"/>
  <c r="T44" i="36"/>
  <c r="J16" i="22"/>
  <c r="H32" i="36"/>
  <c r="I21" i="9"/>
  <c r="I20" i="9"/>
  <c r="J19" i="9"/>
  <c r="AH65" i="35"/>
  <c r="AK66" i="35" s="1"/>
  <c r="AI65" i="35"/>
  <c r="AL66" i="35" s="1"/>
  <c r="AH22" i="35"/>
  <c r="AK23" i="35" s="1"/>
  <c r="N18" i="34"/>
  <c r="O11" i="34"/>
  <c r="L12" i="33"/>
  <c r="M11" i="33"/>
  <c r="L14" i="33"/>
  <c r="J17" i="22"/>
  <c r="P17" i="4"/>
  <c r="O18" i="4"/>
  <c r="BO11" i="22"/>
  <c r="BR11" i="22" s="1"/>
  <c r="BM11" i="22"/>
  <c r="BP11" i="22" s="1"/>
  <c r="K12" i="22"/>
  <c r="K13" i="22"/>
  <c r="K61" i="22"/>
  <c r="K62" i="22"/>
  <c r="L11" i="22"/>
  <c r="M10" i="22"/>
  <c r="T34" i="35" l="1"/>
  <c r="AD64" i="35" s="1"/>
  <c r="W34" i="35"/>
  <c r="X34" i="35" s="1"/>
  <c r="AD65" i="35" s="1"/>
  <c r="V15" i="18"/>
  <c r="K27" i="40"/>
  <c r="K32" i="40" s="1"/>
  <c r="K33" i="40" s="1"/>
  <c r="K34" i="40" s="1"/>
  <c r="K35" i="40" s="1"/>
  <c r="J28" i="40"/>
  <c r="J29" i="40" s="1"/>
  <c r="J30" i="40" s="1"/>
  <c r="J31" i="40" s="1"/>
  <c r="R12" i="39"/>
  <c r="S10" i="39"/>
  <c r="S13" i="39" s="1"/>
  <c r="T9" i="39"/>
  <c r="T11" i="39" s="1"/>
  <c r="Q25" i="24"/>
  <c r="R23" i="24"/>
  <c r="R24" i="24"/>
  <c r="S22" i="24"/>
  <c r="T21" i="24"/>
  <c r="H31" i="36"/>
  <c r="H33" i="36" s="1"/>
  <c r="H34" i="36"/>
  <c r="V43" i="36"/>
  <c r="V45" i="36" s="1"/>
  <c r="U44" i="36"/>
  <c r="I32" i="36"/>
  <c r="J20" i="9"/>
  <c r="J21" i="9"/>
  <c r="K19" i="9"/>
  <c r="P11" i="34"/>
  <c r="O18" i="34"/>
  <c r="M12" i="33"/>
  <c r="M14" i="33"/>
  <c r="N11" i="33"/>
  <c r="K17" i="22"/>
  <c r="P18" i="4"/>
  <c r="Q17" i="4"/>
  <c r="K16" i="22"/>
  <c r="L12" i="22"/>
  <c r="L13" i="22"/>
  <c r="L61" i="22"/>
  <c r="L62" i="22"/>
  <c r="M11" i="22"/>
  <c r="N10" i="22"/>
  <c r="L27" i="40" l="1"/>
  <c r="L32" i="40" s="1"/>
  <c r="L33" i="40" s="1"/>
  <c r="L34" i="40" s="1"/>
  <c r="L35" i="40" s="1"/>
  <c r="K28" i="40"/>
  <c r="K29" i="40" s="1"/>
  <c r="K30" i="40" s="1"/>
  <c r="K31" i="40" s="1"/>
  <c r="S12" i="39"/>
  <c r="T10" i="39"/>
  <c r="T13" i="39" s="1"/>
  <c r="U9" i="39"/>
  <c r="U11" i="39" s="1"/>
  <c r="T22" i="24"/>
  <c r="U21" i="24"/>
  <c r="S23" i="24"/>
  <c r="S24" i="24"/>
  <c r="R25" i="24"/>
  <c r="I31" i="36"/>
  <c r="I33" i="36" s="1"/>
  <c r="I34" i="36"/>
  <c r="W43" i="36"/>
  <c r="W45" i="36" s="1"/>
  <c r="V44" i="36"/>
  <c r="J32" i="36"/>
  <c r="K20" i="9"/>
  <c r="K21" i="9"/>
  <c r="L19" i="9"/>
  <c r="P18" i="34"/>
  <c r="Q11" i="34"/>
  <c r="N14" i="33"/>
  <c r="O11" i="33"/>
  <c r="N12" i="33"/>
  <c r="L17" i="22"/>
  <c r="R17" i="4"/>
  <c r="Q18" i="4"/>
  <c r="M12" i="22"/>
  <c r="M13" i="22"/>
  <c r="L16" i="22"/>
  <c r="M61" i="22"/>
  <c r="M62" i="22"/>
  <c r="N11" i="22"/>
  <c r="O10" i="22"/>
  <c r="S25" i="24" l="1"/>
  <c r="M27" i="40"/>
  <c r="M32" i="40" s="1"/>
  <c r="M33" i="40" s="1"/>
  <c r="M34" i="40" s="1"/>
  <c r="M35" i="40" s="1"/>
  <c r="L28" i="40"/>
  <c r="L29" i="40" s="1"/>
  <c r="L30" i="40" s="1"/>
  <c r="L31" i="40" s="1"/>
  <c r="T12" i="39"/>
  <c r="V9" i="39"/>
  <c r="V11" i="39" s="1"/>
  <c r="U10" i="39"/>
  <c r="U13" i="39" s="1"/>
  <c r="T23" i="24"/>
  <c r="T24" i="24"/>
  <c r="U22" i="24"/>
  <c r="V21" i="24"/>
  <c r="J31" i="36"/>
  <c r="J33" i="36" s="1"/>
  <c r="J34" i="36"/>
  <c r="W44" i="36"/>
  <c r="X43" i="36"/>
  <c r="X45" i="36" s="1"/>
  <c r="K32" i="36"/>
  <c r="L20" i="9"/>
  <c r="L21" i="9"/>
  <c r="M19" i="9"/>
  <c r="Q18" i="34"/>
  <c r="R11" i="34"/>
  <c r="O14" i="33"/>
  <c r="O12" i="33"/>
  <c r="P11" i="33"/>
  <c r="M17" i="22"/>
  <c r="S17" i="4"/>
  <c r="R18" i="4"/>
  <c r="N12" i="22"/>
  <c r="N13" i="22"/>
  <c r="M16" i="22"/>
  <c r="N61" i="22"/>
  <c r="N62" i="22"/>
  <c r="P10" i="22"/>
  <c r="O11" i="22"/>
  <c r="T25" i="24" l="1"/>
  <c r="N27" i="40"/>
  <c r="N32" i="40" s="1"/>
  <c r="N33" i="40" s="1"/>
  <c r="N34" i="40" s="1"/>
  <c r="N35" i="40" s="1"/>
  <c r="M28" i="40"/>
  <c r="M29" i="40" s="1"/>
  <c r="M30" i="40" s="1"/>
  <c r="M31" i="40" s="1"/>
  <c r="U12" i="39"/>
  <c r="W9" i="39"/>
  <c r="W11" i="39" s="1"/>
  <c r="V10" i="39"/>
  <c r="V13" i="39" s="1"/>
  <c r="U23" i="24"/>
  <c r="U24" i="24"/>
  <c r="V22" i="24"/>
  <c r="W21" i="24"/>
  <c r="K31" i="36"/>
  <c r="K33" i="36" s="1"/>
  <c r="K34" i="36"/>
  <c r="Y43" i="36"/>
  <c r="X44" i="36"/>
  <c r="L32" i="36"/>
  <c r="M20" i="9"/>
  <c r="M21" i="9"/>
  <c r="N19" i="9"/>
  <c r="S11" i="34"/>
  <c r="R18" i="34"/>
  <c r="P14" i="33"/>
  <c r="Q11" i="33"/>
  <c r="P12" i="33"/>
  <c r="N17" i="22"/>
  <c r="T17" i="4"/>
  <c r="S18" i="4"/>
  <c r="O12" i="22"/>
  <c r="O13" i="22"/>
  <c r="N16" i="22"/>
  <c r="O61" i="22"/>
  <c r="O62" i="22"/>
  <c r="P11" i="22"/>
  <c r="Q10" i="22"/>
  <c r="U25" i="24" l="1"/>
  <c r="O27" i="40"/>
  <c r="O32" i="40" s="1"/>
  <c r="O33" i="40" s="1"/>
  <c r="O34" i="40" s="1"/>
  <c r="O35" i="40" s="1"/>
  <c r="N28" i="40"/>
  <c r="N29" i="40" s="1"/>
  <c r="N30" i="40" s="1"/>
  <c r="N31" i="40" s="1"/>
  <c r="V12" i="39"/>
  <c r="X9" i="39"/>
  <c r="X11" i="39" s="1"/>
  <c r="W10" i="39"/>
  <c r="W13" i="39" s="1"/>
  <c r="V23" i="24"/>
  <c r="V24" i="24"/>
  <c r="X21" i="24"/>
  <c r="W22" i="24"/>
  <c r="Y44" i="36"/>
  <c r="Y45" i="36"/>
  <c r="L31" i="36"/>
  <c r="L33" i="36" s="1"/>
  <c r="L34" i="36"/>
  <c r="O17" i="22"/>
  <c r="M32" i="36"/>
  <c r="N20" i="9"/>
  <c r="N21" i="9"/>
  <c r="O19" i="9"/>
  <c r="S18" i="34"/>
  <c r="T11" i="34"/>
  <c r="R11" i="33"/>
  <c r="Q12" i="33"/>
  <c r="Q14" i="33"/>
  <c r="U17" i="4"/>
  <c r="T18" i="4"/>
  <c r="P12" i="22"/>
  <c r="P13" i="22"/>
  <c r="O16" i="22"/>
  <c r="P61" i="22"/>
  <c r="P62" i="22"/>
  <c r="Q11" i="22"/>
  <c r="R10" i="22"/>
  <c r="V25" i="24" l="1"/>
  <c r="P27" i="40"/>
  <c r="P32" i="40" s="1"/>
  <c r="P33" i="40" s="1"/>
  <c r="P34" i="40" s="1"/>
  <c r="P35" i="40" s="1"/>
  <c r="O28" i="40"/>
  <c r="O29" i="40" s="1"/>
  <c r="O30" i="40" s="1"/>
  <c r="O31" i="40" s="1"/>
  <c r="W12" i="39"/>
  <c r="Y9" i="39"/>
  <c r="Y11" i="39" s="1"/>
  <c r="X10" i="39"/>
  <c r="X13" i="39" s="1"/>
  <c r="W23" i="24"/>
  <c r="W24" i="24"/>
  <c r="Y21" i="24"/>
  <c r="X22" i="24"/>
  <c r="M31" i="36"/>
  <c r="M33" i="36" s="1"/>
  <c r="M34" i="36"/>
  <c r="P17" i="22"/>
  <c r="N32" i="36"/>
  <c r="O20" i="9"/>
  <c r="O21" i="9"/>
  <c r="P19" i="9"/>
  <c r="U11" i="34"/>
  <c r="T18" i="34"/>
  <c r="R14" i="33"/>
  <c r="R12" i="33"/>
  <c r="S11" i="33"/>
  <c r="V17" i="4"/>
  <c r="U18" i="4"/>
  <c r="Q13" i="22"/>
  <c r="Q12" i="22"/>
  <c r="P16" i="22"/>
  <c r="Q61" i="22"/>
  <c r="Q62" i="22"/>
  <c r="S10" i="22"/>
  <c r="R11" i="22"/>
  <c r="Q27" i="40" l="1"/>
  <c r="Q32" i="40" s="1"/>
  <c r="Q33" i="40" s="1"/>
  <c r="Q34" i="40" s="1"/>
  <c r="Q35" i="40" s="1"/>
  <c r="P28" i="40"/>
  <c r="P29" i="40" s="1"/>
  <c r="P30" i="40" s="1"/>
  <c r="P31" i="40" s="1"/>
  <c r="X12" i="39"/>
  <c r="Z9" i="39"/>
  <c r="Z11" i="39" s="1"/>
  <c r="Y10" i="39"/>
  <c r="Y13" i="39" s="1"/>
  <c r="W25" i="24"/>
  <c r="X23" i="24"/>
  <c r="X24" i="24"/>
  <c r="Z21" i="24"/>
  <c r="Y22" i="24"/>
  <c r="N31" i="36"/>
  <c r="N33" i="36" s="1"/>
  <c r="N34" i="36"/>
  <c r="O32" i="36"/>
  <c r="P20" i="9"/>
  <c r="P21" i="9"/>
  <c r="Q19" i="9"/>
  <c r="U18" i="34"/>
  <c r="V11" i="34"/>
  <c r="S14" i="33"/>
  <c r="S12" i="33"/>
  <c r="T11" i="33"/>
  <c r="Q16" i="22"/>
  <c r="Q17" i="22"/>
  <c r="W17" i="4"/>
  <c r="V18" i="4"/>
  <c r="R13" i="22"/>
  <c r="R12" i="22"/>
  <c r="R61" i="22"/>
  <c r="R62" i="22"/>
  <c r="S11" i="22"/>
  <c r="T10" i="22"/>
  <c r="R27" i="40" l="1"/>
  <c r="R32" i="40" s="1"/>
  <c r="R33" i="40" s="1"/>
  <c r="R34" i="40" s="1"/>
  <c r="R35" i="40" s="1"/>
  <c r="Q28" i="40"/>
  <c r="Q29" i="40" s="1"/>
  <c r="Q30" i="40" s="1"/>
  <c r="Q31" i="40" s="1"/>
  <c r="Y12" i="39"/>
  <c r="Z10" i="39"/>
  <c r="Z13" i="39" s="1"/>
  <c r="AA9" i="39"/>
  <c r="AA11" i="39" s="1"/>
  <c r="Z22" i="24"/>
  <c r="AA21" i="24"/>
  <c r="Y23" i="24"/>
  <c r="Y24" i="24"/>
  <c r="X25" i="24"/>
  <c r="O31" i="36"/>
  <c r="O33" i="36" s="1"/>
  <c r="O34" i="36"/>
  <c r="P32" i="36"/>
  <c r="Q20" i="9"/>
  <c r="Q21" i="9"/>
  <c r="R19" i="9"/>
  <c r="V18" i="34"/>
  <c r="W11" i="34"/>
  <c r="T12" i="33"/>
  <c r="U11" i="33"/>
  <c r="T14" i="33"/>
  <c r="R16" i="22"/>
  <c r="R17" i="22"/>
  <c r="X17" i="4"/>
  <c r="W18" i="4"/>
  <c r="S12" i="22"/>
  <c r="S13" i="22"/>
  <c r="S61" i="22"/>
  <c r="S62" i="22"/>
  <c r="T11" i="22"/>
  <c r="U10" i="22"/>
  <c r="Y25" i="24" l="1"/>
  <c r="S27" i="40"/>
  <c r="S32" i="40" s="1"/>
  <c r="S33" i="40" s="1"/>
  <c r="S34" i="40" s="1"/>
  <c r="S35" i="40" s="1"/>
  <c r="R28" i="40"/>
  <c r="R29" i="40" s="1"/>
  <c r="R30" i="40" s="1"/>
  <c r="R31" i="40" s="1"/>
  <c r="Z12" i="39"/>
  <c r="AB9" i="39"/>
  <c r="AB11" i="39" s="1"/>
  <c r="AA10" i="39"/>
  <c r="AA13" i="39" s="1"/>
  <c r="AA22" i="24"/>
  <c r="AB21" i="24"/>
  <c r="Z23" i="24"/>
  <c r="Z24" i="24"/>
  <c r="P31" i="36"/>
  <c r="P33" i="36" s="1"/>
  <c r="P34" i="36"/>
  <c r="Q32" i="36"/>
  <c r="R21" i="9"/>
  <c r="R20" i="9"/>
  <c r="S19" i="9"/>
  <c r="X11" i="34"/>
  <c r="W18" i="34"/>
  <c r="U12" i="33"/>
  <c r="U14" i="33"/>
  <c r="V11" i="33"/>
  <c r="S17" i="22"/>
  <c r="X18" i="4"/>
  <c r="Y17" i="4"/>
  <c r="T12" i="22"/>
  <c r="T13" i="22"/>
  <c r="S16" i="22"/>
  <c r="T61" i="22"/>
  <c r="T62" i="22"/>
  <c r="V10" i="22"/>
  <c r="U11" i="22"/>
  <c r="T27" i="40" l="1"/>
  <c r="T32" i="40" s="1"/>
  <c r="T33" i="40" s="1"/>
  <c r="T34" i="40" s="1"/>
  <c r="T35" i="40" s="1"/>
  <c r="S28" i="40"/>
  <c r="S29" i="40" s="1"/>
  <c r="S30" i="40" s="1"/>
  <c r="S31" i="40" s="1"/>
  <c r="AA12" i="39"/>
  <c r="AC9" i="39"/>
  <c r="AC11" i="39" s="1"/>
  <c r="AB10" i="39"/>
  <c r="AB13" i="39" s="1"/>
  <c r="Z25" i="24"/>
  <c r="AB22" i="24"/>
  <c r="AC21" i="24"/>
  <c r="AA23" i="24"/>
  <c r="AA24" i="24"/>
  <c r="Q31" i="36"/>
  <c r="Q33" i="36" s="1"/>
  <c r="Q34" i="36"/>
  <c r="T17" i="22"/>
  <c r="R32" i="36"/>
  <c r="S20" i="9"/>
  <c r="S21" i="9"/>
  <c r="T19" i="9"/>
  <c r="X18" i="34"/>
  <c r="Y11" i="34"/>
  <c r="V14" i="33"/>
  <c r="W11" i="33"/>
  <c r="V12" i="33"/>
  <c r="Y18" i="4"/>
  <c r="Z17" i="4"/>
  <c r="U12" i="22"/>
  <c r="U13" i="22"/>
  <c r="T16" i="22"/>
  <c r="U61" i="22"/>
  <c r="U62" i="22"/>
  <c r="V11" i="22"/>
  <c r="W10" i="22"/>
  <c r="AA25" i="24" l="1"/>
  <c r="U27" i="40"/>
  <c r="U32" i="40" s="1"/>
  <c r="U33" i="40" s="1"/>
  <c r="U34" i="40" s="1"/>
  <c r="U35" i="40" s="1"/>
  <c r="T28" i="40"/>
  <c r="T29" i="40" s="1"/>
  <c r="T30" i="40" s="1"/>
  <c r="T31" i="40" s="1"/>
  <c r="AB12" i="39"/>
  <c r="AD9" i="39"/>
  <c r="AD11" i="39" s="1"/>
  <c r="AC10" i="39"/>
  <c r="AC13" i="39" s="1"/>
  <c r="AC22" i="24"/>
  <c r="AD21" i="24"/>
  <c r="AB23" i="24"/>
  <c r="AB24" i="24"/>
  <c r="R31" i="36"/>
  <c r="R33" i="36" s="1"/>
  <c r="R34" i="36"/>
  <c r="U17" i="22"/>
  <c r="S32" i="36"/>
  <c r="T20" i="9"/>
  <c r="T21" i="9"/>
  <c r="U19" i="9"/>
  <c r="Z11" i="34"/>
  <c r="Y18" i="34"/>
  <c r="W14" i="33"/>
  <c r="W12" i="33"/>
  <c r="X11" i="33"/>
  <c r="Z18" i="4"/>
  <c r="AA17" i="4"/>
  <c r="V12" i="22"/>
  <c r="V13" i="22"/>
  <c r="U16" i="22"/>
  <c r="V61" i="22"/>
  <c r="V62" i="22"/>
  <c r="W11" i="22"/>
  <c r="X10" i="22"/>
  <c r="V27" i="40" l="1"/>
  <c r="V32" i="40" s="1"/>
  <c r="V33" i="40" s="1"/>
  <c r="V34" i="40" s="1"/>
  <c r="V35" i="40" s="1"/>
  <c r="U28" i="40"/>
  <c r="U29" i="40" s="1"/>
  <c r="U30" i="40" s="1"/>
  <c r="U31" i="40" s="1"/>
  <c r="AC12" i="39"/>
  <c r="AE9" i="39"/>
  <c r="AE11" i="39" s="1"/>
  <c r="AD10" i="39"/>
  <c r="AD13" i="39" s="1"/>
  <c r="AB25" i="24"/>
  <c r="AE21" i="24"/>
  <c r="AD22" i="24"/>
  <c r="AC23" i="24"/>
  <c r="AC24" i="24"/>
  <c r="S31" i="36"/>
  <c r="S33" i="36" s="1"/>
  <c r="S34" i="36"/>
  <c r="T32" i="36"/>
  <c r="U20" i="9"/>
  <c r="U21" i="9"/>
  <c r="V19" i="9"/>
  <c r="AA11" i="34"/>
  <c r="Z18" i="34"/>
  <c r="X14" i="33"/>
  <c r="Y11" i="33"/>
  <c r="X12" i="33"/>
  <c r="V17" i="22"/>
  <c r="AB17" i="4"/>
  <c r="AA18" i="4"/>
  <c r="V16" i="22"/>
  <c r="W12" i="22"/>
  <c r="W13" i="22"/>
  <c r="W61" i="22"/>
  <c r="W62" i="22"/>
  <c r="Y10" i="22"/>
  <c r="X11" i="22"/>
  <c r="W27" i="40" l="1"/>
  <c r="W32" i="40" s="1"/>
  <c r="W33" i="40" s="1"/>
  <c r="W34" i="40" s="1"/>
  <c r="W35" i="40" s="1"/>
  <c r="V28" i="40"/>
  <c r="V29" i="40" s="1"/>
  <c r="V30" i="40" s="1"/>
  <c r="V31" i="40" s="1"/>
  <c r="AD12" i="39"/>
  <c r="AF9" i="39"/>
  <c r="AF11" i="39" s="1"/>
  <c r="AE10" i="39"/>
  <c r="AE13" i="39" s="1"/>
  <c r="AC25" i="24"/>
  <c r="AD23" i="24"/>
  <c r="AD24" i="24"/>
  <c r="AF21" i="24"/>
  <c r="AE22" i="24"/>
  <c r="T31" i="36"/>
  <c r="T33" i="36" s="1"/>
  <c r="T34" i="36"/>
  <c r="U32" i="36"/>
  <c r="V21" i="9"/>
  <c r="V20" i="9"/>
  <c r="W19" i="9"/>
  <c r="AA18" i="34"/>
  <c r="Z11" i="33"/>
  <c r="Y12" i="33"/>
  <c r="Y14" i="33"/>
  <c r="W17" i="22"/>
  <c r="AC17" i="4"/>
  <c r="AB18" i="4"/>
  <c r="W16" i="22"/>
  <c r="X12" i="22"/>
  <c r="X13" i="22"/>
  <c r="X61" i="22"/>
  <c r="X62" i="22"/>
  <c r="Z10" i="22"/>
  <c r="Y11" i="22"/>
  <c r="AD25" i="24" l="1"/>
  <c r="X27" i="40"/>
  <c r="X32" i="40" s="1"/>
  <c r="X33" i="40" s="1"/>
  <c r="X34" i="40" s="1"/>
  <c r="X35" i="40" s="1"/>
  <c r="W28" i="40"/>
  <c r="W29" i="40" s="1"/>
  <c r="W30" i="40" s="1"/>
  <c r="W31" i="40" s="1"/>
  <c r="AE12" i="39"/>
  <c r="AG9" i="39"/>
  <c r="AG11" i="39" s="1"/>
  <c r="AF10" i="39"/>
  <c r="AF13" i="39" s="1"/>
  <c r="AE23" i="24"/>
  <c r="AE24" i="24"/>
  <c r="AG21" i="24"/>
  <c r="AF22" i="24"/>
  <c r="U31" i="36"/>
  <c r="U33" i="36" s="1"/>
  <c r="U34" i="36"/>
  <c r="V32" i="36"/>
  <c r="W20" i="9"/>
  <c r="W21" i="9"/>
  <c r="X19" i="9"/>
  <c r="Z14" i="33"/>
  <c r="Z12" i="33"/>
  <c r="X17" i="22"/>
  <c r="AD17" i="4"/>
  <c r="AC18" i="4"/>
  <c r="Y12" i="22"/>
  <c r="Y13" i="22"/>
  <c r="X16" i="22"/>
  <c r="Y61" i="22"/>
  <c r="Y62" i="22"/>
  <c r="AA10" i="22"/>
  <c r="Z11" i="22"/>
  <c r="AE25" i="24" l="1"/>
  <c r="Y27" i="40"/>
  <c r="Y32" i="40" s="1"/>
  <c r="Y33" i="40" s="1"/>
  <c r="Y34" i="40" s="1"/>
  <c r="Y35" i="40" s="1"/>
  <c r="X28" i="40"/>
  <c r="X29" i="40" s="1"/>
  <c r="X30" i="40" s="1"/>
  <c r="X31" i="40" s="1"/>
  <c r="AF12" i="39"/>
  <c r="AH9" i="39"/>
  <c r="AH11" i="39" s="1"/>
  <c r="AG10" i="39"/>
  <c r="AG13" i="39" s="1"/>
  <c r="AF23" i="24"/>
  <c r="AF24" i="24"/>
  <c r="AH21" i="24"/>
  <c r="AG22" i="24"/>
  <c r="V31" i="36"/>
  <c r="V33" i="36" s="1"/>
  <c r="V34" i="36"/>
  <c r="Y17" i="22"/>
  <c r="W32" i="36"/>
  <c r="Z31" i="36" s="1"/>
  <c r="X20" i="9"/>
  <c r="X21" i="9"/>
  <c r="Y19" i="9"/>
  <c r="AE17" i="4"/>
  <c r="AD18" i="4"/>
  <c r="Z12" i="22"/>
  <c r="Z13" i="22"/>
  <c r="Y16" i="22"/>
  <c r="Z61" i="22"/>
  <c r="Z62" i="22"/>
  <c r="AA11" i="22"/>
  <c r="AB10" i="22"/>
  <c r="AF25" i="24" l="1"/>
  <c r="Z27" i="40"/>
  <c r="Z32" i="40" s="1"/>
  <c r="Z33" i="40" s="1"/>
  <c r="Z34" i="40" s="1"/>
  <c r="Z35" i="40" s="1"/>
  <c r="Y28" i="40"/>
  <c r="Y29" i="40" s="1"/>
  <c r="Y30" i="40" s="1"/>
  <c r="Y31" i="40" s="1"/>
  <c r="AG12" i="39"/>
  <c r="AH10" i="39"/>
  <c r="AH13" i="39" s="1"/>
  <c r="AI9" i="39"/>
  <c r="AI11" i="39" s="1"/>
  <c r="AG23" i="24"/>
  <c r="AG24" i="24"/>
  <c r="AI21" i="24"/>
  <c r="AH22" i="24"/>
  <c r="W31" i="36"/>
  <c r="W33" i="36" s="1"/>
  <c r="W34" i="36"/>
  <c r="Y20" i="9"/>
  <c r="Y21" i="9"/>
  <c r="Z19" i="9"/>
  <c r="Z17" i="22"/>
  <c r="AF17" i="4"/>
  <c r="AE18" i="4"/>
  <c r="AA12" i="22"/>
  <c r="AA13" i="22"/>
  <c r="Z16" i="22"/>
  <c r="AA61" i="22"/>
  <c r="AA62" i="22"/>
  <c r="AB11" i="22"/>
  <c r="AC10" i="22"/>
  <c r="AG25" i="24" l="1"/>
  <c r="AA27" i="40"/>
  <c r="AA32" i="40" s="1"/>
  <c r="AA33" i="40" s="1"/>
  <c r="AA34" i="40" s="1"/>
  <c r="AA35" i="40" s="1"/>
  <c r="Z28" i="40"/>
  <c r="Z29" i="40" s="1"/>
  <c r="Z30" i="40" s="1"/>
  <c r="Z31" i="40" s="1"/>
  <c r="AH12" i="39"/>
  <c r="AJ9" i="39"/>
  <c r="AJ11" i="39" s="1"/>
  <c r="AI10" i="39"/>
  <c r="AI13" i="39" s="1"/>
  <c r="AI22" i="24"/>
  <c r="AJ21" i="24"/>
  <c r="AH23" i="24"/>
  <c r="AH24" i="24"/>
  <c r="AA17" i="22"/>
  <c r="Z21" i="9"/>
  <c r="Z20" i="9"/>
  <c r="AA19" i="9"/>
  <c r="AF18" i="4"/>
  <c r="AG17" i="4"/>
  <c r="AA16" i="22"/>
  <c r="AB13" i="22"/>
  <c r="AB12" i="22"/>
  <c r="AB61" i="22"/>
  <c r="AB62" i="22"/>
  <c r="AC11" i="22"/>
  <c r="AD10" i="22"/>
  <c r="AB27" i="40" l="1"/>
  <c r="AB32" i="40" s="1"/>
  <c r="AB33" i="40" s="1"/>
  <c r="AB34" i="40" s="1"/>
  <c r="AB35" i="40" s="1"/>
  <c r="AA28" i="40"/>
  <c r="AA29" i="40" s="1"/>
  <c r="AA30" i="40" s="1"/>
  <c r="AA31" i="40" s="1"/>
  <c r="AI12" i="39"/>
  <c r="AJ10" i="39"/>
  <c r="AJ13" i="39" s="1"/>
  <c r="AK9" i="39"/>
  <c r="AK11" i="39" s="1"/>
  <c r="AI23" i="24"/>
  <c r="AI24" i="24"/>
  <c r="AH25" i="24"/>
  <c r="AJ22" i="24"/>
  <c r="AK21" i="24"/>
  <c r="AA21" i="9"/>
  <c r="AA20" i="9"/>
  <c r="AB16" i="22"/>
  <c r="AB17" i="22"/>
  <c r="AG18" i="4"/>
  <c r="AH17" i="4"/>
  <c r="AC12" i="22"/>
  <c r="AC13" i="22"/>
  <c r="AC61" i="22"/>
  <c r="AC62" i="22"/>
  <c r="AD11" i="22"/>
  <c r="AE10" i="22"/>
  <c r="AI25" i="24" l="1"/>
  <c r="AC27" i="40"/>
  <c r="AC32" i="40" s="1"/>
  <c r="AC33" i="40" s="1"/>
  <c r="AC34" i="40" s="1"/>
  <c r="AC35" i="40" s="1"/>
  <c r="AB28" i="40"/>
  <c r="AB29" i="40" s="1"/>
  <c r="AB30" i="40" s="1"/>
  <c r="AB31" i="40" s="1"/>
  <c r="AJ12" i="39"/>
  <c r="AL9" i="39"/>
  <c r="AL11" i="39" s="1"/>
  <c r="AK10" i="39"/>
  <c r="AK13" i="39" s="1"/>
  <c r="AK22" i="24"/>
  <c r="AL21" i="24"/>
  <c r="AJ23" i="24"/>
  <c r="AJ24" i="24"/>
  <c r="AC17" i="22"/>
  <c r="AH18" i="4"/>
  <c r="AI17" i="4"/>
  <c r="AD12" i="22"/>
  <c r="AD13" i="22"/>
  <c r="AC16" i="22"/>
  <c r="AD61" i="22"/>
  <c r="AD62" i="22"/>
  <c r="AF10" i="22"/>
  <c r="AE11" i="22"/>
  <c r="AJ25" i="24" l="1"/>
  <c r="AD27" i="40"/>
  <c r="AD32" i="40" s="1"/>
  <c r="AD33" i="40" s="1"/>
  <c r="AD34" i="40" s="1"/>
  <c r="AD35" i="40" s="1"/>
  <c r="AC28" i="40"/>
  <c r="AC29" i="40" s="1"/>
  <c r="AC30" i="40" s="1"/>
  <c r="AC31" i="40" s="1"/>
  <c r="AK12" i="39"/>
  <c r="AM9" i="39"/>
  <c r="AM11" i="39" s="1"/>
  <c r="AL10" i="39"/>
  <c r="AL13" i="39" s="1"/>
  <c r="AK23" i="24"/>
  <c r="AK24" i="24"/>
  <c r="AM21" i="24"/>
  <c r="AL22" i="24"/>
  <c r="AD17" i="22"/>
  <c r="AJ17" i="4"/>
  <c r="AI18" i="4"/>
  <c r="AE12" i="22"/>
  <c r="AE13" i="22"/>
  <c r="AD16" i="22"/>
  <c r="AE61" i="22"/>
  <c r="AE62" i="22"/>
  <c r="AF11" i="22"/>
  <c r="AG10" i="22"/>
  <c r="AE27" i="40" l="1"/>
  <c r="AE32" i="40" s="1"/>
  <c r="AE33" i="40" s="1"/>
  <c r="AE34" i="40" s="1"/>
  <c r="AE35" i="40" s="1"/>
  <c r="AD28" i="40"/>
  <c r="AD29" i="40" s="1"/>
  <c r="AD30" i="40" s="1"/>
  <c r="AD31" i="40" s="1"/>
  <c r="AL12" i="39"/>
  <c r="AN9" i="39"/>
  <c r="AN11" i="39" s="1"/>
  <c r="AM10" i="39"/>
  <c r="AM13" i="39" s="1"/>
  <c r="AL23" i="24"/>
  <c r="AL24" i="24"/>
  <c r="AN21" i="24"/>
  <c r="AM22" i="24"/>
  <c r="AK25" i="24"/>
  <c r="AE17" i="22"/>
  <c r="AK17" i="4"/>
  <c r="AJ18" i="4"/>
  <c r="AF12" i="22"/>
  <c r="AF13" i="22"/>
  <c r="AE16" i="22"/>
  <c r="AF61" i="22"/>
  <c r="AF62" i="22"/>
  <c r="AG11" i="22"/>
  <c r="AH10" i="22"/>
  <c r="AF27" i="40" l="1"/>
  <c r="AF32" i="40" s="1"/>
  <c r="AF33" i="40" s="1"/>
  <c r="AF34" i="40" s="1"/>
  <c r="AF35" i="40" s="1"/>
  <c r="AE28" i="40"/>
  <c r="AE29" i="40" s="1"/>
  <c r="AE30" i="40" s="1"/>
  <c r="AE31" i="40" s="1"/>
  <c r="AM12" i="39"/>
  <c r="AO9" i="39"/>
  <c r="AO11" i="39" s="1"/>
  <c r="AN10" i="39"/>
  <c r="AN13" i="39" s="1"/>
  <c r="AO21" i="24"/>
  <c r="AN22" i="24"/>
  <c r="AL25" i="24"/>
  <c r="AM23" i="24"/>
  <c r="AM24" i="24"/>
  <c r="AF17" i="22"/>
  <c r="AL17" i="4"/>
  <c r="AK18" i="4"/>
  <c r="AG13" i="22"/>
  <c r="AG12" i="22"/>
  <c r="AF16" i="22"/>
  <c r="AG61" i="22"/>
  <c r="AG62" i="22"/>
  <c r="AH11" i="22"/>
  <c r="AI10" i="22"/>
  <c r="AM25" i="24" l="1"/>
  <c r="AG27" i="40"/>
  <c r="AG32" i="40" s="1"/>
  <c r="AG33" i="40" s="1"/>
  <c r="AG34" i="40" s="1"/>
  <c r="AG35" i="40" s="1"/>
  <c r="AF28" i="40"/>
  <c r="AF29" i="40" s="1"/>
  <c r="AF30" i="40" s="1"/>
  <c r="AF31" i="40" s="1"/>
  <c r="AN12" i="39"/>
  <c r="AP9" i="39"/>
  <c r="AP11" i="39" s="1"/>
  <c r="AO10" i="39"/>
  <c r="AO13" i="39" s="1"/>
  <c r="AN23" i="24"/>
  <c r="AN24" i="24"/>
  <c r="AP21" i="24"/>
  <c r="AO22" i="24"/>
  <c r="AG16" i="22"/>
  <c r="AG17" i="22"/>
  <c r="AM17" i="4"/>
  <c r="AL18" i="4"/>
  <c r="AH12" i="22"/>
  <c r="AH13" i="22"/>
  <c r="AH61" i="22"/>
  <c r="AH62" i="22"/>
  <c r="AI11" i="22"/>
  <c r="AJ10" i="22"/>
  <c r="AH27" i="40" l="1"/>
  <c r="AH32" i="40" s="1"/>
  <c r="AH33" i="40" s="1"/>
  <c r="AH34" i="40" s="1"/>
  <c r="AH35" i="40" s="1"/>
  <c r="AG28" i="40"/>
  <c r="AG29" i="40" s="1"/>
  <c r="AG30" i="40" s="1"/>
  <c r="AG31" i="40" s="1"/>
  <c r="AO12" i="39"/>
  <c r="AP10" i="39"/>
  <c r="AP13" i="39" s="1"/>
  <c r="AQ9" i="39"/>
  <c r="AQ11" i="39" s="1"/>
  <c r="AO23" i="24"/>
  <c r="AO24" i="24"/>
  <c r="AQ21" i="24"/>
  <c r="AP22" i="24"/>
  <c r="AN25" i="24"/>
  <c r="AH17" i="22"/>
  <c r="AN17" i="4"/>
  <c r="AM18" i="4"/>
  <c r="AI12" i="22"/>
  <c r="AI13" i="22"/>
  <c r="AH16" i="22"/>
  <c r="AI61" i="22"/>
  <c r="AI62" i="22"/>
  <c r="AJ11" i="22"/>
  <c r="AK10" i="22"/>
  <c r="AO25" i="24" l="1"/>
  <c r="AI27" i="40"/>
  <c r="AI32" i="40" s="1"/>
  <c r="AI33" i="40" s="1"/>
  <c r="AI34" i="40" s="1"/>
  <c r="AI35" i="40" s="1"/>
  <c r="AH28" i="40"/>
  <c r="AH29" i="40" s="1"/>
  <c r="AH30" i="40" s="1"/>
  <c r="AH31" i="40" s="1"/>
  <c r="AP12" i="39"/>
  <c r="AR9" i="39"/>
  <c r="AR11" i="39" s="1"/>
  <c r="AQ10" i="39"/>
  <c r="AQ13" i="39" s="1"/>
  <c r="AP23" i="24"/>
  <c r="AP24" i="24"/>
  <c r="AQ22" i="24"/>
  <c r="AR21" i="24"/>
  <c r="AI17" i="22"/>
  <c r="AN18" i="4"/>
  <c r="AO17" i="4"/>
  <c r="AO18" i="4" s="1"/>
  <c r="AJ13" i="22"/>
  <c r="AJ12" i="22"/>
  <c r="AI16" i="22"/>
  <c r="AJ61" i="22"/>
  <c r="AJ62" i="22"/>
  <c r="AL10" i="22"/>
  <c r="AK11" i="22"/>
  <c r="AJ27" i="40" l="1"/>
  <c r="AJ32" i="40" s="1"/>
  <c r="AJ33" i="40" s="1"/>
  <c r="AJ34" i="40" s="1"/>
  <c r="AJ35" i="40" s="1"/>
  <c r="AI28" i="40"/>
  <c r="AI29" i="40" s="1"/>
  <c r="AI30" i="40" s="1"/>
  <c r="AI31" i="40" s="1"/>
  <c r="AQ12" i="39"/>
  <c r="AR10" i="39"/>
  <c r="AR13" i="39" s="1"/>
  <c r="AS9" i="39"/>
  <c r="AS11" i="39" s="1"/>
  <c r="AR22" i="24"/>
  <c r="AS21" i="24"/>
  <c r="AQ23" i="24"/>
  <c r="AQ24" i="24"/>
  <c r="AP25" i="24"/>
  <c r="AJ17" i="22"/>
  <c r="AJ16" i="22"/>
  <c r="AK12" i="22"/>
  <c r="AK13" i="22"/>
  <c r="AK61" i="22"/>
  <c r="AK62" i="22"/>
  <c r="AL11" i="22"/>
  <c r="AM10" i="22"/>
  <c r="AQ25" i="24" l="1"/>
  <c r="AK27" i="40"/>
  <c r="AK32" i="40" s="1"/>
  <c r="AK33" i="40" s="1"/>
  <c r="AK34" i="40" s="1"/>
  <c r="AK35" i="40" s="1"/>
  <c r="AJ28" i="40"/>
  <c r="AJ29" i="40" s="1"/>
  <c r="AJ30" i="40" s="1"/>
  <c r="AJ31" i="40" s="1"/>
  <c r="AR12" i="39"/>
  <c r="AT9" i="39"/>
  <c r="AT11" i="39" s="1"/>
  <c r="AS10" i="39"/>
  <c r="AS13" i="39" s="1"/>
  <c r="AS22" i="24"/>
  <c r="AT21" i="24"/>
  <c r="AR23" i="24"/>
  <c r="AR24" i="24"/>
  <c r="AK17" i="22"/>
  <c r="AL12" i="22"/>
  <c r="AL13" i="22"/>
  <c r="AK16" i="22"/>
  <c r="AL61" i="22"/>
  <c r="AL62" i="22"/>
  <c r="AM11" i="22"/>
  <c r="AN10" i="22"/>
  <c r="AR25" i="24" l="1"/>
  <c r="AL27" i="40"/>
  <c r="AL32" i="40" s="1"/>
  <c r="AL33" i="40" s="1"/>
  <c r="AL34" i="40" s="1"/>
  <c r="AL35" i="40" s="1"/>
  <c r="AK28" i="40"/>
  <c r="AK29" i="40" s="1"/>
  <c r="AK30" i="40" s="1"/>
  <c r="AK31" i="40" s="1"/>
  <c r="AS12" i="39"/>
  <c r="AU9" i="39"/>
  <c r="AU11" i="39" s="1"/>
  <c r="AT10" i="39"/>
  <c r="AT13" i="39" s="1"/>
  <c r="AS23" i="24"/>
  <c r="AS24" i="24"/>
  <c r="AT22" i="24"/>
  <c r="AU21" i="24"/>
  <c r="AL17" i="22"/>
  <c r="AM12" i="22"/>
  <c r="AM13" i="22"/>
  <c r="AL16" i="22"/>
  <c r="AM61" i="22"/>
  <c r="AM62" i="22"/>
  <c r="AO10" i="22"/>
  <c r="AN11" i="22"/>
  <c r="AS25" i="24" l="1"/>
  <c r="AM27" i="40"/>
  <c r="AL28" i="40"/>
  <c r="AL29" i="40" s="1"/>
  <c r="AL30" i="40" s="1"/>
  <c r="AL31" i="40" s="1"/>
  <c r="AT12" i="39"/>
  <c r="AV9" i="39"/>
  <c r="AV11" i="39" s="1"/>
  <c r="AU10" i="39"/>
  <c r="AU13" i="39" s="1"/>
  <c r="AT23" i="24"/>
  <c r="AT24" i="24"/>
  <c r="AV21" i="24"/>
  <c r="AU22" i="24"/>
  <c r="AM17" i="22"/>
  <c r="AN12" i="22"/>
  <c r="AN13" i="22"/>
  <c r="AM16" i="22"/>
  <c r="AN61" i="22"/>
  <c r="AN62" i="22"/>
  <c r="AO11" i="22"/>
  <c r="AP10" i="22"/>
  <c r="AT25" i="24" l="1"/>
  <c r="AM28" i="40"/>
  <c r="AM29" i="40" s="1"/>
  <c r="AM30" i="40" s="1"/>
  <c r="AM31" i="40" s="1"/>
  <c r="AM32" i="40"/>
  <c r="AM33" i="40" s="1"/>
  <c r="AM34" i="40" s="1"/>
  <c r="AM35" i="40" s="1"/>
  <c r="AU12" i="39"/>
  <c r="AW9" i="39"/>
  <c r="AW11" i="39" s="1"/>
  <c r="AV10" i="39"/>
  <c r="AV13" i="39" s="1"/>
  <c r="AU23" i="24"/>
  <c r="AU24" i="24"/>
  <c r="AW21" i="24"/>
  <c r="AW22" i="24" s="1"/>
  <c r="AV22" i="24"/>
  <c r="AN17" i="22"/>
  <c r="AO12" i="22"/>
  <c r="AO13" i="22"/>
  <c r="AN16" i="22"/>
  <c r="AO61" i="22"/>
  <c r="AO62" i="22"/>
  <c r="AP11" i="22"/>
  <c r="AQ10" i="22"/>
  <c r="AU25" i="24" l="1"/>
  <c r="AV12" i="39"/>
  <c r="AX9" i="39"/>
  <c r="AX11" i="39" s="1"/>
  <c r="F26" i="39" s="1"/>
  <c r="AW10" i="39"/>
  <c r="AW13" i="39" s="1"/>
  <c r="AV23" i="24"/>
  <c r="AV24" i="24"/>
  <c r="AW23" i="24"/>
  <c r="AW24" i="24"/>
  <c r="AO17" i="22"/>
  <c r="AP13" i="22"/>
  <c r="AP12" i="22"/>
  <c r="AO16" i="22"/>
  <c r="AP61" i="22"/>
  <c r="AP62" i="22"/>
  <c r="AQ11" i="22"/>
  <c r="AR10" i="22"/>
  <c r="AW25" i="24" l="1"/>
  <c r="AV25" i="24"/>
  <c r="AW12" i="39"/>
  <c r="AX10" i="39"/>
  <c r="AX13" i="39" s="1"/>
  <c r="AP16" i="22"/>
  <c r="AP17" i="22"/>
  <c r="AQ12" i="22"/>
  <c r="AQ13" i="22"/>
  <c r="AQ61" i="22"/>
  <c r="AQ62" i="22"/>
  <c r="AR11" i="22"/>
  <c r="AS10" i="22"/>
  <c r="AX12" i="39" l="1"/>
  <c r="AQ17" i="22"/>
  <c r="AR12" i="22"/>
  <c r="AR13" i="22"/>
  <c r="AQ16" i="22"/>
  <c r="AR61" i="22"/>
  <c r="AR62" i="22"/>
  <c r="AS11" i="22"/>
  <c r="AT10" i="22"/>
  <c r="E30" i="39" l="1"/>
  <c r="F30" i="39"/>
  <c r="AR17" i="22"/>
  <c r="AS12" i="22"/>
  <c r="AS13" i="22"/>
  <c r="AR16" i="22"/>
  <c r="AS61" i="22"/>
  <c r="AS62" i="22"/>
  <c r="AU10" i="22"/>
  <c r="AT11" i="22"/>
  <c r="AS17" i="22" l="1"/>
  <c r="AS16" i="22"/>
  <c r="AT12" i="22"/>
  <c r="AT13" i="22"/>
  <c r="AT61" i="22"/>
  <c r="AT62" i="22"/>
  <c r="AU11" i="22"/>
  <c r="AV10" i="22"/>
  <c r="AV11" i="22" s="1"/>
  <c r="AT17" i="22" l="1"/>
  <c r="AT16" i="22"/>
  <c r="AV12" i="22"/>
  <c r="AV13" i="22"/>
  <c r="AU12" i="22"/>
  <c r="AU13" i="22"/>
  <c r="AV61" i="22"/>
  <c r="AV62" i="22"/>
  <c r="AU61" i="22"/>
  <c r="AU62" i="22"/>
  <c r="AU17" i="22" l="1"/>
  <c r="AV17" i="22"/>
  <c r="AV16" i="22"/>
  <c r="AU16" i="2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Landwirtschaft</author>
  </authors>
  <commentList>
    <comment ref="F16" authorId="0" shapeId="0" xr:uid="{9F3B40AB-FC47-4F41-8D63-6BF433C1F4E7}">
      <text>
        <r>
          <rPr>
            <sz val="9"/>
            <color indexed="81"/>
            <rFont val="Segoe UI"/>
            <family val="2"/>
          </rPr>
          <t xml:space="preserve">Für die Berechnung von Winkel in rad bei gegebenen x,y verwenden sie die Excel-Formel </t>
        </r>
        <r>
          <rPr>
            <b/>
            <sz val="9"/>
            <color indexed="81"/>
            <rFont val="Segoe UI"/>
            <family val="2"/>
          </rPr>
          <t>=ARCTAN2(x, y)</t>
        </r>
        <r>
          <rPr>
            <sz val="9"/>
            <color indexed="81"/>
            <rFont val="Segoe UI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Landwirtschaft</author>
  </authors>
  <commentList>
    <comment ref="I13" authorId="0" shapeId="0" xr:uid="{C52A2570-9323-444D-93C5-26B4C6F49E76}">
      <text>
        <r>
          <rPr>
            <sz val="9"/>
            <color indexed="81"/>
            <rFont val="Segoe UI"/>
            <family val="2"/>
          </rPr>
          <t xml:space="preserve">Lösung der Quadratischen-Gleichung mit Mitternachtsformel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Landwirtschaft</author>
  </authors>
  <commentList>
    <comment ref="G12" authorId="0" shapeId="0" xr:uid="{97F7A776-1182-419E-B3DA-6E3E2CD0FB09}">
      <text>
        <r>
          <rPr>
            <sz val="9"/>
            <color indexed="81"/>
            <rFont val="Segoe UI"/>
            <family val="2"/>
          </rPr>
          <t xml:space="preserve">Für die Berechnung von Winkel in rad bei gegebenen x,y verwenden sie die Excel-Formel </t>
        </r>
        <r>
          <rPr>
            <b/>
            <sz val="9"/>
            <color indexed="81"/>
            <rFont val="Segoe UI"/>
            <family val="2"/>
          </rPr>
          <t>=ARCTAN2(x, y)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G13" authorId="0" shapeId="0" xr:uid="{3D6889FB-1A92-488F-B8F3-7F0A10EB7A07}">
      <text>
        <r>
          <rPr>
            <sz val="9"/>
            <color indexed="81"/>
            <rFont val="Segoe UI"/>
            <family val="2"/>
          </rPr>
          <t xml:space="preserve">Für die Berechnung von Winkel in rad bei gegebenen x,y verwenden sie die Excel-Formel </t>
        </r>
        <r>
          <rPr>
            <b/>
            <sz val="9"/>
            <color indexed="81"/>
            <rFont val="Segoe UI"/>
            <family val="2"/>
          </rPr>
          <t>=ARCTAN2(x, y)</t>
        </r>
        <r>
          <rPr>
            <sz val="9"/>
            <color indexed="81"/>
            <rFont val="Segoe UI"/>
            <family val="2"/>
          </rPr>
          <t xml:space="preserve">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<sst xmlns="http://schemas.openxmlformats.org/spreadsheetml/2006/main" count="1759" uniqueCount="977">
  <si>
    <t>x:</t>
  </si>
  <si>
    <t>Increment:</t>
  </si>
  <si>
    <t>Zeit t [s]</t>
  </si>
  <si>
    <t>Durchschnitt:</t>
  </si>
  <si>
    <t>Weg s [m] gemessen</t>
  </si>
  <si>
    <t>Weg-Zeit Diagramm</t>
  </si>
  <si>
    <t>Geschwindigkeit v = s/t [m/s]</t>
  </si>
  <si>
    <t>Weg s = v*t [m] gerechnet</t>
  </si>
  <si>
    <t>Step:</t>
  </si>
  <si>
    <t>Lineare Funktion y= f(x)</t>
  </si>
  <si>
    <t>Steigung:</t>
  </si>
  <si>
    <t>y-Achsenabschnitt (Bias):</t>
  </si>
  <si>
    <r>
      <t xml:space="preserve">y = </t>
    </r>
    <r>
      <rPr>
        <sz val="20"/>
        <color rgb="FFFF0000"/>
        <rFont val="Calibri"/>
        <family val="2"/>
        <scheme val="minor"/>
      </rPr>
      <t>a</t>
    </r>
    <r>
      <rPr>
        <sz val="20"/>
        <color theme="1"/>
        <rFont val="Calibri"/>
        <family val="2"/>
        <scheme val="minor"/>
      </rPr>
      <t xml:space="preserve"> * x + </t>
    </r>
    <r>
      <rPr>
        <sz val="20"/>
        <color rgb="FFFFC000"/>
        <rFont val="Calibri"/>
        <family val="2"/>
        <scheme val="minor"/>
      </rPr>
      <t>b</t>
    </r>
  </si>
  <si>
    <t xml:space="preserve">a = </t>
  </si>
  <si>
    <t xml:space="preserve">b = </t>
  </si>
  <si>
    <t>y = ax + b</t>
  </si>
  <si>
    <t>Step (inc):</t>
  </si>
  <si>
    <t>t [h]</t>
  </si>
  <si>
    <t>Beschleunigte Bewegung</t>
  </si>
  <si>
    <t>t [s]</t>
  </si>
  <si>
    <r>
      <t>[m/s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]</t>
    </r>
  </si>
  <si>
    <t>Beschleunigung a:</t>
  </si>
  <si>
    <t>Anfangsgeschwindigkeit v0:</t>
  </si>
  <si>
    <t>[m/s]</t>
  </si>
  <si>
    <t>v = a * t + v0</t>
  </si>
  <si>
    <t>Vertikale Hilfslinie</t>
  </si>
  <si>
    <t>Vertikale</t>
  </si>
  <si>
    <t>Senkrechte</t>
  </si>
  <si>
    <t>Senkrechte_2</t>
  </si>
  <si>
    <t>Vertikale_2</t>
  </si>
  <si>
    <r>
      <t>Beschleunigte Bewegung</t>
    </r>
    <r>
      <rPr>
        <u/>
        <sz val="16"/>
        <color theme="1"/>
        <rFont val="Calibri"/>
        <family val="2"/>
        <scheme val="minor"/>
      </rPr>
      <t xml:space="preserve"> (Kinematik II a&gt;0 und a ist konstant)</t>
    </r>
  </si>
  <si>
    <t>Geschwindigkeit</t>
  </si>
  <si>
    <t>Strecke</t>
  </si>
  <si>
    <t>Zeit</t>
  </si>
  <si>
    <t>Beschleunigung</t>
  </si>
  <si>
    <t>v [m/s]</t>
  </si>
  <si>
    <t>s [m]</t>
  </si>
  <si>
    <t>Fall</t>
  </si>
  <si>
    <t>A</t>
  </si>
  <si>
    <t>B</t>
  </si>
  <si>
    <t>C</t>
  </si>
  <si>
    <t>D</t>
  </si>
  <si>
    <t>E</t>
  </si>
  <si>
    <t>G</t>
  </si>
  <si>
    <t>F</t>
  </si>
  <si>
    <t>H</t>
  </si>
  <si>
    <t>I</t>
  </si>
  <si>
    <t>J</t>
  </si>
  <si>
    <t>Zelle formatieren</t>
  </si>
  <si>
    <t>Ctrl-1</t>
  </si>
  <si>
    <t>v0 = v - at</t>
  </si>
  <si>
    <t>a = (v - v0)/t</t>
  </si>
  <si>
    <t>t = (v - v0)/a</t>
  </si>
  <si>
    <r>
      <t>v = at + v</t>
    </r>
    <r>
      <rPr>
        <b/>
        <vertAlign val="subscript"/>
        <sz val="14"/>
        <color rgb="FFFFC000"/>
        <rFont val="Calibri"/>
        <family val="2"/>
        <scheme val="minor"/>
      </rPr>
      <t>0</t>
    </r>
  </si>
  <si>
    <r>
      <t>a = 2((s - v0*t)/t</t>
    </r>
    <r>
      <rPr>
        <vertAlign val="superscript"/>
        <sz val="11"/>
        <color rgb="FFC00000"/>
        <rFont val="Calibri"/>
        <family val="2"/>
        <scheme val="minor"/>
      </rPr>
      <t>2</t>
    </r>
    <r>
      <rPr>
        <sz val="11"/>
        <color rgb="FFC00000"/>
        <rFont val="Calibri"/>
        <family val="2"/>
        <scheme val="minor"/>
      </rPr>
      <t>)</t>
    </r>
  </si>
  <si>
    <r>
      <t>t = (-v0 + sqrt(v0</t>
    </r>
    <r>
      <rPr>
        <vertAlign val="superscript"/>
        <sz val="11"/>
        <color rgb="FFC00000"/>
        <rFont val="Calibri"/>
        <family val="2"/>
        <scheme val="minor"/>
      </rPr>
      <t>2</t>
    </r>
    <r>
      <rPr>
        <sz val="11"/>
        <color rgb="FFC00000"/>
        <rFont val="Calibri"/>
        <family val="2"/>
        <scheme val="minor"/>
      </rPr>
      <t xml:space="preserve"> + 2as))/a</t>
    </r>
  </si>
  <si>
    <r>
      <t>s = (a/2)t</t>
    </r>
    <r>
      <rPr>
        <b/>
        <vertAlign val="superscript"/>
        <sz val="11"/>
        <color theme="5" tint="-0.249977111117893"/>
        <rFont val="Calibri"/>
        <family val="2"/>
        <scheme val="minor"/>
      </rPr>
      <t>2</t>
    </r>
    <r>
      <rPr>
        <b/>
        <sz val="11"/>
        <color theme="5" tint="-0.249977111117893"/>
        <rFont val="Calibri"/>
        <family val="2"/>
        <scheme val="minor"/>
      </rPr>
      <t xml:space="preserve"> + v</t>
    </r>
    <r>
      <rPr>
        <b/>
        <vertAlign val="subscript"/>
        <sz val="11"/>
        <color theme="5" tint="-0.249977111117893"/>
        <rFont val="Calibri"/>
        <family val="2"/>
        <scheme val="minor"/>
      </rPr>
      <t>0</t>
    </r>
    <r>
      <rPr>
        <b/>
        <sz val="11"/>
        <color theme="5" tint="-0.249977111117893"/>
        <rFont val="Calibri"/>
        <family val="2"/>
        <scheme val="minor"/>
      </rPr>
      <t>t</t>
    </r>
    <r>
      <rPr>
        <b/>
        <sz val="14"/>
        <color theme="5" tint="-0.249977111117893"/>
        <rFont val="Calibri"/>
        <family val="2"/>
        <scheme val="minor"/>
      </rPr>
      <t xml:space="preserve"> 
s = (v0+v)*t/2</t>
    </r>
  </si>
  <si>
    <r>
      <t>v0 = (s - (a/2)t</t>
    </r>
    <r>
      <rPr>
        <vertAlign val="superscript"/>
        <sz val="11"/>
        <color theme="5" tint="-0.249977111117893"/>
        <rFont val="Calibri"/>
        <family val="2"/>
        <scheme val="minor"/>
      </rPr>
      <t>2</t>
    </r>
    <r>
      <rPr>
        <sz val="11"/>
        <color theme="5" tint="-0.249977111117893"/>
        <rFont val="Calibri"/>
        <family val="2"/>
        <scheme val="minor"/>
      </rPr>
      <t>)/t
v0 = (2s/t) - v</t>
    </r>
  </si>
  <si>
    <r>
      <t>a [m/s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]</t>
    </r>
  </si>
  <si>
    <r>
      <t>y</t>
    </r>
    <r>
      <rPr>
        <vertAlign val="subscript"/>
        <sz val="11"/>
        <color theme="1"/>
        <rFont val="Calibri"/>
        <family val="2"/>
        <scheme val="minor"/>
      </rPr>
      <t>Resultierend</t>
    </r>
    <r>
      <rPr>
        <sz val="11"/>
        <color theme="1"/>
        <rFont val="Calibri"/>
        <family val="2"/>
        <scheme val="minor"/>
      </rPr>
      <t xml:space="preserve"> = y</t>
    </r>
    <r>
      <rPr>
        <vertAlign val="subscript"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+ y</t>
    </r>
    <r>
      <rPr>
        <vertAlign val="sub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+ y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y</t>
    </r>
    <r>
      <rPr>
        <vertAlign val="subscript"/>
        <sz val="11"/>
        <color theme="1"/>
        <rFont val="Calibri"/>
        <family val="2"/>
        <scheme val="minor"/>
      </rPr>
      <t xml:space="preserve">3 </t>
    </r>
    <r>
      <rPr>
        <sz val="11"/>
        <color theme="1"/>
        <rFont val="Calibri"/>
        <family val="2"/>
        <scheme val="minor"/>
      </rPr>
      <t xml:space="preserve">= </t>
    </r>
  </si>
  <si>
    <t>Fourierreihe</t>
  </si>
  <si>
    <t xml:space="preserve">phi [rad] = </t>
  </si>
  <si>
    <t xml:space="preserve">phi [°] = </t>
  </si>
  <si>
    <t>Show</t>
  </si>
  <si>
    <t>Ja</t>
  </si>
  <si>
    <t>Nein</t>
  </si>
  <si>
    <t>a
Amplitude</t>
  </si>
  <si>
    <t>b
Frequenz</t>
  </si>
  <si>
    <t>Hilfslinie:</t>
  </si>
  <si>
    <t>c
Phasenlage [rad]</t>
  </si>
  <si>
    <t>c
Phasenlage
[°]</t>
  </si>
  <si>
    <t xml:space="preserve">Min = </t>
  </si>
  <si>
    <t xml:space="preserve">Max = </t>
  </si>
  <si>
    <t xml:space="preserve">Amplitude = </t>
  </si>
  <si>
    <t>v=s/t + at/2</t>
  </si>
  <si>
    <r>
      <t>s = vt - at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/2</t>
    </r>
  </si>
  <si>
    <r>
      <t>t = (v - sqrt(v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- 2as))/a</t>
    </r>
  </si>
  <si>
    <t>a = 2/t * (v - s/t)</t>
  </si>
  <si>
    <r>
      <t>v</t>
    </r>
    <r>
      <rPr>
        <vertAlign val="subscript"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= sqrt(v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- 2as)</t>
    </r>
  </si>
  <si>
    <r>
      <t>v</t>
    </r>
    <r>
      <rPr>
        <vertAlign val="subscript"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= 2s/t - v</t>
    </r>
  </si>
  <si>
    <r>
      <t>v = sqrt(v</t>
    </r>
    <r>
      <rPr>
        <vertAlign val="subscript"/>
        <sz val="11"/>
        <color theme="1"/>
        <rFont val="Calibri"/>
        <family val="2"/>
        <scheme val="minor"/>
      </rPr>
      <t>0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+ 2as)</t>
    </r>
  </si>
  <si>
    <r>
      <t>v = 2s/t - v</t>
    </r>
    <r>
      <rPr>
        <vertAlign val="subscript"/>
        <sz val="11"/>
        <color theme="1"/>
        <rFont val="Calibri"/>
        <family val="2"/>
        <scheme val="minor"/>
      </rPr>
      <t>0</t>
    </r>
  </si>
  <si>
    <r>
      <t>s = (v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-v</t>
    </r>
    <r>
      <rPr>
        <vertAlign val="subscript"/>
        <sz val="11"/>
        <color theme="1"/>
        <rFont val="Calibri"/>
        <family val="2"/>
        <scheme val="minor"/>
      </rPr>
      <t>0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)/2a</t>
    </r>
  </si>
  <si>
    <r>
      <t>s = (v</t>
    </r>
    <r>
      <rPr>
        <vertAlign val="subscript"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+ v)t/2</t>
    </r>
  </si>
  <si>
    <r>
      <t>t = 2s/(v</t>
    </r>
    <r>
      <rPr>
        <vertAlign val="subscript"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+ v)</t>
    </r>
  </si>
  <si>
    <r>
      <t>a = (v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- v</t>
    </r>
    <r>
      <rPr>
        <vertAlign val="subscript"/>
        <sz val="11"/>
        <color theme="1"/>
        <rFont val="Calibri"/>
        <family val="2"/>
        <scheme val="minor"/>
      </rPr>
      <t>0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)/2s</t>
    </r>
  </si>
  <si>
    <t>Anfangs-Geschwindigkeit</t>
  </si>
  <si>
    <r>
      <t>v</t>
    </r>
    <r>
      <rPr>
        <vertAlign val="subscript"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[m/s]</t>
    </r>
  </si>
  <si>
    <t>Winkelbeschleunigung</t>
  </si>
  <si>
    <t>Anfangs-Winkelgeschwindigkeit</t>
  </si>
  <si>
    <t>Winkelgeschwindigkeit</t>
  </si>
  <si>
    <t>Winkel</t>
  </si>
  <si>
    <t>φ [rad]</t>
  </si>
  <si>
    <r>
      <t>α [rad/s</t>
    </r>
    <r>
      <rPr>
        <vertAlign val="superscript"/>
        <sz val="11"/>
        <color theme="1"/>
        <rFont val="Aptos Narrow"/>
        <family val="2"/>
      </rPr>
      <t>2</t>
    </r>
    <r>
      <rPr>
        <sz val="11"/>
        <color theme="1"/>
        <rFont val="Aptos Narrow"/>
        <family val="2"/>
      </rPr>
      <t>]</t>
    </r>
  </si>
  <si>
    <t>ω [rad/s]</t>
  </si>
  <si>
    <r>
      <t>ω</t>
    </r>
    <r>
      <rPr>
        <vertAlign val="subscript"/>
        <sz val="11"/>
        <color theme="1"/>
        <rFont val="Aptos Narrow"/>
        <family val="2"/>
      </rPr>
      <t>0</t>
    </r>
    <r>
      <rPr>
        <sz val="11"/>
        <color theme="1"/>
        <rFont val="Aptos Narrow"/>
        <family val="2"/>
      </rPr>
      <t xml:space="preserve"> [rad/s]</t>
    </r>
  </si>
  <si>
    <t>gegeben</t>
  </si>
  <si>
    <t>--</t>
  </si>
  <si>
    <t>Inhaltsverzeichnis</t>
  </si>
  <si>
    <t>Kinematik_2</t>
  </si>
  <si>
    <t>Kinematik 2 Berechnungen</t>
  </si>
  <si>
    <t>Flächenberechnungen</t>
  </si>
  <si>
    <t>Quadrat</t>
  </si>
  <si>
    <t>Rechteck</t>
  </si>
  <si>
    <t>s (Seite) [m]</t>
  </si>
  <si>
    <t>d (Diagonale) [m]</t>
  </si>
  <si>
    <r>
      <t>A (Fläche) [m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]</t>
    </r>
  </si>
  <si>
    <t>U (Umfang) [m]</t>
  </si>
  <si>
    <t>l (Länge) [m]</t>
  </si>
  <si>
    <t>b (Breite) [m]</t>
  </si>
  <si>
    <t>Kreis</t>
  </si>
  <si>
    <t>r (Radius)</t>
  </si>
  <si>
    <r>
      <rPr>
        <sz val="11"/>
        <color theme="1"/>
        <rFont val="Aptos Narrow"/>
        <family val="2"/>
      </rPr>
      <t>α</t>
    </r>
    <r>
      <rPr>
        <sz val="9.35"/>
        <color theme="1"/>
        <rFont val="Calibri"/>
        <family val="2"/>
      </rPr>
      <t xml:space="preserve"> (Zentriwinkel) [°]</t>
    </r>
  </si>
  <si>
    <t>d (Durchmesser)</t>
  </si>
  <si>
    <t>b (Bogenlänge Sektor)</t>
  </si>
  <si>
    <r>
      <t>A</t>
    </r>
    <r>
      <rPr>
        <vertAlign val="subscript"/>
        <sz val="11"/>
        <color theme="1"/>
        <rFont val="Calibri"/>
        <family val="2"/>
        <scheme val="minor"/>
      </rPr>
      <t>kreis</t>
    </r>
  </si>
  <si>
    <r>
      <t>U</t>
    </r>
    <r>
      <rPr>
        <vertAlign val="subscript"/>
        <sz val="11"/>
        <color theme="1"/>
        <rFont val="Calibri"/>
        <family val="2"/>
        <scheme val="minor"/>
      </rPr>
      <t>kreis</t>
    </r>
  </si>
  <si>
    <r>
      <t>A</t>
    </r>
    <r>
      <rPr>
        <vertAlign val="subscript"/>
        <sz val="11"/>
        <color theme="1"/>
        <rFont val="Calibri"/>
        <family val="2"/>
        <scheme val="minor"/>
      </rPr>
      <t>sektor</t>
    </r>
  </si>
  <si>
    <t>Rechtwinkliges Dreieck</t>
  </si>
  <si>
    <t>c (Hypothenuse)</t>
  </si>
  <si>
    <r>
      <rPr>
        <sz val="11"/>
        <color theme="1"/>
        <rFont val="Aptos Narrow"/>
        <family val="2"/>
      </rPr>
      <t>α</t>
    </r>
    <r>
      <rPr>
        <sz val="9.35"/>
        <color theme="1"/>
        <rFont val="Calibri"/>
        <family val="2"/>
      </rPr>
      <t xml:space="preserve"> [°]</t>
    </r>
  </si>
  <si>
    <r>
      <rPr>
        <sz val="9.35"/>
        <color theme="1"/>
        <rFont val="Aptos Narrow"/>
        <family val="2"/>
      </rPr>
      <t>β</t>
    </r>
    <r>
      <rPr>
        <sz val="9.35"/>
        <color theme="1"/>
        <rFont val="Calibri"/>
        <family val="2"/>
      </rPr>
      <t xml:space="preserve"> [°]</t>
    </r>
  </si>
  <si>
    <r>
      <t xml:space="preserve">b (Ankathete zu </t>
    </r>
    <r>
      <rPr>
        <sz val="11"/>
        <color theme="1"/>
        <rFont val="Aptos Narrow"/>
        <family val="2"/>
      </rPr>
      <t>α)</t>
    </r>
  </si>
  <si>
    <r>
      <t xml:space="preserve">a (Gegenkathete zu </t>
    </r>
    <r>
      <rPr>
        <sz val="11"/>
        <color theme="1"/>
        <rFont val="Aptos Narrow"/>
        <family val="2"/>
      </rPr>
      <t>α)</t>
    </r>
  </si>
  <si>
    <t>A (Fläche)</t>
  </si>
  <si>
    <t>Einheiten umrechnen</t>
  </si>
  <si>
    <t>Temperatur</t>
  </si>
  <si>
    <t>Frau</t>
  </si>
  <si>
    <t>Brigitte</t>
  </si>
  <si>
    <t>Herr</t>
  </si>
  <si>
    <t>Hans</t>
  </si>
  <si>
    <t>Bruhin</t>
  </si>
  <si>
    <t>02.01.1987</t>
  </si>
  <si>
    <t>Dominik</t>
  </si>
  <si>
    <t>Hüppin</t>
  </si>
  <si>
    <t>Werner</t>
  </si>
  <si>
    <t>Nadja</t>
  </si>
  <si>
    <t>02.01.1992</t>
  </si>
  <si>
    <t>Christian</t>
  </si>
  <si>
    <t>06.01.1988</t>
  </si>
  <si>
    <t>Daniel</t>
  </si>
  <si>
    <t>Schnellmann</t>
  </si>
  <si>
    <t>07.01.1976</t>
  </si>
  <si>
    <t>Yvonne</t>
  </si>
  <si>
    <t>09.01.1965</t>
  </si>
  <si>
    <t>Rita</t>
  </si>
  <si>
    <t>Maria</t>
  </si>
  <si>
    <t>09.01.1958</t>
  </si>
  <si>
    <t>Xaver</t>
  </si>
  <si>
    <t>10.01.1997</t>
  </si>
  <si>
    <t>Beda</t>
  </si>
  <si>
    <t>Meinrad</t>
  </si>
  <si>
    <t>Hansjörg</t>
  </si>
  <si>
    <t>11.01.1964</t>
  </si>
  <si>
    <t>Marlise</t>
  </si>
  <si>
    <t>Theres</t>
  </si>
  <si>
    <t>11.01.1983</t>
  </si>
  <si>
    <t>Roman</t>
  </si>
  <si>
    <t>Brigitta</t>
  </si>
  <si>
    <t>Markus</t>
  </si>
  <si>
    <t>Josef</t>
  </si>
  <si>
    <t>Farit</t>
  </si>
  <si>
    <t>14.01.1960</t>
  </si>
  <si>
    <t>Armin</t>
  </si>
  <si>
    <t>Marlen</t>
  </si>
  <si>
    <t>15.01.1980</t>
  </si>
  <si>
    <t>Martin</t>
  </si>
  <si>
    <t>Vogt</t>
  </si>
  <si>
    <t>Ueli</t>
  </si>
  <si>
    <t>Edith</t>
  </si>
  <si>
    <t>Loris</t>
  </si>
  <si>
    <t>Brändle-Schnellmann</t>
  </si>
  <si>
    <t>Heiz-Schnellmann</t>
  </si>
  <si>
    <t>Diethelm-Schnellmann</t>
  </si>
  <si>
    <t>Mächler-Badat</t>
  </si>
  <si>
    <t>Bruhin-Niedermeier</t>
  </si>
  <si>
    <t>Hungerbühler-Vogt</t>
  </si>
  <si>
    <t>Schnellmann-Schuster</t>
  </si>
  <si>
    <t>Bruhin-Schnellmann</t>
  </si>
  <si>
    <t>Bruhin-Wichert</t>
  </si>
  <si>
    <t>Müller</t>
  </si>
  <si>
    <t>Horvath-Vogt</t>
  </si>
  <si>
    <t>Schättin</t>
  </si>
  <si>
    <t>Hüppin-Gyr</t>
  </si>
  <si>
    <t>Widrig-Vogt</t>
  </si>
  <si>
    <t>Geburtsdatum</t>
  </si>
  <si>
    <t>Geschlecht</t>
  </si>
  <si>
    <t>Vorname</t>
  </si>
  <si>
    <t>Familienname</t>
  </si>
  <si>
    <t>Already had birthday this year</t>
  </si>
  <si>
    <t>Heute:</t>
  </si>
  <si>
    <t>Sorter</t>
  </si>
  <si>
    <t>Alter
aktuell</t>
  </si>
  <si>
    <t>Alter in 
diesem Jahr</t>
  </si>
  <si>
    <t>Nächster Geburtstag</t>
  </si>
  <si>
    <t>Vektoren</t>
  </si>
  <si>
    <t>Bezeichnung</t>
  </si>
  <si>
    <t>V1 Einheit</t>
  </si>
  <si>
    <t>V1 Wert</t>
  </si>
  <si>
    <t>V2 Wert</t>
  </si>
  <si>
    <t>V2 Einheit</t>
  </si>
  <si>
    <t>°</t>
  </si>
  <si>
    <t>rad</t>
  </si>
  <si>
    <t>Winkel-Einheiten</t>
  </si>
  <si>
    <t>F1</t>
  </si>
  <si>
    <t>Grösse</t>
  </si>
  <si>
    <t>Betrag</t>
  </si>
  <si>
    <t>Winkel [°]</t>
  </si>
  <si>
    <t>Winkel [rad]</t>
  </si>
  <si>
    <t>Realteil x</t>
  </si>
  <si>
    <t>Imaginärteil y</t>
  </si>
  <si>
    <t>Eingabeformat</t>
  </si>
  <si>
    <t>Kartesisch</t>
  </si>
  <si>
    <t>Polar [rad]</t>
  </si>
  <si>
    <t>Polar [°]</t>
  </si>
  <si>
    <t>Unbekannt</t>
  </si>
  <si>
    <t>Eingabe</t>
  </si>
  <si>
    <t>Zwischenresultat</t>
  </si>
  <si>
    <t>Polar</t>
  </si>
  <si>
    <t>F2</t>
  </si>
  <si>
    <t>F3</t>
  </si>
  <si>
    <t>F4</t>
  </si>
  <si>
    <t>F5</t>
  </si>
  <si>
    <t>F6</t>
  </si>
  <si>
    <t>F7</t>
  </si>
  <si>
    <t>x1</t>
  </si>
  <si>
    <t>x2</t>
  </si>
  <si>
    <t>y1</t>
  </si>
  <si>
    <t>y2</t>
  </si>
  <si>
    <t>Graph</t>
  </si>
  <si>
    <t>Skala</t>
  </si>
  <si>
    <t>Min/Max</t>
  </si>
  <si>
    <t>x-Achse</t>
  </si>
  <si>
    <t>y-Achse</t>
  </si>
  <si>
    <t>Operation</t>
  </si>
  <si>
    <t>+</t>
  </si>
  <si>
    <t>-</t>
  </si>
  <si>
    <t>*</t>
  </si>
  <si>
    <t>Schiefe Ebene</t>
  </si>
  <si>
    <r>
      <t>F</t>
    </r>
    <r>
      <rPr>
        <vertAlign val="subscript"/>
        <sz val="11"/>
        <color theme="1"/>
        <rFont val="Calibri"/>
        <family val="2"/>
        <scheme val="minor"/>
      </rPr>
      <t>G</t>
    </r>
    <r>
      <rPr>
        <sz val="11"/>
        <color theme="1"/>
        <rFont val="Calibri"/>
        <family val="2"/>
        <scheme val="minor"/>
      </rPr>
      <t xml:space="preserve"> = </t>
    </r>
  </si>
  <si>
    <t>Hangabtriebskraft:</t>
  </si>
  <si>
    <t>Normalkraft:</t>
  </si>
  <si>
    <r>
      <t>F</t>
    </r>
    <r>
      <rPr>
        <vertAlign val="subscript"/>
        <sz val="11"/>
        <color theme="1"/>
        <rFont val="Calibri"/>
        <family val="2"/>
        <scheme val="minor"/>
      </rPr>
      <t>H</t>
    </r>
    <r>
      <rPr>
        <sz val="11"/>
        <color theme="1"/>
        <rFont val="Calibri"/>
        <family val="2"/>
        <scheme val="minor"/>
      </rPr>
      <t xml:space="preserve"> = </t>
    </r>
  </si>
  <si>
    <r>
      <t>F</t>
    </r>
    <r>
      <rPr>
        <vertAlign val="subscript"/>
        <sz val="11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 xml:space="preserve"> = </t>
    </r>
  </si>
  <si>
    <t>Masse:</t>
  </si>
  <si>
    <t xml:space="preserve">m = </t>
  </si>
  <si>
    <t>Erdbeschleunigung:</t>
  </si>
  <si>
    <t>kg</t>
  </si>
  <si>
    <r>
      <t>m/s</t>
    </r>
    <r>
      <rPr>
        <vertAlign val="superscript"/>
        <sz val="11"/>
        <color theme="1"/>
        <rFont val="Calibri"/>
        <family val="2"/>
        <scheme val="minor"/>
      </rPr>
      <t>2</t>
    </r>
  </si>
  <si>
    <t>m*g =</t>
  </si>
  <si>
    <r>
      <t>F</t>
    </r>
    <r>
      <rPr>
        <vertAlign val="subscript"/>
        <sz val="11"/>
        <color theme="1"/>
        <rFont val="Calibri"/>
        <family val="2"/>
        <scheme val="minor"/>
      </rPr>
      <t>G</t>
    </r>
    <r>
      <rPr>
        <sz val="11"/>
        <color theme="1"/>
        <rFont val="Calibri"/>
        <family val="2"/>
        <scheme val="minor"/>
      </rPr>
      <t xml:space="preserve"> * cos(α) = </t>
    </r>
  </si>
  <si>
    <r>
      <t>F</t>
    </r>
    <r>
      <rPr>
        <vertAlign val="subscript"/>
        <sz val="11"/>
        <color theme="1"/>
        <rFont val="Calibri"/>
        <family val="2"/>
        <scheme val="minor"/>
      </rPr>
      <t>G</t>
    </r>
    <r>
      <rPr>
        <sz val="11"/>
        <color theme="1"/>
        <rFont val="Calibri"/>
        <family val="2"/>
        <scheme val="minor"/>
      </rPr>
      <t xml:space="preserve"> * sin(α) = </t>
    </r>
  </si>
  <si>
    <t>Steigungswinkel:</t>
  </si>
  <si>
    <t xml:space="preserve">α = </t>
  </si>
  <si>
    <t>Winkelmasse</t>
  </si>
  <si>
    <t>Gewichtskraft:</t>
  </si>
  <si>
    <t>t</t>
  </si>
  <si>
    <t>Masse</t>
  </si>
  <si>
    <t>g</t>
  </si>
  <si>
    <t>mg</t>
  </si>
  <si>
    <t>Hide</t>
  </si>
  <si>
    <t>Resultierende</t>
  </si>
  <si>
    <t>Reibungs-Koeffizient:</t>
  </si>
  <si>
    <t>Haftreibung (μₕ)</t>
  </si>
  <si>
    <t>Gleitreibung (μₖ)</t>
  </si>
  <si>
    <t xml:space="preserve">Haftreibung (μₕ) = </t>
  </si>
  <si>
    <t xml:space="preserve">Gleitreibung (μₖ) = </t>
  </si>
  <si>
    <t>Materialkombination</t>
  </si>
  <si>
    <t>Gummi auf trockenem Asphalt</t>
  </si>
  <si>
    <t>0,9 – 1,0</t>
  </si>
  <si>
    <t>0,7 – 0,9</t>
  </si>
  <si>
    <t>Stahl auf Stahl (trocken)</t>
  </si>
  <si>
    <t>0,6 – 0,8</t>
  </si>
  <si>
    <t>0,4 – 0,6</t>
  </si>
  <si>
    <t>Holz auf Holz</t>
  </si>
  <si>
    <t>0,2 – 0,5</t>
  </si>
  <si>
    <t>Eis auf Eis</t>
  </si>
  <si>
    <t>~0,1</t>
  </si>
  <si>
    <t>~0,03 – 0,05</t>
  </si>
  <si>
    <t>Teflon auf Teflon</t>
  </si>
  <si>
    <t>~0,04</t>
  </si>
  <si>
    <r>
      <t>F</t>
    </r>
    <r>
      <rPr>
        <vertAlign val="subscript"/>
        <sz val="11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 xml:space="preserve"> * μₕ  = </t>
    </r>
  </si>
  <si>
    <t>Haftreibungskraft:</t>
  </si>
  <si>
    <t>Resultierende Hangabtriebskraft (Haftet):</t>
  </si>
  <si>
    <r>
      <t>F</t>
    </r>
    <r>
      <rPr>
        <vertAlign val="subscript"/>
        <sz val="11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 xml:space="preserve"> * μₖ  = </t>
    </r>
  </si>
  <si>
    <t>Gleitreibungskraft:</t>
  </si>
  <si>
    <r>
      <t>F</t>
    </r>
    <r>
      <rPr>
        <vertAlign val="subscript"/>
        <sz val="11"/>
        <color theme="1"/>
        <rFont val="Calibri"/>
        <family val="2"/>
        <scheme val="minor"/>
      </rPr>
      <t>RHaft</t>
    </r>
    <r>
      <rPr>
        <sz val="11"/>
        <color theme="1"/>
        <rFont val="Calibri"/>
        <family val="2"/>
        <scheme val="minor"/>
      </rPr>
      <t xml:space="preserve"> = </t>
    </r>
  </si>
  <si>
    <r>
      <t>F</t>
    </r>
    <r>
      <rPr>
        <vertAlign val="subscript"/>
        <sz val="11"/>
        <color theme="1"/>
        <rFont val="Calibri"/>
        <family val="2"/>
        <scheme val="minor"/>
      </rPr>
      <t>H</t>
    </r>
    <r>
      <rPr>
        <sz val="11"/>
        <color theme="1"/>
        <rFont val="Calibri"/>
        <family val="2"/>
        <scheme val="minor"/>
      </rPr>
      <t xml:space="preserve"> - F</t>
    </r>
    <r>
      <rPr>
        <vertAlign val="subscript"/>
        <sz val="11"/>
        <color theme="1"/>
        <rFont val="Calibri"/>
        <family val="2"/>
        <scheme val="minor"/>
      </rPr>
      <t>RHaft</t>
    </r>
    <r>
      <rPr>
        <sz val="11"/>
        <color theme="1"/>
        <rFont val="Calibri"/>
        <family val="2"/>
        <scheme val="minor"/>
      </rPr>
      <t xml:space="preserve">  = </t>
    </r>
  </si>
  <si>
    <r>
      <t>F</t>
    </r>
    <r>
      <rPr>
        <vertAlign val="subscript"/>
        <sz val="11"/>
        <color theme="1"/>
        <rFont val="Calibri"/>
        <family val="2"/>
        <scheme val="minor"/>
      </rPr>
      <t>RGleit</t>
    </r>
    <r>
      <rPr>
        <sz val="11"/>
        <color theme="1"/>
        <rFont val="Calibri"/>
        <family val="2"/>
        <scheme val="minor"/>
      </rPr>
      <t xml:space="preserve"> = </t>
    </r>
  </si>
  <si>
    <t>Resultierende Hangabtriebskraft (Gleitet):</t>
  </si>
  <si>
    <r>
      <t>F</t>
    </r>
    <r>
      <rPr>
        <vertAlign val="subscript"/>
        <sz val="11"/>
        <color theme="1"/>
        <rFont val="Calibri"/>
        <family val="2"/>
        <scheme val="minor"/>
      </rPr>
      <t>H</t>
    </r>
    <r>
      <rPr>
        <sz val="11"/>
        <color theme="1"/>
        <rFont val="Calibri"/>
        <family val="2"/>
        <scheme val="minor"/>
      </rPr>
      <t xml:space="preserve"> - F</t>
    </r>
    <r>
      <rPr>
        <vertAlign val="subscript"/>
        <sz val="11"/>
        <color theme="1"/>
        <rFont val="Calibri"/>
        <family val="2"/>
        <scheme val="minor"/>
      </rPr>
      <t>RGleit</t>
    </r>
    <r>
      <rPr>
        <sz val="11"/>
        <color theme="1"/>
        <rFont val="Calibri"/>
        <family val="2"/>
        <scheme val="minor"/>
      </rPr>
      <t xml:space="preserve"> = </t>
    </r>
  </si>
  <si>
    <r>
      <t>F</t>
    </r>
    <r>
      <rPr>
        <vertAlign val="subscript"/>
        <sz val="11"/>
        <color theme="1"/>
        <rFont val="Calibri"/>
        <family val="2"/>
        <scheme val="minor"/>
      </rPr>
      <t>HR_Haft</t>
    </r>
    <r>
      <rPr>
        <sz val="11"/>
        <color theme="1"/>
        <rFont val="Calibri"/>
        <family val="2"/>
        <scheme val="minor"/>
      </rPr>
      <t xml:space="preserve"> = </t>
    </r>
  </si>
  <si>
    <r>
      <t>F</t>
    </r>
    <r>
      <rPr>
        <vertAlign val="subscript"/>
        <sz val="11"/>
        <color theme="1"/>
        <rFont val="Calibri"/>
        <family val="2"/>
        <scheme val="minor"/>
      </rPr>
      <t xml:space="preserve">HR _Gleit </t>
    </r>
    <r>
      <rPr>
        <sz val="11"/>
        <color theme="1"/>
        <rFont val="Calibri"/>
        <family val="2"/>
        <scheme val="minor"/>
      </rPr>
      <t xml:space="preserve">= </t>
    </r>
  </si>
  <si>
    <r>
      <t>a = F</t>
    </r>
    <r>
      <rPr>
        <vertAlign val="subscript"/>
        <sz val="11"/>
        <color theme="1"/>
        <rFont val="Calibri"/>
        <family val="2"/>
        <scheme val="minor"/>
      </rPr>
      <t>HR_Gleit</t>
    </r>
    <r>
      <rPr>
        <sz val="11"/>
        <color theme="1"/>
        <rFont val="Calibri"/>
        <family val="2"/>
        <scheme val="minor"/>
      </rPr>
      <t xml:space="preserve"> / m = </t>
    </r>
  </si>
  <si>
    <t xml:space="preserve">[°] </t>
  </si>
  <si>
    <t xml:space="preserve">[rad] </t>
  </si>
  <si>
    <t xml:space="preserve">a = g⋅(sin(α)−μₖ​⋅cos(α)) = </t>
  </si>
  <si>
    <t>Winkel: Haften zu gleiten:</t>
  </si>
  <si>
    <t>[°]</t>
  </si>
  <si>
    <t>Winkel: Gleiten zu haften:</t>
  </si>
  <si>
    <t>[rad]</t>
  </si>
  <si>
    <t>Haften -&gt; Gleiten</t>
  </si>
  <si>
    <t xml:space="preserve">g = </t>
  </si>
  <si>
    <t>φ</t>
  </si>
  <si>
    <t>Kleines phi</t>
  </si>
  <si>
    <t>Grosses phi</t>
  </si>
  <si>
    <t>pi</t>
  </si>
  <si>
    <t>π</t>
  </si>
  <si>
    <t>f
Frequenz
[Hz]</t>
  </si>
  <si>
    <t>φ
Phasenlage
[°]</t>
  </si>
  <si>
    <t>φ
Phasenlage [rad]</t>
  </si>
  <si>
    <t>Sinus / Cosinus / Tangens</t>
  </si>
  <si>
    <t xml:space="preserve">y1 = </t>
  </si>
  <si>
    <t>Inc:</t>
  </si>
  <si>
    <t>tan(x) =</t>
  </si>
  <si>
    <t xml:space="preserve">y2 = </t>
  </si>
  <si>
    <t>V</t>
  </si>
  <si>
    <t>Ω</t>
  </si>
  <si>
    <t>Gemischte Schaltungen</t>
  </si>
  <si>
    <t>1.Schritt</t>
  </si>
  <si>
    <t>6.Schritt</t>
  </si>
  <si>
    <t>5.Schritt</t>
  </si>
  <si>
    <t>4.Schritt</t>
  </si>
  <si>
    <t>3.Schritt</t>
  </si>
  <si>
    <t>2.Schritt</t>
  </si>
  <si>
    <r>
      <rPr>
        <sz val="20"/>
        <color rgb="FFFF0000"/>
        <rFont val="Calibri"/>
        <family val="2"/>
        <scheme val="minor"/>
      </rPr>
      <t>I</t>
    </r>
    <r>
      <rPr>
        <vertAlign val="subscript"/>
        <sz val="20"/>
        <color rgb="FFFF0000"/>
        <rFont val="Calibri"/>
        <family val="2"/>
        <scheme val="minor"/>
      </rPr>
      <t>789</t>
    </r>
    <r>
      <rPr>
        <sz val="20"/>
        <color theme="1"/>
        <rFont val="Calibri"/>
        <family val="2"/>
        <scheme val="minor"/>
      </rPr>
      <t xml:space="preserve"> + </t>
    </r>
    <r>
      <rPr>
        <sz val="20"/>
        <color rgb="FFFF0000"/>
        <rFont val="Calibri"/>
        <family val="2"/>
        <scheme val="minor"/>
      </rPr>
      <t>I</t>
    </r>
    <r>
      <rPr>
        <vertAlign val="subscript"/>
        <sz val="20"/>
        <color rgb="FFFF0000"/>
        <rFont val="Calibri"/>
        <family val="2"/>
        <scheme val="minor"/>
      </rPr>
      <t>123456</t>
    </r>
    <r>
      <rPr>
        <sz val="20"/>
        <color theme="1"/>
        <rFont val="Calibri"/>
        <family val="2"/>
        <scheme val="minor"/>
      </rPr>
      <t xml:space="preserve"> =</t>
    </r>
    <r>
      <rPr>
        <sz val="20"/>
        <color rgb="FFFF0000"/>
        <rFont val="Calibri"/>
        <family val="2"/>
        <scheme val="minor"/>
      </rPr>
      <t xml:space="preserve"> I</t>
    </r>
    <r>
      <rPr>
        <vertAlign val="subscript"/>
        <sz val="20"/>
        <color rgb="FFFF0000"/>
        <rFont val="Calibri"/>
        <family val="2"/>
        <scheme val="minor"/>
      </rPr>
      <t>Tot</t>
    </r>
  </si>
  <si>
    <t>==&gt;</t>
  </si>
  <si>
    <t>Vektoroperationen</t>
  </si>
  <si>
    <t xml:space="preserve"> =</t>
  </si>
  <si>
    <r>
      <t>R</t>
    </r>
    <r>
      <rPr>
        <vertAlign val="subscript"/>
        <sz val="16"/>
        <color theme="1"/>
        <rFont val="Calibri"/>
        <family val="2"/>
        <scheme val="minor"/>
      </rPr>
      <t>1</t>
    </r>
  </si>
  <si>
    <r>
      <t>R</t>
    </r>
    <r>
      <rPr>
        <vertAlign val="subscript"/>
        <sz val="16"/>
        <color theme="1"/>
        <rFont val="Calibri"/>
        <family val="2"/>
        <scheme val="minor"/>
      </rPr>
      <t>2</t>
    </r>
  </si>
  <si>
    <r>
      <t>R</t>
    </r>
    <r>
      <rPr>
        <vertAlign val="subscript"/>
        <sz val="16"/>
        <color theme="1"/>
        <rFont val="Calibri"/>
        <family val="2"/>
        <scheme val="minor"/>
      </rPr>
      <t>3</t>
    </r>
  </si>
  <si>
    <r>
      <t>R</t>
    </r>
    <r>
      <rPr>
        <vertAlign val="subscript"/>
        <sz val="16"/>
        <color theme="1"/>
        <rFont val="Calibri"/>
        <family val="2"/>
        <scheme val="minor"/>
      </rPr>
      <t>4</t>
    </r>
  </si>
  <si>
    <r>
      <t>R</t>
    </r>
    <r>
      <rPr>
        <vertAlign val="subscript"/>
        <sz val="16"/>
        <color theme="1"/>
        <rFont val="Calibri"/>
        <family val="2"/>
        <scheme val="minor"/>
      </rPr>
      <t>5</t>
    </r>
  </si>
  <si>
    <r>
      <t>R</t>
    </r>
    <r>
      <rPr>
        <vertAlign val="subscript"/>
        <sz val="16"/>
        <color theme="1"/>
        <rFont val="Calibri"/>
        <family val="2"/>
        <scheme val="minor"/>
      </rPr>
      <t>6</t>
    </r>
  </si>
  <si>
    <r>
      <t>R</t>
    </r>
    <r>
      <rPr>
        <vertAlign val="subscript"/>
        <sz val="16"/>
        <color theme="1"/>
        <rFont val="Calibri"/>
        <family val="2"/>
        <scheme val="minor"/>
      </rPr>
      <t>7</t>
    </r>
  </si>
  <si>
    <r>
      <t>R</t>
    </r>
    <r>
      <rPr>
        <vertAlign val="subscript"/>
        <sz val="16"/>
        <color theme="1"/>
        <rFont val="Calibri"/>
        <family val="2"/>
        <scheme val="minor"/>
      </rPr>
      <t>8</t>
    </r>
  </si>
  <si>
    <r>
      <t>R</t>
    </r>
    <r>
      <rPr>
        <vertAlign val="subscript"/>
        <sz val="16"/>
        <color theme="1"/>
        <rFont val="Calibri"/>
        <family val="2"/>
        <scheme val="minor"/>
      </rPr>
      <t>9</t>
    </r>
  </si>
  <si>
    <r>
      <t>R</t>
    </r>
    <r>
      <rPr>
        <vertAlign val="subscript"/>
        <sz val="16"/>
        <color theme="1"/>
        <rFont val="Calibri"/>
        <family val="2"/>
        <scheme val="minor"/>
      </rPr>
      <t>10</t>
    </r>
  </si>
  <si>
    <r>
      <t>R</t>
    </r>
    <r>
      <rPr>
        <vertAlign val="subscript"/>
        <sz val="18"/>
        <color theme="1"/>
        <rFont val="Calibri"/>
        <family val="2"/>
        <scheme val="minor"/>
      </rPr>
      <t>23</t>
    </r>
  </si>
  <si>
    <r>
      <t>R</t>
    </r>
    <r>
      <rPr>
        <vertAlign val="subscript"/>
        <sz val="18"/>
        <color theme="1"/>
        <rFont val="Calibri"/>
        <family val="2"/>
        <scheme val="minor"/>
      </rPr>
      <t>45</t>
    </r>
  </si>
  <si>
    <r>
      <t>R</t>
    </r>
    <r>
      <rPr>
        <vertAlign val="subscript"/>
        <sz val="18"/>
        <color theme="1"/>
        <rFont val="Calibri"/>
        <family val="2"/>
        <scheme val="minor"/>
      </rPr>
      <t>78</t>
    </r>
  </si>
  <si>
    <r>
      <t>R</t>
    </r>
    <r>
      <rPr>
        <vertAlign val="subscript"/>
        <sz val="18"/>
        <color theme="1"/>
        <rFont val="Calibri"/>
        <family val="2"/>
        <scheme val="minor"/>
      </rPr>
      <t>123</t>
    </r>
  </si>
  <si>
    <t xml:space="preserve">     R2||R3    </t>
  </si>
  <si>
    <t xml:space="preserve">    R4||R5     </t>
  </si>
  <si>
    <t xml:space="preserve">   R7 + R8   </t>
  </si>
  <si>
    <t xml:space="preserve">   R23 + R1   </t>
  </si>
  <si>
    <r>
      <t>R</t>
    </r>
    <r>
      <rPr>
        <vertAlign val="subscript"/>
        <sz val="18"/>
        <color theme="1"/>
        <rFont val="Calibri"/>
        <family val="2"/>
        <scheme val="minor"/>
      </rPr>
      <t>789</t>
    </r>
  </si>
  <si>
    <t xml:space="preserve"> R9||R78   </t>
  </si>
  <si>
    <r>
      <t>R</t>
    </r>
    <r>
      <rPr>
        <vertAlign val="subscript"/>
        <sz val="22"/>
        <color theme="1"/>
        <rFont val="Calibri"/>
        <family val="2"/>
        <scheme val="minor"/>
      </rPr>
      <t>12345</t>
    </r>
  </si>
  <si>
    <t xml:space="preserve">  R45||R123  </t>
  </si>
  <si>
    <r>
      <t>R</t>
    </r>
    <r>
      <rPr>
        <vertAlign val="subscript"/>
        <sz val="20"/>
        <color theme="1"/>
        <rFont val="Calibri"/>
        <family val="2"/>
        <scheme val="minor"/>
      </rPr>
      <t>123456</t>
    </r>
  </si>
  <si>
    <t>R6 + R12345</t>
  </si>
  <si>
    <r>
      <t>R</t>
    </r>
    <r>
      <rPr>
        <vertAlign val="subscript"/>
        <sz val="20"/>
        <color theme="1"/>
        <rFont val="Calibri"/>
        <family val="2"/>
        <scheme val="minor"/>
      </rPr>
      <t>123456789</t>
    </r>
  </si>
  <si>
    <t xml:space="preserve"> R789||R123456</t>
  </si>
  <si>
    <t>R10 + R123456789</t>
  </si>
  <si>
    <r>
      <t>I</t>
    </r>
    <r>
      <rPr>
        <vertAlign val="subscript"/>
        <sz val="20"/>
        <color rgb="FFFF0000"/>
        <rFont val="Calibri"/>
        <family val="2"/>
        <scheme val="minor"/>
      </rPr>
      <t>Tot</t>
    </r>
  </si>
  <si>
    <r>
      <t>R</t>
    </r>
    <r>
      <rPr>
        <vertAlign val="subscript"/>
        <sz val="20"/>
        <color theme="1"/>
        <rFont val="Calibri"/>
        <family val="2"/>
        <scheme val="minor"/>
      </rPr>
      <t>Tot</t>
    </r>
  </si>
  <si>
    <r>
      <rPr>
        <sz val="20"/>
        <color rgb="FFFF0000"/>
        <rFont val="Calibri"/>
        <family val="2"/>
        <scheme val="minor"/>
      </rPr>
      <t>I</t>
    </r>
    <r>
      <rPr>
        <vertAlign val="subscript"/>
        <sz val="20"/>
        <color rgb="FFFF0000"/>
        <rFont val="Calibri"/>
        <family val="2"/>
        <scheme val="minor"/>
      </rPr>
      <t>Tot</t>
    </r>
    <r>
      <rPr>
        <sz val="20"/>
        <color rgb="FF00B0F0"/>
        <rFont val="Calibri"/>
        <family val="2"/>
        <scheme val="minor"/>
      </rPr>
      <t xml:space="preserve"> </t>
    </r>
    <r>
      <rPr>
        <sz val="20"/>
        <color theme="1" tint="4.9989318521683403E-2"/>
        <rFont val="Calibri"/>
        <family val="2"/>
        <scheme val="minor"/>
      </rPr>
      <t>* R</t>
    </r>
    <r>
      <rPr>
        <vertAlign val="subscript"/>
        <sz val="20"/>
        <color theme="1" tint="4.9989318521683403E-2"/>
        <rFont val="Calibri"/>
        <family val="2"/>
        <scheme val="minor"/>
      </rPr>
      <t>123456789</t>
    </r>
  </si>
  <si>
    <r>
      <rPr>
        <sz val="20"/>
        <color rgb="FFFF0000"/>
        <rFont val="Calibri"/>
        <family val="2"/>
        <scheme val="minor"/>
      </rPr>
      <t xml:space="preserve"> I</t>
    </r>
    <r>
      <rPr>
        <vertAlign val="subscript"/>
        <sz val="20"/>
        <color rgb="FFFF0000"/>
        <rFont val="Calibri"/>
        <family val="2"/>
        <scheme val="minor"/>
      </rPr>
      <t>Tot</t>
    </r>
    <r>
      <rPr>
        <sz val="20"/>
        <color theme="1"/>
        <rFont val="Calibri"/>
        <family val="2"/>
        <scheme val="minor"/>
      </rPr>
      <t xml:space="preserve"> * R</t>
    </r>
    <r>
      <rPr>
        <vertAlign val="subscript"/>
        <sz val="20"/>
        <color theme="1"/>
        <rFont val="Calibri"/>
        <family val="2"/>
        <scheme val="minor"/>
      </rPr>
      <t>10</t>
    </r>
    <r>
      <rPr>
        <sz val="20"/>
        <color theme="1"/>
        <rFont val="Calibri"/>
        <family val="2"/>
        <scheme val="minor"/>
      </rPr>
      <t xml:space="preserve"> </t>
    </r>
  </si>
  <si>
    <r>
      <rPr>
        <sz val="20"/>
        <color rgb="FF00B0F0"/>
        <rFont val="Calibri"/>
        <family val="2"/>
        <scheme val="minor"/>
      </rPr>
      <t>U</t>
    </r>
    <r>
      <rPr>
        <vertAlign val="subscript"/>
        <sz val="20"/>
        <color rgb="FF00B0F0"/>
        <rFont val="Calibri"/>
        <family val="2"/>
        <scheme val="minor"/>
      </rPr>
      <t>123456789</t>
    </r>
    <r>
      <rPr>
        <sz val="20"/>
        <color theme="1"/>
        <rFont val="Calibri"/>
        <family val="2"/>
        <scheme val="minor"/>
      </rPr>
      <t xml:space="preserve"> / R</t>
    </r>
    <r>
      <rPr>
        <vertAlign val="subscript"/>
        <sz val="20"/>
        <color theme="1"/>
        <rFont val="Calibri"/>
        <family val="2"/>
        <scheme val="minor"/>
      </rPr>
      <t>789</t>
    </r>
  </si>
  <si>
    <r>
      <rPr>
        <sz val="20"/>
        <color rgb="FFFF0000"/>
        <rFont val="Calibri"/>
        <family val="2"/>
        <scheme val="minor"/>
      </rPr>
      <t>I</t>
    </r>
    <r>
      <rPr>
        <vertAlign val="subscript"/>
        <sz val="20"/>
        <color rgb="FFFF0000"/>
        <rFont val="Calibri"/>
        <family val="2"/>
        <scheme val="minor"/>
      </rPr>
      <t>789</t>
    </r>
  </si>
  <si>
    <r>
      <rPr>
        <sz val="20"/>
        <color rgb="FF00B0F0"/>
        <rFont val="Calibri"/>
        <family val="2"/>
        <scheme val="minor"/>
      </rPr>
      <t>U</t>
    </r>
    <r>
      <rPr>
        <vertAlign val="subscript"/>
        <sz val="20"/>
        <color rgb="FF00B0F0"/>
        <rFont val="Calibri"/>
        <family val="2"/>
        <scheme val="minor"/>
      </rPr>
      <t>123456789</t>
    </r>
    <r>
      <rPr>
        <sz val="20"/>
        <color theme="1"/>
        <rFont val="Calibri"/>
        <family val="2"/>
        <scheme val="minor"/>
      </rPr>
      <t xml:space="preserve"> / R</t>
    </r>
    <r>
      <rPr>
        <vertAlign val="subscript"/>
        <sz val="20"/>
        <color theme="1"/>
        <rFont val="Calibri"/>
        <family val="2"/>
        <scheme val="minor"/>
      </rPr>
      <t>123456</t>
    </r>
  </si>
  <si>
    <r>
      <rPr>
        <sz val="20"/>
        <color rgb="FFFF0000"/>
        <rFont val="Calibri"/>
        <family val="2"/>
        <scheme val="minor"/>
      </rPr>
      <t>I</t>
    </r>
    <r>
      <rPr>
        <vertAlign val="subscript"/>
        <sz val="20"/>
        <color rgb="FFFF0000"/>
        <rFont val="Calibri"/>
        <family val="2"/>
        <scheme val="minor"/>
      </rPr>
      <t>123456</t>
    </r>
  </si>
  <si>
    <r>
      <rPr>
        <sz val="22"/>
        <color rgb="FFFF0000"/>
        <rFont val="Calibri"/>
        <family val="2"/>
        <scheme val="minor"/>
      </rPr>
      <t>I</t>
    </r>
    <r>
      <rPr>
        <vertAlign val="subscript"/>
        <sz val="22"/>
        <color rgb="FFFF0000"/>
        <rFont val="Calibri"/>
        <family val="2"/>
        <scheme val="minor"/>
      </rPr>
      <t>123456</t>
    </r>
    <r>
      <rPr>
        <sz val="22"/>
        <color theme="1"/>
        <rFont val="Calibri"/>
        <family val="2"/>
        <scheme val="minor"/>
      </rPr>
      <t xml:space="preserve"> * R</t>
    </r>
    <r>
      <rPr>
        <vertAlign val="subscript"/>
        <sz val="22"/>
        <color theme="1"/>
        <rFont val="Calibri"/>
        <family val="2"/>
        <scheme val="minor"/>
      </rPr>
      <t>12345</t>
    </r>
  </si>
  <si>
    <r>
      <t xml:space="preserve">    </t>
    </r>
    <r>
      <rPr>
        <sz val="20"/>
        <color rgb="FF00B0F0"/>
        <rFont val="Calibri"/>
        <family val="2"/>
        <scheme val="minor"/>
      </rPr>
      <t>U</t>
    </r>
    <r>
      <rPr>
        <vertAlign val="subscript"/>
        <sz val="20"/>
        <color rgb="FF00B0F0"/>
        <rFont val="Calibri"/>
        <family val="2"/>
        <scheme val="minor"/>
      </rPr>
      <t>Tot</t>
    </r>
    <r>
      <rPr>
        <sz val="20"/>
        <color rgb="FF00B0F0"/>
        <rFont val="Calibri"/>
        <family val="2"/>
        <scheme val="minor"/>
      </rPr>
      <t xml:space="preserve"> </t>
    </r>
    <r>
      <rPr>
        <sz val="20"/>
        <color theme="1"/>
        <rFont val="Calibri"/>
        <family val="2"/>
        <scheme val="minor"/>
      </rPr>
      <t>/ R</t>
    </r>
    <r>
      <rPr>
        <vertAlign val="subscript"/>
        <sz val="20"/>
        <color theme="1"/>
        <rFont val="Calibri"/>
        <family val="2"/>
        <scheme val="minor"/>
      </rPr>
      <t xml:space="preserve">Tot   </t>
    </r>
  </si>
  <si>
    <r>
      <rPr>
        <sz val="22"/>
        <color rgb="FFFF0000"/>
        <rFont val="Calibri"/>
        <family val="2"/>
        <scheme val="minor"/>
      </rPr>
      <t>I</t>
    </r>
    <r>
      <rPr>
        <vertAlign val="subscript"/>
        <sz val="22"/>
        <color rgb="FFFF0000"/>
        <rFont val="Calibri"/>
        <family val="2"/>
        <scheme val="minor"/>
      </rPr>
      <t>123456</t>
    </r>
    <r>
      <rPr>
        <sz val="22"/>
        <color theme="1"/>
        <rFont val="Calibri"/>
        <family val="2"/>
        <scheme val="minor"/>
      </rPr>
      <t xml:space="preserve"> * R</t>
    </r>
    <r>
      <rPr>
        <vertAlign val="subscript"/>
        <sz val="22"/>
        <color theme="1"/>
        <rFont val="Calibri"/>
        <family val="2"/>
        <scheme val="minor"/>
      </rPr>
      <t>6</t>
    </r>
  </si>
  <si>
    <r>
      <t>U</t>
    </r>
    <r>
      <rPr>
        <vertAlign val="subscript"/>
        <sz val="20"/>
        <color rgb="FF00B0F0"/>
        <rFont val="Calibri"/>
        <family val="2"/>
        <scheme val="minor"/>
      </rPr>
      <t>10</t>
    </r>
  </si>
  <si>
    <r>
      <t>U</t>
    </r>
    <r>
      <rPr>
        <vertAlign val="subscript"/>
        <sz val="20"/>
        <color rgb="FF00B0F0"/>
        <rFont val="Calibri"/>
        <family val="2"/>
        <scheme val="minor"/>
      </rPr>
      <t>123456789</t>
    </r>
  </si>
  <si>
    <r>
      <rPr>
        <sz val="20"/>
        <color rgb="FF00B0F0"/>
        <rFont val="Calibri"/>
        <family val="2"/>
        <scheme val="minor"/>
      </rPr>
      <t>U</t>
    </r>
    <r>
      <rPr>
        <vertAlign val="subscript"/>
        <sz val="20"/>
        <color rgb="FF00B0F0"/>
        <rFont val="Calibri"/>
        <family val="2"/>
        <scheme val="minor"/>
      </rPr>
      <t>10</t>
    </r>
    <r>
      <rPr>
        <sz val="20"/>
        <color theme="1"/>
        <rFont val="Calibri"/>
        <family val="2"/>
        <scheme val="minor"/>
      </rPr>
      <t xml:space="preserve"> + </t>
    </r>
    <r>
      <rPr>
        <sz val="20"/>
        <color rgb="FF00B0F0"/>
        <rFont val="Calibri"/>
        <family val="2"/>
        <scheme val="minor"/>
      </rPr>
      <t>U</t>
    </r>
    <r>
      <rPr>
        <vertAlign val="subscript"/>
        <sz val="20"/>
        <color rgb="FF00B0F0"/>
        <rFont val="Calibri"/>
        <family val="2"/>
        <scheme val="minor"/>
      </rPr>
      <t>123456789</t>
    </r>
    <r>
      <rPr>
        <sz val="20"/>
        <color rgb="FF00B0F0"/>
        <rFont val="Calibri"/>
        <family val="2"/>
        <scheme val="minor"/>
      </rPr>
      <t xml:space="preserve"> </t>
    </r>
    <r>
      <rPr>
        <sz val="20"/>
        <color theme="1"/>
        <rFont val="Calibri"/>
        <family val="2"/>
        <scheme val="minor"/>
      </rPr>
      <t>=</t>
    </r>
    <r>
      <rPr>
        <sz val="20"/>
        <color rgb="FFFF0000"/>
        <rFont val="Calibri"/>
        <family val="2"/>
        <scheme val="minor"/>
      </rPr>
      <t xml:space="preserve"> </t>
    </r>
    <r>
      <rPr>
        <sz val="20"/>
        <color rgb="FF00B0F0"/>
        <rFont val="Calibri"/>
        <family val="2"/>
        <scheme val="minor"/>
      </rPr>
      <t>U</t>
    </r>
    <r>
      <rPr>
        <vertAlign val="subscript"/>
        <sz val="20"/>
        <color rgb="FF00B0F0"/>
        <rFont val="Calibri"/>
        <family val="2"/>
        <scheme val="minor"/>
      </rPr>
      <t>Tot</t>
    </r>
  </si>
  <si>
    <r>
      <t>U</t>
    </r>
    <r>
      <rPr>
        <vertAlign val="subscript"/>
        <sz val="22"/>
        <color rgb="FF00B0F0"/>
        <rFont val="Calibri"/>
        <family val="2"/>
        <scheme val="minor"/>
      </rPr>
      <t>12345</t>
    </r>
  </si>
  <si>
    <r>
      <t>U</t>
    </r>
    <r>
      <rPr>
        <vertAlign val="subscript"/>
        <sz val="22"/>
        <color rgb="FF00B0F0"/>
        <rFont val="Calibri"/>
        <family val="2"/>
        <scheme val="minor"/>
      </rPr>
      <t>6</t>
    </r>
  </si>
  <si>
    <r>
      <rPr>
        <sz val="22"/>
        <color rgb="FF00B0F0"/>
        <rFont val="Calibri"/>
        <family val="2"/>
        <scheme val="minor"/>
      </rPr>
      <t>U</t>
    </r>
    <r>
      <rPr>
        <vertAlign val="subscript"/>
        <sz val="22"/>
        <color rgb="FF00B0F0"/>
        <rFont val="Calibri"/>
        <family val="2"/>
        <scheme val="minor"/>
      </rPr>
      <t>6</t>
    </r>
    <r>
      <rPr>
        <sz val="22"/>
        <color theme="1"/>
        <rFont val="Calibri"/>
        <family val="2"/>
        <scheme val="minor"/>
      </rPr>
      <t xml:space="preserve"> + </t>
    </r>
    <r>
      <rPr>
        <sz val="22"/>
        <color rgb="FF00B0F0"/>
        <rFont val="Calibri"/>
        <family val="2"/>
        <scheme val="minor"/>
      </rPr>
      <t>U</t>
    </r>
    <r>
      <rPr>
        <vertAlign val="subscript"/>
        <sz val="22"/>
        <color rgb="FF00B0F0"/>
        <rFont val="Calibri"/>
        <family val="2"/>
        <scheme val="minor"/>
      </rPr>
      <t>12345</t>
    </r>
    <r>
      <rPr>
        <sz val="22"/>
        <color theme="1"/>
        <rFont val="Calibri"/>
        <family val="2"/>
        <scheme val="minor"/>
      </rPr>
      <t xml:space="preserve"> = </t>
    </r>
    <r>
      <rPr>
        <sz val="22"/>
        <color rgb="FF00B0F0"/>
        <rFont val="Calibri"/>
        <family val="2"/>
        <scheme val="minor"/>
      </rPr>
      <t>U</t>
    </r>
    <r>
      <rPr>
        <vertAlign val="subscript"/>
        <sz val="22"/>
        <color rgb="FF00B0F0"/>
        <rFont val="Calibri"/>
        <family val="2"/>
        <scheme val="minor"/>
      </rPr>
      <t>123456789</t>
    </r>
    <r>
      <rPr>
        <sz val="22"/>
        <color theme="1"/>
        <rFont val="Calibri"/>
        <family val="2"/>
        <scheme val="minor"/>
      </rPr>
      <t xml:space="preserve"> = </t>
    </r>
  </si>
  <si>
    <r>
      <t>I</t>
    </r>
    <r>
      <rPr>
        <vertAlign val="subscript"/>
        <sz val="20"/>
        <color rgb="FFFF0000"/>
        <rFont val="Calibri"/>
        <family val="2"/>
        <scheme val="minor"/>
      </rPr>
      <t>123</t>
    </r>
  </si>
  <si>
    <r>
      <rPr>
        <sz val="20"/>
        <color rgb="FF00B0F0"/>
        <rFont val="Calibri"/>
        <family val="2"/>
        <scheme val="minor"/>
      </rPr>
      <t>U</t>
    </r>
    <r>
      <rPr>
        <vertAlign val="subscript"/>
        <sz val="20"/>
        <color rgb="FF00B0F0"/>
        <rFont val="Calibri"/>
        <family val="2"/>
        <scheme val="minor"/>
      </rPr>
      <t>12345</t>
    </r>
    <r>
      <rPr>
        <sz val="20"/>
        <color theme="1"/>
        <rFont val="Calibri"/>
        <family val="2"/>
        <scheme val="minor"/>
      </rPr>
      <t xml:space="preserve"> / R</t>
    </r>
    <r>
      <rPr>
        <vertAlign val="subscript"/>
        <sz val="20"/>
        <color theme="1"/>
        <rFont val="Calibri"/>
        <family val="2"/>
        <scheme val="minor"/>
      </rPr>
      <t>123</t>
    </r>
  </si>
  <si>
    <r>
      <t>I</t>
    </r>
    <r>
      <rPr>
        <vertAlign val="subscript"/>
        <sz val="20"/>
        <color rgb="FFFF0000"/>
        <rFont val="Calibri"/>
        <family val="2"/>
        <scheme val="minor"/>
      </rPr>
      <t>45</t>
    </r>
  </si>
  <si>
    <r>
      <rPr>
        <sz val="20"/>
        <color rgb="FF00B0F0"/>
        <rFont val="Calibri"/>
        <family val="2"/>
        <scheme val="minor"/>
      </rPr>
      <t>U</t>
    </r>
    <r>
      <rPr>
        <vertAlign val="subscript"/>
        <sz val="20"/>
        <color rgb="FF00B0F0"/>
        <rFont val="Calibri"/>
        <family val="2"/>
        <scheme val="minor"/>
      </rPr>
      <t>12345</t>
    </r>
    <r>
      <rPr>
        <sz val="20"/>
        <color theme="1"/>
        <rFont val="Calibri"/>
        <family val="2"/>
        <scheme val="minor"/>
      </rPr>
      <t xml:space="preserve"> / R</t>
    </r>
    <r>
      <rPr>
        <vertAlign val="subscript"/>
        <sz val="20"/>
        <color theme="1"/>
        <rFont val="Calibri"/>
        <family val="2"/>
        <scheme val="minor"/>
      </rPr>
      <t>45</t>
    </r>
  </si>
  <si>
    <r>
      <t>I</t>
    </r>
    <r>
      <rPr>
        <vertAlign val="subscript"/>
        <sz val="20"/>
        <color rgb="FFFF0000"/>
        <rFont val="Calibri"/>
        <family val="2"/>
        <scheme val="minor"/>
      </rPr>
      <t>78</t>
    </r>
  </si>
  <si>
    <r>
      <t>I</t>
    </r>
    <r>
      <rPr>
        <vertAlign val="subscript"/>
        <sz val="20"/>
        <color rgb="FFFF0000"/>
        <rFont val="Calibri"/>
        <family val="2"/>
        <scheme val="minor"/>
      </rPr>
      <t>9</t>
    </r>
  </si>
  <si>
    <r>
      <t>U</t>
    </r>
    <r>
      <rPr>
        <vertAlign val="subscript"/>
        <sz val="22"/>
        <color rgb="FF00B0F0"/>
        <rFont val="Calibri"/>
        <family val="2"/>
        <scheme val="minor"/>
      </rPr>
      <t>1</t>
    </r>
  </si>
  <si>
    <r>
      <t>U</t>
    </r>
    <r>
      <rPr>
        <vertAlign val="subscript"/>
        <sz val="22"/>
        <color rgb="FF00B0F0"/>
        <rFont val="Calibri"/>
        <family val="2"/>
        <scheme val="minor"/>
      </rPr>
      <t>23</t>
    </r>
  </si>
  <si>
    <r>
      <rPr>
        <sz val="22"/>
        <color rgb="FFFF0000"/>
        <rFont val="Calibri"/>
        <family val="2"/>
        <scheme val="minor"/>
      </rPr>
      <t>I</t>
    </r>
    <r>
      <rPr>
        <vertAlign val="subscript"/>
        <sz val="22"/>
        <color rgb="FFFF0000"/>
        <rFont val="Calibri"/>
        <family val="2"/>
        <scheme val="minor"/>
      </rPr>
      <t>123</t>
    </r>
    <r>
      <rPr>
        <sz val="22"/>
        <color theme="1"/>
        <rFont val="Calibri"/>
        <family val="2"/>
        <scheme val="minor"/>
      </rPr>
      <t xml:space="preserve"> * R</t>
    </r>
    <r>
      <rPr>
        <vertAlign val="subscript"/>
        <sz val="22"/>
        <color theme="1"/>
        <rFont val="Calibri"/>
        <family val="2"/>
        <scheme val="minor"/>
      </rPr>
      <t>1</t>
    </r>
  </si>
  <si>
    <r>
      <rPr>
        <sz val="22"/>
        <color rgb="FFFF0000"/>
        <rFont val="Calibri"/>
        <family val="2"/>
        <scheme val="minor"/>
      </rPr>
      <t>I</t>
    </r>
    <r>
      <rPr>
        <vertAlign val="subscript"/>
        <sz val="22"/>
        <color rgb="FFFF0000"/>
        <rFont val="Calibri"/>
        <family val="2"/>
        <scheme val="minor"/>
      </rPr>
      <t>123</t>
    </r>
    <r>
      <rPr>
        <sz val="22"/>
        <color theme="1"/>
        <rFont val="Calibri"/>
        <family val="2"/>
        <scheme val="minor"/>
      </rPr>
      <t xml:space="preserve"> * R</t>
    </r>
    <r>
      <rPr>
        <vertAlign val="subscript"/>
        <sz val="22"/>
        <color theme="1"/>
        <rFont val="Calibri"/>
        <family val="2"/>
        <scheme val="minor"/>
      </rPr>
      <t>23</t>
    </r>
  </si>
  <si>
    <r>
      <rPr>
        <sz val="20"/>
        <color rgb="FF00B0F0"/>
        <rFont val="Calibri"/>
        <family val="2"/>
        <scheme val="minor"/>
      </rPr>
      <t>U</t>
    </r>
    <r>
      <rPr>
        <vertAlign val="subscript"/>
        <sz val="20"/>
        <color rgb="FF00B0F0"/>
        <rFont val="Calibri"/>
        <family val="2"/>
        <scheme val="minor"/>
      </rPr>
      <t>123456789</t>
    </r>
    <r>
      <rPr>
        <sz val="20"/>
        <color theme="1"/>
        <rFont val="Calibri"/>
        <family val="2"/>
        <scheme val="minor"/>
      </rPr>
      <t xml:space="preserve"> / R</t>
    </r>
    <r>
      <rPr>
        <vertAlign val="subscript"/>
        <sz val="20"/>
        <color theme="1"/>
        <rFont val="Calibri"/>
        <family val="2"/>
        <scheme val="minor"/>
      </rPr>
      <t>9</t>
    </r>
  </si>
  <si>
    <r>
      <rPr>
        <sz val="20"/>
        <color rgb="FF00B0F0"/>
        <rFont val="Calibri"/>
        <family val="2"/>
        <scheme val="minor"/>
      </rPr>
      <t>U</t>
    </r>
    <r>
      <rPr>
        <vertAlign val="subscript"/>
        <sz val="20"/>
        <color rgb="FF00B0F0"/>
        <rFont val="Calibri"/>
        <family val="2"/>
        <scheme val="minor"/>
      </rPr>
      <t>123456789</t>
    </r>
    <r>
      <rPr>
        <sz val="20"/>
        <color theme="1"/>
        <rFont val="Calibri"/>
        <family val="2"/>
        <scheme val="minor"/>
      </rPr>
      <t xml:space="preserve"> / R</t>
    </r>
    <r>
      <rPr>
        <vertAlign val="subscript"/>
        <sz val="20"/>
        <color theme="1"/>
        <rFont val="Calibri"/>
        <family val="2"/>
        <scheme val="minor"/>
      </rPr>
      <t>78</t>
    </r>
  </si>
  <si>
    <r>
      <t>I</t>
    </r>
    <r>
      <rPr>
        <vertAlign val="subscript"/>
        <sz val="20"/>
        <color rgb="FFFF0000"/>
        <rFont val="Calibri"/>
        <family val="2"/>
        <scheme val="minor"/>
      </rPr>
      <t>2</t>
    </r>
  </si>
  <si>
    <r>
      <t>I</t>
    </r>
    <r>
      <rPr>
        <vertAlign val="subscript"/>
        <sz val="20"/>
        <color rgb="FFFF0000"/>
        <rFont val="Calibri"/>
        <family val="2"/>
        <scheme val="minor"/>
      </rPr>
      <t>3</t>
    </r>
  </si>
  <si>
    <r>
      <t>I</t>
    </r>
    <r>
      <rPr>
        <vertAlign val="subscript"/>
        <sz val="20"/>
        <color rgb="FFFF0000"/>
        <rFont val="Calibri"/>
        <family val="2"/>
        <scheme val="minor"/>
      </rPr>
      <t>4</t>
    </r>
  </si>
  <si>
    <r>
      <t>I</t>
    </r>
    <r>
      <rPr>
        <vertAlign val="subscript"/>
        <sz val="20"/>
        <color rgb="FFFF0000"/>
        <rFont val="Calibri"/>
        <family val="2"/>
        <scheme val="minor"/>
      </rPr>
      <t>5</t>
    </r>
  </si>
  <si>
    <r>
      <t>U</t>
    </r>
    <r>
      <rPr>
        <vertAlign val="subscript"/>
        <sz val="22"/>
        <color rgb="FF00B0F0"/>
        <rFont val="Calibri"/>
        <family val="2"/>
        <scheme val="minor"/>
      </rPr>
      <t>7</t>
    </r>
  </si>
  <si>
    <r>
      <t>U</t>
    </r>
    <r>
      <rPr>
        <vertAlign val="subscript"/>
        <sz val="22"/>
        <color rgb="FF00B0F0"/>
        <rFont val="Calibri"/>
        <family val="2"/>
        <scheme val="minor"/>
      </rPr>
      <t>8</t>
    </r>
  </si>
  <si>
    <r>
      <rPr>
        <sz val="20"/>
        <color rgb="FF00B0F0"/>
        <rFont val="Calibri"/>
        <family val="2"/>
        <scheme val="minor"/>
      </rPr>
      <t>U</t>
    </r>
    <r>
      <rPr>
        <vertAlign val="subscript"/>
        <sz val="20"/>
        <color rgb="FF00B0F0"/>
        <rFont val="Calibri"/>
        <family val="2"/>
        <scheme val="minor"/>
      </rPr>
      <t>23</t>
    </r>
    <r>
      <rPr>
        <sz val="20"/>
        <color theme="1"/>
        <rFont val="Calibri"/>
        <family val="2"/>
        <scheme val="minor"/>
      </rPr>
      <t xml:space="preserve"> / R</t>
    </r>
    <r>
      <rPr>
        <vertAlign val="subscript"/>
        <sz val="20"/>
        <color theme="1"/>
        <rFont val="Calibri"/>
        <family val="2"/>
        <scheme val="minor"/>
      </rPr>
      <t>2</t>
    </r>
  </si>
  <si>
    <r>
      <rPr>
        <sz val="20"/>
        <color rgb="FF00B0F0"/>
        <rFont val="Calibri"/>
        <family val="2"/>
        <scheme val="minor"/>
      </rPr>
      <t>U</t>
    </r>
    <r>
      <rPr>
        <vertAlign val="subscript"/>
        <sz val="20"/>
        <color rgb="FF00B0F0"/>
        <rFont val="Calibri"/>
        <family val="2"/>
        <scheme val="minor"/>
      </rPr>
      <t>23</t>
    </r>
    <r>
      <rPr>
        <sz val="20"/>
        <color theme="1"/>
        <rFont val="Calibri"/>
        <family val="2"/>
        <scheme val="minor"/>
      </rPr>
      <t xml:space="preserve"> / R</t>
    </r>
    <r>
      <rPr>
        <vertAlign val="subscript"/>
        <sz val="20"/>
        <color theme="1"/>
        <rFont val="Calibri"/>
        <family val="2"/>
        <scheme val="minor"/>
      </rPr>
      <t>3</t>
    </r>
  </si>
  <si>
    <r>
      <rPr>
        <sz val="20"/>
        <color rgb="FF00B0F0"/>
        <rFont val="Calibri"/>
        <family val="2"/>
        <scheme val="minor"/>
      </rPr>
      <t>U</t>
    </r>
    <r>
      <rPr>
        <vertAlign val="subscript"/>
        <sz val="20"/>
        <color rgb="FF00B0F0"/>
        <rFont val="Calibri"/>
        <family val="2"/>
        <scheme val="minor"/>
      </rPr>
      <t>12345</t>
    </r>
    <r>
      <rPr>
        <sz val="20"/>
        <color theme="1"/>
        <rFont val="Calibri"/>
        <family val="2"/>
        <scheme val="minor"/>
      </rPr>
      <t xml:space="preserve"> / R</t>
    </r>
    <r>
      <rPr>
        <vertAlign val="subscript"/>
        <sz val="20"/>
        <color theme="1"/>
        <rFont val="Calibri"/>
        <family val="2"/>
        <scheme val="minor"/>
      </rPr>
      <t>4</t>
    </r>
  </si>
  <si>
    <r>
      <rPr>
        <sz val="20"/>
        <color rgb="FF00B0F0"/>
        <rFont val="Calibri"/>
        <family val="2"/>
        <scheme val="minor"/>
      </rPr>
      <t>U</t>
    </r>
    <r>
      <rPr>
        <vertAlign val="subscript"/>
        <sz val="20"/>
        <color rgb="FF00B0F0"/>
        <rFont val="Calibri"/>
        <family val="2"/>
        <scheme val="minor"/>
      </rPr>
      <t>12345</t>
    </r>
    <r>
      <rPr>
        <sz val="20"/>
        <color theme="1"/>
        <rFont val="Calibri"/>
        <family val="2"/>
        <scheme val="minor"/>
      </rPr>
      <t xml:space="preserve"> / R</t>
    </r>
    <r>
      <rPr>
        <vertAlign val="subscript"/>
        <sz val="20"/>
        <color theme="1"/>
        <rFont val="Calibri"/>
        <family val="2"/>
        <scheme val="minor"/>
      </rPr>
      <t>5</t>
    </r>
  </si>
  <si>
    <r>
      <rPr>
        <sz val="22"/>
        <color rgb="FFFF0000"/>
        <rFont val="Calibri"/>
        <family val="2"/>
        <scheme val="minor"/>
      </rPr>
      <t>I</t>
    </r>
    <r>
      <rPr>
        <vertAlign val="subscript"/>
        <sz val="22"/>
        <color rgb="FFFF0000"/>
        <rFont val="Calibri"/>
        <family val="2"/>
        <scheme val="minor"/>
      </rPr>
      <t>78</t>
    </r>
    <r>
      <rPr>
        <sz val="22"/>
        <color theme="1"/>
        <rFont val="Calibri"/>
        <family val="2"/>
        <scheme val="minor"/>
      </rPr>
      <t xml:space="preserve"> * R</t>
    </r>
    <r>
      <rPr>
        <vertAlign val="subscript"/>
        <sz val="22"/>
        <color theme="1"/>
        <rFont val="Calibri"/>
        <family val="2"/>
        <scheme val="minor"/>
      </rPr>
      <t>7</t>
    </r>
  </si>
  <si>
    <r>
      <rPr>
        <sz val="22"/>
        <color rgb="FFFF0000"/>
        <rFont val="Calibri"/>
        <family val="2"/>
        <scheme val="minor"/>
      </rPr>
      <t>I</t>
    </r>
    <r>
      <rPr>
        <vertAlign val="subscript"/>
        <sz val="22"/>
        <color rgb="FFFF0000"/>
        <rFont val="Calibri"/>
        <family val="2"/>
        <scheme val="minor"/>
      </rPr>
      <t>78</t>
    </r>
    <r>
      <rPr>
        <sz val="22"/>
        <color theme="1"/>
        <rFont val="Calibri"/>
        <family val="2"/>
        <scheme val="minor"/>
      </rPr>
      <t xml:space="preserve"> * R</t>
    </r>
    <r>
      <rPr>
        <vertAlign val="subscript"/>
        <sz val="22"/>
        <color theme="1"/>
        <rFont val="Calibri"/>
        <family val="2"/>
        <scheme val="minor"/>
      </rPr>
      <t>8</t>
    </r>
  </si>
  <si>
    <r>
      <t>U</t>
    </r>
    <r>
      <rPr>
        <vertAlign val="subscript"/>
        <sz val="16"/>
        <color rgb="FF00B0F0"/>
        <rFont val="Calibri"/>
        <family val="2"/>
        <scheme val="minor"/>
      </rPr>
      <t>Tot</t>
    </r>
  </si>
  <si>
    <r>
      <t>R</t>
    </r>
    <r>
      <rPr>
        <vertAlign val="subscript"/>
        <sz val="16"/>
        <color theme="1" tint="4.9989318521683403E-2"/>
        <rFont val="Calibri"/>
        <family val="2"/>
        <scheme val="minor"/>
      </rPr>
      <t>Tot</t>
    </r>
  </si>
  <si>
    <r>
      <rPr>
        <sz val="20"/>
        <color rgb="FFFF0000"/>
        <rFont val="Calibri"/>
        <family val="2"/>
        <scheme val="minor"/>
      </rPr>
      <t>I</t>
    </r>
    <r>
      <rPr>
        <vertAlign val="subscript"/>
        <sz val="20"/>
        <color rgb="FFFF0000"/>
        <rFont val="Calibri"/>
        <family val="2"/>
        <scheme val="minor"/>
      </rPr>
      <t>123</t>
    </r>
    <r>
      <rPr>
        <sz val="20"/>
        <color theme="1"/>
        <rFont val="Calibri"/>
        <family val="2"/>
        <scheme val="minor"/>
      </rPr>
      <t xml:space="preserve"> + </t>
    </r>
    <r>
      <rPr>
        <sz val="20"/>
        <color rgb="FFFF0000"/>
        <rFont val="Calibri"/>
        <family val="2"/>
        <scheme val="minor"/>
      </rPr>
      <t>I</t>
    </r>
    <r>
      <rPr>
        <vertAlign val="subscript"/>
        <sz val="20"/>
        <color rgb="FFFF0000"/>
        <rFont val="Calibri"/>
        <family val="2"/>
        <scheme val="minor"/>
      </rPr>
      <t>45</t>
    </r>
    <r>
      <rPr>
        <sz val="20"/>
        <color theme="1"/>
        <rFont val="Calibri"/>
        <family val="2"/>
        <scheme val="minor"/>
      </rPr>
      <t xml:space="preserve"> =</t>
    </r>
    <r>
      <rPr>
        <sz val="20"/>
        <color rgb="FFFF0000"/>
        <rFont val="Calibri"/>
        <family val="2"/>
        <scheme val="minor"/>
      </rPr>
      <t xml:space="preserve"> I</t>
    </r>
    <r>
      <rPr>
        <vertAlign val="subscript"/>
        <sz val="20"/>
        <color rgb="FFFF0000"/>
        <rFont val="Calibri"/>
        <family val="2"/>
        <scheme val="minor"/>
      </rPr>
      <t>123456</t>
    </r>
  </si>
  <si>
    <r>
      <rPr>
        <sz val="22"/>
        <color rgb="FF00B0F0"/>
        <rFont val="Calibri"/>
        <family val="2"/>
        <scheme val="minor"/>
      </rPr>
      <t>U</t>
    </r>
    <r>
      <rPr>
        <vertAlign val="subscript"/>
        <sz val="22"/>
        <color rgb="FF00B0F0"/>
        <rFont val="Calibri"/>
        <family val="2"/>
        <scheme val="minor"/>
      </rPr>
      <t>1</t>
    </r>
    <r>
      <rPr>
        <sz val="22"/>
        <color theme="1"/>
        <rFont val="Calibri"/>
        <family val="2"/>
        <scheme val="minor"/>
      </rPr>
      <t xml:space="preserve"> + </t>
    </r>
    <r>
      <rPr>
        <sz val="22"/>
        <color rgb="FF00B0F0"/>
        <rFont val="Calibri"/>
        <family val="2"/>
        <scheme val="minor"/>
      </rPr>
      <t>U</t>
    </r>
    <r>
      <rPr>
        <vertAlign val="subscript"/>
        <sz val="22"/>
        <color rgb="FF00B0F0"/>
        <rFont val="Calibri"/>
        <family val="2"/>
        <scheme val="minor"/>
      </rPr>
      <t>23</t>
    </r>
    <r>
      <rPr>
        <sz val="22"/>
        <color theme="1"/>
        <rFont val="Calibri"/>
        <family val="2"/>
        <scheme val="minor"/>
      </rPr>
      <t xml:space="preserve"> = </t>
    </r>
    <r>
      <rPr>
        <sz val="22"/>
        <color rgb="FF00B0F0"/>
        <rFont val="Calibri"/>
        <family val="2"/>
        <scheme val="minor"/>
      </rPr>
      <t>U</t>
    </r>
    <r>
      <rPr>
        <vertAlign val="subscript"/>
        <sz val="22"/>
        <color rgb="FF00B0F0"/>
        <rFont val="Calibri"/>
        <family val="2"/>
        <scheme val="minor"/>
      </rPr>
      <t>12345</t>
    </r>
    <r>
      <rPr>
        <sz val="22"/>
        <color theme="1"/>
        <rFont val="Calibri"/>
        <family val="2"/>
        <scheme val="minor"/>
      </rPr>
      <t xml:space="preserve"> </t>
    </r>
  </si>
  <si>
    <r>
      <rPr>
        <sz val="20"/>
        <color rgb="FFFF0000"/>
        <rFont val="Calibri"/>
        <family val="2"/>
        <scheme val="minor"/>
      </rPr>
      <t>I</t>
    </r>
    <r>
      <rPr>
        <vertAlign val="subscript"/>
        <sz val="20"/>
        <color rgb="FFFF0000"/>
        <rFont val="Calibri"/>
        <family val="2"/>
        <scheme val="minor"/>
      </rPr>
      <t>9</t>
    </r>
    <r>
      <rPr>
        <sz val="20"/>
        <color theme="1"/>
        <rFont val="Calibri"/>
        <family val="2"/>
        <scheme val="minor"/>
      </rPr>
      <t xml:space="preserve"> + </t>
    </r>
    <r>
      <rPr>
        <sz val="20"/>
        <color rgb="FFFF0000"/>
        <rFont val="Calibri"/>
        <family val="2"/>
        <scheme val="minor"/>
      </rPr>
      <t>I</t>
    </r>
    <r>
      <rPr>
        <vertAlign val="subscript"/>
        <sz val="20"/>
        <color rgb="FFFF0000"/>
        <rFont val="Calibri"/>
        <family val="2"/>
        <scheme val="minor"/>
      </rPr>
      <t>78</t>
    </r>
    <r>
      <rPr>
        <sz val="20"/>
        <color theme="1"/>
        <rFont val="Calibri"/>
        <family val="2"/>
        <scheme val="minor"/>
      </rPr>
      <t xml:space="preserve"> =</t>
    </r>
    <r>
      <rPr>
        <sz val="20"/>
        <color rgb="FFFF0000"/>
        <rFont val="Calibri"/>
        <family val="2"/>
        <scheme val="minor"/>
      </rPr>
      <t xml:space="preserve"> I</t>
    </r>
    <r>
      <rPr>
        <vertAlign val="subscript"/>
        <sz val="20"/>
        <color rgb="FFFF0000"/>
        <rFont val="Calibri"/>
        <family val="2"/>
        <scheme val="minor"/>
      </rPr>
      <t>789</t>
    </r>
  </si>
  <si>
    <r>
      <t>U</t>
    </r>
    <r>
      <rPr>
        <vertAlign val="subscript"/>
        <sz val="20"/>
        <color rgb="FF00B0F0"/>
        <rFont val="Calibri"/>
        <family val="2"/>
        <scheme val="minor"/>
      </rPr>
      <t>9</t>
    </r>
    <r>
      <rPr>
        <sz val="20"/>
        <color rgb="FF00B0F0"/>
        <rFont val="Calibri"/>
        <family val="2"/>
        <scheme val="minor"/>
      </rPr>
      <t xml:space="preserve"> = U</t>
    </r>
    <r>
      <rPr>
        <vertAlign val="subscript"/>
        <sz val="20"/>
        <color rgb="FF00B0F0"/>
        <rFont val="Calibri"/>
        <family val="2"/>
        <scheme val="minor"/>
      </rPr>
      <t>123456789</t>
    </r>
    <r>
      <rPr>
        <sz val="20"/>
        <color rgb="FF00B0F0"/>
        <rFont val="Calibri"/>
        <family val="2"/>
        <scheme val="minor"/>
      </rPr>
      <t xml:space="preserve"> = U</t>
    </r>
    <r>
      <rPr>
        <vertAlign val="subscript"/>
        <sz val="20"/>
        <color rgb="FF00B0F0"/>
        <rFont val="Calibri"/>
        <family val="2"/>
        <scheme val="minor"/>
      </rPr>
      <t>78</t>
    </r>
    <r>
      <rPr>
        <sz val="20"/>
        <color rgb="FF00B0F0"/>
        <rFont val="Calibri"/>
        <family val="2"/>
        <scheme val="minor"/>
      </rPr>
      <t xml:space="preserve"> = U</t>
    </r>
    <r>
      <rPr>
        <vertAlign val="subscript"/>
        <sz val="20"/>
        <color rgb="FF00B0F0"/>
        <rFont val="Calibri"/>
        <family val="2"/>
        <scheme val="minor"/>
      </rPr>
      <t>123456</t>
    </r>
  </si>
  <si>
    <r>
      <t>U</t>
    </r>
    <r>
      <rPr>
        <vertAlign val="subscript"/>
        <sz val="22"/>
        <color rgb="FF00B0F0"/>
        <rFont val="Calibri"/>
        <family val="2"/>
        <scheme val="minor"/>
      </rPr>
      <t>4</t>
    </r>
    <r>
      <rPr>
        <sz val="22"/>
        <color rgb="FF00B0F0"/>
        <rFont val="Calibri"/>
        <family val="2"/>
        <scheme val="minor"/>
      </rPr>
      <t xml:space="preserve"> = U</t>
    </r>
    <r>
      <rPr>
        <vertAlign val="subscript"/>
        <sz val="22"/>
        <color rgb="FF00B0F0"/>
        <rFont val="Calibri"/>
        <family val="2"/>
        <scheme val="minor"/>
      </rPr>
      <t>5</t>
    </r>
    <r>
      <rPr>
        <sz val="22"/>
        <color rgb="FF00B0F0"/>
        <rFont val="Calibri"/>
        <family val="2"/>
        <scheme val="minor"/>
      </rPr>
      <t xml:space="preserve"> = U</t>
    </r>
    <r>
      <rPr>
        <vertAlign val="subscript"/>
        <sz val="22"/>
        <color rgb="FF00B0F0"/>
        <rFont val="Calibri"/>
        <family val="2"/>
        <scheme val="minor"/>
      </rPr>
      <t>123</t>
    </r>
    <r>
      <rPr>
        <sz val="22"/>
        <color rgb="FF00B0F0"/>
        <rFont val="Calibri"/>
        <family val="2"/>
        <scheme val="minor"/>
      </rPr>
      <t xml:space="preserve"> = U</t>
    </r>
    <r>
      <rPr>
        <vertAlign val="subscript"/>
        <sz val="22"/>
        <color rgb="FF00B0F0"/>
        <rFont val="Calibri"/>
        <family val="2"/>
        <scheme val="minor"/>
      </rPr>
      <t>12345</t>
    </r>
  </si>
  <si>
    <r>
      <t>U</t>
    </r>
    <r>
      <rPr>
        <vertAlign val="subscript"/>
        <sz val="22"/>
        <color rgb="FF00B0F0"/>
        <rFont val="Calibri"/>
        <family val="2"/>
        <scheme val="minor"/>
      </rPr>
      <t>1</t>
    </r>
    <r>
      <rPr>
        <sz val="22"/>
        <color rgb="FF00B0F0"/>
        <rFont val="Calibri"/>
        <family val="2"/>
        <scheme val="minor"/>
      </rPr>
      <t xml:space="preserve"> = U</t>
    </r>
    <r>
      <rPr>
        <vertAlign val="subscript"/>
        <sz val="22"/>
        <color rgb="FF00B0F0"/>
        <rFont val="Calibri"/>
        <family val="2"/>
        <scheme val="minor"/>
      </rPr>
      <t>2</t>
    </r>
    <r>
      <rPr>
        <sz val="22"/>
        <color rgb="FF00B0F0"/>
        <rFont val="Calibri"/>
        <family val="2"/>
        <scheme val="minor"/>
      </rPr>
      <t xml:space="preserve"> = U</t>
    </r>
    <r>
      <rPr>
        <vertAlign val="subscript"/>
        <sz val="22"/>
        <color rgb="FF00B0F0"/>
        <rFont val="Calibri"/>
        <family val="2"/>
        <scheme val="minor"/>
      </rPr>
      <t>23</t>
    </r>
  </si>
  <si>
    <r>
      <t>I</t>
    </r>
    <r>
      <rPr>
        <vertAlign val="subscript"/>
        <sz val="20"/>
        <color rgb="FFFF0000"/>
        <rFont val="Calibri"/>
        <family val="2"/>
        <scheme val="minor"/>
      </rPr>
      <t>7</t>
    </r>
    <r>
      <rPr>
        <sz val="20"/>
        <color rgb="FFFF0000"/>
        <rFont val="Calibri"/>
        <family val="2"/>
        <scheme val="minor"/>
      </rPr>
      <t xml:space="preserve"> = I</t>
    </r>
    <r>
      <rPr>
        <vertAlign val="subscript"/>
        <sz val="20"/>
        <color rgb="FFFF0000"/>
        <rFont val="Calibri"/>
        <family val="2"/>
        <scheme val="minor"/>
      </rPr>
      <t>8</t>
    </r>
    <r>
      <rPr>
        <sz val="20"/>
        <color rgb="FFFF0000"/>
        <rFont val="Calibri"/>
        <family val="2"/>
        <scheme val="minor"/>
      </rPr>
      <t xml:space="preserve"> = I</t>
    </r>
    <r>
      <rPr>
        <vertAlign val="subscript"/>
        <sz val="20"/>
        <color rgb="FFFF0000"/>
        <rFont val="Calibri"/>
        <family val="2"/>
        <scheme val="minor"/>
      </rPr>
      <t>78</t>
    </r>
  </si>
  <si>
    <r>
      <t>I</t>
    </r>
    <r>
      <rPr>
        <vertAlign val="subscript"/>
        <sz val="20"/>
        <color rgb="FFFF0000"/>
        <rFont val="Calibri"/>
        <family val="2"/>
        <scheme val="minor"/>
      </rPr>
      <t>10</t>
    </r>
    <r>
      <rPr>
        <sz val="20"/>
        <color rgb="FFFF0000"/>
        <rFont val="Calibri"/>
        <family val="2"/>
        <scheme val="minor"/>
      </rPr>
      <t xml:space="preserve"> = I</t>
    </r>
    <r>
      <rPr>
        <vertAlign val="subscript"/>
        <sz val="20"/>
        <color rgb="FFFF0000"/>
        <rFont val="Calibri"/>
        <family val="2"/>
        <scheme val="minor"/>
      </rPr>
      <t>123456789</t>
    </r>
    <r>
      <rPr>
        <sz val="20"/>
        <color rgb="FFFF0000"/>
        <rFont val="Calibri"/>
        <family val="2"/>
        <scheme val="minor"/>
      </rPr>
      <t xml:space="preserve"> = I</t>
    </r>
    <r>
      <rPr>
        <vertAlign val="subscript"/>
        <sz val="20"/>
        <color rgb="FFFF0000"/>
        <rFont val="Calibri"/>
        <family val="2"/>
        <scheme val="minor"/>
      </rPr>
      <t>Tot</t>
    </r>
  </si>
  <si>
    <r>
      <t>I</t>
    </r>
    <r>
      <rPr>
        <vertAlign val="subscript"/>
        <sz val="20"/>
        <color rgb="FFFF0000"/>
        <rFont val="Calibri"/>
        <family val="2"/>
        <scheme val="minor"/>
      </rPr>
      <t>6</t>
    </r>
    <r>
      <rPr>
        <sz val="20"/>
        <color rgb="FFFF0000"/>
        <rFont val="Calibri"/>
        <family val="2"/>
        <scheme val="minor"/>
      </rPr>
      <t xml:space="preserve"> = I</t>
    </r>
    <r>
      <rPr>
        <vertAlign val="subscript"/>
        <sz val="20"/>
        <color rgb="FFFF0000"/>
        <rFont val="Calibri"/>
        <family val="2"/>
        <scheme val="minor"/>
      </rPr>
      <t>12345</t>
    </r>
    <r>
      <rPr>
        <sz val="20"/>
        <color rgb="FFFF0000"/>
        <rFont val="Calibri"/>
        <family val="2"/>
        <scheme val="minor"/>
      </rPr>
      <t xml:space="preserve"> = I</t>
    </r>
    <r>
      <rPr>
        <vertAlign val="subscript"/>
        <sz val="20"/>
        <color rgb="FFFF0000"/>
        <rFont val="Calibri"/>
        <family val="2"/>
        <scheme val="minor"/>
      </rPr>
      <t>123456</t>
    </r>
  </si>
  <si>
    <r>
      <t>I</t>
    </r>
    <r>
      <rPr>
        <vertAlign val="subscript"/>
        <sz val="20"/>
        <color rgb="FFFF0000"/>
        <rFont val="Calibri"/>
        <family val="2"/>
        <scheme val="minor"/>
      </rPr>
      <t>1</t>
    </r>
    <r>
      <rPr>
        <sz val="20"/>
        <color rgb="FFFF0000"/>
        <rFont val="Calibri"/>
        <family val="2"/>
        <scheme val="minor"/>
      </rPr>
      <t xml:space="preserve"> = I</t>
    </r>
    <r>
      <rPr>
        <vertAlign val="subscript"/>
        <sz val="20"/>
        <color rgb="FFFF0000"/>
        <rFont val="Calibri"/>
        <family val="2"/>
        <scheme val="minor"/>
      </rPr>
      <t>23</t>
    </r>
    <r>
      <rPr>
        <sz val="20"/>
        <color rgb="FFFF0000"/>
        <rFont val="Calibri"/>
        <family val="2"/>
        <scheme val="minor"/>
      </rPr>
      <t xml:space="preserve"> = I</t>
    </r>
    <r>
      <rPr>
        <vertAlign val="subscript"/>
        <sz val="20"/>
        <color rgb="FFFF0000"/>
        <rFont val="Calibri"/>
        <family val="2"/>
        <scheme val="minor"/>
      </rPr>
      <t>123</t>
    </r>
  </si>
  <si>
    <t>Winkel-Umrechnungen</t>
  </si>
  <si>
    <t>Winkelmass</t>
  </si>
  <si>
    <t>x</t>
  </si>
  <si>
    <t>y</t>
  </si>
  <si>
    <t>Vektor Definition (Umrechnen von Polar- zu kartesischen Koordinaten)</t>
  </si>
  <si>
    <t>Wertetabelle für Grafik</t>
  </si>
  <si>
    <t>max(abs())</t>
  </si>
  <si>
    <r>
      <t>V</t>
    </r>
    <r>
      <rPr>
        <vertAlign val="subscript"/>
        <sz val="9"/>
        <color theme="1"/>
        <rFont val="Calibri"/>
        <family val="2"/>
        <scheme val="minor"/>
      </rPr>
      <t>1</t>
    </r>
  </si>
  <si>
    <r>
      <t>V</t>
    </r>
    <r>
      <rPr>
        <vertAlign val="subscript"/>
        <sz val="9"/>
        <color theme="1"/>
        <rFont val="Calibri"/>
        <family val="2"/>
        <scheme val="minor"/>
      </rPr>
      <t>2</t>
    </r>
  </si>
  <si>
    <r>
      <t>x</t>
    </r>
    <r>
      <rPr>
        <vertAlign val="subscript"/>
        <sz val="8"/>
        <color theme="1"/>
        <rFont val="Calibri"/>
        <family val="2"/>
        <scheme val="minor"/>
      </rPr>
      <t>1</t>
    </r>
  </si>
  <si>
    <r>
      <t>x</t>
    </r>
    <r>
      <rPr>
        <vertAlign val="subscript"/>
        <sz val="8"/>
        <color theme="1"/>
        <rFont val="Calibri"/>
        <family val="2"/>
        <scheme val="minor"/>
      </rPr>
      <t>2</t>
    </r>
  </si>
  <si>
    <r>
      <t>y</t>
    </r>
    <r>
      <rPr>
        <vertAlign val="subscript"/>
        <sz val="8"/>
        <color theme="1"/>
        <rFont val="Calibri"/>
        <family val="2"/>
        <scheme val="minor"/>
      </rPr>
      <t>1</t>
    </r>
  </si>
  <si>
    <r>
      <t>y</t>
    </r>
    <r>
      <rPr>
        <vertAlign val="subscript"/>
        <sz val="8"/>
        <color theme="1"/>
        <rFont val="Calibri"/>
        <family val="2"/>
        <scheme val="minor"/>
      </rPr>
      <t>2</t>
    </r>
  </si>
  <si>
    <t>Grüne Felder</t>
  </si>
  <si>
    <t>Eingabefelder (Winkelmass ist eine Auswahlliste von °, rad)</t>
  </si>
  <si>
    <t>Gelbe Felder</t>
  </si>
  <si>
    <t>Weisse Felder</t>
  </si>
  <si>
    <t>Statische Felder</t>
  </si>
  <si>
    <t xml:space="preserve">Mit Formel berechnet </t>
  </si>
  <si>
    <r>
      <t>V</t>
    </r>
    <r>
      <rPr>
        <vertAlign val="subscript"/>
        <sz val="11"/>
        <color theme="0" tint="-0.14999847407452621"/>
        <rFont val="Calibri"/>
        <family val="2"/>
        <scheme val="minor"/>
      </rPr>
      <t>1</t>
    </r>
    <r>
      <rPr>
        <sz val="11"/>
        <color theme="0" tint="-0.14999847407452621"/>
        <rFont val="Calibri"/>
        <family val="2"/>
        <scheme val="minor"/>
      </rPr>
      <t xml:space="preserve"> + V</t>
    </r>
    <r>
      <rPr>
        <vertAlign val="subscript"/>
        <sz val="11"/>
        <color theme="0" tint="-0.14999847407452621"/>
        <rFont val="Calibri"/>
        <family val="2"/>
        <scheme val="minor"/>
      </rPr>
      <t>2</t>
    </r>
  </si>
  <si>
    <r>
      <t>V</t>
    </r>
    <r>
      <rPr>
        <vertAlign val="sub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* V</t>
    </r>
    <r>
      <rPr>
        <vertAlign val="subscript"/>
        <sz val="11"/>
        <color theme="1"/>
        <rFont val="Calibri"/>
        <family val="2"/>
        <scheme val="minor"/>
      </rPr>
      <t>2</t>
    </r>
  </si>
  <si>
    <t>T
Periodendauer [s]</t>
  </si>
  <si>
    <t xml:space="preserve">x = phi [°] = </t>
  </si>
  <si>
    <t xml:space="preserve">x = phi [rad] = </t>
  </si>
  <si>
    <t>ω
(2 * π * f )</t>
  </si>
  <si>
    <t>Grundfrequenz:</t>
  </si>
  <si>
    <t>Verhältnis zur
Grundfrequenz
Oberwelle</t>
  </si>
  <si>
    <t xml:space="preserve">t = </t>
  </si>
  <si>
    <t>y(t) = a * sin(2πf​* t + φ) =  a * sin(ω​* t + φ)</t>
  </si>
  <si>
    <t>L1</t>
  </si>
  <si>
    <t>L2</t>
  </si>
  <si>
    <r>
      <rPr>
        <sz val="11"/>
        <color theme="0" tint="-0.14996795556505021"/>
        <rFont val="Calibri"/>
        <family val="2"/>
        <scheme val="minor"/>
      </rPr>
      <t>L</t>
    </r>
    <r>
      <rPr>
        <vertAlign val="subscript"/>
        <sz val="11"/>
        <color theme="0" tint="-0.14999847407452621"/>
        <rFont val="Calibri"/>
        <family val="2"/>
        <scheme val="minor"/>
      </rPr>
      <t>1</t>
    </r>
    <r>
      <rPr>
        <sz val="11"/>
        <color theme="0" tint="-0.14999847407452621"/>
        <rFont val="Calibri"/>
        <family val="2"/>
        <scheme val="minor"/>
      </rPr>
      <t xml:space="preserve"> - L</t>
    </r>
    <r>
      <rPr>
        <vertAlign val="subscript"/>
        <sz val="11"/>
        <color theme="0" tint="-0.14999847407452621"/>
        <rFont val="Calibri"/>
        <family val="2"/>
        <scheme val="minor"/>
      </rPr>
      <t>2</t>
    </r>
  </si>
  <si>
    <t>3-Phasenstrom (Verkettete Spannung)</t>
  </si>
  <si>
    <r>
      <t>L</t>
    </r>
    <r>
      <rPr>
        <vertAlign val="subscript"/>
        <sz val="9"/>
        <color theme="1"/>
        <rFont val="Calibri"/>
        <family val="2"/>
        <scheme val="minor"/>
      </rPr>
      <t>1</t>
    </r>
  </si>
  <si>
    <r>
      <t>L</t>
    </r>
    <r>
      <rPr>
        <vertAlign val="subscript"/>
        <sz val="11"/>
        <color theme="0" tint="-0.14999847407452621"/>
        <rFont val="Calibri"/>
        <family val="2"/>
        <scheme val="minor"/>
      </rPr>
      <t>1</t>
    </r>
    <r>
      <rPr>
        <sz val="11"/>
        <color theme="0" tint="-0.14999847407452621"/>
        <rFont val="Calibri"/>
        <family val="2"/>
        <scheme val="minor"/>
      </rPr>
      <t xml:space="preserve"> - L</t>
    </r>
    <r>
      <rPr>
        <vertAlign val="subscript"/>
        <sz val="11"/>
        <color theme="0" tint="-0.14999847407452621"/>
        <rFont val="Calibri"/>
        <family val="2"/>
        <scheme val="minor"/>
      </rPr>
      <t>2</t>
    </r>
  </si>
  <si>
    <t>Eingangsspannung:</t>
  </si>
  <si>
    <t>Strom:</t>
  </si>
  <si>
    <t>Momentanleistung:</t>
  </si>
  <si>
    <t>U(t)=Û⋅sin(ωt)</t>
  </si>
  <si>
    <t>I(t)=Î⋅sin(ωt+φ)</t>
  </si>
  <si>
    <t>P(t)=U(t)⋅I(t) = Û⋅sin(ωt) * Î⋅sin(ωt+φ)</t>
  </si>
  <si>
    <t>sin(a) * sin(b) = 1/2​[cos(a−b) − cos(a+b)]</t>
  </si>
  <si>
    <t>Additionstheoremen:</t>
  </si>
  <si>
    <t>Eingesetzt:</t>
  </si>
  <si>
    <t>cos(-φ) = cos(φ)</t>
  </si>
  <si>
    <r>
      <t>U</t>
    </r>
    <r>
      <rPr>
        <vertAlign val="subscript"/>
        <sz val="11"/>
        <color theme="1"/>
        <rFont val="Calibri"/>
        <family val="2"/>
        <scheme val="minor"/>
      </rPr>
      <t>eff</t>
    </r>
    <r>
      <rPr>
        <sz val="11"/>
        <color theme="1"/>
        <rFont val="Calibri"/>
        <family val="2"/>
        <scheme val="minor"/>
      </rPr>
      <t xml:space="preserve"> = Û/Wurzel(2)</t>
    </r>
  </si>
  <si>
    <r>
      <t>I</t>
    </r>
    <r>
      <rPr>
        <vertAlign val="subscript"/>
        <sz val="11"/>
        <color theme="1"/>
        <rFont val="Calibri"/>
        <family val="2"/>
        <scheme val="minor"/>
      </rPr>
      <t>eff</t>
    </r>
    <r>
      <rPr>
        <sz val="11"/>
        <color theme="1"/>
        <rFont val="Calibri"/>
        <family val="2"/>
        <scheme val="minor"/>
      </rPr>
      <t xml:space="preserve"> = Î/Wurzel(2)</t>
    </r>
  </si>
  <si>
    <r>
      <t xml:space="preserve">Die </t>
    </r>
    <r>
      <rPr>
        <b/>
        <sz val="11"/>
        <color theme="1"/>
        <rFont val="Calibri"/>
        <family val="2"/>
        <scheme val="minor"/>
      </rPr>
      <t>mittlere Leistung über eine Periode T</t>
    </r>
    <r>
      <rPr>
        <sz val="11"/>
        <color theme="1"/>
        <rFont val="Calibri"/>
        <family val="2"/>
        <scheme val="minor"/>
      </rPr>
      <t xml:space="preserve"> ergibt sich durch Mittelung von p(t):</t>
    </r>
  </si>
  <si>
    <r>
      <t>P(t) =U</t>
    </r>
    <r>
      <rPr>
        <vertAlign val="subscript"/>
        <sz val="16"/>
        <color theme="1"/>
        <rFont val="Calibri"/>
        <family val="2"/>
        <scheme val="minor"/>
      </rPr>
      <t>eff</t>
    </r>
    <r>
      <rPr>
        <sz val="16"/>
        <color theme="1"/>
        <rFont val="Calibri"/>
        <family val="2"/>
        <scheme val="minor"/>
      </rPr>
      <t xml:space="preserve"> * I</t>
    </r>
    <r>
      <rPr>
        <vertAlign val="subscript"/>
        <sz val="16"/>
        <color theme="1"/>
        <rFont val="Calibri"/>
        <family val="2"/>
        <scheme val="minor"/>
      </rPr>
      <t>eff</t>
    </r>
    <r>
      <rPr>
        <sz val="16"/>
        <color theme="1"/>
        <rFont val="Calibri"/>
        <family val="2"/>
        <scheme val="minor"/>
      </rPr>
      <t xml:space="preserve"> * [cos(φ) - cos(2ωt+φ)]</t>
    </r>
  </si>
  <si>
    <r>
      <t xml:space="preserve">Die zweite Komponente </t>
    </r>
    <r>
      <rPr>
        <b/>
        <sz val="11"/>
        <color theme="1"/>
        <rFont val="Calibri"/>
        <family val="2"/>
        <scheme val="minor"/>
      </rPr>
      <t xml:space="preserve">cos(2ωt+φ) </t>
    </r>
    <r>
      <rPr>
        <sz val="11"/>
        <color theme="1"/>
        <rFont val="Calibri"/>
        <family val="2"/>
        <scheme val="minor"/>
      </rPr>
      <t xml:space="preserve">hat über eine volle Periode den Mittelwert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.</t>
    </r>
  </si>
  <si>
    <r>
      <t xml:space="preserve">P(t) = 1/2 *  Û* Î * [cos(ωt-ωt-φ) - cos(ωt+ωt+φ)] = 1/2 *  Û* Î * [cos(-φ) - cos(2ωt+φ)] = </t>
    </r>
    <r>
      <rPr>
        <sz val="14"/>
        <color theme="1"/>
        <rFont val="Calibri"/>
        <family val="2"/>
        <scheme val="minor"/>
      </rPr>
      <t>1/2 *  Û* Î * [cos(φ) - cos(2ωt+φ)]</t>
    </r>
  </si>
  <si>
    <t>Frequenz Strom und Spannung sind gleich</t>
  </si>
  <si>
    <t>Phasenlage Spannung wird als Referenz = 0 angenommen</t>
  </si>
  <si>
    <t>U</t>
  </si>
  <si>
    <t>Scheinleistung S [VA] - Blindleistung Q [var] - Wirkleistung P [W]</t>
  </si>
  <si>
    <r>
      <t>I</t>
    </r>
    <r>
      <rPr>
        <vertAlign val="subscript"/>
        <sz val="11"/>
        <color theme="1"/>
        <rFont val="Calibri"/>
        <family val="2"/>
        <scheme val="minor"/>
      </rPr>
      <t>P</t>
    </r>
    <r>
      <rPr>
        <sz val="11"/>
        <color theme="1"/>
        <rFont val="Calibri"/>
        <family val="2"/>
        <scheme val="minor"/>
      </rPr>
      <t xml:space="preserve"> = I</t>
    </r>
    <r>
      <rPr>
        <vertAlign val="subscript"/>
        <sz val="11"/>
        <color theme="1"/>
        <rFont val="Calibri"/>
        <family val="2"/>
        <scheme val="minor"/>
      </rPr>
      <t>phasen gleich mit U</t>
    </r>
  </si>
  <si>
    <r>
      <t>I</t>
    </r>
    <r>
      <rPr>
        <vertAlign val="subscript"/>
        <sz val="11"/>
        <color theme="1"/>
        <rFont val="Calibri"/>
        <family val="2"/>
        <scheme val="minor"/>
      </rPr>
      <t>Q</t>
    </r>
    <r>
      <rPr>
        <sz val="11"/>
        <color theme="1"/>
        <rFont val="Calibri"/>
        <family val="2"/>
        <scheme val="minor"/>
      </rPr>
      <t xml:space="preserve"> = I</t>
    </r>
    <r>
      <rPr>
        <vertAlign val="subscript"/>
        <sz val="11"/>
        <color theme="1"/>
        <rFont val="Calibri"/>
        <family val="2"/>
        <scheme val="minor"/>
      </rPr>
      <t>90° gegen U</t>
    </r>
  </si>
  <si>
    <t xml:space="preserve">I = IP + IQ = </t>
  </si>
  <si>
    <t xml:space="preserve">Scheinleistung S = U *I = </t>
  </si>
  <si>
    <r>
      <t>Blindleistung Q = U *I</t>
    </r>
    <r>
      <rPr>
        <vertAlign val="subscript"/>
        <sz val="11"/>
        <color theme="1"/>
        <rFont val="Calibri"/>
        <family val="2"/>
        <scheme val="minor"/>
      </rPr>
      <t>Q</t>
    </r>
    <r>
      <rPr>
        <sz val="11"/>
        <color theme="1"/>
        <rFont val="Calibri"/>
        <family val="2"/>
        <scheme val="minor"/>
      </rPr>
      <t xml:space="preserve"> = </t>
    </r>
  </si>
  <si>
    <r>
      <t>Wirkleistung P = U *I</t>
    </r>
    <r>
      <rPr>
        <vertAlign val="subscript"/>
        <sz val="11"/>
        <color theme="1"/>
        <rFont val="Calibri"/>
        <family val="2"/>
        <scheme val="minor"/>
      </rPr>
      <t>P</t>
    </r>
    <r>
      <rPr>
        <sz val="11"/>
        <color theme="1"/>
        <rFont val="Calibri"/>
        <family val="2"/>
        <scheme val="minor"/>
      </rPr>
      <t xml:space="preserve"> = </t>
    </r>
  </si>
  <si>
    <t>x-Achse:</t>
  </si>
  <si>
    <t>y-Achse:</t>
  </si>
  <si>
    <t>y = a * sin(x + c)</t>
  </si>
  <si>
    <t xml:space="preserve">cos(30°) = </t>
  </si>
  <si>
    <t xml:space="preserve">WURZEL(3)/2 = </t>
  </si>
  <si>
    <t xml:space="preserve">sin(60°) = </t>
  </si>
  <si>
    <t xml:space="preserve">cos(60°) = </t>
  </si>
  <si>
    <t xml:space="preserve">cos(45°) = </t>
  </si>
  <si>
    <t xml:space="preserve">1/WURZEL(2) = </t>
  </si>
  <si>
    <r>
      <t>Vertikale L</t>
    </r>
    <r>
      <rPr>
        <vertAlign val="subscript"/>
        <sz val="11"/>
        <color theme="1"/>
        <rFont val="Calibri"/>
        <family val="2"/>
        <scheme val="minor"/>
      </rPr>
      <t>2V</t>
    </r>
  </si>
  <si>
    <r>
      <t>Horizontale L2</t>
    </r>
    <r>
      <rPr>
        <vertAlign val="subscript"/>
        <sz val="11"/>
        <color theme="1"/>
        <rFont val="Calibri"/>
        <family val="2"/>
        <scheme val="minor"/>
      </rPr>
      <t>H</t>
    </r>
  </si>
  <si>
    <r>
      <t>L</t>
    </r>
    <r>
      <rPr>
        <vertAlign val="sub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+ L</t>
    </r>
    <r>
      <rPr>
        <vertAlign val="subscript"/>
        <sz val="11"/>
        <color theme="1"/>
        <rFont val="Calibri"/>
        <family val="2"/>
        <scheme val="minor"/>
      </rPr>
      <t>2H</t>
    </r>
    <r>
      <rPr>
        <sz val="11"/>
        <color theme="1"/>
        <rFont val="Calibri"/>
        <family val="2"/>
        <scheme val="minor"/>
      </rPr>
      <t xml:space="preserve"> = </t>
    </r>
  </si>
  <si>
    <r>
      <t>L</t>
    </r>
    <r>
      <rPr>
        <vertAlign val="subscript"/>
        <sz val="11"/>
        <color theme="1"/>
        <rFont val="Calibri"/>
        <family val="2"/>
        <scheme val="minor"/>
      </rPr>
      <t>2V</t>
    </r>
    <r>
      <rPr>
        <sz val="11"/>
        <color theme="1"/>
        <rFont val="Calibri"/>
        <family val="2"/>
        <scheme val="minor"/>
      </rPr>
      <t xml:space="preserve"> = </t>
    </r>
  </si>
  <si>
    <r>
      <rPr>
        <sz val="11"/>
        <color theme="0" tint="-0.14996795556505021"/>
        <rFont val="Calibri"/>
        <family val="2"/>
        <scheme val="minor"/>
      </rPr>
      <t>L</t>
    </r>
    <r>
      <rPr>
        <vertAlign val="subscript"/>
        <sz val="11"/>
        <color theme="0" tint="-0.14999847407452621"/>
        <rFont val="Calibri"/>
        <family val="2"/>
        <scheme val="minor"/>
      </rPr>
      <t>1</t>
    </r>
    <r>
      <rPr>
        <sz val="11"/>
        <color theme="0" tint="-0.14999847407452621"/>
        <rFont val="Calibri"/>
        <family val="2"/>
        <scheme val="minor"/>
      </rPr>
      <t xml:space="preserve"> - L</t>
    </r>
    <r>
      <rPr>
        <vertAlign val="subscript"/>
        <sz val="11"/>
        <color theme="0" tint="-0.14999847407452621"/>
        <rFont val="Calibri"/>
        <family val="2"/>
        <scheme val="minor"/>
      </rPr>
      <t>2</t>
    </r>
    <r>
      <rPr>
        <sz val="11"/>
        <color theme="0" tint="-0.14999847407452621"/>
        <rFont val="Calibri"/>
        <family val="2"/>
        <scheme val="minor"/>
      </rPr>
      <t xml:space="preserve"> = </t>
    </r>
  </si>
  <si>
    <t>230 *(sin(x) - sin(x + 120°)</t>
  </si>
  <si>
    <t>Trigonometrischen Theoreme und Identitäten</t>
  </si>
  <si>
    <t>Polygone-Fläche</t>
  </si>
  <si>
    <r>
      <t>s</t>
    </r>
    <r>
      <rPr>
        <vertAlign val="sub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= x</t>
    </r>
    <r>
      <rPr>
        <vertAlign val="subscript"/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 xml:space="preserve"> * y</t>
    </r>
    <r>
      <rPr>
        <vertAlign val="subscript"/>
        <sz val="11"/>
        <color theme="1"/>
        <rFont val="Calibri"/>
        <family val="2"/>
        <scheme val="minor"/>
      </rPr>
      <t>i+1</t>
    </r>
  </si>
  <si>
    <r>
      <t>s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= x</t>
    </r>
    <r>
      <rPr>
        <vertAlign val="subscript"/>
        <sz val="11"/>
        <color theme="1"/>
        <rFont val="Calibri"/>
        <family val="2"/>
        <scheme val="minor"/>
      </rPr>
      <t>i+1</t>
    </r>
    <r>
      <rPr>
        <sz val="11"/>
        <color theme="1"/>
        <rFont val="Calibri"/>
        <family val="2"/>
        <scheme val="minor"/>
      </rPr>
      <t xml:space="preserve"> * y</t>
    </r>
    <r>
      <rPr>
        <vertAlign val="subscript"/>
        <sz val="11"/>
        <color theme="1"/>
        <rFont val="Calibri"/>
        <family val="2"/>
        <scheme val="minor"/>
      </rPr>
      <t>i</t>
    </r>
  </si>
  <si>
    <r>
      <t>s</t>
    </r>
    <r>
      <rPr>
        <vertAlign val="sub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-s</t>
    </r>
    <r>
      <rPr>
        <vertAlign val="subscript"/>
        <sz val="11"/>
        <color theme="1"/>
        <rFont val="Calibri"/>
        <family val="2"/>
        <scheme val="minor"/>
      </rPr>
      <t>2</t>
    </r>
  </si>
  <si>
    <t>Fläche</t>
  </si>
  <si>
    <t>P1</t>
  </si>
  <si>
    <t>P2</t>
  </si>
  <si>
    <t>P3</t>
  </si>
  <si>
    <t>P4</t>
  </si>
  <si>
    <t>Punkte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</si>
  <si>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</si>
  <si>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</si>
  <si>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</si>
  <si>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</si>
  <si>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</si>
  <si>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</si>
  <si>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</si>
  <si>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</si>
  <si>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</si>
  <si>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</si>
  <si>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r>
      <t>s</t>
    </r>
    <r>
      <rPr>
        <vertAlign val="subscript"/>
        <sz val="11"/>
        <color theme="1"/>
        <rFont val="Calibri"/>
        <family val="2"/>
        <scheme val="minor"/>
      </rPr>
      <t>1x</t>
    </r>
    <r>
      <rPr>
        <sz val="11"/>
        <color theme="1"/>
        <rFont val="Calibri"/>
        <family val="2"/>
        <scheme val="minor"/>
      </rPr>
      <t xml:space="preserve"> = x</t>
    </r>
    <r>
      <rPr>
        <vertAlign val="subscript"/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 xml:space="preserve"> + x</t>
    </r>
    <r>
      <rPr>
        <vertAlign val="subscript"/>
        <sz val="11"/>
        <color theme="1"/>
        <rFont val="Calibri"/>
        <family val="2"/>
        <scheme val="minor"/>
      </rPr>
      <t>i+1</t>
    </r>
  </si>
  <si>
    <r>
      <t>s2</t>
    </r>
    <r>
      <rPr>
        <vertAlign val="subscript"/>
        <sz val="11"/>
        <color theme="1"/>
        <rFont val="Calibri"/>
        <family val="2"/>
        <scheme val="minor"/>
      </rPr>
      <t>x</t>
    </r>
    <r>
      <rPr>
        <sz val="11"/>
        <color theme="1"/>
        <rFont val="Calibri"/>
        <family val="2"/>
        <scheme val="minor"/>
      </rPr>
      <t xml:space="preserve"> = x</t>
    </r>
    <r>
      <rPr>
        <vertAlign val="subscript"/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 xml:space="preserve"> + x</t>
    </r>
    <r>
      <rPr>
        <vertAlign val="subscript"/>
        <sz val="11"/>
        <color theme="1"/>
        <rFont val="Calibri"/>
        <family val="2"/>
        <scheme val="minor"/>
      </rPr>
      <t>i+1</t>
    </r>
  </si>
  <si>
    <t>def polygon_area_and_centroid(points):</t>
  </si>
  <si>
    <t xml:space="preserve">    """</t>
  </si>
  <si>
    <t xml:space="preserve">    Berechnet die Fläche und den Schwerpunkt eines Polygons.</t>
  </si>
  <si>
    <t xml:space="preserve">    </t>
  </si>
  <si>
    <t xml:space="preserve">    Parameter:</t>
  </si>
  <si>
    <t xml:space="preserve">        points (list of tuple): Liste von (x, y)-Koordinaten in Reihenfolge.</t>
  </si>
  <si>
    <t xml:space="preserve">        </t>
  </si>
  <si>
    <t xml:space="preserve">    Rückgabe:</t>
  </si>
  <si>
    <t xml:space="preserve">        area (float): Fläche des Polygons.</t>
  </si>
  <si>
    <t xml:space="preserve">        centroid (tuple): (x_s, y_s) - Koordinaten des Schwerpunkts.</t>
  </si>
  <si>
    <t xml:space="preserve">    n = len(points)</t>
  </si>
  <si>
    <t xml:space="preserve">    if n &lt; 3:</t>
  </si>
  <si>
    <t xml:space="preserve">        raise ValueError("Ein Polygon muss mindestens 3 Punkte haben.")</t>
  </si>
  <si>
    <t xml:space="preserve">    # Punkte schließen, d.h. ersten Punkt ans Ende hängen</t>
  </si>
  <si>
    <t xml:space="preserve">    points = points + [points[0]]</t>
  </si>
  <si>
    <t xml:space="preserve">    area = 0</t>
  </si>
  <si>
    <t xml:space="preserve">    cx = 0</t>
  </si>
  <si>
    <t xml:space="preserve">    cy = 0</t>
  </si>
  <si>
    <t xml:space="preserve">    for i in range(n):</t>
  </si>
  <si>
    <t xml:space="preserve">        x0, y0 = points[i]</t>
  </si>
  <si>
    <t xml:space="preserve">        x1, y1 = points[i + 1]</t>
  </si>
  <si>
    <t xml:space="preserve">        cross = x0 * y1 - x1 * y0</t>
  </si>
  <si>
    <t xml:space="preserve">        area += cross</t>
  </si>
  <si>
    <t xml:space="preserve">        cx += (x0 + x1) * cross</t>
  </si>
  <si>
    <t xml:space="preserve">        cy += (y0 + y1) * cross</t>
  </si>
  <si>
    <t xml:space="preserve">    area *= 0.5</t>
  </si>
  <si>
    <t xml:space="preserve">    if area == 0:</t>
  </si>
  <si>
    <t xml:space="preserve">        raise ValueError("Fläche ist 0 – evtl. liegen alle Punkte auf einer Linie?")</t>
  </si>
  <si>
    <t xml:space="preserve">    cx /= (6 * area)</t>
  </si>
  <si>
    <t xml:space="preserve">    cy /= (6 * area)</t>
  </si>
  <si>
    <t xml:space="preserve">    return abs(area), (cx, cy)</t>
  </si>
  <si>
    <t>punkte = [(0, 0), (4, 0), (2, 3)]</t>
  </si>
  <si>
    <t>fläche, schwerpunkt = polygon_area_and_centroid(punkte)</t>
  </si>
  <si>
    <t>print("Fläche:", fläche)</t>
  </si>
  <si>
    <t>print("Schwerpunkt:", schwerpunkt)</t>
  </si>
  <si>
    <t>Fläche: 6.0</t>
  </si>
  <si>
    <t>Schwerpunkt: (2.0, 1.0)</t>
  </si>
  <si>
    <t xml:space="preserve">Û = </t>
  </si>
  <si>
    <t xml:space="preserve">Î = </t>
  </si>
  <si>
    <r>
      <rPr>
        <sz val="11"/>
        <color theme="1"/>
        <rFont val="Aptos Narrow"/>
        <family val="2"/>
      </rPr>
      <t>φ</t>
    </r>
    <r>
      <rPr>
        <vertAlign val="subscript"/>
        <sz val="11"/>
        <color theme="1"/>
        <rFont val="Calibri"/>
        <family val="2"/>
      </rPr>
      <t>U</t>
    </r>
    <r>
      <rPr>
        <sz val="11"/>
        <color theme="1"/>
        <rFont val="Calibri"/>
        <family val="2"/>
      </rPr>
      <t xml:space="preserve"> = </t>
    </r>
  </si>
  <si>
    <t xml:space="preserve">°  = </t>
  </si>
  <si>
    <t>[V]</t>
  </si>
  <si>
    <t>[A]</t>
  </si>
  <si>
    <r>
      <rPr>
        <sz val="11"/>
        <color theme="1"/>
        <rFont val="Aptos Narrow"/>
        <family val="2"/>
      </rPr>
      <t>φ</t>
    </r>
    <r>
      <rPr>
        <vertAlign val="subscript"/>
        <sz val="11"/>
        <color theme="1"/>
        <rFont val="Calibri"/>
        <family val="2"/>
      </rPr>
      <t>I</t>
    </r>
    <r>
      <rPr>
        <sz val="11"/>
        <color theme="1"/>
        <rFont val="Calibri"/>
        <family val="2"/>
      </rPr>
      <t xml:space="preserve"> = </t>
    </r>
  </si>
  <si>
    <t>[W]</t>
  </si>
  <si>
    <r>
      <t>U(t) = U</t>
    </r>
    <r>
      <rPr>
        <vertAlign val="subscript"/>
        <sz val="14"/>
        <color rgb="FF00B0F0"/>
        <rFont val="Calibri"/>
        <family val="2"/>
        <scheme val="minor"/>
      </rPr>
      <t>Momentan</t>
    </r>
    <r>
      <rPr>
        <sz val="14"/>
        <color rgb="FF00B0F0"/>
        <rFont val="Calibri"/>
        <family val="2"/>
        <scheme val="minor"/>
      </rPr>
      <t xml:space="preserve"> = </t>
    </r>
  </si>
  <si>
    <r>
      <t>I(t) = I</t>
    </r>
    <r>
      <rPr>
        <vertAlign val="subscript"/>
        <sz val="14"/>
        <color rgb="FFFF0000"/>
        <rFont val="Calibri"/>
        <family val="2"/>
        <scheme val="minor"/>
      </rPr>
      <t>Momentan</t>
    </r>
    <r>
      <rPr>
        <sz val="14"/>
        <color rgb="FFFF0000"/>
        <rFont val="Calibri"/>
        <family val="2"/>
        <scheme val="minor"/>
      </rPr>
      <t xml:space="preserve"> = </t>
    </r>
  </si>
  <si>
    <r>
      <t>Û * sin(x + φ</t>
    </r>
    <r>
      <rPr>
        <vertAlign val="subscript"/>
        <sz val="16"/>
        <color rgb="FF00B0F0"/>
        <rFont val="Calibri"/>
        <family val="2"/>
        <scheme val="minor"/>
      </rPr>
      <t>U</t>
    </r>
    <r>
      <rPr>
        <sz val="16"/>
        <color rgb="FF00B0F0"/>
        <rFont val="Calibri"/>
        <family val="2"/>
        <scheme val="minor"/>
      </rPr>
      <t>)</t>
    </r>
  </si>
  <si>
    <r>
      <t>Î * sin(x + φ</t>
    </r>
    <r>
      <rPr>
        <vertAlign val="subscript"/>
        <sz val="16"/>
        <color rgb="FFFF0000"/>
        <rFont val="Calibri"/>
        <family val="2"/>
        <scheme val="minor"/>
      </rPr>
      <t>I</t>
    </r>
    <r>
      <rPr>
        <sz val="16"/>
        <color rgb="FFFF0000"/>
        <rFont val="Calibri"/>
        <family val="2"/>
        <scheme val="minor"/>
      </rPr>
      <t>)</t>
    </r>
  </si>
  <si>
    <r>
      <t>P(t) = P</t>
    </r>
    <r>
      <rPr>
        <vertAlign val="subscript"/>
        <sz val="14"/>
        <color rgb="FFFFC000"/>
        <rFont val="Calibri"/>
        <family val="2"/>
        <scheme val="minor"/>
      </rPr>
      <t>Momentan</t>
    </r>
    <r>
      <rPr>
        <sz val="14"/>
        <color rgb="FFFFC000"/>
        <rFont val="Calibri"/>
        <family val="2"/>
        <scheme val="minor"/>
      </rPr>
      <t xml:space="preserve"> =</t>
    </r>
  </si>
  <si>
    <r>
      <rPr>
        <sz val="16"/>
        <color rgb="FF00B0F0"/>
        <rFont val="Calibri"/>
        <family val="2"/>
        <scheme val="minor"/>
      </rPr>
      <t>U(t)</t>
    </r>
    <r>
      <rPr>
        <sz val="16"/>
        <color rgb="FFFF0000"/>
        <rFont val="Calibri"/>
        <family val="2"/>
        <scheme val="minor"/>
      </rPr>
      <t xml:space="preserve"> </t>
    </r>
    <r>
      <rPr>
        <sz val="16"/>
        <color theme="1"/>
        <rFont val="Calibri"/>
        <family val="2"/>
        <scheme val="minor"/>
      </rPr>
      <t>*</t>
    </r>
    <r>
      <rPr>
        <sz val="16"/>
        <color rgb="FFFF0000"/>
        <rFont val="Calibri"/>
        <family val="2"/>
        <scheme val="minor"/>
      </rPr>
      <t xml:space="preserve"> I(t)</t>
    </r>
  </si>
  <si>
    <t>L3</t>
  </si>
  <si>
    <r>
      <t>L</t>
    </r>
    <r>
      <rPr>
        <vertAlign val="subscript"/>
        <sz val="9"/>
        <color theme="0"/>
        <rFont val="Calibri"/>
        <family val="2"/>
        <scheme val="minor"/>
      </rPr>
      <t>2</t>
    </r>
  </si>
  <si>
    <t>Quelle mit Innenwiderstand</t>
  </si>
  <si>
    <r>
      <t>[</t>
    </r>
    <r>
      <rPr>
        <sz val="11"/>
        <color theme="1"/>
        <rFont val="Aptos Narrow"/>
        <family val="2"/>
      </rPr>
      <t>Ω</t>
    </r>
    <r>
      <rPr>
        <sz val="11"/>
        <color theme="1"/>
        <rFont val="Calibri"/>
        <family val="2"/>
      </rPr>
      <t>]</t>
    </r>
  </si>
  <si>
    <t>Sternschaltung</t>
  </si>
  <si>
    <t>R1 =</t>
  </si>
  <si>
    <t>R2 =</t>
  </si>
  <si>
    <t>R3 =</t>
  </si>
  <si>
    <r>
      <t>U</t>
    </r>
    <r>
      <rPr>
        <vertAlign val="subscript"/>
        <sz val="11"/>
        <color theme="1"/>
        <rFont val="Calibri"/>
        <family val="2"/>
        <scheme val="minor"/>
      </rPr>
      <t>1N</t>
    </r>
    <r>
      <rPr>
        <sz val="11"/>
        <color theme="1"/>
        <rFont val="Calibri"/>
        <family val="2"/>
        <scheme val="minor"/>
      </rPr>
      <t xml:space="preserve"> = U</t>
    </r>
    <r>
      <rPr>
        <vertAlign val="subscript"/>
        <sz val="11"/>
        <color theme="1"/>
        <rFont val="Calibri"/>
        <family val="2"/>
        <scheme val="minor"/>
      </rPr>
      <t>2N</t>
    </r>
    <r>
      <rPr>
        <sz val="11"/>
        <color theme="1"/>
        <rFont val="Calibri"/>
        <family val="2"/>
        <scheme val="minor"/>
      </rPr>
      <t xml:space="preserve"> = U</t>
    </r>
    <r>
      <rPr>
        <vertAlign val="subscript"/>
        <sz val="11"/>
        <color theme="1"/>
        <rFont val="Calibri"/>
        <family val="2"/>
        <scheme val="minor"/>
      </rPr>
      <t xml:space="preserve">3N </t>
    </r>
    <r>
      <rPr>
        <sz val="11"/>
        <color theme="1"/>
        <rFont val="Calibri"/>
        <family val="2"/>
        <scheme val="minor"/>
      </rPr>
      <t>=</t>
    </r>
  </si>
  <si>
    <t>V (Effektiv)</t>
  </si>
  <si>
    <r>
      <t>U</t>
    </r>
    <r>
      <rPr>
        <vertAlign val="subscript"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 xml:space="preserve"> = U</t>
    </r>
    <r>
      <rPr>
        <vertAlign val="subscript"/>
        <sz val="11"/>
        <color theme="1"/>
        <rFont val="Calibri"/>
        <family val="2"/>
        <scheme val="minor"/>
      </rPr>
      <t>23</t>
    </r>
    <r>
      <rPr>
        <sz val="11"/>
        <color theme="1"/>
        <rFont val="Calibri"/>
        <family val="2"/>
        <scheme val="minor"/>
      </rPr>
      <t xml:space="preserve"> = U</t>
    </r>
    <r>
      <rPr>
        <vertAlign val="subscript"/>
        <sz val="11"/>
        <color theme="1"/>
        <rFont val="Calibri"/>
        <family val="2"/>
        <scheme val="minor"/>
      </rPr>
      <t xml:space="preserve">32 </t>
    </r>
    <r>
      <rPr>
        <sz val="11"/>
        <color theme="1"/>
        <rFont val="Calibri"/>
        <family val="2"/>
        <scheme val="minor"/>
      </rPr>
      <t>=</t>
    </r>
  </si>
  <si>
    <t>V (Spitzenwert)</t>
  </si>
  <si>
    <t>Nulleiter angeschlossen</t>
  </si>
  <si>
    <r>
      <t>P</t>
    </r>
    <r>
      <rPr>
        <vertAlign val="sub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=</t>
    </r>
  </si>
  <si>
    <r>
      <t>U</t>
    </r>
    <r>
      <rPr>
        <vertAlign val="subscript"/>
        <sz val="11"/>
        <color theme="1"/>
        <rFont val="Calibri"/>
        <family val="2"/>
        <scheme val="minor"/>
      </rPr>
      <t>1N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/R</t>
    </r>
    <r>
      <rPr>
        <vertAlign val="sub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=</t>
    </r>
  </si>
  <si>
    <t>W</t>
  </si>
  <si>
    <r>
      <t>P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=</t>
    </r>
  </si>
  <si>
    <r>
      <t>P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=</t>
    </r>
  </si>
  <si>
    <r>
      <t>P</t>
    </r>
    <r>
      <rPr>
        <vertAlign val="subscript"/>
        <sz val="11"/>
        <color theme="1"/>
        <rFont val="Calibri"/>
        <family val="2"/>
        <scheme val="minor"/>
      </rPr>
      <t>Total</t>
    </r>
    <r>
      <rPr>
        <sz val="11"/>
        <color theme="1"/>
        <rFont val="Calibri"/>
        <family val="2"/>
        <scheme val="minor"/>
      </rPr>
      <t xml:space="preserve"> =</t>
    </r>
  </si>
  <si>
    <r>
      <t>U</t>
    </r>
    <r>
      <rPr>
        <vertAlign val="subscript"/>
        <sz val="11"/>
        <color theme="1"/>
        <rFont val="Calibri"/>
        <family val="2"/>
        <scheme val="minor"/>
      </rPr>
      <t>2N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/R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=</t>
    </r>
  </si>
  <si>
    <r>
      <t>U</t>
    </r>
    <r>
      <rPr>
        <vertAlign val="subscript"/>
        <sz val="11"/>
        <color theme="1"/>
        <rFont val="Calibri"/>
        <family val="2"/>
        <scheme val="minor"/>
      </rPr>
      <t>3N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/R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=</t>
    </r>
  </si>
  <si>
    <r>
      <t>P</t>
    </r>
    <r>
      <rPr>
        <vertAlign val="sub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+ P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+P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=</t>
    </r>
  </si>
  <si>
    <t>Ohne Nulleiter</t>
  </si>
  <si>
    <t>Grafisch zeigen:</t>
  </si>
  <si>
    <r>
      <t>R</t>
    </r>
    <r>
      <rPr>
        <vertAlign val="subscript"/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 xml:space="preserve"> = </t>
    </r>
  </si>
  <si>
    <r>
      <t>U</t>
    </r>
    <r>
      <rPr>
        <vertAlign val="subscript"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=</t>
    </r>
  </si>
  <si>
    <r>
      <t>R</t>
    </r>
    <r>
      <rPr>
        <vertAlign val="subscript"/>
        <sz val="11"/>
        <color theme="1"/>
        <rFont val="Calibri"/>
        <family val="2"/>
        <scheme val="minor"/>
      </rPr>
      <t>L</t>
    </r>
  </si>
  <si>
    <r>
      <t>I = U</t>
    </r>
    <r>
      <rPr>
        <vertAlign val="subscript"/>
        <sz val="11"/>
        <color rgb="FFFF0000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/(R</t>
    </r>
    <r>
      <rPr>
        <vertAlign val="subscript"/>
        <sz val="11"/>
        <color rgb="FFFF0000"/>
        <rFont val="Calibri"/>
        <family val="2"/>
        <scheme val="minor"/>
      </rPr>
      <t>i</t>
    </r>
    <r>
      <rPr>
        <sz val="11"/>
        <color rgb="FFFF0000"/>
        <rFont val="Calibri"/>
        <family val="2"/>
        <scheme val="minor"/>
      </rPr>
      <t xml:space="preserve"> + R</t>
    </r>
    <r>
      <rPr>
        <vertAlign val="subscript"/>
        <sz val="11"/>
        <color rgb="FFFF0000"/>
        <rFont val="Calibri"/>
        <family val="2"/>
        <scheme val="minor"/>
      </rPr>
      <t>L</t>
    </r>
    <r>
      <rPr>
        <sz val="11"/>
        <color rgb="FFFF0000"/>
        <rFont val="Calibri"/>
        <family val="2"/>
        <scheme val="minor"/>
      </rPr>
      <t>)</t>
    </r>
  </si>
  <si>
    <r>
      <t>U = R</t>
    </r>
    <r>
      <rPr>
        <vertAlign val="subscript"/>
        <sz val="11"/>
        <color rgb="FF00B0F0"/>
        <rFont val="Calibri"/>
        <family val="2"/>
        <scheme val="minor"/>
      </rPr>
      <t>L</t>
    </r>
    <r>
      <rPr>
        <sz val="11"/>
        <color rgb="FF00B0F0"/>
        <rFont val="Calibri"/>
        <family val="2"/>
        <scheme val="minor"/>
      </rPr>
      <t xml:space="preserve"> * I</t>
    </r>
  </si>
  <si>
    <r>
      <t>P</t>
    </r>
    <r>
      <rPr>
        <vertAlign val="subscript"/>
        <sz val="11"/>
        <color rgb="FFFFC000"/>
        <rFont val="Calibri"/>
        <family val="2"/>
        <scheme val="minor"/>
      </rPr>
      <t>RL</t>
    </r>
    <r>
      <rPr>
        <sz val="11"/>
        <color rgb="FFFFC000"/>
        <rFont val="Calibri"/>
        <family val="2"/>
        <scheme val="minor"/>
      </rPr>
      <t xml:space="preserve"> = U * I</t>
    </r>
  </si>
  <si>
    <r>
      <t>U</t>
    </r>
    <r>
      <rPr>
        <vertAlign val="subscript"/>
        <sz val="11"/>
        <color theme="1"/>
        <rFont val="Calibri"/>
        <family val="2"/>
        <scheme val="minor"/>
      </rPr>
      <t>An</t>
    </r>
    <r>
      <rPr>
        <sz val="11"/>
        <color theme="1"/>
        <rFont val="Calibri"/>
        <family val="2"/>
        <scheme val="minor"/>
      </rPr>
      <t xml:space="preserve"> = U</t>
    </r>
    <r>
      <rPr>
        <vertAlign val="subscript"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/ 2</t>
    </r>
  </si>
  <si>
    <r>
      <t>I</t>
    </r>
    <r>
      <rPr>
        <vertAlign val="subscript"/>
        <sz val="11"/>
        <color theme="1"/>
        <rFont val="Calibri"/>
        <family val="2"/>
        <scheme val="minor"/>
      </rPr>
      <t>An</t>
    </r>
    <r>
      <rPr>
        <sz val="11"/>
        <color theme="1"/>
        <rFont val="Calibri"/>
        <family val="2"/>
        <scheme val="minor"/>
      </rPr>
      <t xml:space="preserve"> = U</t>
    </r>
    <r>
      <rPr>
        <vertAlign val="subscript"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/ (2 * R</t>
    </r>
    <r>
      <rPr>
        <vertAlign val="subscript"/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>)</t>
    </r>
  </si>
  <si>
    <r>
      <t>P</t>
    </r>
    <r>
      <rPr>
        <vertAlign val="subscript"/>
        <sz val="11"/>
        <color theme="1"/>
        <rFont val="Calibri"/>
        <family val="2"/>
        <scheme val="minor"/>
      </rPr>
      <t>An</t>
    </r>
    <r>
      <rPr>
        <sz val="11"/>
        <color theme="1"/>
        <rFont val="Calibri"/>
        <family val="2"/>
        <scheme val="minor"/>
      </rPr>
      <t xml:space="preserve"> = I</t>
    </r>
    <r>
      <rPr>
        <vertAlign val="subscript"/>
        <sz val="11"/>
        <color theme="1"/>
        <rFont val="Calibri"/>
        <family val="2"/>
        <scheme val="minor"/>
      </rPr>
      <t>An</t>
    </r>
    <r>
      <rPr>
        <sz val="11"/>
        <color theme="1"/>
        <rFont val="Calibri"/>
        <family val="2"/>
        <scheme val="minor"/>
      </rPr>
      <t xml:space="preserve"> * U</t>
    </r>
    <r>
      <rPr>
        <vertAlign val="subscript"/>
        <sz val="11"/>
        <color theme="1"/>
        <rFont val="Calibri"/>
        <family val="2"/>
        <scheme val="minor"/>
      </rPr>
      <t>An</t>
    </r>
  </si>
  <si>
    <r>
      <t>Leistungsanpassung: R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 xml:space="preserve"> = R</t>
    </r>
    <r>
      <rPr>
        <vertAlign val="subscript"/>
        <sz val="11"/>
        <color theme="1"/>
        <rFont val="Calibri"/>
        <family val="2"/>
        <scheme val="minor"/>
      </rPr>
      <t>i</t>
    </r>
  </si>
  <si>
    <t>Daten der Quelle</t>
  </si>
  <si>
    <t>[mA]</t>
  </si>
  <si>
    <t>xAchse</t>
  </si>
  <si>
    <t>yAchse</t>
  </si>
  <si>
    <r>
      <t>I</t>
    </r>
    <r>
      <rPr>
        <vertAlign val="subscript"/>
        <sz val="11"/>
        <color rgb="FFFF0000"/>
        <rFont val="Calibri"/>
        <family val="2"/>
        <scheme val="minor"/>
      </rPr>
      <t>Total</t>
    </r>
    <r>
      <rPr>
        <sz val="11"/>
        <color rgb="FFFF0000"/>
        <rFont val="Calibri"/>
        <family val="2"/>
        <scheme val="minor"/>
      </rPr>
      <t>:</t>
    </r>
  </si>
  <si>
    <r>
      <t>I</t>
    </r>
    <r>
      <rPr>
        <vertAlign val="subscript"/>
        <sz val="11"/>
        <color rgb="FFFF0000"/>
        <rFont val="Calibri"/>
        <family val="2"/>
        <scheme val="minor"/>
      </rPr>
      <t>1</t>
    </r>
    <r>
      <rPr>
        <sz val="11"/>
        <color rgb="FFFF0000"/>
        <rFont val="Calibri"/>
        <family val="2"/>
        <scheme val="minor"/>
      </rPr>
      <t xml:space="preserve"> =</t>
    </r>
  </si>
  <si>
    <r>
      <t>U</t>
    </r>
    <r>
      <rPr>
        <vertAlign val="subscript"/>
        <sz val="11"/>
        <color rgb="FFFF0000"/>
        <rFont val="Calibri"/>
        <family val="2"/>
        <scheme val="minor"/>
      </rPr>
      <t>1N</t>
    </r>
    <r>
      <rPr>
        <sz val="11"/>
        <color rgb="FFFF0000"/>
        <rFont val="Calibri"/>
        <family val="2"/>
        <scheme val="minor"/>
      </rPr>
      <t>/R</t>
    </r>
    <r>
      <rPr>
        <vertAlign val="subscript"/>
        <sz val="11"/>
        <color rgb="FFFF0000"/>
        <rFont val="Calibri"/>
        <family val="2"/>
        <scheme val="minor"/>
      </rPr>
      <t>1</t>
    </r>
    <r>
      <rPr>
        <sz val="11"/>
        <color rgb="FFFF0000"/>
        <rFont val="Calibri"/>
        <family val="2"/>
        <scheme val="minor"/>
      </rPr>
      <t xml:space="preserve"> =</t>
    </r>
  </si>
  <si>
    <r>
      <t>I</t>
    </r>
    <r>
      <rPr>
        <vertAlign val="subscript"/>
        <sz val="11"/>
        <color rgb="FFFF0000"/>
        <rFont val="Calibri"/>
        <family val="2"/>
        <scheme val="minor"/>
      </rPr>
      <t>2</t>
    </r>
    <r>
      <rPr>
        <sz val="11"/>
        <color rgb="FFFF0000"/>
        <rFont val="Calibri"/>
        <family val="2"/>
        <scheme val="minor"/>
      </rPr>
      <t xml:space="preserve"> =</t>
    </r>
  </si>
  <si>
    <r>
      <t>U</t>
    </r>
    <r>
      <rPr>
        <vertAlign val="subscript"/>
        <sz val="11"/>
        <color rgb="FFFF0000"/>
        <rFont val="Calibri"/>
        <family val="2"/>
        <scheme val="minor"/>
      </rPr>
      <t>2N</t>
    </r>
    <r>
      <rPr>
        <sz val="11"/>
        <color rgb="FFFF0000"/>
        <rFont val="Calibri"/>
        <family val="2"/>
        <scheme val="minor"/>
      </rPr>
      <t>/R</t>
    </r>
    <r>
      <rPr>
        <vertAlign val="subscript"/>
        <sz val="11"/>
        <color rgb="FFFF0000"/>
        <rFont val="Calibri"/>
        <family val="2"/>
        <scheme val="minor"/>
      </rPr>
      <t>2</t>
    </r>
    <r>
      <rPr>
        <sz val="11"/>
        <color rgb="FFFF0000"/>
        <rFont val="Calibri"/>
        <family val="2"/>
        <scheme val="minor"/>
      </rPr>
      <t xml:space="preserve"> =</t>
    </r>
  </si>
  <si>
    <r>
      <t>I</t>
    </r>
    <r>
      <rPr>
        <vertAlign val="subscript"/>
        <sz val="11"/>
        <color rgb="FFFF0000"/>
        <rFont val="Calibri"/>
        <family val="2"/>
        <scheme val="minor"/>
      </rPr>
      <t>3</t>
    </r>
    <r>
      <rPr>
        <sz val="11"/>
        <color rgb="FFFF0000"/>
        <rFont val="Calibri"/>
        <family val="2"/>
        <scheme val="minor"/>
      </rPr>
      <t xml:space="preserve"> =</t>
    </r>
  </si>
  <si>
    <r>
      <t>U</t>
    </r>
    <r>
      <rPr>
        <vertAlign val="subscript"/>
        <sz val="11"/>
        <color rgb="FFFF0000"/>
        <rFont val="Calibri"/>
        <family val="2"/>
        <scheme val="minor"/>
      </rPr>
      <t>3N</t>
    </r>
    <r>
      <rPr>
        <sz val="11"/>
        <color rgb="FFFF0000"/>
        <rFont val="Calibri"/>
        <family val="2"/>
        <scheme val="minor"/>
      </rPr>
      <t>/R</t>
    </r>
    <r>
      <rPr>
        <vertAlign val="subscript"/>
        <sz val="11"/>
        <color rgb="FFFF0000"/>
        <rFont val="Calibri"/>
        <family val="2"/>
        <scheme val="minor"/>
      </rPr>
      <t>3</t>
    </r>
    <r>
      <rPr>
        <sz val="11"/>
        <color rgb="FFFF0000"/>
        <rFont val="Calibri"/>
        <family val="2"/>
        <scheme val="minor"/>
      </rPr>
      <t xml:space="preserve"> =</t>
    </r>
  </si>
  <si>
    <r>
      <t>I</t>
    </r>
    <r>
      <rPr>
        <vertAlign val="subscript"/>
        <sz val="11"/>
        <color rgb="FFFF0000"/>
        <rFont val="Calibri"/>
        <family val="2"/>
        <scheme val="minor"/>
      </rPr>
      <t>1</t>
    </r>
    <r>
      <rPr>
        <sz val="11"/>
        <color rgb="FFFF0000"/>
        <rFont val="Calibri"/>
        <family val="2"/>
        <scheme val="minor"/>
      </rPr>
      <t>:</t>
    </r>
  </si>
  <si>
    <r>
      <t>I</t>
    </r>
    <r>
      <rPr>
        <vertAlign val="subscript"/>
        <sz val="11"/>
        <color rgb="FFFF0000"/>
        <rFont val="Calibri"/>
        <family val="2"/>
        <scheme val="minor"/>
      </rPr>
      <t>2</t>
    </r>
    <r>
      <rPr>
        <sz val="11"/>
        <color rgb="FFFF0000"/>
        <rFont val="Calibri"/>
        <family val="2"/>
        <scheme val="minor"/>
      </rPr>
      <t>:</t>
    </r>
  </si>
  <si>
    <r>
      <t>I</t>
    </r>
    <r>
      <rPr>
        <vertAlign val="subscript"/>
        <sz val="11"/>
        <color rgb="FFFF0000"/>
        <rFont val="Calibri"/>
        <family val="2"/>
        <scheme val="minor"/>
      </rPr>
      <t>3</t>
    </r>
    <r>
      <rPr>
        <sz val="11"/>
        <color rgb="FFFF0000"/>
        <rFont val="Calibri"/>
        <family val="2"/>
        <scheme val="minor"/>
      </rPr>
      <t>:</t>
    </r>
  </si>
  <si>
    <t>Skala:</t>
  </si>
  <si>
    <t>Û</t>
  </si>
  <si>
    <r>
      <t>U</t>
    </r>
    <r>
      <rPr>
        <vertAlign val="subscript"/>
        <sz val="11"/>
        <color theme="1"/>
        <rFont val="Calibri"/>
        <family val="2"/>
        <scheme val="minor"/>
      </rPr>
      <t>Effektiv</t>
    </r>
  </si>
  <si>
    <t>Elektronische Schaltzeichen</t>
  </si>
  <si>
    <t>Momentanwerte</t>
  </si>
  <si>
    <t>Momentanwert Zeitbereich</t>
  </si>
  <si>
    <t>Radius</t>
  </si>
  <si>
    <t>Amplitude</t>
  </si>
  <si>
    <r>
      <t>x</t>
    </r>
    <r>
      <rPr>
        <vertAlign val="subscript"/>
        <sz val="11"/>
        <color theme="1"/>
        <rFont val="Calibri"/>
        <family val="2"/>
        <scheme val="minor"/>
      </rPr>
      <t>0</t>
    </r>
  </si>
  <si>
    <r>
      <t>x</t>
    </r>
    <r>
      <rPr>
        <vertAlign val="subscript"/>
        <sz val="11"/>
        <color theme="1"/>
        <rFont val="Calibri"/>
        <family val="2"/>
        <scheme val="minor"/>
      </rPr>
      <t>1</t>
    </r>
  </si>
  <si>
    <t>Vektor-Pfeile</t>
  </si>
  <si>
    <r>
      <t>y</t>
    </r>
    <r>
      <rPr>
        <vertAlign val="subscript"/>
        <sz val="11"/>
        <color theme="1"/>
        <rFont val="Calibri"/>
        <family val="2"/>
        <scheme val="minor"/>
      </rPr>
      <t>0</t>
    </r>
  </si>
  <si>
    <t>max</t>
  </si>
  <si>
    <r>
      <t>x</t>
    </r>
    <r>
      <rPr>
        <vertAlign val="subscript"/>
        <sz val="11"/>
        <color theme="1"/>
        <rFont val="Calibri"/>
        <family val="2"/>
        <scheme val="minor"/>
      </rPr>
      <t>2</t>
    </r>
  </si>
  <si>
    <r>
      <t>x</t>
    </r>
    <r>
      <rPr>
        <vertAlign val="subscript"/>
        <sz val="11"/>
        <color theme="1"/>
        <rFont val="Calibri"/>
        <family val="2"/>
        <scheme val="minor"/>
      </rPr>
      <t>3</t>
    </r>
  </si>
  <si>
    <r>
      <t>y</t>
    </r>
    <r>
      <rPr>
        <vertAlign val="subscript"/>
        <sz val="11"/>
        <color theme="1"/>
        <rFont val="Calibri"/>
        <family val="2"/>
        <scheme val="minor"/>
      </rPr>
      <t>1</t>
    </r>
  </si>
  <si>
    <r>
      <t>y</t>
    </r>
    <r>
      <rPr>
        <vertAlign val="subscript"/>
        <sz val="11"/>
        <color theme="1"/>
        <rFont val="Calibri"/>
        <family val="2"/>
        <scheme val="minor"/>
      </rPr>
      <t>2</t>
    </r>
  </si>
  <si>
    <r>
      <t>y</t>
    </r>
    <r>
      <rPr>
        <vertAlign val="subscript"/>
        <sz val="11"/>
        <color theme="1"/>
        <rFont val="Calibri"/>
        <family val="2"/>
        <scheme val="minor"/>
      </rPr>
      <t>3</t>
    </r>
  </si>
  <si>
    <t>Phasenlage phi</t>
  </si>
  <si>
    <t>sin(x) =</t>
  </si>
  <si>
    <t>Y1 + Y2 =</t>
  </si>
  <si>
    <t>Anzeigen:</t>
  </si>
  <si>
    <t xml:space="preserve">y10 = </t>
  </si>
  <si>
    <t xml:space="preserve">y11= </t>
  </si>
  <si>
    <t>Y3 =</t>
  </si>
  <si>
    <t>Y1 * Y2 =</t>
  </si>
  <si>
    <t>Hilfslinie_1</t>
  </si>
  <si>
    <t>Hilfslinie_2</t>
  </si>
  <si>
    <r>
      <t>s0</t>
    </r>
    <r>
      <rPr>
        <vertAlign val="subscript"/>
        <sz val="14"/>
        <color theme="1"/>
        <rFont val="Calibri"/>
        <family val="2"/>
        <scheme val="minor"/>
      </rPr>
      <t>1</t>
    </r>
    <r>
      <rPr>
        <sz val="14"/>
        <color theme="1"/>
        <rFont val="Calibri"/>
        <family val="2"/>
        <scheme val="minor"/>
      </rPr>
      <t xml:space="preserve"> [km]</t>
    </r>
  </si>
  <si>
    <r>
      <t>v</t>
    </r>
    <r>
      <rPr>
        <vertAlign val="subscript"/>
        <sz val="14"/>
        <color theme="1"/>
        <rFont val="Calibri"/>
        <family val="2"/>
        <scheme val="minor"/>
      </rPr>
      <t>2</t>
    </r>
    <r>
      <rPr>
        <sz val="14"/>
        <color theme="1"/>
        <rFont val="Calibri"/>
        <family val="2"/>
        <scheme val="minor"/>
      </rPr>
      <t xml:space="preserve"> [km/h]</t>
    </r>
  </si>
  <si>
    <r>
      <t>s0</t>
    </r>
    <r>
      <rPr>
        <vertAlign val="subscript"/>
        <sz val="14"/>
        <color theme="1"/>
        <rFont val="Calibri"/>
        <family val="2"/>
        <scheme val="minor"/>
      </rPr>
      <t>2</t>
    </r>
    <r>
      <rPr>
        <sz val="14"/>
        <color theme="1"/>
        <rFont val="Calibri"/>
        <family val="2"/>
        <scheme val="minor"/>
      </rPr>
      <t xml:space="preserve"> [km]</t>
    </r>
  </si>
  <si>
    <r>
      <t>Fz_2:   s</t>
    </r>
    <r>
      <rPr>
        <b/>
        <vertAlign val="subscript"/>
        <sz val="14"/>
        <color rgb="FF7030A0"/>
        <rFont val="Calibri"/>
        <family val="2"/>
        <scheme val="minor"/>
      </rPr>
      <t>2</t>
    </r>
    <r>
      <rPr>
        <b/>
        <sz val="14"/>
        <color rgb="FF7030A0"/>
        <rFont val="Calibri"/>
        <family val="2"/>
        <scheme val="minor"/>
      </rPr>
      <t xml:space="preserve"> = v</t>
    </r>
    <r>
      <rPr>
        <b/>
        <vertAlign val="subscript"/>
        <sz val="14"/>
        <color rgb="FF7030A0"/>
        <rFont val="Calibri"/>
        <family val="2"/>
        <scheme val="minor"/>
      </rPr>
      <t>2</t>
    </r>
    <r>
      <rPr>
        <b/>
        <sz val="14"/>
        <color rgb="FF7030A0"/>
        <rFont val="Calibri"/>
        <family val="2"/>
        <scheme val="minor"/>
      </rPr>
      <t xml:space="preserve"> * t + s0</t>
    </r>
    <r>
      <rPr>
        <b/>
        <vertAlign val="subscript"/>
        <sz val="14"/>
        <color rgb="FF7030A0"/>
        <rFont val="Calibri"/>
        <family val="2"/>
        <scheme val="minor"/>
      </rPr>
      <t>2</t>
    </r>
    <r>
      <rPr>
        <b/>
        <sz val="14"/>
        <color rgb="FF7030A0"/>
        <rFont val="Calibri"/>
        <family val="2"/>
        <scheme val="minor"/>
      </rPr>
      <t xml:space="preserve">  = </t>
    </r>
  </si>
  <si>
    <r>
      <t>Fz_1:   s</t>
    </r>
    <r>
      <rPr>
        <b/>
        <vertAlign val="subscript"/>
        <sz val="14"/>
        <color rgb="FFFFC000"/>
        <rFont val="Calibri"/>
        <family val="2"/>
        <scheme val="minor"/>
      </rPr>
      <t>1</t>
    </r>
    <r>
      <rPr>
        <b/>
        <sz val="14"/>
        <color rgb="FFFFC000"/>
        <rFont val="Calibri"/>
        <family val="2"/>
        <scheme val="minor"/>
      </rPr>
      <t xml:space="preserve"> = v</t>
    </r>
    <r>
      <rPr>
        <b/>
        <vertAlign val="subscript"/>
        <sz val="14"/>
        <color rgb="FFFFC000"/>
        <rFont val="Calibri"/>
        <family val="2"/>
        <scheme val="minor"/>
      </rPr>
      <t>1</t>
    </r>
    <r>
      <rPr>
        <b/>
        <sz val="14"/>
        <color rgb="FFFFC000"/>
        <rFont val="Calibri"/>
        <family val="2"/>
        <scheme val="minor"/>
      </rPr>
      <t xml:space="preserve"> * t + s0</t>
    </r>
    <r>
      <rPr>
        <b/>
        <vertAlign val="subscript"/>
        <sz val="14"/>
        <color rgb="FFFFC000"/>
        <rFont val="Calibri"/>
        <family val="2"/>
        <scheme val="minor"/>
      </rPr>
      <t>1</t>
    </r>
    <r>
      <rPr>
        <b/>
        <sz val="14"/>
        <color rgb="FFFFC000"/>
        <rFont val="Calibri"/>
        <family val="2"/>
        <scheme val="minor"/>
      </rPr>
      <t xml:space="preserve">  = </t>
    </r>
  </si>
  <si>
    <r>
      <t>t = (s0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-s0</t>
    </r>
    <r>
      <rPr>
        <vertAlign val="sub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) /(v</t>
    </r>
    <r>
      <rPr>
        <vertAlign val="sub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-v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) =</t>
    </r>
  </si>
  <si>
    <t>[h]</t>
  </si>
  <si>
    <r>
      <t>s = v</t>
    </r>
    <r>
      <rPr>
        <vertAlign val="sub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* t + s0</t>
    </r>
    <r>
      <rPr>
        <vertAlign val="sub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= </t>
    </r>
  </si>
  <si>
    <t>[km]</t>
  </si>
  <si>
    <t>Treffpunk / Ueberholpunkt:</t>
  </si>
  <si>
    <t>Hilfslinien:</t>
  </si>
  <si>
    <t>horizontale:</t>
  </si>
  <si>
    <t>vertikale:</t>
  </si>
  <si>
    <t>Einheit</t>
  </si>
  <si>
    <t>α</t>
  </si>
  <si>
    <t>sin(α)</t>
  </si>
  <si>
    <t>cos(α)</t>
  </si>
  <si>
    <t>tan(α)</t>
  </si>
  <si>
    <r>
      <t xml:space="preserve">2 * </t>
    </r>
    <r>
      <rPr>
        <sz val="14"/>
        <color theme="1"/>
        <rFont val="Aptos Narrow"/>
        <family val="2"/>
      </rPr>
      <t>π</t>
    </r>
  </si>
  <si>
    <t>α [rad]</t>
  </si>
  <si>
    <t>Resultate
anzeigen</t>
  </si>
  <si>
    <t xml:space="preserve">sin(α) = </t>
  </si>
  <si>
    <t xml:space="preserve">cos(α) = </t>
  </si>
  <si>
    <t xml:space="preserve">tan(α) = </t>
  </si>
  <si>
    <t>α [°]</t>
  </si>
  <si>
    <t>Berechnung Momentanwert:</t>
  </si>
  <si>
    <t>Amplitude A:</t>
  </si>
  <si>
    <t>Frequenz f:</t>
  </si>
  <si>
    <t>Zeit t:</t>
  </si>
  <si>
    <t>Einheiten-Vorsätze</t>
  </si>
  <si>
    <t>Vorsatz</t>
  </si>
  <si>
    <t>Symbol</t>
  </si>
  <si>
    <t>Faktor</t>
  </si>
  <si>
    <t>Zehnerpotenz</t>
  </si>
  <si>
    <t>Quetta</t>
  </si>
  <si>
    <t>Q</t>
  </si>
  <si>
    <t>10³⁰</t>
  </si>
  <si>
    <t>Ronna</t>
  </si>
  <si>
    <t>R</t>
  </si>
  <si>
    <t>10²⁷</t>
  </si>
  <si>
    <t>Yotta</t>
  </si>
  <si>
    <t>Y</t>
  </si>
  <si>
    <t>10²⁴</t>
  </si>
  <si>
    <t>Zetta</t>
  </si>
  <si>
    <t>Z</t>
  </si>
  <si>
    <t>10²¹</t>
  </si>
  <si>
    <t>Exa</t>
  </si>
  <si>
    <t>10¹⁸</t>
  </si>
  <si>
    <t>Peta</t>
  </si>
  <si>
    <t>P</t>
  </si>
  <si>
    <t>10¹⁵</t>
  </si>
  <si>
    <t>Tera</t>
  </si>
  <si>
    <t>T</t>
  </si>
  <si>
    <t>10¹²</t>
  </si>
  <si>
    <t>Giga</t>
  </si>
  <si>
    <t>10⁹</t>
  </si>
  <si>
    <t>Mega</t>
  </si>
  <si>
    <t>10⁶</t>
  </si>
  <si>
    <t>Kilo</t>
  </si>
  <si>
    <t>k</t>
  </si>
  <si>
    <t>10³</t>
  </si>
  <si>
    <t>Hekto</t>
  </si>
  <si>
    <t>h</t>
  </si>
  <si>
    <t>10²</t>
  </si>
  <si>
    <t>Deka</t>
  </si>
  <si>
    <t>da</t>
  </si>
  <si>
    <t>10¹</t>
  </si>
  <si>
    <t>(Basiseinheit)</t>
  </si>
  <si>
    <t>–</t>
  </si>
  <si>
    <t>10⁰</t>
  </si>
  <si>
    <t>Dezi</t>
  </si>
  <si>
    <t>d</t>
  </si>
  <si>
    <t>10⁻¹</t>
  </si>
  <si>
    <t>Zenti</t>
  </si>
  <si>
    <t>c</t>
  </si>
  <si>
    <t>10⁻²</t>
  </si>
  <si>
    <t>Milli</t>
  </si>
  <si>
    <t>m</t>
  </si>
  <si>
    <t>10⁻³</t>
  </si>
  <si>
    <t>Mikro</t>
  </si>
  <si>
    <t>µ</t>
  </si>
  <si>
    <t>10⁻⁶</t>
  </si>
  <si>
    <t>Nano</t>
  </si>
  <si>
    <t>n</t>
  </si>
  <si>
    <t>10⁻⁹</t>
  </si>
  <si>
    <t>Piko</t>
  </si>
  <si>
    <t>p</t>
  </si>
  <si>
    <t>10⁻¹²</t>
  </si>
  <si>
    <t>Femto</t>
  </si>
  <si>
    <t>f</t>
  </si>
  <si>
    <t>10⁻¹⁵</t>
  </si>
  <si>
    <t>Atto</t>
  </si>
  <si>
    <t>a</t>
  </si>
  <si>
    <t>10⁻¹⁸</t>
  </si>
  <si>
    <t>Zepto</t>
  </si>
  <si>
    <t>z</t>
  </si>
  <si>
    <t>10⁻²¹</t>
  </si>
  <si>
    <t>Yocto</t>
  </si>
  <si>
    <t>10⁻²⁴</t>
  </si>
  <si>
    <t>Ronto</t>
  </si>
  <si>
    <t>r</t>
  </si>
  <si>
    <t>10⁻²⁷</t>
  </si>
  <si>
    <t>Quekto</t>
  </si>
  <si>
    <t>q</t>
  </si>
  <si>
    <t>10⁻³⁰</t>
  </si>
  <si>
    <t>Test</t>
  </si>
  <si>
    <t>s</t>
  </si>
  <si>
    <t>zum darstellen</t>
  </si>
  <si>
    <t>zum rechnen</t>
  </si>
  <si>
    <t>Hz</t>
  </si>
  <si>
    <t>Griechische Buchstaben</t>
  </si>
  <si>
    <t>Groß</t>
  </si>
  <si>
    <t>Klein</t>
  </si>
  <si>
    <t>Name</t>
  </si>
  <si>
    <t>Α</t>
  </si>
  <si>
    <t>Alpha</t>
  </si>
  <si>
    <t>Β</t>
  </si>
  <si>
    <t>β</t>
  </si>
  <si>
    <t>Beta</t>
  </si>
  <si>
    <t>Γ</t>
  </si>
  <si>
    <t>γ</t>
  </si>
  <si>
    <t>Gamma</t>
  </si>
  <si>
    <t>Δ</t>
  </si>
  <si>
    <t>δ</t>
  </si>
  <si>
    <t>Delta</t>
  </si>
  <si>
    <t>Ε</t>
  </si>
  <si>
    <t>ε</t>
  </si>
  <si>
    <t>Epsilon</t>
  </si>
  <si>
    <t>Ζ</t>
  </si>
  <si>
    <t>ζ</t>
  </si>
  <si>
    <t>Zeta</t>
  </si>
  <si>
    <t>Η</t>
  </si>
  <si>
    <t>η</t>
  </si>
  <si>
    <t>Eta</t>
  </si>
  <si>
    <t>Θ</t>
  </si>
  <si>
    <t>θ</t>
  </si>
  <si>
    <t>Theta</t>
  </si>
  <si>
    <t>Ι</t>
  </si>
  <si>
    <t>ι</t>
  </si>
  <si>
    <t>Iota</t>
  </si>
  <si>
    <t>Κ</t>
  </si>
  <si>
    <t>κ</t>
  </si>
  <si>
    <t>Kappa</t>
  </si>
  <si>
    <t>Λ</t>
  </si>
  <si>
    <t>λ</t>
  </si>
  <si>
    <t>Lambda</t>
  </si>
  <si>
    <t>Μ</t>
  </si>
  <si>
    <t>μ</t>
  </si>
  <si>
    <t>My (Mu)</t>
  </si>
  <si>
    <t>Ν</t>
  </si>
  <si>
    <t>ν</t>
  </si>
  <si>
    <t>Ny (Nu)</t>
  </si>
  <si>
    <t>Ξ</t>
  </si>
  <si>
    <t>ξ</t>
  </si>
  <si>
    <t>Xi</t>
  </si>
  <si>
    <t>Ο</t>
  </si>
  <si>
    <t>ο</t>
  </si>
  <si>
    <t>Omikron</t>
  </si>
  <si>
    <t>Π</t>
  </si>
  <si>
    <t>Pi</t>
  </si>
  <si>
    <t>Ρ</t>
  </si>
  <si>
    <t>ρ</t>
  </si>
  <si>
    <t>Rho</t>
  </si>
  <si>
    <t>Σ</t>
  </si>
  <si>
    <t>σ / ς</t>
  </si>
  <si>
    <t>Τ</t>
  </si>
  <si>
    <t>τ</t>
  </si>
  <si>
    <t>Tau</t>
  </si>
  <si>
    <t>Υ</t>
  </si>
  <si>
    <t>υ</t>
  </si>
  <si>
    <t>Ypsilon</t>
  </si>
  <si>
    <t>Φ</t>
  </si>
  <si>
    <t>Phi</t>
  </si>
  <si>
    <t>Χ</t>
  </si>
  <si>
    <t>χ</t>
  </si>
  <si>
    <t>Chi</t>
  </si>
  <si>
    <t>Ψ</t>
  </si>
  <si>
    <t>ψ</t>
  </si>
  <si>
    <t>Psi</t>
  </si>
  <si>
    <t>ω</t>
  </si>
  <si>
    <t>Omega</t>
  </si>
  <si>
    <t>Sigma</t>
  </si>
  <si>
    <r>
      <t xml:space="preserve">y(t) = A * sin(2 * </t>
    </r>
    <r>
      <rPr>
        <b/>
        <sz val="20"/>
        <color theme="1"/>
        <rFont val="Aptos Narrow"/>
        <family val="2"/>
      </rPr>
      <t>π</t>
    </r>
    <r>
      <rPr>
        <b/>
        <sz val="20"/>
        <color theme="1"/>
        <rFont val="Calibri"/>
        <family val="2"/>
      </rPr>
      <t xml:space="preserve"> * f * t)</t>
    </r>
  </si>
  <si>
    <t>Me</t>
  </si>
  <si>
    <t>Vielfaches</t>
  </si>
  <si>
    <t>Periodendatuer =</t>
  </si>
  <si>
    <t>Kreisfrequenz =</t>
  </si>
  <si>
    <t xml:space="preserve">Wellenlänge = </t>
  </si>
  <si>
    <t xml:space="preserve">Momentanwert = </t>
  </si>
  <si>
    <t xml:space="preserve">                           Spitzenwert = </t>
  </si>
  <si>
    <t>s-1</t>
  </si>
  <si>
    <t>s = v*t + s0</t>
  </si>
  <si>
    <t>v = (s - s0)/t</t>
  </si>
  <si>
    <t>t = (s - s0)/v</t>
  </si>
  <si>
    <t>s0 = s - v*t</t>
  </si>
  <si>
    <t>s = v*t</t>
  </si>
  <si>
    <t>v = s/t</t>
  </si>
  <si>
    <t>t = s/v</t>
  </si>
  <si>
    <t>km/h</t>
  </si>
  <si>
    <t>m/s</t>
  </si>
  <si>
    <t>s0 = 0</t>
  </si>
  <si>
    <t>Kinematik I</t>
  </si>
  <si>
    <t>Mathematik</t>
  </si>
  <si>
    <t>Physik</t>
  </si>
  <si>
    <t>Elektrotechnik</t>
  </si>
  <si>
    <t>Excel-Staff</t>
  </si>
  <si>
    <t>Sinusförmige Signale im Zeitbereich / Vektoren</t>
  </si>
  <si>
    <t>Leistung bei  ein-phasigem Wechselstrom</t>
  </si>
  <si>
    <t>Weg-Zeit Diagramm (Kinematik I)</t>
  </si>
  <si>
    <t>Weg-Zeit Diagramm (Kinematik II)</t>
  </si>
  <si>
    <r>
      <t>a</t>
    </r>
    <r>
      <rPr>
        <vertAlign val="subscript"/>
        <sz val="14"/>
        <color theme="1"/>
        <rFont val="Calibri"/>
        <family val="2"/>
        <scheme val="minor"/>
      </rPr>
      <t>1</t>
    </r>
    <r>
      <rPr>
        <sz val="14"/>
        <color theme="1"/>
        <rFont val="Calibri"/>
        <family val="2"/>
        <scheme val="minor"/>
      </rPr>
      <t xml:space="preserve"> [m/s</t>
    </r>
    <r>
      <rPr>
        <vertAlign val="superscript"/>
        <sz val="14"/>
        <color theme="1"/>
        <rFont val="Calibri"/>
        <family val="2"/>
        <scheme val="minor"/>
      </rPr>
      <t>2</t>
    </r>
    <r>
      <rPr>
        <sz val="14"/>
        <color theme="1"/>
        <rFont val="Calibri"/>
        <family val="2"/>
        <scheme val="minor"/>
      </rPr>
      <t>]</t>
    </r>
  </si>
  <si>
    <r>
      <t>v0</t>
    </r>
    <r>
      <rPr>
        <vertAlign val="subscript"/>
        <sz val="14"/>
        <color theme="1"/>
        <rFont val="Calibri"/>
        <family val="2"/>
        <scheme val="minor"/>
      </rPr>
      <t>1</t>
    </r>
    <r>
      <rPr>
        <sz val="14"/>
        <color theme="1"/>
        <rFont val="Calibri"/>
        <family val="2"/>
        <scheme val="minor"/>
      </rPr>
      <t xml:space="preserve"> [km/h]</t>
    </r>
  </si>
  <si>
    <r>
      <t>Fz_2:   s</t>
    </r>
    <r>
      <rPr>
        <b/>
        <vertAlign val="subscript"/>
        <sz val="20"/>
        <color rgb="FF7030A0"/>
        <rFont val="Calibri"/>
        <family val="2"/>
        <scheme val="minor"/>
      </rPr>
      <t>2</t>
    </r>
    <r>
      <rPr>
        <b/>
        <sz val="20"/>
        <color rgb="FF7030A0"/>
        <rFont val="Calibri"/>
        <family val="2"/>
        <scheme val="minor"/>
      </rPr>
      <t xml:space="preserve"> = v</t>
    </r>
    <r>
      <rPr>
        <b/>
        <vertAlign val="subscript"/>
        <sz val="20"/>
        <color rgb="FF7030A0"/>
        <rFont val="Calibri"/>
        <family val="2"/>
        <scheme val="minor"/>
      </rPr>
      <t>2</t>
    </r>
    <r>
      <rPr>
        <b/>
        <sz val="20"/>
        <color rgb="FF7030A0"/>
        <rFont val="Calibri"/>
        <family val="2"/>
        <scheme val="minor"/>
      </rPr>
      <t xml:space="preserve"> * t + s0</t>
    </r>
    <r>
      <rPr>
        <b/>
        <vertAlign val="subscript"/>
        <sz val="20"/>
        <color rgb="FF7030A0"/>
        <rFont val="Calibri"/>
        <family val="2"/>
        <scheme val="minor"/>
      </rPr>
      <t>2</t>
    </r>
    <r>
      <rPr>
        <b/>
        <sz val="20"/>
        <color rgb="FF7030A0"/>
        <rFont val="Calibri"/>
        <family val="2"/>
        <scheme val="minor"/>
      </rPr>
      <t xml:space="preserve">  = </t>
    </r>
  </si>
  <si>
    <r>
      <t>a</t>
    </r>
    <r>
      <rPr>
        <vertAlign val="subscript"/>
        <sz val="14"/>
        <color theme="1"/>
        <rFont val="Calibri"/>
        <family val="2"/>
        <scheme val="minor"/>
      </rPr>
      <t>2</t>
    </r>
    <r>
      <rPr>
        <sz val="14"/>
        <color theme="1"/>
        <rFont val="Calibri"/>
        <family val="2"/>
        <scheme val="minor"/>
      </rPr>
      <t xml:space="preserve"> [m/s</t>
    </r>
    <r>
      <rPr>
        <vertAlign val="superscript"/>
        <sz val="14"/>
        <color theme="1"/>
        <rFont val="Calibri"/>
        <family val="2"/>
        <scheme val="minor"/>
      </rPr>
      <t>2</t>
    </r>
    <r>
      <rPr>
        <sz val="14"/>
        <color theme="1"/>
        <rFont val="Calibri"/>
        <family val="2"/>
        <scheme val="minor"/>
      </rPr>
      <t>]</t>
    </r>
  </si>
  <si>
    <r>
      <t>v0</t>
    </r>
    <r>
      <rPr>
        <vertAlign val="subscript"/>
        <sz val="14"/>
        <color theme="1"/>
        <rFont val="Calibri"/>
        <family val="2"/>
        <scheme val="minor"/>
      </rPr>
      <t>2</t>
    </r>
    <r>
      <rPr>
        <sz val="14"/>
        <color theme="1"/>
        <rFont val="Calibri"/>
        <family val="2"/>
        <scheme val="minor"/>
      </rPr>
      <t xml:space="preserve"> [km/h]</t>
    </r>
  </si>
  <si>
    <t xml:space="preserve">s [km] = </t>
  </si>
  <si>
    <r>
      <t>v</t>
    </r>
    <r>
      <rPr>
        <vertAlign val="subscript"/>
        <sz val="14"/>
        <color theme="1"/>
        <rFont val="Calibri"/>
        <family val="2"/>
        <scheme val="minor"/>
      </rPr>
      <t>1</t>
    </r>
    <r>
      <rPr>
        <sz val="14"/>
        <color theme="1"/>
        <rFont val="Calibri"/>
        <family val="2"/>
        <scheme val="minor"/>
      </rPr>
      <t xml:space="preserve"> [km/h] = </t>
    </r>
  </si>
  <si>
    <t>[m]</t>
  </si>
  <si>
    <r>
      <t>s</t>
    </r>
    <r>
      <rPr>
        <b/>
        <vertAlign val="subscript"/>
        <sz val="20"/>
        <color rgb="FFFFC000"/>
        <rFont val="Calibri"/>
        <family val="2"/>
        <scheme val="minor"/>
      </rPr>
      <t>1</t>
    </r>
    <r>
      <rPr>
        <b/>
        <sz val="20"/>
        <color rgb="FFFFC000"/>
        <rFont val="Calibri"/>
        <family val="2"/>
        <scheme val="minor"/>
      </rPr>
      <t xml:space="preserve"> = (a</t>
    </r>
    <r>
      <rPr>
        <b/>
        <vertAlign val="subscript"/>
        <sz val="20"/>
        <color rgb="FFFFC000"/>
        <rFont val="Calibri"/>
        <family val="2"/>
        <scheme val="minor"/>
      </rPr>
      <t>1</t>
    </r>
    <r>
      <rPr>
        <b/>
        <sz val="20"/>
        <color rgb="FFFFC000"/>
        <rFont val="Calibri"/>
        <family val="2"/>
        <scheme val="minor"/>
      </rPr>
      <t>/2)t</t>
    </r>
    <r>
      <rPr>
        <b/>
        <vertAlign val="superscript"/>
        <sz val="20"/>
        <color rgb="FFFFC000"/>
        <rFont val="Calibri"/>
        <family val="2"/>
        <scheme val="minor"/>
      </rPr>
      <t>2</t>
    </r>
    <r>
      <rPr>
        <b/>
        <sz val="20"/>
        <color rgb="FFFFC000"/>
        <rFont val="Calibri"/>
        <family val="2"/>
        <scheme val="minor"/>
      </rPr>
      <t xml:space="preserve"> + v0</t>
    </r>
    <r>
      <rPr>
        <b/>
        <vertAlign val="subscript"/>
        <sz val="20"/>
        <color rgb="FFFFC000"/>
        <rFont val="Calibri"/>
        <family val="2"/>
        <scheme val="minor"/>
      </rPr>
      <t>1</t>
    </r>
    <r>
      <rPr>
        <b/>
        <sz val="20"/>
        <color rgb="FFFFC000"/>
        <rFont val="Calibri"/>
        <family val="2"/>
        <scheme val="minor"/>
      </rPr>
      <t>*t + s0</t>
    </r>
    <r>
      <rPr>
        <b/>
        <vertAlign val="subscript"/>
        <sz val="20"/>
        <color rgb="FFFFC000"/>
        <rFont val="Calibri"/>
        <family val="2"/>
        <scheme val="minor"/>
      </rPr>
      <t>1</t>
    </r>
    <r>
      <rPr>
        <b/>
        <sz val="20"/>
        <color rgb="FFFFC000"/>
        <rFont val="Calibri"/>
        <family val="2"/>
        <scheme val="minor"/>
      </rPr>
      <t xml:space="preserve">  = </t>
    </r>
  </si>
  <si>
    <r>
      <t>v</t>
    </r>
    <r>
      <rPr>
        <b/>
        <vertAlign val="subscript"/>
        <sz val="20"/>
        <color rgb="FFFFC000"/>
        <rFont val="Calibri"/>
        <family val="2"/>
        <scheme val="minor"/>
      </rPr>
      <t>1</t>
    </r>
    <r>
      <rPr>
        <b/>
        <sz val="20"/>
        <color rgb="FFFFC000"/>
        <rFont val="Calibri"/>
        <family val="2"/>
        <scheme val="minor"/>
      </rPr>
      <t xml:space="preserve"> = a</t>
    </r>
    <r>
      <rPr>
        <b/>
        <vertAlign val="subscript"/>
        <sz val="20"/>
        <color rgb="FFFFC000"/>
        <rFont val="Calibri"/>
        <family val="2"/>
        <scheme val="minor"/>
      </rPr>
      <t>1</t>
    </r>
    <r>
      <rPr>
        <b/>
        <sz val="20"/>
        <color rgb="FFFFC000"/>
        <rFont val="Calibri"/>
        <family val="2"/>
        <scheme val="minor"/>
      </rPr>
      <t>*t + v0</t>
    </r>
    <r>
      <rPr>
        <b/>
        <vertAlign val="subscript"/>
        <sz val="20"/>
        <color rgb="FFFFC000"/>
        <rFont val="Calibri"/>
        <family val="2"/>
        <scheme val="minor"/>
      </rPr>
      <t>1</t>
    </r>
    <r>
      <rPr>
        <b/>
        <sz val="20"/>
        <color rgb="FFFFC000"/>
        <rFont val="Calibri"/>
        <family val="2"/>
        <scheme val="minor"/>
      </rPr>
      <t xml:space="preserve">  = </t>
    </r>
  </si>
  <si>
    <t xml:space="preserve">R = </t>
  </si>
  <si>
    <t xml:space="preserve">C = </t>
  </si>
  <si>
    <t xml:space="preserve">L = </t>
  </si>
  <si>
    <t>f =</t>
  </si>
  <si>
    <t>HZ</t>
  </si>
  <si>
    <t xml:space="preserve">ω = </t>
  </si>
  <si>
    <t>(1/s)</t>
  </si>
  <si>
    <t>Serieschaltung:</t>
  </si>
  <si>
    <t xml:space="preserve">φ = </t>
  </si>
  <si>
    <t>Lösung:</t>
  </si>
  <si>
    <t>Gesucht:</t>
  </si>
  <si>
    <t>Gegeben:</t>
  </si>
  <si>
    <t>[s]</t>
  </si>
  <si>
    <r>
      <t>v</t>
    </r>
    <r>
      <rPr>
        <vertAlign val="subscript"/>
        <sz val="14"/>
        <color theme="1"/>
        <rFont val="Calibri"/>
        <family val="2"/>
        <scheme val="minor"/>
      </rPr>
      <t>1</t>
    </r>
  </si>
  <si>
    <r>
      <t>s0</t>
    </r>
    <r>
      <rPr>
        <vertAlign val="subscript"/>
        <sz val="14"/>
        <color theme="1"/>
        <rFont val="Calibri"/>
        <family val="2"/>
        <scheme val="minor"/>
      </rPr>
      <t>1</t>
    </r>
  </si>
  <si>
    <r>
      <t>v</t>
    </r>
    <r>
      <rPr>
        <vertAlign val="subscript"/>
        <sz val="14"/>
        <color theme="1"/>
        <rFont val="Calibri"/>
        <family val="2"/>
        <scheme val="minor"/>
      </rPr>
      <t>2</t>
    </r>
  </si>
  <si>
    <r>
      <t>s0</t>
    </r>
    <r>
      <rPr>
        <vertAlign val="subscript"/>
        <sz val="14"/>
        <color theme="1"/>
        <rFont val="Calibri"/>
        <family val="2"/>
        <scheme val="minor"/>
      </rPr>
      <t>2</t>
    </r>
  </si>
  <si>
    <t>Anfangsstrecke s0:</t>
  </si>
  <si>
    <r>
      <t>s = a/2 * t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v0*t  +  s0</t>
    </r>
  </si>
  <si>
    <t>Source:</t>
  </si>
  <si>
    <t>https://raw.githubusercontent.com/walter-rothlin/Source-Code/master/SchulungsUnterlagen/Formelbuch_Rothlin_Walter.xlsx</t>
  </si>
  <si>
    <t>R:</t>
  </si>
  <si>
    <t>XC:</t>
  </si>
  <si>
    <t>XL:</t>
  </si>
  <si>
    <t>MAX:</t>
  </si>
  <si>
    <t>XLC:</t>
  </si>
  <si>
    <r>
      <t>Z</t>
    </r>
    <r>
      <rPr>
        <vertAlign val="subscript"/>
        <sz val="11"/>
        <color theme="1"/>
        <rFont val="Calibri"/>
        <family val="2"/>
        <scheme val="minor"/>
      </rPr>
      <t>RLC</t>
    </r>
    <r>
      <rPr>
        <sz val="11"/>
        <color theme="1"/>
        <rFont val="Calibri"/>
        <family val="2"/>
        <scheme val="minor"/>
      </rPr>
      <t>:</t>
    </r>
  </si>
  <si>
    <t>Fläche unter dem Geschwindgkeits-Zeit Diagramm</t>
  </si>
  <si>
    <t>lineare Funktion</t>
  </si>
  <si>
    <r>
      <t>v = a*t + v</t>
    </r>
    <r>
      <rPr>
        <vertAlign val="subscript"/>
        <sz val="16"/>
        <color theme="1"/>
        <rFont val="Calibri"/>
        <family val="2"/>
        <scheme val="minor"/>
      </rPr>
      <t>o</t>
    </r>
    <r>
      <rPr>
        <sz val="16"/>
        <color theme="1"/>
        <rFont val="Calibri"/>
        <family val="2"/>
        <scheme val="minor"/>
      </rPr>
      <t xml:space="preserve"> =</t>
    </r>
  </si>
  <si>
    <r>
      <t>s = a/2 * t</t>
    </r>
    <r>
      <rPr>
        <vertAlign val="superscript"/>
        <sz val="16"/>
        <color theme="1"/>
        <rFont val="Calibri"/>
        <family val="2"/>
        <scheme val="minor"/>
      </rPr>
      <t>2</t>
    </r>
    <r>
      <rPr>
        <sz val="16"/>
        <color theme="1"/>
        <rFont val="Calibri"/>
        <family val="2"/>
        <scheme val="minor"/>
      </rPr>
      <t xml:space="preserve"> + v</t>
    </r>
    <r>
      <rPr>
        <vertAlign val="subscript"/>
        <sz val="16"/>
        <color theme="1"/>
        <rFont val="Calibri"/>
        <family val="2"/>
        <scheme val="minor"/>
      </rPr>
      <t>o</t>
    </r>
    <r>
      <rPr>
        <sz val="16"/>
        <color theme="1"/>
        <rFont val="Calibri"/>
        <family val="2"/>
        <scheme val="minor"/>
      </rPr>
      <t xml:space="preserve"> * t + s</t>
    </r>
    <r>
      <rPr>
        <vertAlign val="subscript"/>
        <sz val="16"/>
        <color theme="1"/>
        <rFont val="Calibri"/>
        <family val="2"/>
        <scheme val="minor"/>
      </rPr>
      <t>o</t>
    </r>
    <r>
      <rPr>
        <sz val="16"/>
        <color theme="1"/>
        <rFont val="Calibri"/>
        <family val="2"/>
        <scheme val="minor"/>
      </rPr>
      <t xml:space="preserve"> = </t>
    </r>
  </si>
  <si>
    <t xml:space="preserve">Zeit t: </t>
  </si>
  <si>
    <t>[km/h]</t>
  </si>
  <si>
    <t>[Min]</t>
  </si>
  <si>
    <t>RCL-Glieder (Serieschaltung) an Wechselspannung</t>
  </si>
  <si>
    <t>Kondensator an Gleichspannung</t>
  </si>
  <si>
    <r>
      <t>U</t>
    </r>
    <r>
      <rPr>
        <vertAlign val="subscript"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= </t>
    </r>
  </si>
  <si>
    <t>UC(t) = U0(1 - e^(-t/RC))</t>
  </si>
  <si>
    <t>Horizontale:</t>
  </si>
  <si>
    <t>Vertikale:</t>
  </si>
  <si>
    <t xml:space="preserve">x = </t>
  </si>
  <si>
    <t xml:space="preserve">(-t/RC) = </t>
  </si>
  <si>
    <t xml:space="preserve">e^(-t/RC) = </t>
  </si>
  <si>
    <t xml:space="preserve">1 - e^(-t/RC) = </t>
  </si>
  <si>
    <t>(1 - e^(-t/RC))</t>
  </si>
  <si>
    <t>Laden:</t>
  </si>
  <si>
    <t>Entladen:</t>
  </si>
  <si>
    <t>Ladekurve:</t>
  </si>
  <si>
    <t>Entladekurve:</t>
  </si>
  <si>
    <t>UC(t) = U0(e^(-t/RC))</t>
  </si>
  <si>
    <t>Asymptote:</t>
  </si>
  <si>
    <r>
      <t>y = e</t>
    </r>
    <r>
      <rPr>
        <vertAlign val="superscript"/>
        <sz val="11"/>
        <color theme="1"/>
        <rFont val="Calibri"/>
        <family val="2"/>
        <scheme val="minor"/>
      </rPr>
      <t>-x</t>
    </r>
    <r>
      <rPr>
        <sz val="11"/>
        <color theme="1"/>
        <rFont val="Calibri"/>
        <family val="2"/>
        <scheme val="minor"/>
      </rPr>
      <t xml:space="preserve"> =</t>
    </r>
  </si>
  <si>
    <r>
      <t>y = 1 - e</t>
    </r>
    <r>
      <rPr>
        <vertAlign val="superscript"/>
        <sz val="11"/>
        <color theme="1" tint="4.9989318521683403E-2"/>
        <rFont val="Calibri"/>
        <family val="2"/>
        <scheme val="minor"/>
      </rPr>
      <t>-x</t>
    </r>
    <r>
      <rPr>
        <sz val="11"/>
        <color theme="1" tint="4.9989318521683403E-2"/>
        <rFont val="Calibri"/>
        <family val="2"/>
        <scheme val="minor"/>
      </rPr>
      <t xml:space="preserve"> =</t>
    </r>
  </si>
  <si>
    <t>S3 + S3
T13</t>
  </si>
  <si>
    <t>Bestellung</t>
  </si>
  <si>
    <t>Magnetismus</t>
  </si>
  <si>
    <t>2 * AP</t>
  </si>
  <si>
    <t>View</t>
  </si>
  <si>
    <t>Sinus-Kurve</t>
  </si>
  <si>
    <t>x-Achse in</t>
  </si>
  <si>
    <t>Winkelmass [rad]</t>
  </si>
  <si>
    <t>Perioden pro 360°</t>
  </si>
  <si>
    <t>Winkelmass [°]</t>
  </si>
  <si>
    <t>Messwert:</t>
  </si>
  <si>
    <t>X-Achse:</t>
  </si>
  <si>
    <t>Y-Achse:</t>
  </si>
  <si>
    <t>Vektor-Diagramm</t>
  </si>
  <si>
    <t>Belasteter Spannungsteiler</t>
  </si>
  <si>
    <t>Regeln (Kirchhof):</t>
  </si>
  <si>
    <r>
      <t>U</t>
    </r>
    <r>
      <rPr>
        <vertAlign val="subscript"/>
        <sz val="11"/>
        <color rgb="FF00B0F0"/>
        <rFont val="Calibri"/>
        <family val="2"/>
        <scheme val="minor"/>
      </rPr>
      <t>2</t>
    </r>
    <r>
      <rPr>
        <sz val="11"/>
        <color rgb="FF00B0F0"/>
        <rFont val="Calibri"/>
        <family val="2"/>
        <scheme val="minor"/>
      </rPr>
      <t xml:space="preserve"> = U</t>
    </r>
    <r>
      <rPr>
        <vertAlign val="subscript"/>
        <sz val="11"/>
        <color rgb="FF00B0F0"/>
        <rFont val="Calibri"/>
        <family val="2"/>
        <scheme val="minor"/>
      </rPr>
      <t>L</t>
    </r>
  </si>
  <si>
    <r>
      <t>U</t>
    </r>
    <r>
      <rPr>
        <vertAlign val="subscript"/>
        <sz val="11"/>
        <color rgb="FF00B0F0"/>
        <rFont val="Calibri"/>
        <family val="2"/>
        <scheme val="minor"/>
      </rPr>
      <t>IN</t>
    </r>
    <r>
      <rPr>
        <sz val="11"/>
        <color rgb="FF00B0F0"/>
        <rFont val="Calibri"/>
        <family val="2"/>
        <scheme val="minor"/>
      </rPr>
      <t xml:space="preserve"> = U</t>
    </r>
    <r>
      <rPr>
        <vertAlign val="subscript"/>
        <sz val="11"/>
        <color rgb="FF00B0F0"/>
        <rFont val="Calibri"/>
        <family val="2"/>
        <scheme val="minor"/>
      </rPr>
      <t>1</t>
    </r>
    <r>
      <rPr>
        <sz val="11"/>
        <color rgb="FF00B0F0"/>
        <rFont val="Calibri"/>
        <family val="2"/>
        <scheme val="minor"/>
      </rPr>
      <t xml:space="preserve"> + U</t>
    </r>
    <r>
      <rPr>
        <vertAlign val="subscript"/>
        <sz val="11"/>
        <color rgb="FF00B0F0"/>
        <rFont val="Calibri"/>
        <family val="2"/>
        <scheme val="minor"/>
      </rPr>
      <t>L</t>
    </r>
  </si>
  <si>
    <r>
      <t>I</t>
    </r>
    <r>
      <rPr>
        <vertAlign val="subscript"/>
        <sz val="11"/>
        <color rgb="FFFF0000"/>
        <rFont val="Calibri"/>
        <family val="2"/>
        <scheme val="minor"/>
      </rPr>
      <t>Total</t>
    </r>
    <r>
      <rPr>
        <sz val="11"/>
        <color rgb="FFFF0000"/>
        <rFont val="Calibri"/>
        <family val="2"/>
        <scheme val="minor"/>
      </rPr>
      <t xml:space="preserve"> = I</t>
    </r>
    <r>
      <rPr>
        <vertAlign val="subscript"/>
        <sz val="11"/>
        <color rgb="FFFF0000"/>
        <rFont val="Calibri"/>
        <family val="2"/>
        <scheme val="minor"/>
      </rPr>
      <t>2</t>
    </r>
    <r>
      <rPr>
        <sz val="11"/>
        <color rgb="FFFF0000"/>
        <rFont val="Calibri"/>
        <family val="2"/>
        <scheme val="minor"/>
      </rPr>
      <t xml:space="preserve"> + I</t>
    </r>
    <r>
      <rPr>
        <vertAlign val="subscript"/>
        <sz val="11"/>
        <color rgb="FFFF0000"/>
        <rFont val="Calibri"/>
        <family val="2"/>
        <scheme val="minor"/>
      </rPr>
      <t>L</t>
    </r>
  </si>
  <si>
    <r>
      <t>R</t>
    </r>
    <r>
      <rPr>
        <vertAlign val="sub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=</t>
    </r>
  </si>
  <si>
    <r>
      <t>R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=</t>
    </r>
  </si>
  <si>
    <r>
      <t>R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 xml:space="preserve"> =</t>
    </r>
  </si>
  <si>
    <r>
      <t>U</t>
    </r>
    <r>
      <rPr>
        <vertAlign val="subscript"/>
        <sz val="11"/>
        <color theme="1"/>
        <rFont val="Calibri"/>
        <family val="2"/>
        <scheme val="minor"/>
      </rPr>
      <t>IN</t>
    </r>
    <r>
      <rPr>
        <sz val="11"/>
        <color theme="1"/>
        <rFont val="Calibri"/>
        <family val="2"/>
        <scheme val="minor"/>
      </rPr>
      <t xml:space="preserve"> =</t>
    </r>
  </si>
  <si>
    <r>
      <t>R</t>
    </r>
    <r>
      <rPr>
        <vertAlign val="subscript"/>
        <sz val="11"/>
        <color theme="1"/>
        <rFont val="Calibri"/>
        <family val="2"/>
        <scheme val="minor"/>
      </rPr>
      <t>Total</t>
    </r>
    <r>
      <rPr>
        <sz val="11"/>
        <color theme="1"/>
        <rFont val="Calibri"/>
        <family val="2"/>
        <scheme val="minor"/>
      </rPr>
      <t xml:space="preserve"> =</t>
    </r>
  </si>
  <si>
    <r>
      <t>R</t>
    </r>
    <r>
      <rPr>
        <vertAlign val="sub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+ (R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||R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)=</t>
    </r>
  </si>
  <si>
    <r>
      <t>I</t>
    </r>
    <r>
      <rPr>
        <vertAlign val="subscript"/>
        <sz val="11"/>
        <color rgb="FFFF0000"/>
        <rFont val="Calibri"/>
        <family val="2"/>
        <scheme val="minor"/>
      </rPr>
      <t>Total</t>
    </r>
    <r>
      <rPr>
        <sz val="11"/>
        <color rgb="FFFF0000"/>
        <rFont val="Calibri"/>
        <family val="2"/>
        <scheme val="minor"/>
      </rPr>
      <t xml:space="preserve"> =</t>
    </r>
  </si>
  <si>
    <r>
      <rPr>
        <sz val="11"/>
        <color rgb="FF00B0F0"/>
        <rFont val="Calibri"/>
        <family val="2"/>
        <scheme val="minor"/>
      </rPr>
      <t>U</t>
    </r>
    <r>
      <rPr>
        <vertAlign val="subscript"/>
        <sz val="11"/>
        <color rgb="FF00B0F0"/>
        <rFont val="Calibri"/>
        <family val="2"/>
        <scheme val="minor"/>
      </rPr>
      <t>IN</t>
    </r>
    <r>
      <rPr>
        <sz val="11"/>
        <color theme="1"/>
        <rFont val="Calibri"/>
        <family val="2"/>
        <scheme val="minor"/>
      </rPr>
      <t xml:space="preserve"> / R</t>
    </r>
    <r>
      <rPr>
        <vertAlign val="subscript"/>
        <sz val="11"/>
        <color theme="1"/>
        <rFont val="Calibri"/>
        <family val="2"/>
        <scheme val="minor"/>
      </rPr>
      <t>Total</t>
    </r>
    <r>
      <rPr>
        <sz val="11"/>
        <color theme="1"/>
        <rFont val="Calibri"/>
        <family val="2"/>
        <scheme val="minor"/>
      </rPr>
      <t xml:space="preserve"> =</t>
    </r>
  </si>
  <si>
    <r>
      <t>U</t>
    </r>
    <r>
      <rPr>
        <vertAlign val="subscript"/>
        <sz val="11"/>
        <color rgb="FF00B0F0"/>
        <rFont val="Calibri"/>
        <family val="2"/>
        <scheme val="minor"/>
      </rPr>
      <t>1</t>
    </r>
    <r>
      <rPr>
        <sz val="11"/>
        <color rgb="FF00B0F0"/>
        <rFont val="Calibri"/>
        <family val="2"/>
        <scheme val="minor"/>
      </rPr>
      <t xml:space="preserve"> =</t>
    </r>
  </si>
  <si>
    <r>
      <t>R</t>
    </r>
    <r>
      <rPr>
        <vertAlign val="sub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*</t>
    </r>
    <r>
      <rPr>
        <sz val="11"/>
        <color rgb="FFFF0000"/>
        <rFont val="Calibri"/>
        <family val="2"/>
        <scheme val="minor"/>
      </rPr>
      <t xml:space="preserve"> I</t>
    </r>
    <r>
      <rPr>
        <vertAlign val="subscript"/>
        <sz val="11"/>
        <color rgb="FFFF0000"/>
        <rFont val="Calibri"/>
        <family val="2"/>
        <scheme val="minor"/>
      </rPr>
      <t>Total</t>
    </r>
    <r>
      <rPr>
        <sz val="11"/>
        <color rgb="FFFF0000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=</t>
    </r>
  </si>
  <si>
    <r>
      <t>U</t>
    </r>
    <r>
      <rPr>
        <vertAlign val="subscript"/>
        <sz val="11"/>
        <color rgb="FF00B0F0"/>
        <rFont val="Calibri"/>
        <family val="2"/>
        <scheme val="minor"/>
      </rPr>
      <t>L</t>
    </r>
    <r>
      <rPr>
        <sz val="11"/>
        <color rgb="FF00B0F0"/>
        <rFont val="Calibri"/>
        <family val="2"/>
        <scheme val="minor"/>
      </rPr>
      <t xml:space="preserve"> = U</t>
    </r>
    <r>
      <rPr>
        <vertAlign val="subscript"/>
        <sz val="11"/>
        <color rgb="FF00B0F0"/>
        <rFont val="Calibri"/>
        <family val="2"/>
        <scheme val="minor"/>
      </rPr>
      <t>2</t>
    </r>
    <r>
      <rPr>
        <sz val="11"/>
        <color rgb="FF00B0F0"/>
        <rFont val="Calibri"/>
        <family val="2"/>
        <scheme val="minor"/>
      </rPr>
      <t xml:space="preserve"> =</t>
    </r>
  </si>
  <si>
    <r>
      <rPr>
        <sz val="11"/>
        <color rgb="FF00B0F0"/>
        <rFont val="Calibri"/>
        <family val="2"/>
        <scheme val="minor"/>
      </rPr>
      <t>U</t>
    </r>
    <r>
      <rPr>
        <vertAlign val="subscript"/>
        <sz val="11"/>
        <color rgb="FF00B0F0"/>
        <rFont val="Calibri"/>
        <family val="2"/>
        <scheme val="minor"/>
      </rPr>
      <t>IN</t>
    </r>
    <r>
      <rPr>
        <sz val="11"/>
        <color theme="1"/>
        <rFont val="Calibri"/>
        <family val="2"/>
        <scheme val="minor"/>
      </rPr>
      <t xml:space="preserve"> - </t>
    </r>
    <r>
      <rPr>
        <sz val="11"/>
        <color rgb="FF00B0F0"/>
        <rFont val="Calibri"/>
        <family val="2"/>
        <scheme val="minor"/>
      </rPr>
      <t>U</t>
    </r>
    <r>
      <rPr>
        <vertAlign val="subscript"/>
        <sz val="11"/>
        <color rgb="FF00B0F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=</t>
    </r>
  </si>
  <si>
    <r>
      <t>R</t>
    </r>
    <r>
      <rPr>
        <vertAlign val="sub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=</t>
    </r>
  </si>
  <si>
    <r>
      <t>R</t>
    </r>
    <r>
      <rPr>
        <vertAlign val="subscript"/>
        <sz val="11"/>
        <color theme="1"/>
        <rFont val="Calibri"/>
        <family val="2"/>
        <scheme val="minor"/>
      </rPr>
      <t>22</t>
    </r>
    <r>
      <rPr>
        <sz val="11"/>
        <color theme="1"/>
        <rFont val="Calibri"/>
        <family val="2"/>
        <scheme val="minor"/>
      </rPr>
      <t xml:space="preserve"> =</t>
    </r>
  </si>
  <si>
    <r>
      <t>R</t>
    </r>
    <r>
      <rPr>
        <vertAlign val="sub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/ R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=</t>
    </r>
  </si>
  <si>
    <r>
      <t>R</t>
    </r>
    <r>
      <rPr>
        <vertAlign val="sub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/ R</t>
    </r>
    <r>
      <rPr>
        <vertAlign val="subscript"/>
        <sz val="11"/>
        <color theme="1"/>
        <rFont val="Calibri"/>
        <family val="2"/>
        <scheme val="minor"/>
      </rPr>
      <t>22</t>
    </r>
    <r>
      <rPr>
        <sz val="11"/>
        <color theme="1"/>
        <rFont val="Calibri"/>
        <family val="2"/>
        <scheme val="minor"/>
      </rPr>
      <t xml:space="preserve"> =</t>
    </r>
  </si>
  <si>
    <r>
      <t>R</t>
    </r>
    <r>
      <rPr>
        <vertAlign val="sub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+ (R</t>
    </r>
    <r>
      <rPr>
        <vertAlign val="subscript"/>
        <sz val="11"/>
        <color theme="1"/>
        <rFont val="Calibri"/>
        <family val="2"/>
        <scheme val="minor"/>
      </rPr>
      <t>22</t>
    </r>
    <r>
      <rPr>
        <sz val="11"/>
        <color theme="1"/>
        <rFont val="Calibri"/>
        <family val="2"/>
        <scheme val="minor"/>
      </rPr>
      <t>||R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)=</t>
    </r>
  </si>
  <si>
    <r>
      <t>R</t>
    </r>
    <r>
      <rPr>
        <vertAlign val="sub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*</t>
    </r>
    <r>
      <rPr>
        <sz val="11"/>
        <color rgb="FFFF0000"/>
        <rFont val="Calibri"/>
        <family val="2"/>
        <scheme val="minor"/>
      </rPr>
      <t xml:space="preserve"> I</t>
    </r>
    <r>
      <rPr>
        <vertAlign val="subscript"/>
        <sz val="11"/>
        <color rgb="FFFF0000"/>
        <rFont val="Calibri"/>
        <family val="2"/>
        <scheme val="minor"/>
      </rPr>
      <t>Total</t>
    </r>
    <r>
      <rPr>
        <sz val="11"/>
        <color rgb="FFFF0000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=</t>
    </r>
  </si>
  <si>
    <r>
      <rPr>
        <sz val="11"/>
        <color rgb="FF00B0F0"/>
        <rFont val="Calibri"/>
        <family val="2"/>
        <scheme val="minor"/>
      </rPr>
      <t>U</t>
    </r>
    <r>
      <rPr>
        <vertAlign val="subscript"/>
        <sz val="11"/>
        <color rgb="FF00B0F0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 xml:space="preserve"> / </t>
    </r>
    <r>
      <rPr>
        <sz val="11"/>
        <color rgb="FF00B0F0"/>
        <rFont val="Calibri"/>
        <family val="2"/>
        <scheme val="minor"/>
      </rPr>
      <t>U</t>
    </r>
    <r>
      <rPr>
        <vertAlign val="subscript"/>
        <sz val="11"/>
        <color rgb="FF00B0F0"/>
        <rFont val="Calibri"/>
        <family val="2"/>
        <scheme val="minor"/>
      </rPr>
      <t>IN</t>
    </r>
    <r>
      <rPr>
        <sz val="11"/>
        <color theme="1"/>
        <rFont val="Calibri"/>
        <family val="2"/>
        <scheme val="minor"/>
      </rPr>
      <t xml:space="preserve"> (Leerlauf) =</t>
    </r>
  </si>
  <si>
    <r>
      <rPr>
        <sz val="11"/>
        <color rgb="FF00B0F0"/>
        <rFont val="Calibri"/>
        <family val="2"/>
        <scheme val="minor"/>
      </rPr>
      <t>U</t>
    </r>
    <r>
      <rPr>
        <vertAlign val="subscript"/>
        <sz val="11"/>
        <color rgb="FF00B0F0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 xml:space="preserve"> (Leerlauf) =</t>
    </r>
  </si>
  <si>
    <r>
      <t>Blindwiderstand X</t>
    </r>
    <r>
      <rPr>
        <vertAlign val="subscript"/>
        <sz val="11"/>
        <color theme="1"/>
        <rFont val="Calibri"/>
        <family val="2"/>
        <scheme val="minor"/>
      </rPr>
      <t>C</t>
    </r>
    <r>
      <rPr>
        <sz val="11"/>
        <color theme="1"/>
        <rFont val="Calibri"/>
        <family val="2"/>
        <scheme val="minor"/>
      </rPr>
      <t xml:space="preserve"> = </t>
    </r>
  </si>
  <si>
    <r>
      <t>Blindwiderstand X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 xml:space="preserve"> = </t>
    </r>
  </si>
  <si>
    <r>
      <t>Scheinwiderstand Z</t>
    </r>
    <r>
      <rPr>
        <vertAlign val="subscript"/>
        <sz val="11"/>
        <color theme="1"/>
        <rFont val="Calibri"/>
        <family val="2"/>
        <scheme val="minor"/>
      </rPr>
      <t>RC</t>
    </r>
    <r>
      <rPr>
        <sz val="11"/>
        <color theme="1"/>
        <rFont val="Calibri"/>
        <family val="2"/>
        <scheme val="minor"/>
      </rPr>
      <t xml:space="preserve"> = </t>
    </r>
  </si>
  <si>
    <r>
      <t>Scheinwiderstand Z</t>
    </r>
    <r>
      <rPr>
        <vertAlign val="subscript"/>
        <sz val="11"/>
        <color theme="1"/>
        <rFont val="Calibri"/>
        <family val="2"/>
        <scheme val="minor"/>
      </rPr>
      <t>RL</t>
    </r>
    <r>
      <rPr>
        <sz val="11"/>
        <color theme="1"/>
        <rFont val="Calibri"/>
        <family val="2"/>
        <scheme val="minor"/>
      </rPr>
      <t xml:space="preserve"> = </t>
    </r>
  </si>
  <si>
    <r>
      <t>Scheinwiderstand Z</t>
    </r>
    <r>
      <rPr>
        <vertAlign val="subscript"/>
        <sz val="11"/>
        <color theme="1"/>
        <rFont val="Calibri"/>
        <family val="2"/>
        <scheme val="minor"/>
      </rPr>
      <t>RLC</t>
    </r>
    <r>
      <rPr>
        <sz val="11"/>
        <color theme="1"/>
        <rFont val="Calibri"/>
        <family val="2"/>
        <scheme val="minor"/>
      </rPr>
      <t xml:space="preserve"> = </t>
    </r>
  </si>
  <si>
    <r>
      <t>Kompensation: X</t>
    </r>
    <r>
      <rPr>
        <vertAlign val="subscript"/>
        <sz val="11"/>
        <color theme="1"/>
        <rFont val="Calibri"/>
        <family val="2"/>
        <scheme val="minor"/>
      </rPr>
      <t>C</t>
    </r>
    <r>
      <rPr>
        <sz val="11"/>
        <color theme="1"/>
        <rFont val="Calibri"/>
        <family val="2"/>
        <scheme val="minor"/>
      </rPr>
      <t xml:space="preserve"> = X</t>
    </r>
    <r>
      <rPr>
        <vertAlign val="subscript"/>
        <sz val="11"/>
        <color theme="1"/>
        <rFont val="Calibri"/>
        <family val="2"/>
        <scheme val="minor"/>
      </rPr>
      <t>L</t>
    </r>
  </si>
  <si>
    <t>1/2*π*f*C = 2*π*f*L</t>
  </si>
  <si>
    <t xml:space="preserve">cos(φ) = </t>
  </si>
  <si>
    <r>
      <t>Û = U</t>
    </r>
    <r>
      <rPr>
        <vertAlign val="subscript"/>
        <sz val="11"/>
        <color theme="1"/>
        <rFont val="Calibri"/>
        <family val="2"/>
        <scheme val="minor"/>
      </rPr>
      <t>eff</t>
    </r>
    <r>
      <rPr>
        <sz val="11"/>
        <color theme="1"/>
        <rFont val="Calibri"/>
        <family val="2"/>
        <scheme val="minor"/>
      </rPr>
      <t xml:space="preserve"> * wurzel(2)</t>
    </r>
  </si>
  <si>
    <t>Gemessene Spannung</t>
  </si>
  <si>
    <t>T = 1/f</t>
  </si>
  <si>
    <t>ω = 2 *  π * f</t>
  </si>
  <si>
    <t>Spitzenwert / Effektivwert / Wellenlänge / Periodendauer</t>
  </si>
  <si>
    <t xml:space="preserve">Ausbreitunbgsgeschwindigkeit v = </t>
  </si>
  <si>
    <t xml:space="preserve">                 Frequenz f =</t>
  </si>
  <si>
    <r>
      <t xml:space="preserve">              Effektiv-Wert U</t>
    </r>
    <r>
      <rPr>
        <vertAlign val="subscript"/>
        <sz val="11"/>
        <color theme="1"/>
        <rFont val="Calibri"/>
        <family val="2"/>
        <scheme val="minor"/>
      </rPr>
      <t xml:space="preserve">eff </t>
    </r>
    <r>
      <rPr>
        <sz val="11"/>
        <color theme="1"/>
        <rFont val="Calibri"/>
        <family val="2"/>
        <scheme val="minor"/>
      </rPr>
      <t>=</t>
    </r>
  </si>
  <si>
    <t xml:space="preserve">Zeit t = </t>
  </si>
  <si>
    <t>u(t) = Û * sin(2 *  π * f * t)</t>
  </si>
  <si>
    <t>λ = v * T</t>
  </si>
  <si>
    <t>Linear</t>
  </si>
  <si>
    <t>Logarithmisch</t>
  </si>
  <si>
    <r>
      <t>Kreisfrequenz ω  [s</t>
    </r>
    <r>
      <rPr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  <scheme val="minor"/>
      </rPr>
      <t xml:space="preserve">]  = </t>
    </r>
  </si>
  <si>
    <t xml:space="preserve">Frequenz f [HZ] = </t>
  </si>
  <si>
    <r>
      <t>Blindwiderstand X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 xml:space="preserve"> [Ω] = </t>
    </r>
  </si>
  <si>
    <r>
      <t>Blindwiderstand X</t>
    </r>
    <r>
      <rPr>
        <vertAlign val="subscript"/>
        <sz val="11"/>
        <color theme="1"/>
        <rFont val="Calibri"/>
        <family val="2"/>
        <scheme val="minor"/>
      </rPr>
      <t xml:space="preserve">C </t>
    </r>
    <r>
      <rPr>
        <sz val="11"/>
        <color theme="1"/>
        <rFont val="Calibri"/>
        <family val="2"/>
        <scheme val="minor"/>
      </rPr>
      <t xml:space="preserve">[Ω] = </t>
    </r>
  </si>
  <si>
    <r>
      <t>Scheinwiderstand Z</t>
    </r>
    <r>
      <rPr>
        <vertAlign val="subscript"/>
        <sz val="11"/>
        <color theme="1"/>
        <rFont val="Calibri"/>
        <family val="2"/>
        <scheme val="minor"/>
      </rPr>
      <t>RL</t>
    </r>
    <r>
      <rPr>
        <sz val="11"/>
        <color theme="1"/>
        <rFont val="Calibri"/>
        <family val="2"/>
        <scheme val="minor"/>
      </rPr>
      <t xml:space="preserve"> [Ω] = </t>
    </r>
  </si>
  <si>
    <r>
      <t>Scheinwiderstand Z</t>
    </r>
    <r>
      <rPr>
        <vertAlign val="subscript"/>
        <sz val="11"/>
        <color theme="1"/>
        <rFont val="Calibri"/>
        <family val="2"/>
        <scheme val="minor"/>
      </rPr>
      <t>RC</t>
    </r>
    <r>
      <rPr>
        <sz val="11"/>
        <color theme="1"/>
        <rFont val="Calibri"/>
        <family val="2"/>
        <scheme val="minor"/>
      </rPr>
      <t xml:space="preserve"> [Ω] = </t>
    </r>
  </si>
  <si>
    <r>
      <t>Tiefpass mit C: U</t>
    </r>
    <r>
      <rPr>
        <vertAlign val="subscript"/>
        <sz val="11"/>
        <color theme="1"/>
        <rFont val="Calibri"/>
        <family val="2"/>
        <scheme val="minor"/>
      </rPr>
      <t>out</t>
    </r>
    <r>
      <rPr>
        <sz val="11"/>
        <color theme="1"/>
        <rFont val="Calibri"/>
        <family val="2"/>
        <scheme val="minor"/>
      </rPr>
      <t xml:space="preserve"> / U</t>
    </r>
    <r>
      <rPr>
        <vertAlign val="subscript"/>
        <sz val="11"/>
        <color theme="1"/>
        <rFont val="Calibri"/>
        <family val="2"/>
        <scheme val="minor"/>
      </rPr>
      <t>in</t>
    </r>
    <r>
      <rPr>
        <sz val="11"/>
        <color theme="1"/>
        <rFont val="Calibri"/>
        <family val="2"/>
        <scheme val="minor"/>
      </rPr>
      <t xml:space="preserve"> (Frequenzgang)</t>
    </r>
  </si>
  <si>
    <r>
      <t>Hochpass mit L: U</t>
    </r>
    <r>
      <rPr>
        <vertAlign val="subscript"/>
        <sz val="11"/>
        <color theme="1"/>
        <rFont val="Calibri"/>
        <family val="2"/>
        <scheme val="minor"/>
      </rPr>
      <t>out</t>
    </r>
    <r>
      <rPr>
        <sz val="11"/>
        <color theme="1"/>
        <rFont val="Calibri"/>
        <family val="2"/>
        <scheme val="minor"/>
      </rPr>
      <t xml:space="preserve"> / U</t>
    </r>
    <r>
      <rPr>
        <vertAlign val="subscript"/>
        <sz val="11"/>
        <color theme="1"/>
        <rFont val="Calibri"/>
        <family val="2"/>
        <scheme val="minor"/>
      </rPr>
      <t>in</t>
    </r>
    <r>
      <rPr>
        <sz val="11"/>
        <color theme="1"/>
        <rFont val="Calibri"/>
        <family val="2"/>
        <scheme val="minor"/>
      </rPr>
      <t xml:space="preserve"> (Frequenzgang)</t>
    </r>
  </si>
  <si>
    <t>Grenzfrequenz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</si>
</sst>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64" formatCode="#,##0.00000000"/>
    <numFmt numFmtId="165" formatCode="#,##0.000000000"/>
    <numFmt numFmtId="166" formatCode="#,##0.0000000"/>
    <numFmt numFmtId="167" formatCode="dd/mm"/>
    <numFmt numFmtId="168" formatCode="ddd\ dd/mm/yyyy"/>
    <numFmt numFmtId="169" formatCode="0.0000"/>
    <numFmt numFmtId="170" formatCode="0.00000"/>
    <numFmt numFmtId="171" formatCode="0.0"/>
    <numFmt numFmtId="172" formatCode="#,##0.0"/>
    <numFmt numFmtId="173" formatCode="0.000"/>
    <numFmt numFmtId="174" formatCode="[hh]:mm:ss"/>
    <numFmt numFmtId="175" formatCode="0.0%"/>
    <numFmt numFmtId="176" formatCode="#,##0.00_ ;[Red]\-#,##0.00\ "/>
    <numFmt numFmtId="177" formatCode="#,##0.0000"/>
  </numFmts>
  <fonts count="11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8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20"/>
      <color rgb="FFFF0000"/>
      <name val="Calibri"/>
      <family val="2"/>
      <scheme val="minor"/>
    </font>
    <font>
      <sz val="11"/>
      <color rgb="FFFFC000"/>
      <name val="Calibri"/>
      <family val="2"/>
      <scheme val="minor"/>
    </font>
    <font>
      <sz val="20"/>
      <color rgb="FFFFC000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b/>
      <u/>
      <sz val="18"/>
      <color theme="1"/>
      <name val="Calibri"/>
      <family val="2"/>
      <scheme val="minor"/>
    </font>
    <font>
      <u/>
      <sz val="16"/>
      <color theme="1"/>
      <name val="Calibri"/>
      <family val="2"/>
      <scheme val="minor"/>
    </font>
    <font>
      <b/>
      <sz val="14"/>
      <color rgb="FFFFC000"/>
      <name val="Calibri"/>
      <family val="2"/>
      <scheme val="minor"/>
    </font>
    <font>
      <b/>
      <vertAlign val="subscript"/>
      <sz val="14"/>
      <color rgb="FFFFC000"/>
      <name val="Calibri"/>
      <family val="2"/>
      <scheme val="minor"/>
    </font>
    <font>
      <b/>
      <sz val="14"/>
      <color theme="5" tint="-0.249977111117893"/>
      <name val="Calibri"/>
      <family val="2"/>
      <scheme val="minor"/>
    </font>
    <font>
      <b/>
      <vertAlign val="superscript"/>
      <sz val="11"/>
      <color theme="5" tint="-0.249977111117893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  <font>
      <b/>
      <vertAlign val="subscript"/>
      <sz val="11"/>
      <color theme="5" tint="-0.249977111117893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vertAlign val="superscript"/>
      <sz val="11"/>
      <color theme="5" tint="-0.249977111117893"/>
      <name val="Calibri"/>
      <family val="2"/>
      <scheme val="minor"/>
    </font>
    <font>
      <vertAlign val="superscript"/>
      <sz val="11"/>
      <color rgb="FFC00000"/>
      <name val="Calibri"/>
      <family val="2"/>
      <scheme val="minor"/>
    </font>
    <font>
      <sz val="11"/>
      <color rgb="FFC00000"/>
      <name val="Calibri"/>
      <family val="2"/>
      <scheme val="minor"/>
    </font>
    <font>
      <sz val="9"/>
      <color indexed="81"/>
      <name val="Segoe UI"/>
      <family val="2"/>
    </font>
    <font>
      <b/>
      <sz val="16"/>
      <color theme="1"/>
      <name val="Calibri"/>
      <family val="2"/>
      <scheme val="minor"/>
    </font>
    <font>
      <b/>
      <u/>
      <sz val="20"/>
      <color theme="1"/>
      <name val="Calibri"/>
      <family val="2"/>
      <scheme val="minor"/>
    </font>
    <font>
      <sz val="11"/>
      <color theme="1"/>
      <name val="Aptos Narrow"/>
      <family val="2"/>
    </font>
    <font>
      <vertAlign val="subscript"/>
      <sz val="11"/>
      <color theme="1"/>
      <name val="Aptos Narrow"/>
      <family val="2"/>
    </font>
    <font>
      <vertAlign val="superscript"/>
      <sz val="11"/>
      <color theme="1"/>
      <name val="Aptos Narrow"/>
      <family val="2"/>
    </font>
    <font>
      <b/>
      <u/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9.35"/>
      <color theme="1"/>
      <name val="Calibri"/>
      <family val="2"/>
    </font>
    <font>
      <sz val="11"/>
      <color theme="1" tint="4.9989318521683403E-2"/>
      <name val="Calibri"/>
      <family val="2"/>
      <scheme val="minor"/>
    </font>
    <font>
      <sz val="11"/>
      <color theme="1"/>
      <name val="Calibri"/>
      <family val="2"/>
    </font>
    <font>
      <sz val="9.35"/>
      <color theme="1"/>
      <name val="Aptos Narrow"/>
      <family val="2"/>
    </font>
    <font>
      <b/>
      <u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vertAlign val="subscript"/>
      <sz val="18"/>
      <color theme="1"/>
      <name val="Calibri"/>
      <family val="2"/>
      <scheme val="minor"/>
    </font>
    <font>
      <vertAlign val="subscript"/>
      <sz val="20"/>
      <color theme="1"/>
      <name val="Calibri"/>
      <family val="2"/>
      <scheme val="minor"/>
    </font>
    <font>
      <vertAlign val="subscript"/>
      <sz val="20"/>
      <color rgb="FFFF0000"/>
      <name val="Calibri"/>
      <family val="2"/>
      <scheme val="minor"/>
    </font>
    <font>
      <sz val="20"/>
      <color rgb="FF00B0F0"/>
      <name val="Calibri"/>
      <family val="2"/>
      <scheme val="minor"/>
    </font>
    <font>
      <vertAlign val="subscript"/>
      <sz val="20"/>
      <color rgb="FF00B0F0"/>
      <name val="Calibri"/>
      <family val="2"/>
      <scheme val="minor"/>
    </font>
    <font>
      <sz val="20"/>
      <color theme="0"/>
      <name val="Calibri"/>
      <family val="2"/>
      <scheme val="minor"/>
    </font>
    <font>
      <sz val="22"/>
      <color theme="1"/>
      <name val="Calibri"/>
      <family val="2"/>
      <scheme val="minor"/>
    </font>
    <font>
      <vertAlign val="subscript"/>
      <sz val="22"/>
      <color theme="1"/>
      <name val="Calibri"/>
      <family val="2"/>
      <scheme val="minor"/>
    </font>
    <font>
      <sz val="22"/>
      <color rgb="FF00B0F0"/>
      <name val="Calibri"/>
      <family val="2"/>
      <scheme val="minor"/>
    </font>
    <font>
      <vertAlign val="subscript"/>
      <sz val="22"/>
      <color rgb="FF00B0F0"/>
      <name val="Calibri"/>
      <family val="2"/>
      <scheme val="minor"/>
    </font>
    <font>
      <sz val="22"/>
      <color rgb="FFFF0000"/>
      <name val="Calibri"/>
      <family val="2"/>
      <scheme val="minor"/>
    </font>
    <font>
      <vertAlign val="subscript"/>
      <sz val="22"/>
      <color rgb="FFFF0000"/>
      <name val="Calibri"/>
      <family val="2"/>
      <scheme val="minor"/>
    </font>
    <font>
      <sz val="22"/>
      <color theme="0"/>
      <name val="Calibri"/>
      <family val="2"/>
      <scheme val="minor"/>
    </font>
    <font>
      <sz val="12"/>
      <color rgb="FF00B0F0"/>
      <name val="Calibri"/>
      <family val="2"/>
      <scheme val="minor"/>
    </font>
    <font>
      <sz val="16"/>
      <color theme="1"/>
      <name val="Calibri"/>
      <family val="2"/>
      <scheme val="minor"/>
    </font>
    <font>
      <vertAlign val="subscript"/>
      <sz val="16"/>
      <color theme="1"/>
      <name val="Calibri"/>
      <family val="2"/>
      <scheme val="minor"/>
    </font>
    <font>
      <sz val="16"/>
      <color rgb="FF00B0F0"/>
      <name val="Calibri"/>
      <family val="2"/>
      <scheme val="minor"/>
    </font>
    <font>
      <vertAlign val="subscript"/>
      <sz val="16"/>
      <color rgb="FF00B0F0"/>
      <name val="Calibri"/>
      <family val="2"/>
      <scheme val="minor"/>
    </font>
    <font>
      <sz val="12"/>
      <color rgb="FFFF0000"/>
      <name val="Calibri"/>
      <family val="2"/>
      <scheme val="minor"/>
    </font>
    <font>
      <sz val="20"/>
      <color theme="1" tint="4.9989318521683403E-2"/>
      <name val="Calibri"/>
      <family val="2"/>
      <scheme val="minor"/>
    </font>
    <font>
      <vertAlign val="subscript"/>
      <sz val="20"/>
      <color theme="1" tint="4.9989318521683403E-2"/>
      <name val="Calibri"/>
      <family val="2"/>
      <scheme val="minor"/>
    </font>
    <font>
      <sz val="11"/>
      <color rgb="FF00B0F0"/>
      <name val="Calibri"/>
      <family val="2"/>
      <scheme val="minor"/>
    </font>
    <font>
      <sz val="16"/>
      <color theme="1" tint="4.9989318521683403E-2"/>
      <name val="Calibri"/>
      <family val="2"/>
      <scheme val="minor"/>
    </font>
    <font>
      <vertAlign val="subscript"/>
      <sz val="16"/>
      <color theme="1" tint="4.9989318521683403E-2"/>
      <name val="Calibri"/>
      <family val="2"/>
      <scheme val="minor"/>
    </font>
    <font>
      <sz val="12"/>
      <color theme="1" tint="4.9989318521683403E-2"/>
      <name val="Calibri"/>
      <family val="2"/>
      <scheme val="minor"/>
    </font>
    <font>
      <sz val="9"/>
      <color theme="1"/>
      <name val="Calibri"/>
      <family val="2"/>
      <scheme val="minor"/>
    </font>
    <font>
      <vertAlign val="subscript"/>
      <sz val="9"/>
      <color theme="1"/>
      <name val="Calibri"/>
      <family val="2"/>
      <scheme val="minor"/>
    </font>
    <font>
      <vertAlign val="subscript"/>
      <sz val="8"/>
      <color theme="1"/>
      <name val="Calibri"/>
      <family val="2"/>
      <scheme val="minor"/>
    </font>
    <font>
      <b/>
      <sz val="9"/>
      <color indexed="81"/>
      <name val="Segoe UI"/>
      <family val="2"/>
    </font>
    <font>
      <sz val="11"/>
      <color theme="0" tint="-0.14999847407452621"/>
      <name val="Calibri"/>
      <family val="2"/>
      <scheme val="minor"/>
    </font>
    <font>
      <vertAlign val="subscript"/>
      <sz val="11"/>
      <color theme="0" tint="-0.14999847407452621"/>
      <name val="Calibri"/>
      <family val="2"/>
      <scheme val="minor"/>
    </font>
    <font>
      <sz val="11"/>
      <color theme="0" tint="-0.14996795556505021"/>
      <name val="Calibri"/>
      <family val="2"/>
      <scheme val="minor"/>
    </font>
    <font>
      <sz val="11"/>
      <color theme="1"/>
      <name val="Consolas"/>
      <family val="3"/>
    </font>
    <font>
      <vertAlign val="subscript"/>
      <sz val="11"/>
      <color theme="1"/>
      <name val="Calibri"/>
      <family val="2"/>
    </font>
    <font>
      <sz val="14"/>
      <color rgb="FF00B0F0"/>
      <name val="Calibri"/>
      <family val="2"/>
      <scheme val="minor"/>
    </font>
    <font>
      <vertAlign val="subscript"/>
      <sz val="14"/>
      <color rgb="FF00B0F0"/>
      <name val="Calibri"/>
      <family val="2"/>
      <scheme val="minor"/>
    </font>
    <font>
      <sz val="14"/>
      <color rgb="FFFF0000"/>
      <name val="Calibri"/>
      <family val="2"/>
      <scheme val="minor"/>
    </font>
    <font>
      <vertAlign val="subscript"/>
      <sz val="14"/>
      <color rgb="FFFF0000"/>
      <name val="Calibri"/>
      <family val="2"/>
      <scheme val="minor"/>
    </font>
    <font>
      <sz val="16"/>
      <color rgb="FFFF0000"/>
      <name val="Calibri"/>
      <family val="2"/>
      <scheme val="minor"/>
    </font>
    <font>
      <vertAlign val="subscript"/>
      <sz val="16"/>
      <color rgb="FFFF0000"/>
      <name val="Calibri"/>
      <family val="2"/>
      <scheme val="minor"/>
    </font>
    <font>
      <sz val="14"/>
      <color rgb="FFFFC000"/>
      <name val="Calibri"/>
      <family val="2"/>
      <scheme val="minor"/>
    </font>
    <font>
      <vertAlign val="subscript"/>
      <sz val="14"/>
      <color rgb="FFFFC000"/>
      <name val="Calibri"/>
      <family val="2"/>
      <scheme val="minor"/>
    </font>
    <font>
      <sz val="16"/>
      <color rgb="FFFFC000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9"/>
      <color theme="0"/>
      <name val="Calibri"/>
      <family val="2"/>
      <scheme val="minor"/>
    </font>
    <font>
      <vertAlign val="subscript"/>
      <sz val="9"/>
      <color theme="0"/>
      <name val="Calibri"/>
      <family val="2"/>
      <scheme val="minor"/>
    </font>
    <font>
      <vertAlign val="subscript"/>
      <sz val="11"/>
      <color rgb="FFFF0000"/>
      <name val="Calibri"/>
      <family val="2"/>
      <scheme val="minor"/>
    </font>
    <font>
      <vertAlign val="subscript"/>
      <sz val="11"/>
      <color rgb="FF00B0F0"/>
      <name val="Calibri"/>
      <family val="2"/>
      <scheme val="minor"/>
    </font>
    <font>
      <vertAlign val="subscript"/>
      <sz val="11"/>
      <color rgb="FFFFC000"/>
      <name val="Calibri"/>
      <family val="2"/>
      <scheme val="minor"/>
    </font>
    <font>
      <sz val="11"/>
      <color rgb="FF7030A0"/>
      <name val="Calibri"/>
      <family val="2"/>
      <scheme val="minor"/>
    </font>
    <font>
      <sz val="14"/>
      <color rgb="FF7030A0"/>
      <name val="Calibri"/>
      <family val="2"/>
      <scheme val="minor"/>
    </font>
    <font>
      <sz val="14"/>
      <color rgb="FFC00000"/>
      <name val="Calibri"/>
      <family val="2"/>
      <scheme val="minor"/>
    </font>
    <font>
      <sz val="14"/>
      <color theme="7" tint="-0.499984740745262"/>
      <name val="Calibri"/>
      <family val="2"/>
      <scheme val="minor"/>
    </font>
    <font>
      <vertAlign val="subscript"/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7030A0"/>
      <name val="Calibri"/>
      <family val="2"/>
      <scheme val="minor"/>
    </font>
    <font>
      <b/>
      <vertAlign val="subscript"/>
      <sz val="14"/>
      <color rgb="FF7030A0"/>
      <name val="Calibri"/>
      <family val="2"/>
      <scheme val="minor"/>
    </font>
    <font>
      <sz val="14"/>
      <color theme="1"/>
      <name val="Aptos Narrow"/>
      <family val="2"/>
    </font>
    <font>
      <sz val="16"/>
      <color theme="1"/>
      <name val="Aptos Narrow"/>
      <family val="2"/>
    </font>
    <font>
      <b/>
      <sz val="20"/>
      <color theme="1"/>
      <name val="Aptos Narrow"/>
      <family val="2"/>
    </font>
    <font>
      <b/>
      <sz val="20"/>
      <color theme="1"/>
      <name val="Calibri"/>
      <family val="2"/>
    </font>
    <font>
      <sz val="18"/>
      <color rgb="FFFF0000"/>
      <name val="Calibri"/>
      <family val="2"/>
      <scheme val="minor"/>
    </font>
    <font>
      <vertAlign val="superscript"/>
      <sz val="14"/>
      <color theme="1"/>
      <name val="Calibri"/>
      <family val="2"/>
      <scheme val="minor"/>
    </font>
    <font>
      <b/>
      <sz val="20"/>
      <color rgb="FF7030A0"/>
      <name val="Calibri"/>
      <family val="2"/>
      <scheme val="minor"/>
    </font>
    <font>
      <b/>
      <vertAlign val="subscript"/>
      <sz val="20"/>
      <color rgb="FF7030A0"/>
      <name val="Calibri"/>
      <family val="2"/>
      <scheme val="minor"/>
    </font>
    <font>
      <b/>
      <sz val="20"/>
      <color rgb="FFFFC000"/>
      <name val="Calibri"/>
      <family val="2"/>
      <scheme val="minor"/>
    </font>
    <font>
      <b/>
      <vertAlign val="subscript"/>
      <sz val="20"/>
      <color rgb="FFFFC000"/>
      <name val="Calibri"/>
      <family val="2"/>
      <scheme val="minor"/>
    </font>
    <font>
      <b/>
      <vertAlign val="superscript"/>
      <sz val="20"/>
      <color rgb="FFFFC000"/>
      <name val="Calibri"/>
      <family val="2"/>
      <scheme val="minor"/>
    </font>
    <font>
      <sz val="14"/>
      <color rgb="FF00B050"/>
      <name val="Calibri"/>
      <family val="2"/>
      <scheme val="minor"/>
    </font>
    <font>
      <vertAlign val="superscript"/>
      <sz val="16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vertAlign val="superscript"/>
      <sz val="11"/>
      <color theme="1" tint="4.9989318521683403E-2"/>
      <name val="Calibri"/>
      <family val="2"/>
      <scheme val="minor"/>
    </font>
    <font>
      <sz val="11"/>
      <color rgb="FF0070C0"/>
      <name val="Calibri"/>
      <family val="2"/>
      <scheme val="minor"/>
    </font>
    <font>
      <sz val="8"/>
      <color rgb="FF00B0F0"/>
      <name val="Calibri"/>
      <family val="2"/>
      <scheme val="minor"/>
    </font>
    <font>
      <sz val="8"/>
      <color rgb="FFFF0000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4.9989318521683403E-2"/>
        <bgColor indexed="64"/>
      </patternFill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8" fillId="0" borderId="0" applyNumberFormat="0" applyFill="0" applyBorder="0" applyAlignment="0" applyProtection="0"/>
  </cellStyleXfs>
  <cellXfs count="495">
    <xf numFmtId="0" fontId="0" fillId="0" borderId="0" xfId="0"/>
    <xf numFmtId="0" fontId="0" fillId="0" borderId="0" xfId="0" applyAlignment="1">
      <alignment horizontal="right"/>
    </xf>
    <xf numFmtId="0" fontId="0" fillId="2" borderId="0" xfId="0" applyFill="1"/>
    <xf numFmtId="0" fontId="0" fillId="3" borderId="0" xfId="0" applyFill="1"/>
    <xf numFmtId="0" fontId="0" fillId="2" borderId="2" xfId="0" applyFill="1" applyBorder="1"/>
    <xf numFmtId="0" fontId="0" fillId="0" borderId="2" xfId="0" applyBorder="1"/>
    <xf numFmtId="0" fontId="1" fillId="0" borderId="0" xfId="0" applyFont="1" applyAlignment="1">
      <alignment horizontal="right"/>
    </xf>
    <xf numFmtId="0" fontId="0" fillId="2" borderId="9" xfId="0" applyFill="1" applyBorder="1"/>
    <xf numFmtId="0" fontId="0" fillId="0" borderId="2" xfId="0" applyBorder="1" applyAlignment="1">
      <alignment horizontal="right"/>
    </xf>
    <xf numFmtId="0" fontId="9" fillId="0" borderId="0" xfId="0" applyFont="1"/>
    <xf numFmtId="0" fontId="0" fillId="2" borderId="19" xfId="0" applyFill="1" applyBorder="1"/>
    <xf numFmtId="0" fontId="0" fillId="2" borderId="20" xfId="0" applyFill="1" applyBorder="1"/>
    <xf numFmtId="0" fontId="0" fillId="4" borderId="2" xfId="0" applyFill="1" applyBorder="1"/>
    <xf numFmtId="0" fontId="0" fillId="4" borderId="18" xfId="0" applyFill="1" applyBorder="1" applyAlignment="1">
      <alignment horizontal="center"/>
    </xf>
    <xf numFmtId="0" fontId="0" fillId="0" borderId="19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7" fillId="0" borderId="11" xfId="0" applyFont="1" applyBorder="1" applyAlignment="1">
      <alignment horizontal="center" vertical="center" wrapText="1"/>
    </xf>
    <xf numFmtId="0" fontId="0" fillId="0" borderId="30" xfId="0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2" fontId="0" fillId="0" borderId="0" xfId="0" applyNumberFormat="1"/>
    <xf numFmtId="0" fontId="0" fillId="5" borderId="2" xfId="0" applyFill="1" applyBorder="1" applyAlignment="1">
      <alignment horizontal="right" vertical="center"/>
    </xf>
    <xf numFmtId="0" fontId="0" fillId="0" borderId="0" xfId="0" applyAlignment="1">
      <alignment horizontal="right" vertical="center"/>
    </xf>
    <xf numFmtId="2" fontId="0" fillId="2" borderId="2" xfId="0" applyNumberFormat="1" applyFill="1" applyBorder="1" applyAlignment="1">
      <alignment horizontal="center"/>
    </xf>
    <xf numFmtId="0" fontId="0" fillId="0" borderId="36" xfId="0" applyBorder="1" applyAlignment="1">
      <alignment horizontal="right" vertical="center"/>
    </xf>
    <xf numFmtId="0" fontId="23" fillId="0" borderId="0" xfId="0" applyFont="1"/>
    <xf numFmtId="0" fontId="0" fillId="0" borderId="27" xfId="0" applyBorder="1" applyAlignment="1">
      <alignment horizontal="center" vertical="center"/>
    </xf>
    <xf numFmtId="0" fontId="0" fillId="2" borderId="36" xfId="0" applyFill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0" fillId="9" borderId="15" xfId="0" applyFill="1" applyBorder="1" applyAlignment="1">
      <alignment horizontal="center" vertical="center"/>
    </xf>
    <xf numFmtId="0" fontId="0" fillId="8" borderId="15" xfId="0" applyFill="1" applyBorder="1" applyAlignment="1">
      <alignment horizontal="center" vertical="center"/>
    </xf>
    <xf numFmtId="0" fontId="0" fillId="7" borderId="15" xfId="0" applyFill="1" applyBorder="1" applyAlignment="1">
      <alignment horizontal="center" vertical="center"/>
    </xf>
    <xf numFmtId="0" fontId="0" fillId="6" borderId="15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2" fontId="0" fillId="0" borderId="15" xfId="0" applyNumberFormat="1" applyBorder="1"/>
    <xf numFmtId="2" fontId="0" fillId="0" borderId="2" xfId="0" applyNumberFormat="1" applyBorder="1"/>
    <xf numFmtId="2" fontId="0" fillId="0" borderId="0" xfId="0" applyNumberFormat="1" applyAlignment="1">
      <alignment horizontal="center"/>
    </xf>
    <xf numFmtId="0" fontId="0" fillId="4" borderId="2" xfId="0" applyFill="1" applyBorder="1" applyAlignment="1">
      <alignment horizontal="right" vertical="center"/>
    </xf>
    <xf numFmtId="0" fontId="0" fillId="9" borderId="2" xfId="0" applyFill="1" applyBorder="1" applyAlignment="1">
      <alignment horizontal="right" vertical="center"/>
    </xf>
    <xf numFmtId="0" fontId="0" fillId="4" borderId="2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" fontId="0" fillId="10" borderId="15" xfId="0" applyNumberFormat="1" applyFill="1" applyBorder="1" applyAlignment="1">
      <alignment vertical="center"/>
    </xf>
    <xf numFmtId="2" fontId="0" fillId="10" borderId="15" xfId="0" applyNumberFormat="1" applyFill="1" applyBorder="1" applyAlignment="1">
      <alignment horizontal="center" vertical="center"/>
    </xf>
    <xf numFmtId="2" fontId="0" fillId="9" borderId="15" xfId="0" applyNumberFormat="1" applyFill="1" applyBorder="1" applyAlignment="1">
      <alignment horizontal="center" vertical="center"/>
    </xf>
    <xf numFmtId="2" fontId="0" fillId="8" borderId="15" xfId="0" applyNumberFormat="1" applyFill="1" applyBorder="1" applyAlignment="1">
      <alignment horizontal="center" vertical="center"/>
    </xf>
    <xf numFmtId="2" fontId="0" fillId="7" borderId="15" xfId="0" applyNumberFormat="1" applyFill="1" applyBorder="1" applyAlignment="1">
      <alignment horizontal="center" vertical="center"/>
    </xf>
    <xf numFmtId="2" fontId="0" fillId="6" borderId="15" xfId="0" applyNumberFormat="1" applyFill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10" borderId="2" xfId="0" applyFill="1" applyBorder="1" applyAlignment="1">
      <alignment horizontal="right" vertical="center"/>
    </xf>
    <xf numFmtId="2" fontId="0" fillId="11" borderId="2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0" fontId="0" fillId="4" borderId="2" xfId="0" applyFill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24" fillId="0" borderId="0" xfId="0" applyFont="1" applyAlignment="1">
      <alignment horizontal="left" vertical="center"/>
    </xf>
    <xf numFmtId="0" fontId="0" fillId="4" borderId="1" xfId="0" applyFill="1" applyBorder="1" applyAlignment="1">
      <alignment horizontal="center"/>
    </xf>
    <xf numFmtId="0" fontId="0" fillId="0" borderId="36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0" xfId="0" quotePrefix="1"/>
    <xf numFmtId="0" fontId="0" fillId="2" borderId="0" xfId="0" applyFill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27" fillId="0" borderId="0" xfId="0" applyFont="1"/>
    <xf numFmtId="14" fontId="0" fillId="0" borderId="0" xfId="0" applyNumberFormat="1"/>
    <xf numFmtId="0" fontId="28" fillId="0" borderId="0" xfId="1"/>
    <xf numFmtId="0" fontId="29" fillId="0" borderId="0" xfId="0" applyFont="1"/>
    <xf numFmtId="0" fontId="0" fillId="12" borderId="2" xfId="0" applyFill="1" applyBorder="1"/>
    <xf numFmtId="4" fontId="0" fillId="0" borderId="2" xfId="0" applyNumberFormat="1" applyBorder="1"/>
    <xf numFmtId="4" fontId="0" fillId="2" borderId="2" xfId="0" applyNumberFormat="1" applyFill="1" applyBorder="1"/>
    <xf numFmtId="164" fontId="0" fillId="3" borderId="2" xfId="0" applyNumberFormat="1" applyFill="1" applyBorder="1"/>
    <xf numFmtId="0" fontId="0" fillId="3" borderId="2" xfId="0" applyFill="1" applyBorder="1"/>
    <xf numFmtId="0" fontId="31" fillId="5" borderId="2" xfId="0" applyFont="1" applyFill="1" applyBorder="1" applyAlignment="1">
      <alignment horizontal="right" vertical="center"/>
    </xf>
    <xf numFmtId="2" fontId="31" fillId="5" borderId="15" xfId="0" applyNumberFormat="1" applyFont="1" applyFill="1" applyBorder="1" applyAlignment="1">
      <alignment horizontal="center" vertical="center"/>
    </xf>
    <xf numFmtId="0" fontId="31" fillId="5" borderId="15" xfId="0" applyFont="1" applyFill="1" applyBorder="1" applyAlignment="1">
      <alignment horizontal="center" vertical="center"/>
    </xf>
    <xf numFmtId="0" fontId="0" fillId="13" borderId="2" xfId="0" applyFill="1" applyBorder="1" applyAlignment="1">
      <alignment horizontal="right" vertical="center"/>
    </xf>
    <xf numFmtId="2" fontId="0" fillId="13" borderId="2" xfId="0" applyNumberFormat="1" applyFill="1" applyBorder="1" applyAlignment="1">
      <alignment horizontal="center" vertical="center"/>
    </xf>
    <xf numFmtId="0" fontId="0" fillId="13" borderId="2" xfId="0" applyFill="1" applyBorder="1" applyAlignment="1">
      <alignment horizontal="center" vertical="center"/>
    </xf>
    <xf numFmtId="165" fontId="0" fillId="3" borderId="2" xfId="0" applyNumberFormat="1" applyFill="1" applyBorder="1"/>
    <xf numFmtId="0" fontId="32" fillId="12" borderId="2" xfId="0" applyFont="1" applyFill="1" applyBorder="1"/>
    <xf numFmtId="0" fontId="30" fillId="12" borderId="2" xfId="0" applyFont="1" applyFill="1" applyBorder="1"/>
    <xf numFmtId="166" fontId="0" fillId="3" borderId="2" xfId="0" applyNumberFormat="1" applyFill="1" applyBorder="1"/>
    <xf numFmtId="4" fontId="0" fillId="5" borderId="2" xfId="0" applyNumberFormat="1" applyFill="1" applyBorder="1"/>
    <xf numFmtId="0" fontId="28" fillId="0" borderId="0" xfId="1" applyFill="1"/>
    <xf numFmtId="0" fontId="34" fillId="0" borderId="0" xfId="0" applyFont="1"/>
    <xf numFmtId="168" fontId="35" fillId="0" borderId="0" xfId="0" applyNumberFormat="1" applyFont="1" applyAlignment="1">
      <alignment horizontal="left" vertical="center"/>
    </xf>
    <xf numFmtId="0" fontId="0" fillId="10" borderId="2" xfId="0" applyFill="1" applyBorder="1"/>
    <xf numFmtId="167" fontId="0" fillId="0" borderId="2" xfId="0" applyNumberFormat="1" applyBorder="1"/>
    <xf numFmtId="1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14" fontId="0" fillId="2" borderId="2" xfId="0" applyNumberFormat="1" applyFill="1" applyBorder="1" applyAlignment="1">
      <alignment horizontal="center"/>
    </xf>
    <xf numFmtId="168" fontId="0" fillId="0" borderId="2" xfId="0" applyNumberFormat="1" applyBorder="1"/>
    <xf numFmtId="0" fontId="0" fillId="10" borderId="2" xfId="0" applyFill="1" applyBorder="1" applyAlignment="1">
      <alignment horizontal="center" wrapText="1"/>
    </xf>
    <xf numFmtId="4" fontId="0" fillId="0" borderId="0" xfId="0" applyNumberFormat="1"/>
    <xf numFmtId="0" fontId="0" fillId="4" borderId="2" xfId="0" applyFill="1" applyBorder="1" applyAlignment="1">
      <alignment horizontal="center"/>
    </xf>
    <xf numFmtId="4" fontId="0" fillId="14" borderId="2" xfId="0" applyNumberFormat="1" applyFill="1" applyBorder="1"/>
    <xf numFmtId="4" fontId="0" fillId="15" borderId="2" xfId="0" applyNumberFormat="1" applyFill="1" applyBorder="1"/>
    <xf numFmtId="0" fontId="0" fillId="10" borderId="2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12" borderId="2" xfId="0" applyFill="1" applyBorder="1" applyAlignment="1">
      <alignment horizontal="center"/>
    </xf>
    <xf numFmtId="0" fontId="0" fillId="12" borderId="2" xfId="0" applyFill="1" applyBorder="1" applyAlignment="1">
      <alignment horizontal="center" vertical="center"/>
    </xf>
    <xf numFmtId="0" fontId="38" fillId="0" borderId="2" xfId="0" applyFont="1" applyBorder="1"/>
    <xf numFmtId="4" fontId="38" fillId="0" borderId="2" xfId="0" applyNumberFormat="1" applyFont="1" applyBorder="1"/>
    <xf numFmtId="0" fontId="0" fillId="0" borderId="2" xfId="0" quotePrefix="1" applyBorder="1"/>
    <xf numFmtId="4" fontId="0" fillId="10" borderId="2" xfId="0" applyNumberFormat="1" applyFill="1" applyBorder="1"/>
    <xf numFmtId="0" fontId="0" fillId="0" borderId="2" xfId="0" applyBorder="1" applyAlignment="1">
      <alignment vertical="center" wrapText="1"/>
    </xf>
    <xf numFmtId="0" fontId="36" fillId="4" borderId="2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left"/>
    </xf>
    <xf numFmtId="4" fontId="0" fillId="0" borderId="2" xfId="0" applyNumberFormat="1" applyBorder="1" applyAlignment="1">
      <alignment horizontal="left"/>
    </xf>
    <xf numFmtId="0" fontId="0" fillId="2" borderId="36" xfId="0" applyFill="1" applyBorder="1" applyAlignment="1">
      <alignment horizontal="left"/>
    </xf>
    <xf numFmtId="0" fontId="0" fillId="0" borderId="2" xfId="0" applyBorder="1" applyAlignment="1">
      <alignment horizontal="right" vertical="center" wrapText="1"/>
    </xf>
    <xf numFmtId="0" fontId="0" fillId="0" borderId="36" xfId="0" applyBorder="1"/>
    <xf numFmtId="0" fontId="24" fillId="0" borderId="0" xfId="0" applyFont="1"/>
    <xf numFmtId="0" fontId="39" fillId="0" borderId="0" xfId="0" applyFont="1" applyAlignment="1">
      <alignment horizontal="right"/>
    </xf>
    <xf numFmtId="0" fontId="40" fillId="0" borderId="0" xfId="0" applyFont="1" applyAlignment="1">
      <alignment horizontal="right"/>
    </xf>
    <xf numFmtId="0" fontId="40" fillId="0" borderId="0" xfId="0" applyFont="1"/>
    <xf numFmtId="0" fontId="40" fillId="2" borderId="2" xfId="0" applyFont="1" applyFill="1" applyBorder="1"/>
    <xf numFmtId="0" fontId="2" fillId="0" borderId="2" xfId="0" applyFont="1" applyBorder="1" applyAlignment="1">
      <alignment horizontal="right"/>
    </xf>
    <xf numFmtId="0" fontId="2" fillId="0" borderId="2" xfId="0" applyFont="1" applyBorder="1"/>
    <xf numFmtId="0" fontId="3" fillId="0" borderId="2" xfId="0" applyFont="1" applyBorder="1" applyAlignment="1">
      <alignment horizontal="right"/>
    </xf>
    <xf numFmtId="0" fontId="3" fillId="0" borderId="2" xfId="0" applyFont="1" applyBorder="1"/>
    <xf numFmtId="0" fontId="4" fillId="0" borderId="2" xfId="0" applyFont="1" applyBorder="1" applyAlignment="1">
      <alignment horizontal="right"/>
    </xf>
    <xf numFmtId="0" fontId="3" fillId="0" borderId="0" xfId="0" applyFont="1"/>
    <xf numFmtId="0" fontId="3" fillId="0" borderId="0" xfId="0" applyFont="1" applyAlignment="1">
      <alignment horizontal="right"/>
    </xf>
    <xf numFmtId="0" fontId="3" fillId="0" borderId="16" xfId="0" applyFont="1" applyBorder="1" applyAlignment="1">
      <alignment horizontal="right"/>
    </xf>
    <xf numFmtId="0" fontId="47" fillId="0" borderId="2" xfId="0" applyFont="1" applyBorder="1" applyAlignment="1">
      <alignment horizontal="right"/>
    </xf>
    <xf numFmtId="0" fontId="47" fillId="0" borderId="0" xfId="0" applyFont="1"/>
    <xf numFmtId="0" fontId="47" fillId="0" borderId="0" xfId="0" applyFont="1" applyAlignment="1">
      <alignment horizontal="right"/>
    </xf>
    <xf numFmtId="0" fontId="47" fillId="0" borderId="16" xfId="0" applyFont="1" applyBorder="1" applyAlignment="1">
      <alignment horizontal="right"/>
    </xf>
    <xf numFmtId="0" fontId="40" fillId="0" borderId="2" xfId="0" quotePrefix="1" applyFont="1" applyBorder="1" applyAlignment="1">
      <alignment horizontal="center"/>
    </xf>
    <xf numFmtId="0" fontId="55" fillId="0" borderId="2" xfId="0" applyFont="1" applyBorder="1" applyAlignment="1">
      <alignment horizontal="right"/>
    </xf>
    <xf numFmtId="0" fontId="57" fillId="0" borderId="2" xfId="0" applyFont="1" applyBorder="1" applyAlignment="1">
      <alignment horizontal="right"/>
    </xf>
    <xf numFmtId="0" fontId="55" fillId="0" borderId="0" xfId="0" applyFont="1" applyAlignment="1">
      <alignment horizontal="right"/>
    </xf>
    <xf numFmtId="0" fontId="2" fillId="3" borderId="2" xfId="0" applyFont="1" applyFill="1" applyBorder="1" applyAlignment="1">
      <alignment horizontal="right"/>
    </xf>
    <xf numFmtId="0" fontId="40" fillId="3" borderId="2" xfId="0" quotePrefix="1" applyFont="1" applyFill="1" applyBorder="1" applyAlignment="1">
      <alignment horizontal="center"/>
    </xf>
    <xf numFmtId="0" fontId="2" fillId="3" borderId="2" xfId="0" applyFont="1" applyFill="1" applyBorder="1"/>
    <xf numFmtId="0" fontId="55" fillId="0" borderId="0" xfId="0" applyFont="1" applyAlignment="1">
      <alignment horizontal="left"/>
    </xf>
    <xf numFmtId="0" fontId="40" fillId="0" borderId="0" xfId="0" applyFont="1" applyAlignment="1">
      <alignment horizontal="left"/>
    </xf>
    <xf numFmtId="0" fontId="47" fillId="3" borderId="2" xfId="0" applyFont="1" applyFill="1" applyBorder="1" applyAlignment="1">
      <alignment horizontal="right"/>
    </xf>
    <xf numFmtId="0" fontId="47" fillId="3" borderId="2" xfId="0" applyFont="1" applyFill="1" applyBorder="1"/>
    <xf numFmtId="0" fontId="3" fillId="0" borderId="0" xfId="0" applyFont="1" applyAlignment="1">
      <alignment horizontal="left"/>
    </xf>
    <xf numFmtId="0" fontId="40" fillId="0" borderId="0" xfId="0" applyFont="1" applyAlignment="1">
      <alignment horizontal="center"/>
    </xf>
    <xf numFmtId="0" fontId="47" fillId="0" borderId="0" xfId="0" applyFont="1" applyAlignment="1">
      <alignment horizontal="center"/>
    </xf>
    <xf numFmtId="0" fontId="3" fillId="0" borderId="2" xfId="0" applyFont="1" applyBorder="1" applyAlignment="1">
      <alignment horizontal="center"/>
    </xf>
    <xf numFmtId="0" fontId="55" fillId="0" borderId="0" xfId="0" applyFont="1" applyAlignment="1">
      <alignment horizontal="center"/>
    </xf>
    <xf numFmtId="0" fontId="3" fillId="3" borderId="2" xfId="0" applyFont="1" applyFill="1" applyBorder="1" applyAlignment="1">
      <alignment horizontal="right"/>
    </xf>
    <xf numFmtId="0" fontId="3" fillId="3" borderId="2" xfId="0" applyFont="1" applyFill="1" applyBorder="1"/>
    <xf numFmtId="0" fontId="53" fillId="0" borderId="0" xfId="0" applyFont="1" applyAlignment="1">
      <alignment horizontal="center"/>
    </xf>
    <xf numFmtId="0" fontId="46" fillId="0" borderId="0" xfId="0" applyFont="1" applyAlignment="1">
      <alignment horizontal="center"/>
    </xf>
    <xf numFmtId="0" fontId="4" fillId="3" borderId="2" xfId="0" applyFont="1" applyFill="1" applyBorder="1" applyAlignment="1">
      <alignment horizontal="right"/>
    </xf>
    <xf numFmtId="0" fontId="4" fillId="3" borderId="2" xfId="0" applyFont="1" applyFill="1" applyBorder="1"/>
    <xf numFmtId="0" fontId="44" fillId="0" borderId="2" xfId="0" applyFont="1" applyBorder="1" applyAlignment="1">
      <alignment horizontal="right"/>
    </xf>
    <xf numFmtId="0" fontId="44" fillId="3" borderId="2" xfId="0" applyFont="1" applyFill="1" applyBorder="1" applyAlignment="1">
      <alignment horizontal="right"/>
    </xf>
    <xf numFmtId="0" fontId="44" fillId="3" borderId="2" xfId="0" applyFont="1" applyFill="1" applyBorder="1"/>
    <xf numFmtId="0" fontId="49" fillId="0" borderId="2" xfId="0" applyFont="1" applyBorder="1" applyAlignment="1">
      <alignment horizontal="right"/>
    </xf>
    <xf numFmtId="0" fontId="44" fillId="0" borderId="2" xfId="0" applyFont="1" applyBorder="1" applyAlignment="1">
      <alignment horizontal="center"/>
    </xf>
    <xf numFmtId="0" fontId="47" fillId="0" borderId="2" xfId="0" applyFont="1" applyBorder="1" applyAlignment="1">
      <alignment horizontal="center"/>
    </xf>
    <xf numFmtId="0" fontId="62" fillId="0" borderId="0" xfId="0" applyFont="1" applyAlignment="1">
      <alignment horizontal="right"/>
    </xf>
    <xf numFmtId="0" fontId="62" fillId="0" borderId="0" xfId="0" applyFont="1" applyAlignment="1">
      <alignment horizontal="center"/>
    </xf>
    <xf numFmtId="0" fontId="49" fillId="3" borderId="2" xfId="0" applyFont="1" applyFill="1" applyBorder="1" applyAlignment="1">
      <alignment horizontal="right"/>
    </xf>
    <xf numFmtId="0" fontId="49" fillId="3" borderId="2" xfId="0" applyFont="1" applyFill="1" applyBorder="1"/>
    <xf numFmtId="0" fontId="47" fillId="0" borderId="0" xfId="0" applyFont="1" applyAlignment="1">
      <alignment horizontal="left"/>
    </xf>
    <xf numFmtId="0" fontId="1" fillId="0" borderId="0" xfId="0" applyFont="1"/>
    <xf numFmtId="0" fontId="62" fillId="0" borderId="0" xfId="0" applyFont="1"/>
    <xf numFmtId="0" fontId="63" fillId="3" borderId="2" xfId="0" applyFont="1" applyFill="1" applyBorder="1" applyAlignment="1">
      <alignment horizontal="right"/>
    </xf>
    <xf numFmtId="0" fontId="65" fillId="3" borderId="2" xfId="0" quotePrefix="1" applyFont="1" applyFill="1" applyBorder="1" applyAlignment="1">
      <alignment horizontal="center"/>
    </xf>
    <xf numFmtId="0" fontId="65" fillId="3" borderId="2" xfId="0" applyFont="1" applyFill="1" applyBorder="1"/>
    <xf numFmtId="0" fontId="62" fillId="3" borderId="2" xfId="0" applyFont="1" applyFill="1" applyBorder="1" applyAlignment="1">
      <alignment horizontal="right"/>
    </xf>
    <xf numFmtId="0" fontId="3" fillId="0" borderId="0" xfId="0" applyFont="1" applyAlignment="1">
      <alignment horizontal="center"/>
    </xf>
    <xf numFmtId="0" fontId="40" fillId="0" borderId="2" xfId="0" applyFont="1" applyBorder="1" applyAlignment="1">
      <alignment horizontal="left"/>
    </xf>
    <xf numFmtId="0" fontId="65" fillId="3" borderId="2" xfId="0" applyFont="1" applyFill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3" borderId="2" xfId="0" applyFont="1" applyFill="1" applyBorder="1" applyAlignment="1">
      <alignment horizontal="left"/>
    </xf>
    <xf numFmtId="0" fontId="47" fillId="0" borderId="2" xfId="0" applyFont="1" applyBorder="1" applyAlignment="1">
      <alignment horizontal="left"/>
    </xf>
    <xf numFmtId="0" fontId="47" fillId="3" borderId="2" xfId="0" applyFont="1" applyFill="1" applyBorder="1" applyAlignment="1">
      <alignment horizontal="left"/>
    </xf>
    <xf numFmtId="0" fontId="3" fillId="0" borderId="2" xfId="0" applyFont="1" applyBorder="1" applyAlignment="1">
      <alignment horizontal="left"/>
    </xf>
    <xf numFmtId="0" fontId="3" fillId="3" borderId="2" xfId="0" applyFont="1" applyFill="1" applyBorder="1" applyAlignment="1">
      <alignment horizontal="left"/>
    </xf>
    <xf numFmtId="0" fontId="1" fillId="3" borderId="2" xfId="0" applyFont="1" applyFill="1" applyBorder="1"/>
    <xf numFmtId="0" fontId="1" fillId="3" borderId="2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right"/>
    </xf>
    <xf numFmtId="0" fontId="40" fillId="3" borderId="2" xfId="0" applyFont="1" applyFill="1" applyBorder="1" applyAlignment="1">
      <alignment horizontal="right"/>
    </xf>
    <xf numFmtId="0" fontId="40" fillId="3" borderId="2" xfId="0" applyFont="1" applyFill="1" applyBorder="1" applyAlignment="1">
      <alignment horizontal="center"/>
    </xf>
    <xf numFmtId="0" fontId="40" fillId="3" borderId="2" xfId="0" applyFont="1" applyFill="1" applyBorder="1" applyAlignment="1">
      <alignment horizontal="left"/>
    </xf>
    <xf numFmtId="0" fontId="44" fillId="0" borderId="0" xfId="0" applyFont="1" applyAlignment="1">
      <alignment horizontal="right"/>
    </xf>
    <xf numFmtId="0" fontId="44" fillId="0" borderId="0" xfId="0" applyFont="1"/>
    <xf numFmtId="0" fontId="62" fillId="3" borderId="2" xfId="0" applyFont="1" applyFill="1" applyBorder="1"/>
    <xf numFmtId="0" fontId="54" fillId="0" borderId="2" xfId="0" applyFont="1" applyBorder="1"/>
    <xf numFmtId="0" fontId="49" fillId="0" borderId="2" xfId="0" applyFont="1" applyBorder="1"/>
    <xf numFmtId="0" fontId="4" fillId="0" borderId="2" xfId="0" applyFont="1" applyBorder="1"/>
    <xf numFmtId="0" fontId="44" fillId="0" borderId="2" xfId="0" applyFont="1" applyBorder="1"/>
    <xf numFmtId="0" fontId="51" fillId="0" borderId="2" xfId="0" applyFont="1" applyBorder="1"/>
    <xf numFmtId="0" fontId="62" fillId="3" borderId="2" xfId="0" applyFont="1" applyFill="1" applyBorder="1" applyAlignment="1">
      <alignment horizontal="center" vertical="center"/>
    </xf>
    <xf numFmtId="0" fontId="40" fillId="0" borderId="2" xfId="0" quotePrefix="1" applyFont="1" applyBorder="1" applyAlignment="1">
      <alignment horizontal="center" vertical="center"/>
    </xf>
    <xf numFmtId="0" fontId="40" fillId="3" borderId="2" xfId="0" quotePrefix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62" fillId="0" borderId="0" xfId="0" applyFont="1" applyAlignment="1">
      <alignment horizontal="center" vertical="center"/>
    </xf>
    <xf numFmtId="0" fontId="53" fillId="0" borderId="17" xfId="0" applyFont="1" applyBorder="1" applyAlignment="1">
      <alignment horizontal="center" vertical="center"/>
    </xf>
    <xf numFmtId="0" fontId="46" fillId="0" borderId="17" xfId="0" applyFont="1" applyBorder="1" applyAlignment="1">
      <alignment horizontal="center" vertical="center"/>
    </xf>
    <xf numFmtId="0" fontId="40" fillId="0" borderId="0" xfId="0" quotePrefix="1" applyFont="1" applyAlignment="1">
      <alignment horizontal="center" vertical="center"/>
    </xf>
    <xf numFmtId="0" fontId="59" fillId="3" borderId="2" xfId="0" quotePrefix="1" applyFont="1" applyFill="1" applyBorder="1" applyAlignment="1">
      <alignment horizontal="center" vertical="center"/>
    </xf>
    <xf numFmtId="4" fontId="31" fillId="2" borderId="2" xfId="0" applyNumberFormat="1" applyFont="1" applyFill="1" applyBorder="1"/>
    <xf numFmtId="0" fontId="0" fillId="0" borderId="2" xfId="0" quotePrefix="1" applyBorder="1" applyAlignment="1">
      <alignment horizontal="center" vertical="center"/>
    </xf>
    <xf numFmtId="0" fontId="38" fillId="0" borderId="2" xfId="0" applyFont="1" applyBorder="1" applyAlignment="1">
      <alignment horizontal="center"/>
    </xf>
    <xf numFmtId="0" fontId="38" fillId="16" borderId="2" xfId="0" applyFont="1" applyFill="1" applyBorder="1" applyAlignment="1">
      <alignment horizontal="center"/>
    </xf>
    <xf numFmtId="0" fontId="38" fillId="16" borderId="2" xfId="0" applyFont="1" applyFill="1" applyBorder="1" applyAlignment="1">
      <alignment horizontal="left"/>
    </xf>
    <xf numFmtId="4" fontId="0" fillId="2" borderId="2" xfId="0" applyNumberFormat="1" applyFill="1" applyBorder="1" applyAlignment="1">
      <alignment horizontal="right"/>
    </xf>
    <xf numFmtId="4" fontId="0" fillId="3" borderId="2" xfId="0" applyNumberFormat="1" applyFill="1" applyBorder="1"/>
    <xf numFmtId="0" fontId="0" fillId="17" borderId="2" xfId="0" applyFill="1" applyBorder="1" applyAlignment="1">
      <alignment horizontal="center"/>
    </xf>
    <xf numFmtId="0" fontId="66" fillId="17" borderId="2" xfId="0" applyFont="1" applyFill="1" applyBorder="1"/>
    <xf numFmtId="0" fontId="66" fillId="13" borderId="2" xfId="0" applyFont="1" applyFill="1" applyBorder="1" applyAlignment="1">
      <alignment horizontal="right"/>
    </xf>
    <xf numFmtId="0" fontId="66" fillId="9" borderId="2" xfId="0" applyFont="1" applyFill="1" applyBorder="1" applyAlignment="1">
      <alignment horizontal="right"/>
    </xf>
    <xf numFmtId="0" fontId="38" fillId="0" borderId="0" xfId="0" applyFont="1" applyAlignment="1">
      <alignment horizontal="center"/>
    </xf>
    <xf numFmtId="0" fontId="38" fillId="0" borderId="0" xfId="0" applyFont="1"/>
    <xf numFmtId="0" fontId="38" fillId="17" borderId="2" xfId="0" applyFont="1" applyFill="1" applyBorder="1" applyAlignment="1">
      <alignment horizontal="center"/>
    </xf>
    <xf numFmtId="4" fontId="38" fillId="3" borderId="2" xfId="0" applyNumberFormat="1" applyFont="1" applyFill="1" applyBorder="1"/>
    <xf numFmtId="4" fontId="38" fillId="0" borderId="0" xfId="0" applyNumberFormat="1" applyFont="1"/>
    <xf numFmtId="4" fontId="38" fillId="3" borderId="2" xfId="0" applyNumberFormat="1" applyFont="1" applyFill="1" applyBorder="1" applyAlignment="1">
      <alignment horizontal="center"/>
    </xf>
    <xf numFmtId="0" fontId="38" fillId="17" borderId="2" xfId="0" applyFont="1" applyFill="1" applyBorder="1" applyAlignment="1">
      <alignment horizontal="left"/>
    </xf>
    <xf numFmtId="0" fontId="70" fillId="18" borderId="2" xfId="0" applyFont="1" applyFill="1" applyBorder="1" applyAlignment="1">
      <alignment horizontal="right"/>
    </xf>
    <xf numFmtId="0" fontId="0" fillId="2" borderId="2" xfId="0" applyFill="1" applyBorder="1" applyAlignment="1">
      <alignment horizontal="right"/>
    </xf>
    <xf numFmtId="2" fontId="0" fillId="2" borderId="36" xfId="0" applyNumberFormat="1" applyFill="1" applyBorder="1" applyAlignment="1">
      <alignment horizontal="center"/>
    </xf>
    <xf numFmtId="0" fontId="0" fillId="0" borderId="1" xfId="0" applyBorder="1"/>
    <xf numFmtId="2" fontId="0" fillId="0" borderId="40" xfId="0" applyNumberFormat="1" applyBorder="1"/>
    <xf numFmtId="0" fontId="0" fillId="0" borderId="40" xfId="0" applyBorder="1"/>
    <xf numFmtId="0" fontId="0" fillId="0" borderId="42" xfId="0" applyBorder="1"/>
    <xf numFmtId="170" fontId="38" fillId="10" borderId="15" xfId="0" applyNumberFormat="1" applyFont="1" applyFill="1" applyBorder="1" applyAlignment="1">
      <alignment vertical="center"/>
    </xf>
    <xf numFmtId="170" fontId="38" fillId="10" borderId="15" xfId="0" applyNumberFormat="1" applyFont="1" applyFill="1" applyBorder="1" applyAlignment="1">
      <alignment horizontal="center" vertical="center"/>
    </xf>
    <xf numFmtId="169" fontId="0" fillId="16" borderId="2" xfId="0" applyNumberFormat="1" applyFill="1" applyBorder="1" applyAlignment="1">
      <alignment horizontal="center"/>
    </xf>
    <xf numFmtId="169" fontId="0" fillId="16" borderId="36" xfId="0" applyNumberFormat="1" applyFill="1" applyBorder="1" applyAlignment="1">
      <alignment horizontal="center"/>
    </xf>
    <xf numFmtId="169" fontId="0" fillId="16" borderId="41" xfId="0" applyNumberFormat="1" applyFill="1" applyBorder="1" applyAlignment="1">
      <alignment horizontal="center"/>
    </xf>
    <xf numFmtId="2" fontId="0" fillId="16" borderId="2" xfId="0" applyNumberFormat="1" applyFill="1" applyBorder="1" applyAlignment="1">
      <alignment horizontal="center"/>
    </xf>
    <xf numFmtId="2" fontId="0" fillId="16" borderId="36" xfId="0" applyNumberFormat="1" applyFill="1" applyBorder="1" applyAlignment="1">
      <alignment horizontal="center"/>
    </xf>
    <xf numFmtId="169" fontId="0" fillId="9" borderId="15" xfId="0" applyNumberFormat="1" applyFill="1" applyBorder="1" applyAlignment="1">
      <alignment horizontal="center" vertical="center"/>
    </xf>
    <xf numFmtId="169" fontId="0" fillId="8" borderId="15" xfId="0" applyNumberFormat="1" applyFill="1" applyBorder="1" applyAlignment="1">
      <alignment horizontal="center" vertical="center"/>
    </xf>
    <xf numFmtId="169" fontId="0" fillId="7" borderId="15" xfId="0" applyNumberFormat="1" applyFill="1" applyBorder="1" applyAlignment="1">
      <alignment horizontal="center" vertical="center"/>
    </xf>
    <xf numFmtId="169" fontId="0" fillId="6" borderId="15" xfId="0" applyNumberFormat="1" applyFill="1" applyBorder="1" applyAlignment="1">
      <alignment horizontal="center" vertical="center"/>
    </xf>
    <xf numFmtId="169" fontId="0" fillId="5" borderId="2" xfId="0" applyNumberFormat="1" applyFill="1" applyBorder="1" applyAlignment="1">
      <alignment horizontal="center" vertical="center"/>
    </xf>
    <xf numFmtId="169" fontId="0" fillId="0" borderId="2" xfId="0" applyNumberFormat="1" applyBorder="1"/>
    <xf numFmtId="0" fontId="36" fillId="0" borderId="0" xfId="0" applyFont="1"/>
    <xf numFmtId="0" fontId="55" fillId="0" borderId="0" xfId="0" applyFont="1"/>
    <xf numFmtId="2" fontId="0" fillId="3" borderId="2" xfId="0" applyNumberFormat="1" applyFill="1" applyBorder="1" applyAlignment="1">
      <alignment horizontal="center"/>
    </xf>
    <xf numFmtId="0" fontId="35" fillId="3" borderId="1" xfId="0" applyFont="1" applyFill="1" applyBorder="1"/>
    <xf numFmtId="0" fontId="0" fillId="3" borderId="40" xfId="0" applyFill="1" applyBorder="1"/>
    <xf numFmtId="0" fontId="0" fillId="3" borderId="42" xfId="0" applyFill="1" applyBorder="1"/>
    <xf numFmtId="0" fontId="31" fillId="19" borderId="2" xfId="0" applyFont="1" applyFill="1" applyBorder="1" applyAlignment="1">
      <alignment horizontal="right" vertical="center"/>
    </xf>
    <xf numFmtId="2" fontId="31" fillId="19" borderId="15" xfId="0" applyNumberFormat="1" applyFont="1" applyFill="1" applyBorder="1" applyAlignment="1">
      <alignment horizontal="center" vertical="center"/>
    </xf>
    <xf numFmtId="0" fontId="31" fillId="19" borderId="15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right" vertical="center"/>
    </xf>
    <xf numFmtId="2" fontId="0" fillId="3" borderId="2" xfId="0" applyNumberFormat="1" applyFill="1" applyBorder="1" applyAlignment="1">
      <alignment horizontal="center" vertical="center"/>
    </xf>
    <xf numFmtId="0" fontId="31" fillId="3" borderId="2" xfId="0" applyFont="1" applyFill="1" applyBorder="1" applyAlignment="1">
      <alignment horizontal="center" vertical="center"/>
    </xf>
    <xf numFmtId="0" fontId="66" fillId="0" borderId="0" xfId="0" applyFont="1" applyAlignment="1">
      <alignment horizontal="right"/>
    </xf>
    <xf numFmtId="0" fontId="66" fillId="0" borderId="0" xfId="0" applyFont="1" applyAlignment="1">
      <alignment horizontal="left"/>
    </xf>
    <xf numFmtId="0" fontId="0" fillId="0" borderId="0" xfId="0" applyAlignment="1">
      <alignment horizontal="left"/>
    </xf>
    <xf numFmtId="2" fontId="0" fillId="0" borderId="0" xfId="0" applyNumberFormat="1" applyAlignment="1">
      <alignment horizontal="left"/>
    </xf>
    <xf numFmtId="0" fontId="70" fillId="18" borderId="21" xfId="0" applyFont="1" applyFill="1" applyBorder="1" applyAlignment="1">
      <alignment horizontal="right"/>
    </xf>
    <xf numFmtId="0" fontId="0" fillId="0" borderId="11" xfId="0" applyBorder="1"/>
    <xf numFmtId="0" fontId="0" fillId="0" borderId="19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26" xfId="0" applyBorder="1" applyAlignment="1">
      <alignment horizontal="right"/>
    </xf>
    <xf numFmtId="0" fontId="35" fillId="0" borderId="13" xfId="0" applyFont="1" applyBorder="1" applyAlignment="1">
      <alignment horizontal="right"/>
    </xf>
    <xf numFmtId="0" fontId="35" fillId="0" borderId="20" xfId="0" applyFont="1" applyBorder="1"/>
    <xf numFmtId="0" fontId="35" fillId="0" borderId="14" xfId="0" applyFont="1" applyBorder="1"/>
    <xf numFmtId="0" fontId="0" fillId="3" borderId="27" xfId="0" applyFill="1" applyBorder="1"/>
    <xf numFmtId="0" fontId="0" fillId="4" borderId="0" xfId="0" applyFill="1"/>
    <xf numFmtId="0" fontId="73" fillId="4" borderId="0" xfId="0" applyFont="1" applyFill="1"/>
    <xf numFmtId="0" fontId="32" fillId="0" borderId="0" xfId="0" applyFont="1"/>
    <xf numFmtId="0" fontId="32" fillId="0" borderId="2" xfId="0" applyFont="1" applyBorder="1" applyAlignment="1">
      <alignment horizontal="right"/>
    </xf>
    <xf numFmtId="0" fontId="75" fillId="0" borderId="2" xfId="0" applyFont="1" applyBorder="1" applyAlignment="1">
      <alignment horizontal="right"/>
    </xf>
    <xf numFmtId="0" fontId="75" fillId="0" borderId="2" xfId="0" applyFont="1" applyBorder="1" applyAlignment="1">
      <alignment horizontal="center"/>
    </xf>
    <xf numFmtId="0" fontId="77" fillId="0" borderId="2" xfId="0" applyFont="1" applyBorder="1" applyAlignment="1">
      <alignment horizontal="right"/>
    </xf>
    <xf numFmtId="0" fontId="77" fillId="0" borderId="2" xfId="0" applyFont="1" applyBorder="1" applyAlignment="1">
      <alignment horizontal="center"/>
    </xf>
    <xf numFmtId="0" fontId="57" fillId="0" borderId="2" xfId="0" applyFont="1" applyBorder="1" applyAlignment="1">
      <alignment horizontal="center"/>
    </xf>
    <xf numFmtId="0" fontId="79" fillId="0" borderId="2" xfId="0" applyFont="1" applyBorder="1" applyAlignment="1">
      <alignment horizontal="center"/>
    </xf>
    <xf numFmtId="0" fontId="81" fillId="0" borderId="2" xfId="0" applyFont="1" applyBorder="1" applyAlignment="1">
      <alignment horizontal="right"/>
    </xf>
    <xf numFmtId="0" fontId="83" fillId="0" borderId="2" xfId="0" applyFont="1" applyBorder="1" applyAlignment="1">
      <alignment horizontal="center"/>
    </xf>
    <xf numFmtId="0" fontId="81" fillId="0" borderId="2" xfId="0" applyFont="1" applyBorder="1" applyAlignment="1">
      <alignment horizontal="center"/>
    </xf>
    <xf numFmtId="0" fontId="84" fillId="20" borderId="1" xfId="0" applyFont="1" applyFill="1" applyBorder="1"/>
    <xf numFmtId="0" fontId="0" fillId="20" borderId="40" xfId="0" applyFill="1" applyBorder="1"/>
    <xf numFmtId="0" fontId="0" fillId="20" borderId="42" xfId="0" applyFill="1" applyBorder="1"/>
    <xf numFmtId="0" fontId="66" fillId="7" borderId="2" xfId="0" applyFont="1" applyFill="1" applyBorder="1" applyAlignment="1">
      <alignment horizontal="right"/>
    </xf>
    <xf numFmtId="0" fontId="85" fillId="21" borderId="2" xfId="0" applyFont="1" applyFill="1" applyBorder="1" applyAlignment="1">
      <alignment horizontal="right"/>
    </xf>
    <xf numFmtId="0" fontId="66" fillId="10" borderId="2" xfId="0" applyFont="1" applyFill="1" applyBorder="1" applyAlignment="1">
      <alignment horizontal="right"/>
    </xf>
    <xf numFmtId="171" fontId="0" fillId="3" borderId="2" xfId="0" applyNumberFormat="1" applyFill="1" applyBorder="1"/>
    <xf numFmtId="0" fontId="24" fillId="0" borderId="2" xfId="0" applyFont="1" applyBorder="1"/>
    <xf numFmtId="172" fontId="0" fillId="3" borderId="2" xfId="0" applyNumberFormat="1" applyFill="1" applyBorder="1"/>
    <xf numFmtId="172" fontId="0" fillId="0" borderId="0" xfId="0" applyNumberFormat="1"/>
    <xf numFmtId="0" fontId="1" fillId="0" borderId="2" xfId="0" applyFont="1" applyBorder="1" applyAlignment="1">
      <alignment horizontal="right"/>
    </xf>
    <xf numFmtId="0" fontId="62" fillId="0" borderId="2" xfId="0" applyFont="1" applyBorder="1" applyAlignment="1">
      <alignment horizontal="right"/>
    </xf>
    <xf numFmtId="0" fontId="5" fillId="0" borderId="2" xfId="0" applyFont="1" applyBorder="1" applyAlignment="1">
      <alignment horizontal="right"/>
    </xf>
    <xf numFmtId="0" fontId="1" fillId="0" borderId="2" xfId="0" applyFont="1" applyBorder="1" applyAlignment="1">
      <alignment horizontal="center"/>
    </xf>
    <xf numFmtId="0" fontId="62" fillId="0" borderId="2" xfId="0" applyFont="1" applyBorder="1" applyAlignment="1">
      <alignment horizontal="center"/>
    </xf>
    <xf numFmtId="172" fontId="1" fillId="3" borderId="2" xfId="0" applyNumberFormat="1" applyFont="1" applyFill="1" applyBorder="1"/>
    <xf numFmtId="0" fontId="1" fillId="0" borderId="2" xfId="0" applyFont="1" applyBorder="1"/>
    <xf numFmtId="172" fontId="0" fillId="0" borderId="2" xfId="0" applyNumberFormat="1" applyBorder="1"/>
    <xf numFmtId="0" fontId="0" fillId="0" borderId="40" xfId="0" applyBorder="1" applyAlignment="1">
      <alignment horizontal="right"/>
    </xf>
    <xf numFmtId="0" fontId="0" fillId="2" borderId="18" xfId="0" applyFill="1" applyBorder="1"/>
    <xf numFmtId="172" fontId="0" fillId="3" borderId="22" xfId="0" applyNumberFormat="1" applyFill="1" applyBorder="1"/>
    <xf numFmtId="0" fontId="1" fillId="0" borderId="36" xfId="0" applyFont="1" applyBorder="1" applyAlignment="1">
      <alignment horizontal="right"/>
    </xf>
    <xf numFmtId="0" fontId="1" fillId="0" borderId="36" xfId="0" applyFont="1" applyBorder="1"/>
    <xf numFmtId="172" fontId="1" fillId="3" borderId="36" xfId="0" applyNumberFormat="1" applyFont="1" applyFill="1" applyBorder="1"/>
    <xf numFmtId="0" fontId="1" fillId="0" borderId="1" xfId="0" applyFont="1" applyBorder="1" applyAlignment="1">
      <alignment horizontal="right"/>
    </xf>
    <xf numFmtId="172" fontId="1" fillId="3" borderId="41" xfId="0" applyNumberFormat="1" applyFont="1" applyFill="1" applyBorder="1"/>
    <xf numFmtId="172" fontId="1" fillId="3" borderId="17" xfId="0" applyNumberFormat="1" applyFont="1" applyFill="1" applyBorder="1"/>
    <xf numFmtId="2" fontId="0" fillId="3" borderId="2" xfId="0" applyNumberFormat="1" applyFill="1" applyBorder="1"/>
    <xf numFmtId="0" fontId="0" fillId="0" borderId="2" xfId="0" applyBorder="1" applyAlignment="1">
      <alignment vertical="center"/>
    </xf>
    <xf numFmtId="173" fontId="0" fillId="3" borderId="2" xfId="0" applyNumberFormat="1" applyFill="1" applyBorder="1"/>
    <xf numFmtId="4" fontId="0" fillId="3" borderId="0" xfId="0" applyNumberFormat="1" applyFill="1"/>
    <xf numFmtId="173" fontId="0" fillId="0" borderId="0" xfId="0" applyNumberFormat="1"/>
    <xf numFmtId="0" fontId="90" fillId="0" borderId="0" xfId="0" applyFont="1" applyAlignment="1">
      <alignment horizontal="right"/>
    </xf>
    <xf numFmtId="0" fontId="90" fillId="0" borderId="0" xfId="0" applyFont="1"/>
    <xf numFmtId="0" fontId="91" fillId="0" borderId="0" xfId="0" applyFont="1" applyAlignment="1">
      <alignment horizontal="right"/>
    </xf>
    <xf numFmtId="0" fontId="91" fillId="0" borderId="2" xfId="0" applyFont="1" applyBorder="1" applyAlignment="1">
      <alignment horizontal="right"/>
    </xf>
    <xf numFmtId="0" fontId="31" fillId="2" borderId="2" xfId="0" applyFont="1" applyFill="1" applyBorder="1" applyAlignment="1">
      <alignment horizontal="center"/>
    </xf>
    <xf numFmtId="0" fontId="92" fillId="0" borderId="2" xfId="0" applyFont="1" applyBorder="1" applyAlignment="1">
      <alignment horizontal="right"/>
    </xf>
    <xf numFmtId="0" fontId="93" fillId="0" borderId="2" xfId="0" applyFont="1" applyBorder="1" applyAlignment="1">
      <alignment horizontal="right"/>
    </xf>
    <xf numFmtId="0" fontId="31" fillId="0" borderId="0" xfId="0" applyFont="1" applyAlignment="1">
      <alignment horizontal="center"/>
    </xf>
    <xf numFmtId="173" fontId="0" fillId="3" borderId="21" xfId="0" applyNumberFormat="1" applyFill="1" applyBorder="1"/>
    <xf numFmtId="0" fontId="0" fillId="4" borderId="3" xfId="0" applyFill="1" applyBorder="1"/>
    <xf numFmtId="0" fontId="2" fillId="4" borderId="4" xfId="0" applyFont="1" applyFill="1" applyBorder="1"/>
    <xf numFmtId="0" fontId="0" fillId="4" borderId="4" xfId="0" applyFill="1" applyBorder="1"/>
    <xf numFmtId="0" fontId="3" fillId="4" borderId="4" xfId="0" applyFont="1" applyFill="1" applyBorder="1"/>
    <xf numFmtId="0" fontId="0" fillId="4" borderId="5" xfId="0" applyFill="1" applyBorder="1"/>
    <xf numFmtId="0" fontId="0" fillId="4" borderId="6" xfId="0" applyFill="1" applyBorder="1"/>
    <xf numFmtId="0" fontId="0" fillId="4" borderId="7" xfId="0" applyFill="1" applyBorder="1"/>
    <xf numFmtId="0" fontId="1" fillId="4" borderId="0" xfId="0" applyFont="1" applyFill="1" applyAlignment="1">
      <alignment horizontal="right"/>
    </xf>
    <xf numFmtId="0" fontId="5" fillId="4" borderId="8" xfId="0" applyFont="1" applyFill="1" applyBorder="1"/>
    <xf numFmtId="0" fontId="5" fillId="4" borderId="9" xfId="0" applyFont="1" applyFill="1" applyBorder="1" applyAlignment="1">
      <alignment horizontal="right"/>
    </xf>
    <xf numFmtId="0" fontId="0" fillId="4" borderId="9" xfId="0" applyFill="1" applyBorder="1"/>
    <xf numFmtId="0" fontId="0" fillId="4" borderId="10" xfId="0" applyFill="1" applyBorder="1"/>
    <xf numFmtId="0" fontId="11" fillId="0" borderId="2" xfId="0" applyFont="1" applyBorder="1" applyAlignment="1">
      <alignment horizontal="right"/>
    </xf>
    <xf numFmtId="0" fontId="0" fillId="21" borderId="2" xfId="0" applyFill="1" applyBorder="1"/>
    <xf numFmtId="0" fontId="35" fillId="0" borderId="2" xfId="0" applyFont="1" applyBorder="1"/>
    <xf numFmtId="0" fontId="96" fillId="0" borderId="2" xfId="0" applyFont="1" applyBorder="1" applyAlignment="1">
      <alignment horizontal="right"/>
    </xf>
    <xf numFmtId="0" fontId="95" fillId="0" borderId="0" xfId="0" applyFont="1"/>
    <xf numFmtId="174" fontId="0" fillId="0" borderId="0" xfId="0" applyNumberFormat="1"/>
    <xf numFmtId="174" fontId="0" fillId="0" borderId="2" xfId="0" applyNumberFormat="1" applyBorder="1"/>
    <xf numFmtId="0" fontId="0" fillId="21" borderId="2" xfId="0" applyFill="1" applyBorder="1" applyAlignment="1">
      <alignment horizontal="right"/>
    </xf>
    <xf numFmtId="0" fontId="55" fillId="10" borderId="2" xfId="0" applyFont="1" applyFill="1" applyBorder="1" applyAlignment="1">
      <alignment horizontal="right"/>
    </xf>
    <xf numFmtId="0" fontId="36" fillId="0" borderId="2" xfId="0" applyFont="1" applyBorder="1"/>
    <xf numFmtId="0" fontId="0" fillId="0" borderId="36" xfId="0" applyBorder="1" applyAlignment="1">
      <alignment horizontal="right"/>
    </xf>
    <xf numFmtId="0" fontId="0" fillId="2" borderId="36" xfId="0" applyFill="1" applyBorder="1"/>
    <xf numFmtId="0" fontId="35" fillId="2" borderId="2" xfId="0" applyFont="1" applyFill="1" applyBorder="1" applyAlignment="1">
      <alignment horizontal="right" vertical="center"/>
    </xf>
    <xf numFmtId="4" fontId="0" fillId="3" borderId="2" xfId="0" applyNumberFormat="1" applyFill="1" applyBorder="1" applyAlignment="1">
      <alignment horizontal="right" vertical="center"/>
    </xf>
    <xf numFmtId="0" fontId="55" fillId="10" borderId="2" xfId="0" applyFont="1" applyFill="1" applyBorder="1" applyAlignment="1">
      <alignment horizontal="center" vertical="center"/>
    </xf>
    <xf numFmtId="0" fontId="55" fillId="16" borderId="2" xfId="0" applyFont="1" applyFill="1" applyBorder="1" applyAlignment="1">
      <alignment horizontal="center" vertical="center"/>
    </xf>
    <xf numFmtId="169" fontId="0" fillId="3" borderId="2" xfId="0" applyNumberFormat="1" applyFill="1" applyBorder="1" applyAlignment="1">
      <alignment vertical="center"/>
    </xf>
    <xf numFmtId="2" fontId="0" fillId="3" borderId="2" xfId="0" applyNumberFormat="1" applyFill="1" applyBorder="1" applyAlignment="1">
      <alignment vertical="center"/>
    </xf>
    <xf numFmtId="0" fontId="22" fillId="0" borderId="0" xfId="0" applyFont="1"/>
    <xf numFmtId="0" fontId="84" fillId="0" borderId="0" xfId="0" applyFont="1"/>
    <xf numFmtId="0" fontId="36" fillId="0" borderId="2" xfId="0" applyFont="1" applyBorder="1" applyAlignment="1">
      <alignment vertical="center" wrapText="1"/>
    </xf>
    <xf numFmtId="11" fontId="0" fillId="0" borderId="2" xfId="0" applyNumberFormat="1" applyBorder="1" applyAlignment="1">
      <alignment vertical="center" wrapText="1"/>
    </xf>
    <xf numFmtId="3" fontId="0" fillId="0" borderId="2" xfId="0" applyNumberFormat="1" applyBorder="1" applyAlignment="1">
      <alignment vertical="center" wrapText="1"/>
    </xf>
    <xf numFmtId="0" fontId="36" fillId="10" borderId="2" xfId="0" applyFont="1" applyFill="1" applyBorder="1" applyAlignment="1">
      <alignment horizontal="center" vertical="center" wrapText="1"/>
    </xf>
    <xf numFmtId="0" fontId="0" fillId="2" borderId="43" xfId="0" applyFill="1" applyBorder="1"/>
    <xf numFmtId="0" fontId="0" fillId="2" borderId="44" xfId="0" applyFill="1" applyBorder="1"/>
    <xf numFmtId="0" fontId="0" fillId="2" borderId="45" xfId="0" applyFill="1" applyBorder="1"/>
    <xf numFmtId="0" fontId="0" fillId="10" borderId="1" xfId="0" applyFill="1" applyBorder="1"/>
    <xf numFmtId="0" fontId="0" fillId="10" borderId="40" xfId="0" applyFill="1" applyBorder="1"/>
    <xf numFmtId="0" fontId="0" fillId="10" borderId="42" xfId="0" applyFill="1" applyBorder="1"/>
    <xf numFmtId="0" fontId="0" fillId="3" borderId="2" xfId="0" applyFill="1" applyBorder="1" applyAlignment="1">
      <alignment horizontal="left"/>
    </xf>
    <xf numFmtId="0" fontId="0" fillId="0" borderId="11" xfId="0" applyBorder="1" applyAlignment="1">
      <alignment horizontal="right"/>
    </xf>
    <xf numFmtId="0" fontId="0" fillId="3" borderId="19" xfId="0" applyFill="1" applyBorder="1"/>
    <xf numFmtId="0" fontId="0" fillId="3" borderId="12" xfId="0" applyFill="1" applyBorder="1"/>
    <xf numFmtId="0" fontId="0" fillId="0" borderId="13" xfId="0" applyBorder="1" applyAlignment="1">
      <alignment horizontal="right"/>
    </xf>
    <xf numFmtId="0" fontId="0" fillId="3" borderId="20" xfId="0" applyFill="1" applyBorder="1"/>
    <xf numFmtId="0" fontId="0" fillId="3" borderId="14" xfId="0" applyFill="1" applyBorder="1"/>
    <xf numFmtId="0" fontId="36" fillId="16" borderId="2" xfId="0" applyFont="1" applyFill="1" applyBorder="1" applyAlignment="1">
      <alignment horizontal="center" vertical="center" wrapText="1"/>
    </xf>
    <xf numFmtId="0" fontId="77" fillId="0" borderId="0" xfId="0" applyFont="1" applyAlignment="1">
      <alignment horizontal="right"/>
    </xf>
    <xf numFmtId="0" fontId="77" fillId="0" borderId="0" xfId="0" applyFont="1"/>
    <xf numFmtId="0" fontId="102" fillId="0" borderId="0" xfId="0" applyFont="1"/>
    <xf numFmtId="0" fontId="102" fillId="0" borderId="0" xfId="0" applyFont="1" applyAlignment="1">
      <alignment horizontal="right"/>
    </xf>
    <xf numFmtId="11" fontId="102" fillId="0" borderId="0" xfId="0" applyNumberFormat="1" applyFont="1"/>
    <xf numFmtId="0" fontId="99" fillId="16" borderId="2" xfId="0" applyFont="1" applyFill="1" applyBorder="1" applyAlignment="1">
      <alignment horizontal="center" vertical="center"/>
    </xf>
    <xf numFmtId="0" fontId="35" fillId="2" borderId="2" xfId="0" applyFont="1" applyFill="1" applyBorder="1" applyAlignment="1">
      <alignment horizontal="left" vertical="center"/>
    </xf>
    <xf numFmtId="169" fontId="0" fillId="3" borderId="2" xfId="0" applyNumberFormat="1" applyFill="1" applyBorder="1" applyAlignment="1">
      <alignment horizontal="right" vertical="center"/>
    </xf>
    <xf numFmtId="2" fontId="0" fillId="3" borderId="2" xfId="0" applyNumberFormat="1" applyFill="1" applyBorder="1" applyAlignment="1">
      <alignment horizontal="right" vertical="center"/>
    </xf>
    <xf numFmtId="0" fontId="2" fillId="2" borderId="2" xfId="0" applyFont="1" applyFill="1" applyBorder="1" applyAlignment="1">
      <alignment horizontal="center"/>
    </xf>
    <xf numFmtId="0" fontId="35" fillId="16" borderId="2" xfId="0" applyFont="1" applyFill="1" applyBorder="1" applyAlignment="1">
      <alignment horizontal="center"/>
    </xf>
    <xf numFmtId="0" fontId="55" fillId="16" borderId="2" xfId="0" applyFont="1" applyFill="1" applyBorder="1"/>
    <xf numFmtId="0" fontId="95" fillId="0" borderId="2" xfId="0" applyFont="1" applyBorder="1"/>
    <xf numFmtId="0" fontId="27" fillId="0" borderId="0" xfId="0" applyFont="1" applyAlignment="1">
      <alignment vertical="center"/>
    </xf>
    <xf numFmtId="0" fontId="0" fillId="16" borderId="2" xfId="0" applyFill="1" applyBorder="1"/>
    <xf numFmtId="0" fontId="104" fillId="0" borderId="2" xfId="0" applyFont="1" applyBorder="1" applyAlignment="1">
      <alignment horizontal="right"/>
    </xf>
    <xf numFmtId="0" fontId="106" fillId="0" borderId="2" xfId="0" applyFont="1" applyBorder="1" applyAlignment="1">
      <alignment horizontal="right"/>
    </xf>
    <xf numFmtId="0" fontId="35" fillId="16" borderId="2" xfId="0" applyFont="1" applyFill="1" applyBorder="1"/>
    <xf numFmtId="0" fontId="0" fillId="10" borderId="0" xfId="0" applyFill="1"/>
    <xf numFmtId="0" fontId="0" fillId="21" borderId="0" xfId="0" applyFill="1"/>
    <xf numFmtId="0" fontId="0" fillId="3" borderId="2" xfId="0" applyFill="1" applyBorder="1" applyAlignment="1">
      <alignment horizontal="right"/>
    </xf>
    <xf numFmtId="0" fontId="109" fillId="0" borderId="2" xfId="0" applyFont="1" applyBorder="1"/>
    <xf numFmtId="0" fontId="92" fillId="0" borderId="2" xfId="0" applyFont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92" fillId="0" borderId="7" xfId="0" applyFont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2" fillId="0" borderId="3" xfId="0" applyFont="1" applyBorder="1"/>
    <xf numFmtId="0" fontId="55" fillId="0" borderId="4" xfId="0" applyFont="1" applyBorder="1"/>
    <xf numFmtId="0" fontId="2" fillId="0" borderId="6" xfId="0" applyFont="1" applyBorder="1"/>
    <xf numFmtId="4" fontId="55" fillId="3" borderId="2" xfId="0" applyNumberFormat="1" applyFont="1" applyFill="1" applyBorder="1"/>
    <xf numFmtId="0" fontId="0" fillId="0" borderId="48" xfId="0" applyBorder="1"/>
    <xf numFmtId="0" fontId="0" fillId="2" borderId="2" xfId="0" applyFill="1" applyBorder="1" applyAlignment="1">
      <alignment vertical="center"/>
    </xf>
    <xf numFmtId="0" fontId="92" fillId="0" borderId="0" xfId="0" applyFont="1"/>
    <xf numFmtId="0" fontId="0" fillId="0" borderId="2" xfId="0" applyBorder="1" applyAlignment="1">
      <alignment horizontal="right" vertical="center"/>
    </xf>
    <xf numFmtId="0" fontId="0" fillId="16" borderId="2" xfId="0" applyFill="1" applyBorder="1" applyAlignment="1">
      <alignment horizontal="center"/>
    </xf>
    <xf numFmtId="175" fontId="0" fillId="0" borderId="2" xfId="0" applyNumberFormat="1" applyBorder="1" applyAlignment="1">
      <alignment horizontal="center"/>
    </xf>
    <xf numFmtId="2" fontId="0" fillId="3" borderId="0" xfId="0" applyNumberFormat="1" applyFill="1"/>
    <xf numFmtId="0" fontId="111" fillId="0" borderId="0" xfId="0" applyFont="1"/>
    <xf numFmtId="0" fontId="95" fillId="0" borderId="0" xfId="0" applyFont="1" applyAlignment="1">
      <alignment horizontal="right"/>
    </xf>
    <xf numFmtId="0" fontId="31" fillId="9" borderId="2" xfId="0" applyFont="1" applyFill="1" applyBorder="1" applyAlignment="1">
      <alignment horizontal="right"/>
    </xf>
    <xf numFmtId="175" fontId="0" fillId="9" borderId="2" xfId="0" applyNumberFormat="1" applyFill="1" applyBorder="1"/>
    <xf numFmtId="0" fontId="0" fillId="6" borderId="2" xfId="0" applyFill="1" applyBorder="1" applyAlignment="1">
      <alignment horizontal="right"/>
    </xf>
    <xf numFmtId="175" fontId="0" fillId="6" borderId="2" xfId="0" applyNumberFormat="1" applyFill="1" applyBorder="1"/>
    <xf numFmtId="0" fontId="2" fillId="0" borderId="2" xfId="0" applyFont="1" applyBorder="1" applyAlignment="1">
      <alignment horizontal="center" vertical="center" wrapText="1"/>
    </xf>
    <xf numFmtId="0" fontId="0" fillId="0" borderId="21" xfId="0" applyBorder="1"/>
    <xf numFmtId="0" fontId="0" fillId="2" borderId="21" xfId="0" applyFill="1" applyBorder="1" applyAlignment="1">
      <alignment horizontal="center"/>
    </xf>
    <xf numFmtId="176" fontId="0" fillId="3" borderId="2" xfId="0" applyNumberFormat="1" applyFill="1" applyBorder="1"/>
    <xf numFmtId="0" fontId="113" fillId="0" borderId="2" xfId="0" applyFont="1" applyBorder="1"/>
    <xf numFmtId="0" fontId="113" fillId="0" borderId="2" xfId="0" applyFont="1" applyBorder="1" applyAlignment="1">
      <alignment horizontal="center"/>
    </xf>
    <xf numFmtId="0" fontId="90" fillId="0" borderId="2" xfId="0" applyFont="1" applyBorder="1"/>
    <xf numFmtId="0" fontId="90" fillId="0" borderId="2" xfId="0" applyFont="1" applyBorder="1" applyAlignment="1">
      <alignment horizontal="center"/>
    </xf>
    <xf numFmtId="176" fontId="0" fillId="0" borderId="0" xfId="0" applyNumberFormat="1"/>
    <xf numFmtId="4" fontId="90" fillId="0" borderId="0" xfId="0" applyNumberFormat="1" applyFont="1"/>
    <xf numFmtId="0" fontId="114" fillId="0" borderId="0" xfId="0" applyFont="1"/>
    <xf numFmtId="0" fontId="115" fillId="0" borderId="0" xfId="0" applyFont="1"/>
    <xf numFmtId="0" fontId="62" fillId="0" borderId="2" xfId="0" applyFont="1" applyBorder="1"/>
    <xf numFmtId="0" fontId="1" fillId="0" borderId="0" xfId="0" applyFont="1" applyAlignment="1">
      <alignment horizontal="center"/>
    </xf>
    <xf numFmtId="10" fontId="0" fillId="0" borderId="7" xfId="0" applyNumberFormat="1" applyBorder="1" applyAlignment="1">
      <alignment horizontal="center"/>
    </xf>
    <xf numFmtId="0" fontId="70" fillId="0" borderId="0" xfId="0" applyFont="1"/>
    <xf numFmtId="0" fontId="0" fillId="0" borderId="2" xfId="0" applyBorder="1" applyAlignment="1">
      <alignment horizontal="left"/>
    </xf>
    <xf numFmtId="0" fontId="0" fillId="2" borderId="19" xfId="0" applyFill="1" applyBorder="1" applyAlignment="1">
      <alignment horizontal="right"/>
    </xf>
    <xf numFmtId="0" fontId="0" fillId="2" borderId="20" xfId="0" applyFill="1" applyBorder="1" applyAlignment="1">
      <alignment horizontal="right"/>
    </xf>
    <xf numFmtId="177" fontId="0" fillId="3" borderId="2" xfId="0" applyNumberFormat="1" applyFill="1" applyBorder="1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0" fillId="0" borderId="40" xfId="0" applyBorder="1" applyAlignment="1">
      <alignment wrapText="1"/>
    </xf>
    <xf numFmtId="0" fontId="0" fillId="0" borderId="47" xfId="0" applyBorder="1" applyAlignment="1">
      <alignment wrapText="1"/>
    </xf>
    <xf numFmtId="0" fontId="0" fillId="2" borderId="46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42" xfId="0" applyFill="1" applyBorder="1" applyAlignment="1">
      <alignment horizontal="center" vertical="center"/>
    </xf>
    <xf numFmtId="0" fontId="0" fillId="0" borderId="2" xfId="0" applyBorder="1" applyAlignment="1">
      <alignment horizontal="right"/>
    </xf>
    <xf numFmtId="0" fontId="0" fillId="4" borderId="2" xfId="0" applyFill="1" applyBorder="1" applyAlignment="1">
      <alignment horizontal="center"/>
    </xf>
    <xf numFmtId="0" fontId="0" fillId="4" borderId="2" xfId="0" applyFill="1" applyBorder="1" applyAlignment="1">
      <alignment horizontal="center" vertical="center"/>
    </xf>
    <xf numFmtId="0" fontId="38" fillId="16" borderId="2" xfId="0" applyFont="1" applyFill="1" applyBorder="1" applyAlignment="1">
      <alignment horizontal="left"/>
    </xf>
    <xf numFmtId="0" fontId="38" fillId="0" borderId="2" xfId="0" applyFont="1" applyBorder="1"/>
    <xf numFmtId="0" fontId="0" fillId="0" borderId="2" xfId="0" applyBorder="1"/>
    <xf numFmtId="0" fontId="0" fillId="0" borderId="2" xfId="0" applyBorder="1" applyAlignment="1">
      <alignment horizontal="right" vertical="center"/>
    </xf>
    <xf numFmtId="0" fontId="55" fillId="0" borderId="2" xfId="0" applyFont="1" applyBorder="1" applyAlignment="1">
      <alignment horizontal="right"/>
    </xf>
    <xf numFmtId="0" fontId="0" fillId="4" borderId="2" xfId="0" applyFill="1" applyBorder="1" applyAlignment="1">
      <alignment horizontal="right"/>
    </xf>
    <xf numFmtId="0" fontId="0" fillId="0" borderId="21" xfId="0" applyBorder="1" applyAlignment="1">
      <alignment horizontal="right"/>
    </xf>
    <xf numFmtId="0" fontId="0" fillId="0" borderId="22" xfId="0" applyBorder="1" applyAlignment="1">
      <alignment horizontal="right"/>
    </xf>
    <xf numFmtId="0" fontId="0" fillId="2" borderId="36" xfId="0" applyFill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2" borderId="37" xfId="0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2" borderId="26" xfId="0" applyFill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4" borderId="23" xfId="0" applyFill="1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4" borderId="32" xfId="0" applyFill="1" applyBorder="1" applyAlignment="1">
      <alignment horizontal="center"/>
    </xf>
    <xf numFmtId="0" fontId="0" fillId="0" borderId="33" xfId="0" applyBorder="1" applyAlignment="1">
      <alignment horizontal="center"/>
    </xf>
    <xf numFmtId="0" fontId="0" fillId="4" borderId="28" xfId="0" applyFill="1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0" fillId="4" borderId="34" xfId="0" applyFill="1" applyBorder="1" applyAlignment="1">
      <alignment horizontal="center"/>
    </xf>
    <xf numFmtId="0" fontId="0" fillId="0" borderId="35" xfId="0" applyBorder="1" applyAlignment="1">
      <alignment horizontal="center"/>
    </xf>
    <xf numFmtId="0" fontId="0" fillId="4" borderId="11" xfId="0" applyFill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4" borderId="19" xfId="0" applyFill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4" borderId="13" xfId="0" applyFill="1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4" borderId="20" xfId="0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0" fontId="22" fillId="10" borderId="2" xfId="0" applyFont="1" applyFill="1" applyBorder="1" applyAlignment="1">
      <alignment horizontal="center" vertical="center"/>
    </xf>
    <xf numFmtId="0" fontId="0" fillId="4" borderId="36" xfId="0" applyFill="1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2" borderId="0" xfId="0" applyFill="1" applyAlignment="1">
      <alignment horizontal="right"/>
    </xf>
    <xf numFmtId="0" fontId="0" fillId="0" borderId="2" xfId="0" applyFill="1" applyBorder="1" applyAlignment="1">
      <alignment horizontal="right"/>
    </xf>
    <xf numFmtId="0" fontId="0" fillId="0" borderId="39" xfId="0" applyFill="1" applyBorder="1" applyAlignment="1">
      <alignment horizontal="right"/>
    </xf>
  </cellXfs>
  <cellStyles count="2">
    <cellStyle name="Link" xfId="1" builtinId="8"/>
    <cellStyle name="Standard" xfId="0" builtinId="0"/>
  </cellStyles>
  <dxfs count="3">
    <dxf>
      <font>
        <color theme="5" tint="-0.24994659260841701"/>
      </font>
      <fill>
        <patternFill>
          <bgColor theme="0" tint="-0.14996795556505021"/>
        </patternFill>
      </fill>
    </dxf>
    <dxf>
      <font>
        <color rgb="FF00B0F0"/>
      </font>
      <fill>
        <patternFill>
          <bgColor rgb="FF0070C0"/>
        </patternFill>
      </fill>
    </dxf>
    <dxf>
      <font>
        <color rgb="FF00B0F0"/>
      </font>
      <fill>
        <patternFill>
          <bgColor rgb="FF0070C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'Belasteter Spannungsteiler'!$B$41</c:f>
              <c:strCache>
                <c:ptCount val="1"/>
                <c:pt idx="0">
                  <c:v>UL = f(RL)   R1/R2 =0.333333333333333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xVal>
            <c:numRef>
              <c:f>'Belasteter Spannungsteiler'!$D$27:$AM$27</c:f>
              <c:numCache>
                <c:formatCode>General</c:formatCode>
                <c:ptCount val="3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  <c:pt idx="16">
                  <c:v>16000</c:v>
                </c:pt>
                <c:pt idx="17">
                  <c:v>17000</c:v>
                </c:pt>
                <c:pt idx="18">
                  <c:v>18000</c:v>
                </c:pt>
                <c:pt idx="19">
                  <c:v>19000</c:v>
                </c:pt>
                <c:pt idx="20">
                  <c:v>20000</c:v>
                </c:pt>
                <c:pt idx="21">
                  <c:v>21000</c:v>
                </c:pt>
                <c:pt idx="22">
                  <c:v>22000</c:v>
                </c:pt>
                <c:pt idx="23">
                  <c:v>23000</c:v>
                </c:pt>
                <c:pt idx="24">
                  <c:v>24000</c:v>
                </c:pt>
                <c:pt idx="25">
                  <c:v>25000</c:v>
                </c:pt>
                <c:pt idx="26">
                  <c:v>26000</c:v>
                </c:pt>
                <c:pt idx="27">
                  <c:v>27000</c:v>
                </c:pt>
                <c:pt idx="28">
                  <c:v>28000</c:v>
                </c:pt>
                <c:pt idx="29">
                  <c:v>29000</c:v>
                </c:pt>
                <c:pt idx="30">
                  <c:v>30000</c:v>
                </c:pt>
                <c:pt idx="31">
                  <c:v>31000</c:v>
                </c:pt>
                <c:pt idx="32">
                  <c:v>32000</c:v>
                </c:pt>
                <c:pt idx="33">
                  <c:v>33000</c:v>
                </c:pt>
                <c:pt idx="34">
                  <c:v>34000</c:v>
                </c:pt>
                <c:pt idx="35">
                  <c:v>35000</c:v>
                </c:pt>
              </c:numCache>
            </c:numRef>
          </c:xVal>
          <c:yVal>
            <c:numRef>
              <c:f>'Belasteter Spannungsteiler'!$D$31:$AM$31</c:f>
              <c:numCache>
                <c:formatCode>#,##0.00</c:formatCode>
                <c:ptCount val="36"/>
                <c:pt idx="0">
                  <c:v>0</c:v>
                </c:pt>
                <c:pt idx="1">
                  <c:v>5.1428571428571432</c:v>
                </c:pt>
                <c:pt idx="2">
                  <c:v>6.545454545454545</c:v>
                </c:pt>
                <c:pt idx="3">
                  <c:v>7.2</c:v>
                </c:pt>
                <c:pt idx="4">
                  <c:v>7.5789473684210531</c:v>
                </c:pt>
                <c:pt idx="5">
                  <c:v>7.8260869565217392</c:v>
                </c:pt>
                <c:pt idx="6">
                  <c:v>8</c:v>
                </c:pt>
                <c:pt idx="7">
                  <c:v>8.129032258064516</c:v>
                </c:pt>
                <c:pt idx="8">
                  <c:v>8.2285714285714278</c:v>
                </c:pt>
                <c:pt idx="9">
                  <c:v>8.3076923076923084</c:v>
                </c:pt>
                <c:pt idx="10">
                  <c:v>8.3720930232558146</c:v>
                </c:pt>
                <c:pt idx="11">
                  <c:v>8.4255319148936181</c:v>
                </c:pt>
                <c:pt idx="12">
                  <c:v>8.4705882352941178</c:v>
                </c:pt>
                <c:pt idx="13">
                  <c:v>8.5090909090909097</c:v>
                </c:pt>
                <c:pt idx="14">
                  <c:v>8.5423728813559325</c:v>
                </c:pt>
                <c:pt idx="15">
                  <c:v>8.5714285714285712</c:v>
                </c:pt>
                <c:pt idx="16">
                  <c:v>8.5970149253731343</c:v>
                </c:pt>
                <c:pt idx="17">
                  <c:v>8.6197183098591541</c:v>
                </c:pt>
                <c:pt idx="18">
                  <c:v>8.64</c:v>
                </c:pt>
                <c:pt idx="19">
                  <c:v>8.6582278481012658</c:v>
                </c:pt>
                <c:pt idx="20">
                  <c:v>8.6746987951807224</c:v>
                </c:pt>
                <c:pt idx="21">
                  <c:v>8.6896551724137936</c:v>
                </c:pt>
                <c:pt idx="22">
                  <c:v>8.7032967032967044</c:v>
                </c:pt>
                <c:pt idx="23">
                  <c:v>8.715789473684211</c:v>
                </c:pt>
                <c:pt idx="24">
                  <c:v>8.7272727272727266</c:v>
                </c:pt>
                <c:pt idx="25">
                  <c:v>8.7378640776699044</c:v>
                </c:pt>
                <c:pt idx="26">
                  <c:v>8.7476635514018692</c:v>
                </c:pt>
                <c:pt idx="27">
                  <c:v>8.7567567567567579</c:v>
                </c:pt>
                <c:pt idx="28">
                  <c:v>8.765217391304347</c:v>
                </c:pt>
                <c:pt idx="29">
                  <c:v>8.7731092436974798</c:v>
                </c:pt>
                <c:pt idx="30">
                  <c:v>8.7804878048780495</c:v>
                </c:pt>
                <c:pt idx="31">
                  <c:v>8.78740157480315</c:v>
                </c:pt>
                <c:pt idx="32">
                  <c:v>8.7938931297709928</c:v>
                </c:pt>
                <c:pt idx="33">
                  <c:v>8.8000000000000007</c:v>
                </c:pt>
                <c:pt idx="34">
                  <c:v>8.8057553956834536</c:v>
                </c:pt>
                <c:pt idx="35">
                  <c:v>8.8111888111888117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9AA-49B1-934C-B331BA9ED09B}"/>
            </c:ext>
          </c:extLst>
        </c:ser>
        <c:ser>
          <c:idx val="1"/>
          <c:order val="1"/>
          <c:tx>
            <c:strRef>
              <c:f>'Belasteter Spannungsteiler'!$B$42</c:f>
              <c:strCache>
                <c:ptCount val="1"/>
                <c:pt idx="0">
                  <c:v>UL = f(RL)   R11/R22 =0.333333333333333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'Belasteter Spannungsteiler'!$D$27:$AM$27</c:f>
              <c:numCache>
                <c:formatCode>General</c:formatCode>
                <c:ptCount val="3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  <c:pt idx="16">
                  <c:v>16000</c:v>
                </c:pt>
                <c:pt idx="17">
                  <c:v>17000</c:v>
                </c:pt>
                <c:pt idx="18">
                  <c:v>18000</c:v>
                </c:pt>
                <c:pt idx="19">
                  <c:v>19000</c:v>
                </c:pt>
                <c:pt idx="20">
                  <c:v>20000</c:v>
                </c:pt>
                <c:pt idx="21">
                  <c:v>21000</c:v>
                </c:pt>
                <c:pt idx="22">
                  <c:v>22000</c:v>
                </c:pt>
                <c:pt idx="23">
                  <c:v>23000</c:v>
                </c:pt>
                <c:pt idx="24">
                  <c:v>24000</c:v>
                </c:pt>
                <c:pt idx="25">
                  <c:v>25000</c:v>
                </c:pt>
                <c:pt idx="26">
                  <c:v>26000</c:v>
                </c:pt>
                <c:pt idx="27">
                  <c:v>27000</c:v>
                </c:pt>
                <c:pt idx="28">
                  <c:v>28000</c:v>
                </c:pt>
                <c:pt idx="29">
                  <c:v>29000</c:v>
                </c:pt>
                <c:pt idx="30">
                  <c:v>30000</c:v>
                </c:pt>
                <c:pt idx="31">
                  <c:v>31000</c:v>
                </c:pt>
                <c:pt idx="32">
                  <c:v>32000</c:v>
                </c:pt>
                <c:pt idx="33">
                  <c:v>33000</c:v>
                </c:pt>
                <c:pt idx="34">
                  <c:v>34000</c:v>
                </c:pt>
                <c:pt idx="35">
                  <c:v>35000</c:v>
                </c:pt>
              </c:numCache>
            </c:numRef>
          </c:xVal>
          <c:yVal>
            <c:numRef>
              <c:f>'Belasteter Spannungsteiler'!$D$35:$AM$35</c:f>
              <c:numCache>
                <c:formatCode>#,##0.00</c:formatCode>
                <c:ptCount val="36"/>
                <c:pt idx="0">
                  <c:v>0</c:v>
                </c:pt>
                <c:pt idx="1">
                  <c:v>3.2142857142857135</c:v>
                </c:pt>
                <c:pt idx="2">
                  <c:v>4.7368421052631575</c:v>
                </c:pt>
                <c:pt idx="3">
                  <c:v>5.6250000000000009</c:v>
                </c:pt>
                <c:pt idx="4">
                  <c:v>6.2068965517241361</c:v>
                </c:pt>
                <c:pt idx="5">
                  <c:v>6.617647058823529</c:v>
                </c:pt>
                <c:pt idx="6">
                  <c:v>6.9230769230769234</c:v>
                </c:pt>
                <c:pt idx="7">
                  <c:v>7.1590909090909092</c:v>
                </c:pt>
                <c:pt idx="8">
                  <c:v>7.3469387755102034</c:v>
                </c:pt>
                <c:pt idx="9">
                  <c:v>7.5</c:v>
                </c:pt>
                <c:pt idx="10">
                  <c:v>7.6271186440677967</c:v>
                </c:pt>
                <c:pt idx="11">
                  <c:v>7.734375</c:v>
                </c:pt>
                <c:pt idx="12">
                  <c:v>7.8260869565217392</c:v>
                </c:pt>
                <c:pt idx="13">
                  <c:v>7.9054054054054053</c:v>
                </c:pt>
                <c:pt idx="14">
                  <c:v>7.9746835443037973</c:v>
                </c:pt>
                <c:pt idx="15">
                  <c:v>8.0357142857142847</c:v>
                </c:pt>
                <c:pt idx="16">
                  <c:v>8.0898876404494384</c:v>
                </c:pt>
                <c:pt idx="17">
                  <c:v>8.1382978723404253</c:v>
                </c:pt>
                <c:pt idx="18">
                  <c:v>8.1818181818181817</c:v>
                </c:pt>
                <c:pt idx="19">
                  <c:v>8.2211538461538467</c:v>
                </c:pt>
                <c:pt idx="20">
                  <c:v>8.2568807339449535</c:v>
                </c:pt>
                <c:pt idx="21">
                  <c:v>8.2894736842105274</c:v>
                </c:pt>
                <c:pt idx="22">
                  <c:v>8.3193277310924376</c:v>
                </c:pt>
                <c:pt idx="23">
                  <c:v>8.3467741935483879</c:v>
                </c:pt>
                <c:pt idx="24">
                  <c:v>8.3720930232558146</c:v>
                </c:pt>
                <c:pt idx="25">
                  <c:v>8.3955223880597014</c:v>
                </c:pt>
                <c:pt idx="26">
                  <c:v>8.4172661870503589</c:v>
                </c:pt>
                <c:pt idx="27">
                  <c:v>8.4375</c:v>
                </c:pt>
                <c:pt idx="28">
                  <c:v>8.4563758389261743</c:v>
                </c:pt>
                <c:pt idx="29">
                  <c:v>8.4740259740259738</c:v>
                </c:pt>
                <c:pt idx="30">
                  <c:v>8.4905660377358494</c:v>
                </c:pt>
                <c:pt idx="31">
                  <c:v>8.5060975609756113</c:v>
                </c:pt>
                <c:pt idx="32">
                  <c:v>8.5207100591715967</c:v>
                </c:pt>
                <c:pt idx="33">
                  <c:v>8.5344827586206904</c:v>
                </c:pt>
                <c:pt idx="34">
                  <c:v>8.5474860335195526</c:v>
                </c:pt>
                <c:pt idx="35">
                  <c:v>8.5597826086956523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9AA-49B1-934C-B331BA9ED0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117840"/>
        <c:axId val="56121200"/>
      </c:scatterChart>
      <c:valAx>
        <c:axId val="56117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6121200"/>
        <c:crosses val="autoZero"/>
        <c:crossBetween val="midCat"/>
      </c:valAx>
      <c:valAx>
        <c:axId val="56121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61178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6258461768602646E-2"/>
          <c:y val="7.590759075907591E-2"/>
          <c:w val="0.673548558070034"/>
          <c:h val="0.85279539377597657"/>
        </c:manualLayout>
      </c:layout>
      <c:scatterChart>
        <c:scatterStyle val="lineMarker"/>
        <c:varyColors val="0"/>
        <c:ser>
          <c:idx val="3"/>
          <c:order val="0"/>
          <c:tx>
            <c:v>y</c:v>
          </c:tx>
          <c:spPr>
            <a:ln w="19050" cap="rnd">
              <a:solidFill>
                <a:schemeClr val="tx1">
                  <a:lumMod val="95000"/>
                  <a:lumOff val="5000"/>
                </a:schemeClr>
              </a:solidFill>
              <a:round/>
              <a:headEnd type="none" w="med" len="med"/>
              <a:tailEnd type="triangle" w="med" len="med"/>
            </a:ln>
            <a:effectLst/>
          </c:spPr>
          <c:marker>
            <c:symbol val="none"/>
          </c:marker>
          <c:xVal>
            <c:numRef>
              <c:f>'LCR-Glieder an Wechselspannung'!$AH$23:$AI$23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'LCR-Glieder an Wechselspannung'!$AK$23:$AL$23</c:f>
              <c:numCache>
                <c:formatCode>General</c:formatCode>
                <c:ptCount val="2"/>
                <c:pt idx="0">
                  <c:v>-1749.0000000000002</c:v>
                </c:pt>
                <c:pt idx="1">
                  <c:v>1749.0000000000002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EF5-4F7D-88FE-5A5684900578}"/>
            </c:ext>
          </c:extLst>
        </c:ser>
        <c:ser>
          <c:idx val="2"/>
          <c:order val="1"/>
          <c:tx>
            <c:v>x</c:v>
          </c:tx>
          <c:spPr>
            <a:ln w="19050" cap="rnd">
              <a:solidFill>
                <a:schemeClr val="tx1">
                  <a:lumMod val="95000"/>
                  <a:lumOff val="5000"/>
                </a:schemeClr>
              </a:solidFill>
              <a:round/>
              <a:headEnd type="none" w="med" len="med"/>
              <a:tailEnd type="triangle" w="med" len="med"/>
            </a:ln>
            <a:effectLst/>
          </c:spPr>
          <c:marker>
            <c:symbol val="none"/>
          </c:marker>
          <c:xVal>
            <c:numRef>
              <c:f>'LCR-Glieder an Wechselspannung'!$AH$22:$AI$22</c:f>
              <c:numCache>
                <c:formatCode>General</c:formatCode>
                <c:ptCount val="2"/>
                <c:pt idx="0">
                  <c:v>-1749.0000000000002</c:v>
                </c:pt>
                <c:pt idx="1">
                  <c:v>1749.0000000000002</c:v>
                </c:pt>
              </c:numCache>
            </c:numRef>
          </c:xVal>
          <c:yVal>
            <c:numRef>
              <c:f>'LCR-Glieder an Wechselspannung'!$AK$22:$AL$22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EF5-4F7D-88FE-5A5684900578}"/>
            </c:ext>
          </c:extLst>
        </c:ser>
        <c:ser>
          <c:idx val="0"/>
          <c:order val="2"/>
          <c:tx>
            <c:strRef>
              <c:f>'LCR-Glieder an Wechselspannung'!$AB$20</c:f>
              <c:strCache>
                <c:ptCount val="1"/>
                <c:pt idx="0">
                  <c:v>R = 1.5kΩ</c:v>
                </c:pt>
              </c:strCache>
            </c:strRef>
          </c:tx>
          <c:spPr>
            <a:ln w="38100" cap="rnd">
              <a:solidFill>
                <a:srgbClr val="0070C0"/>
              </a:solidFill>
              <a:round/>
              <a:headEnd type="none" w="med" len="med"/>
              <a:tailEnd type="triangle" w="med" len="med"/>
            </a:ln>
            <a:effectLst/>
          </c:spPr>
          <c:marker>
            <c:symbol val="none"/>
          </c:marker>
          <c:xVal>
            <c:numRef>
              <c:f>'LCR-Glieder an Wechselspannung'!$AH$20:$AI$20</c:f>
              <c:numCache>
                <c:formatCode>General</c:formatCode>
                <c:ptCount val="2"/>
                <c:pt idx="0">
                  <c:v>0</c:v>
                </c:pt>
                <c:pt idx="1">
                  <c:v>1500</c:v>
                </c:pt>
              </c:numCache>
            </c:numRef>
          </c:xVal>
          <c:yVal>
            <c:numRef>
              <c:f>'LCR-Glieder an Wechselspannung'!$AK$20:$AL$20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EF5-4F7D-88FE-5A5684900578}"/>
            </c:ext>
          </c:extLst>
        </c:ser>
        <c:ser>
          <c:idx val="1"/>
          <c:order val="3"/>
          <c:tx>
            <c:strRef>
              <c:f>'LCR-Glieder an Wechselspannung'!$AD$21</c:f>
              <c:strCache>
                <c:ptCount val="1"/>
                <c:pt idx="0">
                  <c:v>Blindwiderstand XC = 1.59kΩ</c:v>
                </c:pt>
              </c:strCache>
            </c:strRef>
          </c:tx>
          <c:spPr>
            <a:ln w="38100" cap="rnd">
              <a:solidFill>
                <a:schemeClr val="accent2"/>
              </a:solidFill>
              <a:round/>
              <a:headEnd type="none" w="med" len="med"/>
              <a:tailEnd type="triangle" w="med" len="med"/>
            </a:ln>
            <a:effectLst/>
          </c:spPr>
          <c:marker>
            <c:symbol val="none"/>
          </c:marker>
          <c:xVal>
            <c:numRef>
              <c:f>'LCR-Glieder an Wechselspannung'!$AH$21:$AI$21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'LCR-Glieder an Wechselspannung'!$AK$21:$AL$21</c:f>
              <c:numCache>
                <c:formatCode>General</c:formatCode>
                <c:ptCount val="2"/>
                <c:pt idx="0">
                  <c:v>0</c:v>
                </c:pt>
                <c:pt idx="1">
                  <c:v>-1590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EF5-4F7D-88FE-5A5684900578}"/>
            </c:ext>
          </c:extLst>
        </c:ser>
        <c:ser>
          <c:idx val="4"/>
          <c:order val="4"/>
          <c:tx>
            <c:strRef>
              <c:f>'LCR-Glieder an Wechselspannung'!$AD$22</c:f>
              <c:strCache>
                <c:ptCount val="1"/>
                <c:pt idx="0">
                  <c:v>Scheinwiderstand ZRC = 2.19kΩ</c:v>
                </c:pt>
              </c:strCache>
            </c:strRef>
          </c:tx>
          <c:spPr>
            <a:ln w="38100" cap="rnd">
              <a:solidFill>
                <a:schemeClr val="accent6">
                  <a:lumMod val="50000"/>
                </a:schemeClr>
              </a:solidFill>
              <a:round/>
              <a:headEnd type="none" w="med" len="med"/>
              <a:tailEnd type="triangle" w="med" len="med"/>
            </a:ln>
            <a:effectLst/>
          </c:spPr>
          <c:marker>
            <c:symbol val="none"/>
          </c:marker>
          <c:xVal>
            <c:numRef>
              <c:f>'LCR-Glieder an Wechselspannung'!$AH$24:$AI$24</c:f>
              <c:numCache>
                <c:formatCode>General</c:formatCode>
                <c:ptCount val="2"/>
                <c:pt idx="0">
                  <c:v>0</c:v>
                </c:pt>
                <c:pt idx="1">
                  <c:v>1500</c:v>
                </c:pt>
              </c:numCache>
            </c:numRef>
          </c:xVal>
          <c:yVal>
            <c:numRef>
              <c:f>'LCR-Glieder an Wechselspannung'!$AK$24:$AL$24</c:f>
              <c:numCache>
                <c:formatCode>General</c:formatCode>
                <c:ptCount val="2"/>
                <c:pt idx="0">
                  <c:v>0</c:v>
                </c:pt>
                <c:pt idx="1">
                  <c:v>-1590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EF5-4F7D-88FE-5A56849005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2759328"/>
        <c:axId val="472743008"/>
      </c:scatterChart>
      <c:valAx>
        <c:axId val="4727593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72743008"/>
        <c:crosses val="autoZero"/>
        <c:crossBetween val="midCat"/>
      </c:valAx>
      <c:valAx>
        <c:axId val="472743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727593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ayout>
        <c:manualLayout>
          <c:xMode val="edge"/>
          <c:yMode val="edge"/>
          <c:x val="0.6889511631370776"/>
          <c:y val="0.74430992947999908"/>
          <c:w val="0.29896978010219832"/>
          <c:h val="0.2256565472218516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6258461768602646E-2"/>
          <c:y val="7.590759075907591E-2"/>
          <c:w val="0.58870936049559652"/>
          <c:h val="0.88778877887788776"/>
        </c:manualLayout>
      </c:layout>
      <c:scatterChart>
        <c:scatterStyle val="lineMarker"/>
        <c:varyColors val="0"/>
        <c:ser>
          <c:idx val="3"/>
          <c:order val="0"/>
          <c:tx>
            <c:v>y</c:v>
          </c:tx>
          <c:spPr>
            <a:ln w="19050" cap="rnd">
              <a:solidFill>
                <a:schemeClr val="tx1">
                  <a:lumMod val="95000"/>
                  <a:lumOff val="5000"/>
                </a:schemeClr>
              </a:solidFill>
              <a:round/>
              <a:headEnd type="none" w="med" len="med"/>
              <a:tailEnd type="triangle" w="med" len="med"/>
            </a:ln>
            <a:effectLst/>
          </c:spPr>
          <c:marker>
            <c:symbol val="none"/>
          </c:marker>
          <c:xVal>
            <c:numRef>
              <c:f>'LCR-Glieder an Wechselspannung'!$AH$41:$AI$41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'LCR-Glieder an Wechselspannung'!$AK$41:$AL$41</c:f>
              <c:numCache>
                <c:formatCode>General</c:formatCode>
                <c:ptCount val="2"/>
                <c:pt idx="0">
                  <c:v>-1650.0000000000002</c:v>
                </c:pt>
                <c:pt idx="1">
                  <c:v>1650.0000000000002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4C-40E8-B001-0AFAAF3F7D9F}"/>
            </c:ext>
          </c:extLst>
        </c:ser>
        <c:ser>
          <c:idx val="2"/>
          <c:order val="1"/>
          <c:tx>
            <c:v>x</c:v>
          </c:tx>
          <c:spPr>
            <a:ln w="19050" cap="rnd">
              <a:solidFill>
                <a:schemeClr val="tx1">
                  <a:lumMod val="95000"/>
                  <a:lumOff val="5000"/>
                </a:schemeClr>
              </a:solidFill>
              <a:round/>
              <a:headEnd type="none" w="med" len="med"/>
              <a:tailEnd type="triangle" w="med" len="med"/>
            </a:ln>
            <a:effectLst/>
          </c:spPr>
          <c:marker>
            <c:symbol val="none"/>
          </c:marker>
          <c:xVal>
            <c:numRef>
              <c:f>'LCR-Glieder an Wechselspannung'!$AH$40:$AI$40</c:f>
              <c:numCache>
                <c:formatCode>General</c:formatCode>
                <c:ptCount val="2"/>
                <c:pt idx="0">
                  <c:v>-1650.0000000000002</c:v>
                </c:pt>
                <c:pt idx="1">
                  <c:v>1650.0000000000002</c:v>
                </c:pt>
              </c:numCache>
            </c:numRef>
          </c:xVal>
          <c:yVal>
            <c:numRef>
              <c:f>'LCR-Glieder an Wechselspannung'!$AK$40:$AL$40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4C-40E8-B001-0AFAAF3F7D9F}"/>
            </c:ext>
          </c:extLst>
        </c:ser>
        <c:ser>
          <c:idx val="0"/>
          <c:order val="2"/>
          <c:tx>
            <c:strRef>
              <c:f>'LCR-Glieder an Wechselspannung'!$AB$38</c:f>
              <c:strCache>
                <c:ptCount val="1"/>
                <c:pt idx="0">
                  <c:v>R = 1.5kΩ</c:v>
                </c:pt>
              </c:strCache>
            </c:strRef>
          </c:tx>
          <c:spPr>
            <a:ln w="38100" cap="rnd">
              <a:solidFill>
                <a:srgbClr val="0070C0"/>
              </a:solidFill>
              <a:round/>
              <a:headEnd type="none" w="med" len="med"/>
              <a:tailEnd type="triangle" w="med" len="med"/>
            </a:ln>
            <a:effectLst/>
          </c:spPr>
          <c:marker>
            <c:symbol val="none"/>
          </c:marker>
          <c:xVal>
            <c:numRef>
              <c:f>'LCR-Glieder an Wechselspannung'!$AH$38:$AI$38</c:f>
              <c:numCache>
                <c:formatCode>General</c:formatCode>
                <c:ptCount val="2"/>
                <c:pt idx="0">
                  <c:v>0</c:v>
                </c:pt>
                <c:pt idx="1">
                  <c:v>1500</c:v>
                </c:pt>
              </c:numCache>
            </c:numRef>
          </c:xVal>
          <c:yVal>
            <c:numRef>
              <c:f>'LCR-Glieder an Wechselspannung'!$AK$38:$AL$38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C4C-40E8-B001-0AFAAF3F7D9F}"/>
            </c:ext>
          </c:extLst>
        </c:ser>
        <c:ser>
          <c:idx val="1"/>
          <c:order val="3"/>
          <c:tx>
            <c:strRef>
              <c:f>'LCR-Glieder an Wechselspannung'!$AD$39</c:f>
              <c:strCache>
                <c:ptCount val="1"/>
                <c:pt idx="0">
                  <c:v>Blindwiderstand XL = 502.6548Ω</c:v>
                </c:pt>
              </c:strCache>
            </c:strRef>
          </c:tx>
          <c:spPr>
            <a:ln w="38100" cap="rnd">
              <a:solidFill>
                <a:schemeClr val="accent2"/>
              </a:solidFill>
              <a:round/>
              <a:headEnd type="none" w="med" len="med"/>
              <a:tailEnd type="triangle" w="med" len="med"/>
            </a:ln>
            <a:effectLst/>
          </c:spPr>
          <c:marker>
            <c:symbol val="none"/>
          </c:marker>
          <c:xVal>
            <c:numRef>
              <c:f>'LCR-Glieder an Wechselspannung'!$AH$39:$AI$39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'LCR-Glieder an Wechselspannung'!$AK$39:$AL$39</c:f>
              <c:numCache>
                <c:formatCode>General</c:formatCode>
                <c:ptCount val="2"/>
                <c:pt idx="0">
                  <c:v>0</c:v>
                </c:pt>
                <c:pt idx="1">
                  <c:v>502.65480000000002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C4C-40E8-B001-0AFAAF3F7D9F}"/>
            </c:ext>
          </c:extLst>
        </c:ser>
        <c:ser>
          <c:idx val="4"/>
          <c:order val="4"/>
          <c:tx>
            <c:strRef>
              <c:f>'LCR-Glieder an Wechselspannung'!$AD$40</c:f>
              <c:strCache>
                <c:ptCount val="1"/>
                <c:pt idx="0">
                  <c:v>Scheinwiderstand ZRL = 1.58kΩ</c:v>
                </c:pt>
              </c:strCache>
            </c:strRef>
          </c:tx>
          <c:spPr>
            <a:ln w="38100" cap="rnd">
              <a:solidFill>
                <a:schemeClr val="accent6">
                  <a:lumMod val="50000"/>
                </a:schemeClr>
              </a:solidFill>
              <a:round/>
              <a:headEnd type="none" w="med" len="med"/>
              <a:tailEnd type="triangle" w="med" len="med"/>
            </a:ln>
            <a:effectLst/>
          </c:spPr>
          <c:marker>
            <c:symbol val="none"/>
          </c:marker>
          <c:xVal>
            <c:numRef>
              <c:f>'LCR-Glieder an Wechselspannung'!$AH$42:$AI$42</c:f>
              <c:numCache>
                <c:formatCode>General</c:formatCode>
                <c:ptCount val="2"/>
                <c:pt idx="0">
                  <c:v>0</c:v>
                </c:pt>
                <c:pt idx="1">
                  <c:v>1500</c:v>
                </c:pt>
              </c:numCache>
            </c:numRef>
          </c:xVal>
          <c:yVal>
            <c:numRef>
              <c:f>'LCR-Glieder an Wechselspannung'!$AK$42:$AL$42</c:f>
              <c:numCache>
                <c:formatCode>General</c:formatCode>
                <c:ptCount val="2"/>
                <c:pt idx="0">
                  <c:v>0</c:v>
                </c:pt>
                <c:pt idx="1">
                  <c:v>502.65480000000002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C4C-40E8-B001-0AFAAF3F7D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2759328"/>
        <c:axId val="472743008"/>
      </c:scatterChart>
      <c:valAx>
        <c:axId val="4727593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72743008"/>
        <c:crosses val="autoZero"/>
        <c:crossBetween val="midCat"/>
      </c:valAx>
      <c:valAx>
        <c:axId val="472743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727593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ayout>
        <c:manualLayout>
          <c:xMode val="edge"/>
          <c:yMode val="edge"/>
          <c:x val="0.6896149203166565"/>
          <c:y val="0.60593443533495051"/>
          <c:w val="0.31038507968334345"/>
          <c:h val="0.3832064745995164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0918551607490539E-2"/>
          <c:y val="7.5907516731678365E-2"/>
          <c:w val="0.63950179737308843"/>
          <c:h val="0.88778877887788776"/>
        </c:manualLayout>
      </c:layout>
      <c:scatterChart>
        <c:scatterStyle val="lineMarker"/>
        <c:varyColors val="0"/>
        <c:ser>
          <c:idx val="3"/>
          <c:order val="0"/>
          <c:tx>
            <c:v>y</c:v>
          </c:tx>
          <c:spPr>
            <a:ln w="19050" cap="rnd">
              <a:solidFill>
                <a:schemeClr val="tx1">
                  <a:lumMod val="95000"/>
                  <a:lumOff val="5000"/>
                </a:schemeClr>
              </a:solidFill>
              <a:round/>
              <a:headEnd type="none" w="med" len="med"/>
              <a:tailEnd type="triangle" w="med" len="med"/>
            </a:ln>
            <a:effectLst/>
          </c:spPr>
          <c:marker>
            <c:symbol val="none"/>
          </c:marker>
          <c:xVal>
            <c:numRef>
              <c:f>'LCR-Glieder an Wechselspannung'!$AH$66:$AI$66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'LCR-Glieder an Wechselspannung'!$AK$66:$AL$66</c:f>
              <c:numCache>
                <c:formatCode>General</c:formatCode>
                <c:ptCount val="2"/>
                <c:pt idx="0">
                  <c:v>-1749.0000000000002</c:v>
                </c:pt>
                <c:pt idx="1">
                  <c:v>1749.0000000000002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4C-40E8-B001-0AFAAF3F7D9F}"/>
            </c:ext>
          </c:extLst>
        </c:ser>
        <c:ser>
          <c:idx val="2"/>
          <c:order val="1"/>
          <c:tx>
            <c:v>x</c:v>
          </c:tx>
          <c:spPr>
            <a:ln w="19050" cap="rnd">
              <a:solidFill>
                <a:schemeClr val="tx1">
                  <a:lumMod val="95000"/>
                  <a:lumOff val="5000"/>
                </a:schemeClr>
              </a:solidFill>
              <a:round/>
              <a:headEnd type="none" w="med" len="med"/>
              <a:tailEnd type="triangle" w="med" len="med"/>
            </a:ln>
            <a:effectLst/>
          </c:spPr>
          <c:marker>
            <c:symbol val="none"/>
          </c:marker>
          <c:xVal>
            <c:numRef>
              <c:f>'LCR-Glieder an Wechselspannung'!$AH$65:$AI$65</c:f>
              <c:numCache>
                <c:formatCode>General</c:formatCode>
                <c:ptCount val="2"/>
                <c:pt idx="0">
                  <c:v>-1749.0000000000002</c:v>
                </c:pt>
                <c:pt idx="1">
                  <c:v>1749.0000000000002</c:v>
                </c:pt>
              </c:numCache>
            </c:numRef>
          </c:xVal>
          <c:yVal>
            <c:numRef>
              <c:f>'LCR-Glieder an Wechselspannung'!$AK$65:$AL$65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4C-40E8-B001-0AFAAF3F7D9F}"/>
            </c:ext>
          </c:extLst>
        </c:ser>
        <c:ser>
          <c:idx val="0"/>
          <c:order val="2"/>
          <c:tx>
            <c:strRef>
              <c:f>'LCR-Glieder an Wechselspannung'!$AB$38</c:f>
              <c:strCache>
                <c:ptCount val="1"/>
                <c:pt idx="0">
                  <c:v>R = 1.5kΩ</c:v>
                </c:pt>
              </c:strCache>
            </c:strRef>
          </c:tx>
          <c:spPr>
            <a:ln w="38100" cap="rnd">
              <a:solidFill>
                <a:srgbClr val="0070C0"/>
              </a:solidFill>
              <a:round/>
              <a:headEnd type="none" w="med" len="med"/>
              <a:tailEnd type="triangle" w="med" len="med"/>
            </a:ln>
            <a:effectLst/>
          </c:spPr>
          <c:marker>
            <c:symbol val="none"/>
          </c:marker>
          <c:xVal>
            <c:numRef>
              <c:f>'LCR-Glieder an Wechselspannung'!$AH$38:$AI$38</c:f>
              <c:numCache>
                <c:formatCode>General</c:formatCode>
                <c:ptCount val="2"/>
                <c:pt idx="0">
                  <c:v>0</c:v>
                </c:pt>
                <c:pt idx="1">
                  <c:v>1500</c:v>
                </c:pt>
              </c:numCache>
            </c:numRef>
          </c:xVal>
          <c:yVal>
            <c:numRef>
              <c:f>'LCR-Glieder an Wechselspannung'!$AK$38:$AL$38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C4C-40E8-B001-0AFAAF3F7D9F}"/>
            </c:ext>
          </c:extLst>
        </c:ser>
        <c:ser>
          <c:idx val="1"/>
          <c:order val="3"/>
          <c:tx>
            <c:strRef>
              <c:f>'LCR-Glieder an Wechselspannung'!$AD$39</c:f>
              <c:strCache>
                <c:ptCount val="1"/>
                <c:pt idx="0">
                  <c:v>Blindwiderstand XL = 502.6548Ω</c:v>
                </c:pt>
              </c:strCache>
            </c:strRef>
          </c:tx>
          <c:spPr>
            <a:ln w="19050" cap="rnd">
              <a:solidFill>
                <a:srgbClr val="7030A0"/>
              </a:solidFill>
              <a:round/>
              <a:headEnd type="none" w="med" len="med"/>
              <a:tailEnd type="triangle" w="med" len="med"/>
            </a:ln>
            <a:effectLst/>
          </c:spPr>
          <c:marker>
            <c:symbol val="none"/>
          </c:marker>
          <c:xVal>
            <c:numRef>
              <c:f>'LCR-Glieder an Wechselspannung'!$AH$60:$AI$60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'LCR-Glieder an Wechselspannung'!$AK$60:$AL$60</c:f>
              <c:numCache>
                <c:formatCode>General</c:formatCode>
                <c:ptCount val="2"/>
                <c:pt idx="0">
                  <c:v>0</c:v>
                </c:pt>
                <c:pt idx="1">
                  <c:v>502.65480000000002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C4C-40E8-B001-0AFAAF3F7D9F}"/>
            </c:ext>
          </c:extLst>
        </c:ser>
        <c:ser>
          <c:idx val="5"/>
          <c:order val="4"/>
          <c:tx>
            <c:strRef>
              <c:f>'LCR-Glieder an Wechselspannung'!$M$28</c:f>
              <c:strCache>
                <c:ptCount val="1"/>
                <c:pt idx="0">
                  <c:v>Blindwiderstand XC = 1.59 * 10³Ω</c:v>
                </c:pt>
              </c:strCache>
            </c:strRef>
          </c:tx>
          <c:spPr>
            <a:ln w="19050" cap="rnd">
              <a:solidFill>
                <a:srgbClr val="FFC000"/>
              </a:solidFill>
              <a:round/>
              <a:headEnd type="none" w="med" len="med"/>
              <a:tailEnd type="triangle" w="med" len="med"/>
            </a:ln>
            <a:effectLst/>
          </c:spPr>
          <c:marker>
            <c:symbol val="none"/>
          </c:marker>
          <c:xVal>
            <c:numRef>
              <c:f>'LCR-Glieder an Wechselspannung'!$AH$59:$AI$59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'LCR-Glieder an Wechselspannung'!$AK$59:$AL$59</c:f>
              <c:numCache>
                <c:formatCode>General</c:formatCode>
                <c:ptCount val="2"/>
                <c:pt idx="0">
                  <c:v>0</c:v>
                </c:pt>
                <c:pt idx="1">
                  <c:v>-1590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788-4D56-AB42-DF55E3C69F7B}"/>
            </c:ext>
          </c:extLst>
        </c:ser>
        <c:ser>
          <c:idx val="6"/>
          <c:order val="5"/>
          <c:tx>
            <c:strRef>
              <c:f>'LCR-Glieder an Wechselspannung'!$AG$61</c:f>
              <c:strCache>
                <c:ptCount val="1"/>
                <c:pt idx="0">
                  <c:v>XLC:</c:v>
                </c:pt>
              </c:strCache>
            </c:strRef>
          </c:tx>
          <c:spPr>
            <a:ln w="28575" cap="rnd">
              <a:solidFill>
                <a:schemeClr val="accent2">
                  <a:lumMod val="75000"/>
                </a:schemeClr>
              </a:solidFill>
              <a:round/>
              <a:headEnd type="none" w="med" len="med"/>
              <a:tailEnd type="triangle" w="med" len="med"/>
            </a:ln>
            <a:effectLst/>
          </c:spPr>
          <c:marker>
            <c:symbol val="none"/>
          </c:marker>
          <c:xVal>
            <c:numRef>
              <c:f>'LCR-Glieder an Wechselspannung'!$AH$61:$AI$61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'LCR-Glieder an Wechselspannung'!$AK$61:$AL$61</c:f>
              <c:numCache>
                <c:formatCode>General</c:formatCode>
                <c:ptCount val="2"/>
                <c:pt idx="0">
                  <c:v>0</c:v>
                </c:pt>
                <c:pt idx="1">
                  <c:v>-1087.3452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788-4D56-AB42-DF55E3C69F7B}"/>
            </c:ext>
          </c:extLst>
        </c:ser>
        <c:ser>
          <c:idx val="4"/>
          <c:order val="6"/>
          <c:tx>
            <c:strRef>
              <c:f>'LCR-Glieder an Wechselspannung'!$AG$64</c:f>
              <c:strCache>
                <c:ptCount val="1"/>
                <c:pt idx="0">
                  <c:v>ZRLC:</c:v>
                </c:pt>
              </c:strCache>
            </c:strRef>
          </c:tx>
          <c:spPr>
            <a:ln w="38100" cap="rnd">
              <a:solidFill>
                <a:schemeClr val="accent5"/>
              </a:solidFill>
              <a:round/>
              <a:headEnd type="none" w="med" len="med"/>
              <a:tailEnd type="triangle" w="med" len="med"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38100" cap="rnd">
                <a:solidFill>
                  <a:schemeClr val="accent6">
                    <a:lumMod val="50000"/>
                  </a:schemeClr>
                </a:solidFill>
                <a:round/>
                <a:headEnd type="none" w="med" len="med"/>
                <a:tailEnd type="triangle" w="med" len="med"/>
              </a:ln>
              <a:effectLst/>
            </c:spPr>
            <c:extLst>
              <c:ext xmlns:c16="http://schemas.microsoft.com/office/drawing/2014/chart" uri="{C3380CC4-5D6E-409C-BE32-E72D297353CC}">
                <c16:uniqueId val="{00000002-D788-4D56-AB42-DF55E3C69F7B}"/>
              </c:ext>
            </c:extLst>
          </c:dPt>
          <c:xVal>
            <c:numRef>
              <c:f>'LCR-Glieder an Wechselspannung'!$AH$64:$AI$64</c:f>
              <c:numCache>
                <c:formatCode>General</c:formatCode>
                <c:ptCount val="2"/>
                <c:pt idx="0">
                  <c:v>0</c:v>
                </c:pt>
                <c:pt idx="1">
                  <c:v>1500</c:v>
                </c:pt>
              </c:numCache>
            </c:numRef>
          </c:xVal>
          <c:yVal>
            <c:numRef>
              <c:f>'LCR-Glieder an Wechselspannung'!$AK$64:$AL$64</c:f>
              <c:numCache>
                <c:formatCode>General</c:formatCode>
                <c:ptCount val="2"/>
                <c:pt idx="0">
                  <c:v>0</c:v>
                </c:pt>
                <c:pt idx="1">
                  <c:v>-1087.3452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788-4D56-AB42-DF55E3C69F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2759328"/>
        <c:axId val="472743008"/>
      </c:scatterChart>
      <c:valAx>
        <c:axId val="4727593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72743008"/>
        <c:crosses val="autoZero"/>
        <c:crossBetween val="midCat"/>
      </c:valAx>
      <c:valAx>
        <c:axId val="472743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727593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ayout>
        <c:manualLayout>
          <c:xMode val="edge"/>
          <c:yMode val="edge"/>
          <c:x val="0.67655188593711379"/>
          <c:y val="0.56317373812068328"/>
          <c:w val="0.31861513441867345"/>
          <c:h val="0.4250035635236990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'LCR-Glieder an Wechselspannung'!$C$48</c:f>
              <c:strCache>
                <c:ptCount val="1"/>
                <c:pt idx="0">
                  <c:v>Tiefpass mit C: Uout / Uin (Frequenzgang)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'LCR-Glieder an Wechselspannung'!$D$42:$X$42</c:f>
              <c:numCache>
                <c:formatCode>General</c:formatCode>
                <c:ptCount val="21"/>
                <c:pt idx="0">
                  <c:v>1</c:v>
                </c:pt>
                <c:pt idx="1">
                  <c:v>1.6</c:v>
                </c:pt>
                <c:pt idx="2">
                  <c:v>2.5600000000000005</c:v>
                </c:pt>
                <c:pt idx="3">
                  <c:v>4.096000000000001</c:v>
                </c:pt>
                <c:pt idx="4">
                  <c:v>6.5536000000000021</c:v>
                </c:pt>
                <c:pt idx="5">
                  <c:v>10.485760000000004</c:v>
                </c:pt>
                <c:pt idx="6">
                  <c:v>16.777216000000006</c:v>
                </c:pt>
                <c:pt idx="7">
                  <c:v>26.843545600000013</c:v>
                </c:pt>
                <c:pt idx="8">
                  <c:v>42.949672960000022</c:v>
                </c:pt>
                <c:pt idx="9">
                  <c:v>68.719476736000033</c:v>
                </c:pt>
                <c:pt idx="10">
                  <c:v>109.95116277760006</c:v>
                </c:pt>
                <c:pt idx="11">
                  <c:v>175.9218604441601</c:v>
                </c:pt>
                <c:pt idx="12">
                  <c:v>281.47497671065616</c:v>
                </c:pt>
                <c:pt idx="13">
                  <c:v>450.3599627370499</c:v>
                </c:pt>
                <c:pt idx="14">
                  <c:v>720.57594037927993</c:v>
                </c:pt>
                <c:pt idx="15">
                  <c:v>1152.921504606848</c:v>
                </c:pt>
                <c:pt idx="16">
                  <c:v>1844.6744073709569</c:v>
                </c:pt>
                <c:pt idx="17">
                  <c:v>2951.4790517935312</c:v>
                </c:pt>
                <c:pt idx="18">
                  <c:v>4722.3664828696501</c:v>
                </c:pt>
                <c:pt idx="19">
                  <c:v>7555.7863725914403</c:v>
                </c:pt>
                <c:pt idx="20">
                  <c:v>12089.258196146306</c:v>
                </c:pt>
              </c:numCache>
            </c:numRef>
          </c:xVal>
          <c:yVal>
            <c:numRef>
              <c:f>'LCR-Glieder an Wechselspannung'!$D$48:$X$48</c:f>
              <c:numCache>
                <c:formatCode>General</c:formatCode>
                <c:ptCount val="21"/>
                <c:pt idx="0">
                  <c:v>0.99905840963193793</c:v>
                </c:pt>
                <c:pt idx="1">
                  <c:v>0.99849430605924783</c:v>
                </c:pt>
                <c:pt idx="2">
                  <c:v>0.99759306416002258</c:v>
                </c:pt>
                <c:pt idx="3">
                  <c:v>0.99615445624229293</c:v>
                </c:pt>
                <c:pt idx="4">
                  <c:v>0.99386129398522594</c:v>
                </c:pt>
                <c:pt idx="5">
                  <c:v>0.99021411398277381</c:v>
                </c:pt>
                <c:pt idx="6">
                  <c:v>0.98443397875820648</c:v>
                </c:pt>
                <c:pt idx="7">
                  <c:v>0.97532482261432862</c:v>
                </c:pt>
                <c:pt idx="8">
                  <c:v>0.96109569850716658</c:v>
                </c:pt>
                <c:pt idx="9">
                  <c:v>0.93917297730926952</c:v>
                </c:pt>
                <c:pt idx="10">
                  <c:v>0.90610362582436643</c:v>
                </c:pt>
                <c:pt idx="11">
                  <c:v>0.8577782644947326</c:v>
                </c:pt>
                <c:pt idx="12">
                  <c:v>0.79033645144056186</c:v>
                </c:pt>
                <c:pt idx="13">
                  <c:v>0.70202324110037972</c:v>
                </c:pt>
                <c:pt idx="14">
                  <c:v>0.59554762963159513</c:v>
                </c:pt>
                <c:pt idx="15">
                  <c:v>0.47924786792567015</c:v>
                </c:pt>
                <c:pt idx="16">
                  <c:v>0.36515478746114588</c:v>
                </c:pt>
                <c:pt idx="17">
                  <c:v>0.26443109763366857</c:v>
                </c:pt>
                <c:pt idx="18">
                  <c:v>0.18346181437714795</c:v>
                </c:pt>
                <c:pt idx="19">
                  <c:v>0.12313510516325696</c:v>
                </c:pt>
                <c:pt idx="20">
                  <c:v>8.0685130225312457E-2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B48-45AE-9755-E296F4CF5C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6618848"/>
        <c:axId val="2083169776"/>
      </c:scatterChart>
      <c:valAx>
        <c:axId val="146618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083169776"/>
        <c:crosses val="autoZero"/>
        <c:crossBetween val="midCat"/>
      </c:valAx>
      <c:valAx>
        <c:axId val="2083169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466188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'LCR-Glieder an Wechselspannung'!$C$49</c:f>
              <c:strCache>
                <c:ptCount val="1"/>
                <c:pt idx="0">
                  <c:v>Hochpass mit L: Uout / Uin (Frequenzgang)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'LCR-Glieder an Wechselspannung'!$D$42:$X$42</c:f>
              <c:numCache>
                <c:formatCode>General</c:formatCode>
                <c:ptCount val="21"/>
                <c:pt idx="0">
                  <c:v>1</c:v>
                </c:pt>
                <c:pt idx="1">
                  <c:v>1.6</c:v>
                </c:pt>
                <c:pt idx="2">
                  <c:v>2.5600000000000005</c:v>
                </c:pt>
                <c:pt idx="3">
                  <c:v>4.096000000000001</c:v>
                </c:pt>
                <c:pt idx="4">
                  <c:v>6.5536000000000021</c:v>
                </c:pt>
                <c:pt idx="5">
                  <c:v>10.485760000000004</c:v>
                </c:pt>
                <c:pt idx="6">
                  <c:v>16.777216000000006</c:v>
                </c:pt>
                <c:pt idx="7">
                  <c:v>26.843545600000013</c:v>
                </c:pt>
                <c:pt idx="8">
                  <c:v>42.949672960000022</c:v>
                </c:pt>
                <c:pt idx="9">
                  <c:v>68.719476736000033</c:v>
                </c:pt>
                <c:pt idx="10">
                  <c:v>109.95116277760006</c:v>
                </c:pt>
                <c:pt idx="11">
                  <c:v>175.9218604441601</c:v>
                </c:pt>
                <c:pt idx="12">
                  <c:v>281.47497671065616</c:v>
                </c:pt>
                <c:pt idx="13">
                  <c:v>450.3599627370499</c:v>
                </c:pt>
                <c:pt idx="14">
                  <c:v>720.57594037927993</c:v>
                </c:pt>
                <c:pt idx="15">
                  <c:v>1152.921504606848</c:v>
                </c:pt>
                <c:pt idx="16">
                  <c:v>1844.6744073709569</c:v>
                </c:pt>
                <c:pt idx="17">
                  <c:v>2951.4790517935312</c:v>
                </c:pt>
                <c:pt idx="18">
                  <c:v>4722.3664828696501</c:v>
                </c:pt>
                <c:pt idx="19">
                  <c:v>7555.7863725914403</c:v>
                </c:pt>
                <c:pt idx="20">
                  <c:v>12089.258196146306</c:v>
                </c:pt>
              </c:numCache>
            </c:numRef>
          </c:xVal>
          <c:yVal>
            <c:numRef>
              <c:f>'LCR-Glieder an Wechselspannung'!$D$49:$X$49</c:f>
              <c:numCache>
                <c:formatCode>General</c:formatCode>
                <c:ptCount val="21"/>
                <c:pt idx="0">
                  <c:v>3.3499095983481142E-4</c:v>
                </c:pt>
                <c:pt idx="1">
                  <c:v>5.3587782719908574E-4</c:v>
                </c:pt>
                <c:pt idx="2">
                  <c:v>8.5712893368416999E-4</c:v>
                </c:pt>
                <c:pt idx="3">
                  <c:v>1.3707013732108203E-3</c:v>
                </c:pt>
                <c:pt idx="4">
                  <c:v>2.1913200099292602E-3</c:v>
                </c:pt>
                <c:pt idx="5">
                  <c:v>3.5015082608166998E-3</c:v>
                </c:pt>
                <c:pt idx="6">
                  <c:v>5.5906677557086629E-3</c:v>
                </c:pt>
                <c:pt idx="7">
                  <c:v>8.9151633792690487E-3</c:v>
                </c:pt>
                <c:pt idx="8">
                  <c:v>1.4188366443871248E-2</c:v>
                </c:pt>
                <c:pt idx="9">
                  <c:v>2.2509760273796996E-2</c:v>
                </c:pt>
                <c:pt idx="10">
                  <c:v>3.5535676699866514E-2</c:v>
                </c:pt>
                <c:pt idx="11">
                  <c:v>5.5670117540528162E-2</c:v>
                </c:pt>
                <c:pt idx="12">
                  <c:v>8.6193158118652247E-2</c:v>
                </c:pt>
                <c:pt idx="13">
                  <c:v>0.13112766828225408</c:v>
                </c:pt>
                <c:pt idx="14">
                  <c:v>0.19450154852999127</c:v>
                </c:pt>
                <c:pt idx="15">
                  <c:v>0.27868023526566199</c:v>
                </c:pt>
                <c:pt idx="16">
                  <c:v>0.38201273680472675</c:v>
                </c:pt>
                <c:pt idx="17">
                  <c:v>0.49724746085362592</c:v>
                </c:pt>
                <c:pt idx="18">
                  <c:v>0.61277534634080233</c:v>
                </c:pt>
                <c:pt idx="19">
                  <c:v>0.71687175234879963</c:v>
                </c:pt>
                <c:pt idx="20">
                  <c:v>0.80202525414005554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B48-45AE-9755-E296F4CF5C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6618848"/>
        <c:axId val="2083169776"/>
      </c:scatterChart>
      <c:valAx>
        <c:axId val="146618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083169776"/>
        <c:crosses val="autoZero"/>
        <c:crossBetween val="midCat"/>
      </c:valAx>
      <c:valAx>
        <c:axId val="2083169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466188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/>
              <a:t>Ladekurve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0.15701366614391798"/>
          <c:y val="0.1719119351100811"/>
          <c:w val="0.79310299606026013"/>
          <c:h val="0.64146803683437881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'Kondensator an Gleichspannung'!$B$33</c:f>
              <c:strCache>
                <c:ptCount val="1"/>
                <c:pt idx="0">
                  <c:v>UC(t) = U0(1 - e^(-t/RC))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'Kondensator an Gleichspannung'!$C$32:$W$32</c:f>
              <c:numCache>
                <c:formatCode>General</c:formatCode>
                <c:ptCount val="2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</c:numCache>
            </c:numRef>
          </c:xVal>
          <c:yVal>
            <c:numRef>
              <c:f>'Kondensator an Gleichspannung'!$C$33:$W$33</c:f>
              <c:numCache>
                <c:formatCode>#,##0.00</c:formatCode>
                <c:ptCount val="21"/>
                <c:pt idx="0">
                  <c:v>0</c:v>
                </c:pt>
                <c:pt idx="1">
                  <c:v>5.7838375752096614</c:v>
                </c:pt>
                <c:pt idx="2">
                  <c:v>10.959442839575557</c:v>
                </c:pt>
                <c:pt idx="3">
                  <c:v>15.59077791844159</c:v>
                </c:pt>
                <c:pt idx="4">
                  <c:v>19.735078636352497</c:v>
                </c:pt>
                <c:pt idx="5">
                  <c:v>23.443561859441193</c:v>
                </c:pt>
                <c:pt idx="6">
                  <c:v>26.762058453207437</c:v>
                </c:pt>
                <c:pt idx="7">
                  <c:v>29.731579678024037</c:v>
                </c:pt>
                <c:pt idx="8">
                  <c:v>32.388824022104693</c:v>
                </c:pt>
                <c:pt idx="9">
                  <c:v>34.766630735570672</c:v>
                </c:pt>
                <c:pt idx="10">
                  <c:v>36.894385670565192</c:v>
                </c:pt>
                <c:pt idx="11">
                  <c:v>38.798384442944084</c:v>
                </c:pt>
                <c:pt idx="12">
                  <c:v>40.502157403635032</c:v>
                </c:pt>
                <c:pt idx="13">
                  <c:v>42.0267604357865</c:v>
                </c:pt>
                <c:pt idx="14">
                  <c:v>43.391035171490039</c:v>
                </c:pt>
                <c:pt idx="15">
                  <c:v>44.611841843934094</c:v>
                </c:pt>
                <c:pt idx="16">
                  <c:v>45.70426765266636</c:v>
                </c:pt>
                <c:pt idx="17">
                  <c:v>46.681813217022736</c:v>
                </c:pt>
                <c:pt idx="18">
                  <c:v>47.5565594219863</c:v>
                </c:pt>
                <c:pt idx="19">
                  <c:v>48.339316718421863</c:v>
                </c:pt>
                <c:pt idx="20">
                  <c:v>49.039758722795725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83C-4DA5-931D-FBBB436839FF}"/>
            </c:ext>
          </c:extLst>
        </c:ser>
        <c:ser>
          <c:idx val="1"/>
          <c:order val="1"/>
          <c:tx>
            <c:strRef>
              <c:f>'Kondensator an Gleichspannung'!$I$39</c:f>
              <c:strCache>
                <c:ptCount val="1"/>
                <c:pt idx="0">
                  <c:v>Vertikale:</c:v>
                </c:pt>
              </c:strCache>
            </c:strRef>
          </c:tx>
          <c:spPr>
            <a:ln w="9525" cap="rnd">
              <a:solidFill>
                <a:schemeClr val="tx1">
                  <a:lumMod val="95000"/>
                  <a:lumOff val="5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'Kondensator an Gleichspannung'!$I$40:$J$40</c:f>
              <c:numCache>
                <c:formatCode>General</c:formatCode>
                <c:ptCount val="2"/>
                <c:pt idx="0">
                  <c:v>1.7999999999999999E-2</c:v>
                </c:pt>
                <c:pt idx="1">
                  <c:v>1.7999999999999999E-2</c:v>
                </c:pt>
              </c:numCache>
            </c:numRef>
          </c:xVal>
          <c:yVal>
            <c:numRef>
              <c:f>'Kondensator an Gleichspannung'!$I$41:$J$41</c:f>
              <c:numCache>
                <c:formatCode>General</c:formatCode>
                <c:ptCount val="2"/>
                <c:pt idx="0">
                  <c:v>0</c:v>
                </c:pt>
                <c:pt idx="1">
                  <c:v>34.766630735570672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D56-4EC7-B3E2-8053BA0C2806}"/>
            </c:ext>
          </c:extLst>
        </c:ser>
        <c:ser>
          <c:idx val="2"/>
          <c:order val="2"/>
          <c:tx>
            <c:strRef>
              <c:f>'Kondensator an Gleichspannung'!$I$43</c:f>
              <c:strCache>
                <c:ptCount val="1"/>
                <c:pt idx="0">
                  <c:v>Horizontale:</c:v>
                </c:pt>
              </c:strCache>
            </c:strRef>
          </c:tx>
          <c:spPr>
            <a:ln w="9525" cap="rnd">
              <a:solidFill>
                <a:schemeClr val="tx1">
                  <a:lumMod val="95000"/>
                  <a:lumOff val="5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'Kondensator an Gleichspannung'!$I$44:$J$44</c:f>
              <c:numCache>
                <c:formatCode>General</c:formatCode>
                <c:ptCount val="2"/>
                <c:pt idx="0">
                  <c:v>0</c:v>
                </c:pt>
                <c:pt idx="1">
                  <c:v>1.7999999999999999E-2</c:v>
                </c:pt>
              </c:numCache>
            </c:numRef>
          </c:xVal>
          <c:yVal>
            <c:numRef>
              <c:f>'Kondensator an Gleichspannung'!$I$45:$J$45</c:f>
              <c:numCache>
                <c:formatCode>General</c:formatCode>
                <c:ptCount val="2"/>
                <c:pt idx="0">
                  <c:v>34.766630735570672</c:v>
                </c:pt>
                <c:pt idx="1">
                  <c:v>34.766630735570672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D56-4EC7-B3E2-8053BA0C2806}"/>
            </c:ext>
          </c:extLst>
        </c:ser>
        <c:ser>
          <c:idx val="3"/>
          <c:order val="3"/>
          <c:tx>
            <c:strRef>
              <c:f>'Kondensator an Gleichspannung'!$Y$30</c:f>
              <c:strCache>
                <c:ptCount val="1"/>
                <c:pt idx="0">
                  <c:v>Asymptote:</c:v>
                </c:pt>
              </c:strCache>
            </c:strRef>
          </c:tx>
          <c:spPr>
            <a:ln w="6350" cap="rnd">
              <a:solidFill>
                <a:schemeClr val="tx1">
                  <a:lumMod val="95000"/>
                  <a:lumOff val="5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'Kondensator an Gleichspannung'!$Y$31:$Z$31</c:f>
              <c:numCache>
                <c:formatCode>General</c:formatCode>
                <c:ptCount val="2"/>
                <c:pt idx="0">
                  <c:v>0</c:v>
                </c:pt>
                <c:pt idx="1">
                  <c:v>40</c:v>
                </c:pt>
              </c:numCache>
            </c:numRef>
          </c:xVal>
          <c:yVal>
            <c:numRef>
              <c:f>'Kondensator an Gleichspannung'!$Y$32:$Z$32</c:f>
              <c:numCache>
                <c:formatCode>#,##0.00</c:formatCode>
                <c:ptCount val="2"/>
                <c:pt idx="0">
                  <c:v>55</c:v>
                </c:pt>
                <c:pt idx="1">
                  <c:v>55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02A-40EE-B37B-F9E99BA938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3894383"/>
        <c:axId val="473905903"/>
      </c:scatterChart>
      <c:valAx>
        <c:axId val="4738943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73905903"/>
        <c:crosses val="autoZero"/>
        <c:crossBetween val="midCat"/>
      </c:valAx>
      <c:valAx>
        <c:axId val="473905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7389438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ayout>
        <c:manualLayout>
          <c:xMode val="edge"/>
          <c:yMode val="edge"/>
          <c:x val="0.3639681542236089"/>
          <c:y val="0.89343802363687586"/>
          <c:w val="0.15493116141908331"/>
          <c:h val="4.517215410307304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'Kondensator an Gleichspannung'!$N$44</c:f>
              <c:strCache>
                <c:ptCount val="1"/>
                <c:pt idx="0">
                  <c:v>y = 1 - e-x =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'Kondensator an Gleichspannung'!$O$43:$Y$43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xVal>
          <c:yVal>
            <c:numRef>
              <c:f>'Kondensator an Gleichspannung'!$O$44:$Y$44</c:f>
              <c:numCache>
                <c:formatCode>0.0%</c:formatCode>
                <c:ptCount val="11"/>
                <c:pt idx="0">
                  <c:v>0</c:v>
                </c:pt>
                <c:pt idx="1">
                  <c:v>0.63212055882855767</c:v>
                </c:pt>
                <c:pt idx="2">
                  <c:v>0.8646647167633873</c:v>
                </c:pt>
                <c:pt idx="3">
                  <c:v>0.95021293163213605</c:v>
                </c:pt>
                <c:pt idx="4">
                  <c:v>0.98168436111126578</c:v>
                </c:pt>
                <c:pt idx="5">
                  <c:v>0.99326205300091452</c:v>
                </c:pt>
                <c:pt idx="6">
                  <c:v>0.99752124782333362</c:v>
                </c:pt>
                <c:pt idx="7">
                  <c:v>0.99908811803444553</c:v>
                </c:pt>
                <c:pt idx="8">
                  <c:v>0.99966453737209748</c:v>
                </c:pt>
                <c:pt idx="9">
                  <c:v>0.99987659019591335</c:v>
                </c:pt>
                <c:pt idx="10">
                  <c:v>0.99995460007023751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38A-4229-8B3C-AAD0B3F5C5A4}"/>
            </c:ext>
          </c:extLst>
        </c:ser>
        <c:ser>
          <c:idx val="1"/>
          <c:order val="1"/>
          <c:tx>
            <c:strRef>
              <c:f>'Kondensator an Gleichspannung'!$N$45</c:f>
              <c:strCache>
                <c:ptCount val="1"/>
                <c:pt idx="0">
                  <c:v>y = e-x =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'Kondensator an Gleichspannung'!$O$43:$Y$43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xVal>
          <c:yVal>
            <c:numRef>
              <c:f>'Kondensator an Gleichspannung'!$O$45:$Y$45</c:f>
              <c:numCache>
                <c:formatCode>0.0%</c:formatCode>
                <c:ptCount val="11"/>
                <c:pt idx="0">
                  <c:v>1</c:v>
                </c:pt>
                <c:pt idx="1">
                  <c:v>0.36787944117144233</c:v>
                </c:pt>
                <c:pt idx="2">
                  <c:v>0.1353352832366127</c:v>
                </c:pt>
                <c:pt idx="3">
                  <c:v>4.9787068367863944E-2</c:v>
                </c:pt>
                <c:pt idx="4">
                  <c:v>1.8315638888734179E-2</c:v>
                </c:pt>
                <c:pt idx="5">
                  <c:v>6.737946999085467E-3</c:v>
                </c:pt>
                <c:pt idx="6">
                  <c:v>2.4787521766663585E-3</c:v>
                </c:pt>
                <c:pt idx="7">
                  <c:v>9.1188196555451624E-4</c:v>
                </c:pt>
                <c:pt idx="8">
                  <c:v>3.3546262790251185E-4</c:v>
                </c:pt>
                <c:pt idx="9">
                  <c:v>1.2340980408667956E-4</c:v>
                </c:pt>
                <c:pt idx="10">
                  <c:v>4.5399929762484854E-5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605-41CF-8C89-A5E6A2D631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9752272"/>
        <c:axId val="319753232"/>
      </c:scatterChart>
      <c:valAx>
        <c:axId val="3197522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319753232"/>
        <c:crosses val="autoZero"/>
        <c:crossBetween val="midCat"/>
      </c:valAx>
      <c:valAx>
        <c:axId val="319753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3197522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/>
              <a:t>Entladekurve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0.1583252249370003"/>
          <c:y val="0.17191196038432627"/>
          <c:w val="0.79310299606026013"/>
          <c:h val="0.64146803683437881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'Kondensator an Gleichspannung'!$B$34</c:f>
              <c:strCache>
                <c:ptCount val="1"/>
                <c:pt idx="0">
                  <c:v>UC(t) = U0(e^(-t/RC))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'Kondensator an Gleichspannung'!$C$32:$W$32</c:f>
              <c:numCache>
                <c:formatCode>General</c:formatCode>
                <c:ptCount val="2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</c:numCache>
            </c:numRef>
          </c:xVal>
          <c:yVal>
            <c:numRef>
              <c:f>'Kondensator an Gleichspannung'!$C$34:$W$34</c:f>
              <c:numCache>
                <c:formatCode>#,##0.00</c:formatCode>
                <c:ptCount val="21"/>
                <c:pt idx="0">
                  <c:v>55</c:v>
                </c:pt>
                <c:pt idx="1">
                  <c:v>3.0578787139746315E-47</c:v>
                </c:pt>
                <c:pt idx="2">
                  <c:v>1.7001131326143899E-95</c:v>
                </c:pt>
                <c:pt idx="3">
                  <c:v>9.4522541083094524E-144</c:v>
                </c:pt>
                <c:pt idx="4">
                  <c:v>5.2552448430689352E-192</c:v>
                </c:pt>
                <c:pt idx="5">
                  <c:v>2.9218002440626845E-240</c:v>
                </c:pt>
                <c:pt idx="6">
                  <c:v>1.6244565041464168E-288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8EF-4A63-BABB-8201D53F8D5A}"/>
            </c:ext>
          </c:extLst>
        </c:ser>
        <c:ser>
          <c:idx val="1"/>
          <c:order val="1"/>
          <c:tx>
            <c:strRef>
              <c:f>'Kondensator an Gleichspannung'!$H$72</c:f>
              <c:strCache>
                <c:ptCount val="1"/>
                <c:pt idx="0">
                  <c:v>Vertikale:</c:v>
                </c:pt>
              </c:strCache>
            </c:strRef>
          </c:tx>
          <c:spPr>
            <a:ln w="9525" cap="rnd">
              <a:solidFill>
                <a:schemeClr val="tx1">
                  <a:lumMod val="95000"/>
                  <a:lumOff val="5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'Kondensator an Gleichspannung'!$H$73:$I$73</c:f>
              <c:numCache>
                <c:formatCode>General</c:formatCode>
                <c:ptCount val="2"/>
                <c:pt idx="0">
                  <c:v>1.7999999999999999E-2</c:v>
                </c:pt>
                <c:pt idx="1">
                  <c:v>1.7999999999999999E-2</c:v>
                </c:pt>
              </c:numCache>
            </c:numRef>
          </c:xVal>
          <c:yVal>
            <c:numRef>
              <c:f>'Kondensator an Gleichspannung'!$H$74:$I$74</c:f>
              <c:numCache>
                <c:formatCode>General</c:formatCode>
                <c:ptCount val="2"/>
                <c:pt idx="0">
                  <c:v>0</c:v>
                </c:pt>
                <c:pt idx="1">
                  <c:v>20.233369264429328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8EF-4A63-BABB-8201D53F8D5A}"/>
            </c:ext>
          </c:extLst>
        </c:ser>
        <c:ser>
          <c:idx val="2"/>
          <c:order val="2"/>
          <c:tx>
            <c:strRef>
              <c:f>'Kondensator an Gleichspannung'!$H$76</c:f>
              <c:strCache>
                <c:ptCount val="1"/>
                <c:pt idx="0">
                  <c:v>Horizontale:</c:v>
                </c:pt>
              </c:strCache>
            </c:strRef>
          </c:tx>
          <c:spPr>
            <a:ln w="9525" cap="rnd">
              <a:solidFill>
                <a:schemeClr val="bg2">
                  <a:lumMod val="10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'Kondensator an Gleichspannung'!$H$77:$I$77</c:f>
              <c:numCache>
                <c:formatCode>General</c:formatCode>
                <c:ptCount val="2"/>
                <c:pt idx="0">
                  <c:v>0</c:v>
                </c:pt>
                <c:pt idx="1">
                  <c:v>1.7999999999999999E-2</c:v>
                </c:pt>
              </c:numCache>
            </c:numRef>
          </c:xVal>
          <c:yVal>
            <c:numRef>
              <c:f>'Kondensator an Gleichspannung'!$H$78:$I$78</c:f>
              <c:numCache>
                <c:formatCode>General</c:formatCode>
                <c:ptCount val="2"/>
                <c:pt idx="0">
                  <c:v>20.233369264429328</c:v>
                </c:pt>
                <c:pt idx="1">
                  <c:v>20.233369264429328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8EF-4A63-BABB-8201D53F8D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3894383"/>
        <c:axId val="473905903"/>
      </c:scatterChart>
      <c:valAx>
        <c:axId val="4738943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73905903"/>
        <c:crosses val="autoZero"/>
        <c:crossBetween val="midCat"/>
      </c:valAx>
      <c:valAx>
        <c:axId val="473905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7389438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1"/>
        <c:delete val="1"/>
      </c:legendEntry>
      <c:legendEntry>
        <c:idx val="2"/>
        <c:delete val="1"/>
      </c:legendEntry>
      <c:layout>
        <c:manualLayout>
          <c:xMode val="edge"/>
          <c:yMode val="edge"/>
          <c:x val="0.3639681542236089"/>
          <c:y val="0.89343802363687586"/>
          <c:w val="0.15493116141908331"/>
          <c:h val="4.524338952393679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/>
              <a:t>Belastete</a:t>
            </a:r>
            <a:r>
              <a:rPr lang="de-CH" baseline="0"/>
              <a:t> Spannungsquelle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0.13186775797417136"/>
          <c:y val="0.12766598220396988"/>
          <c:w val="0.84548937303880889"/>
          <c:h val="0.61903939543788911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'Quelle mit Innenwiderstand'!$I$12</c:f>
              <c:strCache>
                <c:ptCount val="1"/>
                <c:pt idx="0">
                  <c:v>I = U0/(Ri + RL)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'Quelle mit Innenwiderstand'!$J$11:$AD$11</c:f>
              <c:numCache>
                <c:formatCode>General</c:formatCode>
                <c:ptCount val="2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0.30000000000000004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0.79999999999999993</c:v>
                </c:pt>
                <c:pt idx="9">
                  <c:v>0.89999999999999991</c:v>
                </c:pt>
                <c:pt idx="10">
                  <c:v>0.99999999999999989</c:v>
                </c:pt>
                <c:pt idx="11">
                  <c:v>1.0999999999999999</c:v>
                </c:pt>
                <c:pt idx="12">
                  <c:v>1.2</c:v>
                </c:pt>
                <c:pt idx="13">
                  <c:v>1.3</c:v>
                </c:pt>
                <c:pt idx="14">
                  <c:v>1.4000000000000001</c:v>
                </c:pt>
                <c:pt idx="15">
                  <c:v>1.5000000000000002</c:v>
                </c:pt>
                <c:pt idx="16">
                  <c:v>1.6000000000000003</c:v>
                </c:pt>
                <c:pt idx="17">
                  <c:v>1.7000000000000004</c:v>
                </c:pt>
                <c:pt idx="18">
                  <c:v>1.8000000000000005</c:v>
                </c:pt>
                <c:pt idx="19">
                  <c:v>1.9000000000000006</c:v>
                </c:pt>
                <c:pt idx="20">
                  <c:v>2.0000000000000004</c:v>
                </c:pt>
              </c:numCache>
            </c:numRef>
          </c:xVal>
          <c:yVal>
            <c:numRef>
              <c:f>'Quelle mit Innenwiderstand'!$J$12:$AD$12</c:f>
              <c:numCache>
                <c:formatCode>#,##0.00</c:formatCode>
                <c:ptCount val="21"/>
                <c:pt idx="0">
                  <c:v>2.2142857142857144</c:v>
                </c:pt>
                <c:pt idx="1">
                  <c:v>1.9375000000000002</c:v>
                </c:pt>
                <c:pt idx="2">
                  <c:v>1.7222222222222225</c:v>
                </c:pt>
                <c:pt idx="3">
                  <c:v>1.55</c:v>
                </c:pt>
                <c:pt idx="4">
                  <c:v>1.4090909090909089</c:v>
                </c:pt>
                <c:pt idx="5">
                  <c:v>1.2916666666666667</c:v>
                </c:pt>
                <c:pt idx="6">
                  <c:v>1.1923076923076925</c:v>
                </c:pt>
                <c:pt idx="7">
                  <c:v>1.1071428571428572</c:v>
                </c:pt>
                <c:pt idx="8">
                  <c:v>1.0333333333333334</c:v>
                </c:pt>
                <c:pt idx="9">
                  <c:v>0.96875000000000011</c:v>
                </c:pt>
                <c:pt idx="10">
                  <c:v>0.91176470588235314</c:v>
                </c:pt>
                <c:pt idx="11">
                  <c:v>0.86111111111111127</c:v>
                </c:pt>
                <c:pt idx="12">
                  <c:v>0.81578947368421062</c:v>
                </c:pt>
                <c:pt idx="13">
                  <c:v>0.77500000000000002</c:v>
                </c:pt>
                <c:pt idx="14">
                  <c:v>0.73809523809523814</c:v>
                </c:pt>
                <c:pt idx="15">
                  <c:v>0.70454545454545447</c:v>
                </c:pt>
                <c:pt idx="16">
                  <c:v>0.67391304347826086</c:v>
                </c:pt>
                <c:pt idx="17">
                  <c:v>0.64583333333333326</c:v>
                </c:pt>
                <c:pt idx="18">
                  <c:v>0.61999999999999988</c:v>
                </c:pt>
                <c:pt idx="19">
                  <c:v>0.59615384615384603</c:v>
                </c:pt>
                <c:pt idx="20">
                  <c:v>0.57407407407407407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908-457F-A22A-284DFCA78046}"/>
            </c:ext>
          </c:extLst>
        </c:ser>
        <c:ser>
          <c:idx val="1"/>
          <c:order val="1"/>
          <c:tx>
            <c:strRef>
              <c:f>'Quelle mit Innenwiderstand'!$I$13</c:f>
              <c:strCache>
                <c:ptCount val="1"/>
                <c:pt idx="0">
                  <c:v>U = RL * I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xVal>
            <c:numRef>
              <c:f>'Quelle mit Innenwiderstand'!$J$11:$AD$11</c:f>
              <c:numCache>
                <c:formatCode>General</c:formatCode>
                <c:ptCount val="2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0.30000000000000004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0.79999999999999993</c:v>
                </c:pt>
                <c:pt idx="9">
                  <c:v>0.89999999999999991</c:v>
                </c:pt>
                <c:pt idx="10">
                  <c:v>0.99999999999999989</c:v>
                </c:pt>
                <c:pt idx="11">
                  <c:v>1.0999999999999999</c:v>
                </c:pt>
                <c:pt idx="12">
                  <c:v>1.2</c:v>
                </c:pt>
                <c:pt idx="13">
                  <c:v>1.3</c:v>
                </c:pt>
                <c:pt idx="14">
                  <c:v>1.4000000000000001</c:v>
                </c:pt>
                <c:pt idx="15">
                  <c:v>1.5000000000000002</c:v>
                </c:pt>
                <c:pt idx="16">
                  <c:v>1.6000000000000003</c:v>
                </c:pt>
                <c:pt idx="17">
                  <c:v>1.7000000000000004</c:v>
                </c:pt>
                <c:pt idx="18">
                  <c:v>1.8000000000000005</c:v>
                </c:pt>
                <c:pt idx="19">
                  <c:v>1.9000000000000006</c:v>
                </c:pt>
                <c:pt idx="20">
                  <c:v>2.0000000000000004</c:v>
                </c:pt>
              </c:numCache>
            </c:numRef>
          </c:xVal>
          <c:yVal>
            <c:numRef>
              <c:f>'Quelle mit Innenwiderstand'!$J$13:$AD$13</c:f>
              <c:numCache>
                <c:formatCode>#,##0.00</c:formatCode>
                <c:ptCount val="21"/>
                <c:pt idx="0">
                  <c:v>0</c:v>
                </c:pt>
                <c:pt idx="1">
                  <c:v>0.19375000000000003</c:v>
                </c:pt>
                <c:pt idx="2">
                  <c:v>0.34444444444444455</c:v>
                </c:pt>
                <c:pt idx="3">
                  <c:v>0.46500000000000008</c:v>
                </c:pt>
                <c:pt idx="4">
                  <c:v>0.5636363636363636</c:v>
                </c:pt>
                <c:pt idx="5">
                  <c:v>0.64583333333333337</c:v>
                </c:pt>
                <c:pt idx="6">
                  <c:v>0.71538461538461551</c:v>
                </c:pt>
                <c:pt idx="7">
                  <c:v>0.77500000000000002</c:v>
                </c:pt>
                <c:pt idx="8">
                  <c:v>0.82666666666666666</c:v>
                </c:pt>
                <c:pt idx="9">
                  <c:v>0.87187500000000007</c:v>
                </c:pt>
                <c:pt idx="10">
                  <c:v>0.91176470588235303</c:v>
                </c:pt>
                <c:pt idx="11">
                  <c:v>0.9472222222222223</c:v>
                </c:pt>
                <c:pt idx="12">
                  <c:v>0.97894736842105268</c:v>
                </c:pt>
                <c:pt idx="13">
                  <c:v>1.0075000000000001</c:v>
                </c:pt>
                <c:pt idx="14">
                  <c:v>1.0333333333333334</c:v>
                </c:pt>
                <c:pt idx="15">
                  <c:v>1.0568181818181819</c:v>
                </c:pt>
                <c:pt idx="16">
                  <c:v>1.0782608695652176</c:v>
                </c:pt>
                <c:pt idx="17">
                  <c:v>1.0979166666666669</c:v>
                </c:pt>
                <c:pt idx="18">
                  <c:v>1.1160000000000001</c:v>
                </c:pt>
                <c:pt idx="19">
                  <c:v>1.1326923076923079</c:v>
                </c:pt>
                <c:pt idx="20">
                  <c:v>1.1481481481481484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908-457F-A22A-284DFCA78046}"/>
            </c:ext>
          </c:extLst>
        </c:ser>
        <c:ser>
          <c:idx val="2"/>
          <c:order val="2"/>
          <c:tx>
            <c:strRef>
              <c:f>'Quelle mit Innenwiderstand'!$I$14</c:f>
              <c:strCache>
                <c:ptCount val="1"/>
                <c:pt idx="0">
                  <c:v>PRL = U * I</c:v>
                </c:pt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xVal>
            <c:numRef>
              <c:f>'Quelle mit Innenwiderstand'!$J$11:$AD$11</c:f>
              <c:numCache>
                <c:formatCode>General</c:formatCode>
                <c:ptCount val="2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0.30000000000000004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0.79999999999999993</c:v>
                </c:pt>
                <c:pt idx="9">
                  <c:v>0.89999999999999991</c:v>
                </c:pt>
                <c:pt idx="10">
                  <c:v>0.99999999999999989</c:v>
                </c:pt>
                <c:pt idx="11">
                  <c:v>1.0999999999999999</c:v>
                </c:pt>
                <c:pt idx="12">
                  <c:v>1.2</c:v>
                </c:pt>
                <c:pt idx="13">
                  <c:v>1.3</c:v>
                </c:pt>
                <c:pt idx="14">
                  <c:v>1.4000000000000001</c:v>
                </c:pt>
                <c:pt idx="15">
                  <c:v>1.5000000000000002</c:v>
                </c:pt>
                <c:pt idx="16">
                  <c:v>1.6000000000000003</c:v>
                </c:pt>
                <c:pt idx="17">
                  <c:v>1.7000000000000004</c:v>
                </c:pt>
                <c:pt idx="18">
                  <c:v>1.8000000000000005</c:v>
                </c:pt>
                <c:pt idx="19">
                  <c:v>1.9000000000000006</c:v>
                </c:pt>
                <c:pt idx="20">
                  <c:v>2.0000000000000004</c:v>
                </c:pt>
              </c:numCache>
            </c:numRef>
          </c:xVal>
          <c:yVal>
            <c:numRef>
              <c:f>'Quelle mit Innenwiderstand'!$J$14:$AD$14</c:f>
              <c:numCache>
                <c:formatCode>#,##0.00</c:formatCode>
                <c:ptCount val="21"/>
                <c:pt idx="0">
                  <c:v>0</c:v>
                </c:pt>
                <c:pt idx="1">
                  <c:v>0.37539062500000009</c:v>
                </c:pt>
                <c:pt idx="2">
                  <c:v>0.59320987654321022</c:v>
                </c:pt>
                <c:pt idx="3">
                  <c:v>0.72075000000000011</c:v>
                </c:pt>
                <c:pt idx="4">
                  <c:v>0.79421487603305774</c:v>
                </c:pt>
                <c:pt idx="5">
                  <c:v>0.83420138888888895</c:v>
                </c:pt>
                <c:pt idx="6">
                  <c:v>0.85295857988165713</c:v>
                </c:pt>
                <c:pt idx="7">
                  <c:v>0.85803571428571435</c:v>
                </c:pt>
                <c:pt idx="8">
                  <c:v>0.85422222222222233</c:v>
                </c:pt>
                <c:pt idx="9">
                  <c:v>0.8446289062500002</c:v>
                </c:pt>
                <c:pt idx="10">
                  <c:v>0.83131487889273381</c:v>
                </c:pt>
                <c:pt idx="11">
                  <c:v>0.81566358024691377</c:v>
                </c:pt>
                <c:pt idx="12">
                  <c:v>0.79861495844875363</c:v>
                </c:pt>
                <c:pt idx="13">
                  <c:v>0.78081250000000002</c:v>
                </c:pt>
                <c:pt idx="14">
                  <c:v>0.76269841269841276</c:v>
                </c:pt>
                <c:pt idx="15">
                  <c:v>0.74457644628099173</c:v>
                </c:pt>
                <c:pt idx="16">
                  <c:v>0.72665406427221191</c:v>
                </c:pt>
                <c:pt idx="17">
                  <c:v>0.70907118055555562</c:v>
                </c:pt>
                <c:pt idx="18">
                  <c:v>0.69191999999999998</c:v>
                </c:pt>
                <c:pt idx="19">
                  <c:v>0.67525887573964494</c:v>
                </c:pt>
                <c:pt idx="20">
                  <c:v>0.65912208504801106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908-457F-A22A-284DFCA78046}"/>
            </c:ext>
          </c:extLst>
        </c:ser>
        <c:ser>
          <c:idx val="3"/>
          <c:order val="3"/>
          <c:tx>
            <c:strRef>
              <c:f>'Quelle mit Innenwiderstand'!$N$5</c:f>
              <c:strCache>
                <c:ptCount val="1"/>
                <c:pt idx="0">
                  <c:v>Leistungsanpassung: RL = Ri</c:v>
                </c:pt>
              </c:strCache>
            </c:strRef>
          </c:tx>
          <c:spPr>
            <a:ln w="19050" cap="rnd">
              <a:solidFill>
                <a:srgbClr val="7030A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'Quelle mit Innenwiderstand'!$Q$6:$R$6</c:f>
              <c:numCache>
                <c:formatCode>General</c:formatCode>
                <c:ptCount val="2"/>
                <c:pt idx="0">
                  <c:v>0.7</c:v>
                </c:pt>
                <c:pt idx="1">
                  <c:v>0.7</c:v>
                </c:pt>
              </c:numCache>
            </c:numRef>
          </c:xVal>
          <c:yVal>
            <c:numRef>
              <c:f>'Quelle mit Innenwiderstand'!$Q$7:$R$7</c:f>
              <c:numCache>
                <c:formatCode>#,##0.00</c:formatCode>
                <c:ptCount val="2"/>
                <c:pt idx="0" formatCode="General">
                  <c:v>0</c:v>
                </c:pt>
                <c:pt idx="1">
                  <c:v>1.1071428571428572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908-457F-A22A-284DFCA780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5167951"/>
        <c:axId val="565161711"/>
      </c:scatterChart>
      <c:valAx>
        <c:axId val="5651679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 sz="1200"/>
                  <a:t>R</a:t>
                </a:r>
                <a:r>
                  <a:rPr lang="de-CH" sz="1200" baseline="-25000"/>
                  <a:t>Last</a:t>
                </a:r>
                <a:endParaRPr lang="de-CH" baseline="-250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CH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65161711"/>
        <c:crosses val="autoZero"/>
        <c:crossBetween val="midCat"/>
      </c:valAx>
      <c:valAx>
        <c:axId val="565161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/>
                  <a:t>Strom,</a:t>
                </a:r>
                <a:r>
                  <a:rPr lang="de-CH" baseline="0"/>
                  <a:t> Spannung, Leistung</a:t>
                </a:r>
                <a:endParaRPr lang="de-CH"/>
              </a:p>
            </c:rich>
          </c:tx>
          <c:layout>
            <c:manualLayout>
              <c:xMode val="edge"/>
              <c:yMode val="edge"/>
              <c:x val="3.6215895127538193E-2"/>
              <c:y val="0.2830172409147008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CH"/>
            </a:p>
          </c:txPr>
        </c:title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651679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2.9292688520386512E-2"/>
          <c:y val="0.86875368505014905"/>
          <c:w val="0.74581542035741466"/>
          <c:h val="8.050035839975855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U-I Kurve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'Quelle mit Innenwiderstand'!$J$19:$J$24</c:f>
              <c:numCache>
                <c:formatCode>#,##0.00</c:formatCode>
                <c:ptCount val="6"/>
                <c:pt idx="0">
                  <c:v>178.16091954022991</c:v>
                </c:pt>
                <c:pt idx="1">
                  <c:v>329.78723404255317</c:v>
                </c:pt>
                <c:pt idx="2">
                  <c:v>704.5454545454545</c:v>
                </c:pt>
                <c:pt idx="3">
                  <c:v>1068.9655172413795</c:v>
                </c:pt>
                <c:pt idx="4">
                  <c:v>1550</c:v>
                </c:pt>
                <c:pt idx="5">
                  <c:v>2214.2857142857142</c:v>
                </c:pt>
              </c:numCache>
            </c:numRef>
          </c:xVal>
          <c:yVal>
            <c:numRef>
              <c:f>'Quelle mit Innenwiderstand'!$K$19:$K$24</c:f>
              <c:numCache>
                <c:formatCode>#,##0.00</c:formatCode>
                <c:ptCount val="6"/>
                <c:pt idx="0">
                  <c:v>1.4252873563218393</c:v>
                </c:pt>
                <c:pt idx="1">
                  <c:v>1.3191489361702127</c:v>
                </c:pt>
                <c:pt idx="2">
                  <c:v>1.0568181818181817</c:v>
                </c:pt>
                <c:pt idx="3">
                  <c:v>0.8017241379310347</c:v>
                </c:pt>
                <c:pt idx="4">
                  <c:v>0.46500000000000002</c:v>
                </c:pt>
                <c:pt idx="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EB9-4A3C-ADC5-DF2176D53B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7077135"/>
        <c:axId val="857076655"/>
      </c:scatterChart>
      <c:valAx>
        <c:axId val="8570771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/>
                  <a:t>Stromstärke 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857076655"/>
        <c:crosses val="autoZero"/>
        <c:crossBetween val="midCat"/>
      </c:valAx>
      <c:valAx>
        <c:axId val="857076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/>
                  <a:t>Klemmenspannung U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8570771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Schiefeebene!$O$40</c:f>
              <c:strCache>
                <c:ptCount val="1"/>
                <c:pt idx="0">
                  <c:v>a = g⋅(sin(α)−μₖ​⋅cos(α)) =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dPt>
            <c:idx val="3"/>
            <c:marker>
              <c:symbol val="none"/>
            </c:marker>
            <c:bubble3D val="0"/>
            <c:spPr>
              <a:ln w="19050" cap="rnd">
                <a:solidFill>
                  <a:schemeClr val="accent1"/>
                </a:solidFill>
                <a:round/>
                <a:headEnd type="triangle" w="med" len="med"/>
                <a:tailEnd type="none" w="med" len="med"/>
              </a:ln>
              <a:effectLst/>
            </c:spPr>
            <c:extLst>
              <c:ext xmlns:c16="http://schemas.microsoft.com/office/drawing/2014/chart" uri="{C3380CC4-5D6E-409C-BE32-E72D297353CC}">
                <c16:uniqueId val="{00000007-066C-4401-A6E2-D68B063C863F}"/>
              </c:ext>
            </c:extLst>
          </c:dPt>
          <c:dPt>
            <c:idx val="17"/>
            <c:marker>
              <c:symbol val="none"/>
            </c:marker>
            <c:bubble3D val="0"/>
            <c:spPr>
              <a:ln w="19050" cap="rnd">
                <a:solidFill>
                  <a:schemeClr val="accent1"/>
                </a:solidFill>
                <a:round/>
                <a:headEnd type="triangle" w="med" len="med"/>
                <a:tailEnd type="triangle" w="med" len="med"/>
              </a:ln>
              <a:effectLst/>
            </c:spPr>
            <c:extLst>
              <c:ext xmlns:c16="http://schemas.microsoft.com/office/drawing/2014/chart" uri="{C3380CC4-5D6E-409C-BE32-E72D297353CC}">
                <c16:uniqueId val="{00000006-066C-4401-A6E2-D68B063C863F}"/>
              </c:ext>
            </c:extLst>
          </c:dPt>
          <c:xVal>
            <c:numRef>
              <c:f>Schiefeebene!$Q$32:$AI$32</c:f>
              <c:numCache>
                <c:formatCode>General</c:formatCode>
                <c:ptCount val="19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</c:numCache>
            </c:numRef>
          </c:xVal>
          <c:yVal>
            <c:numRef>
              <c:f>Schiefeebene!$Q$40:$AI$40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0.64386836127657632</c:v>
                </c:pt>
                <c:pt idx="4">
                  <c:v>1.5115406840428576</c:v>
                </c:pt>
                <c:pt idx="5">
                  <c:v>2.3677092695103545</c:v>
                </c:pt>
                <c:pt idx="6">
                  <c:v>3.205858157774931</c:v>
                </c:pt>
                <c:pt idx="7">
                  <c:v>4.0196085297087603</c:v>
                </c:pt>
                <c:pt idx="8">
                  <c:v>4.8027672536255155</c:v>
                </c:pt>
                <c:pt idx="9">
                  <c:v>5.5493740187520242</c:v>
                </c:pt>
                <c:pt idx="10">
                  <c:v>6.2537466967921844</c:v>
                </c:pt>
                <c:pt idx="11">
                  <c:v>6.9105245863542581</c:v>
                </c:pt>
                <c:pt idx="12">
                  <c:v>7.514709211125342</c:v>
                </c:pt>
                <c:pt idx="13">
                  <c:v>8.0617023612942837</c:v>
                </c:pt>
                <c:pt idx="14">
                  <c:v>8.5473410887047994</c:v>
                </c:pt>
                <c:pt idx="15">
                  <c:v>8.967929389404615</c:v>
                </c:pt>
                <c:pt idx="16">
                  <c:v>9.3202663324672432</c:v>
                </c:pt>
                <c:pt idx="17">
                  <c:v>9.6016704210091195</c:v>
                </c:pt>
                <c:pt idx="18">
                  <c:v>9.81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66C-4401-A6E2-D68B063C863F}"/>
            </c:ext>
          </c:extLst>
        </c:ser>
        <c:ser>
          <c:idx val="1"/>
          <c:order val="1"/>
          <c:tx>
            <c:strRef>
              <c:f>Schiefeebene!$AH$41</c:f>
              <c:strCache>
                <c:ptCount val="1"/>
                <c:pt idx="0">
                  <c:v>Haften -&gt; Gleiten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  <a:headEnd type="none" w="med" len="med"/>
              <a:tailEnd type="triangle" w="med" len="med"/>
            </a:ln>
            <a:effectLst/>
          </c:spPr>
          <c:marker>
            <c:symbol val="none"/>
          </c:marker>
          <c:xVal>
            <c:numRef>
              <c:f>Schiefeebene!$AI$41:$AK$41</c:f>
              <c:numCache>
                <c:formatCode>#,##0.00</c:formatCode>
                <c:ptCount val="3"/>
                <c:pt idx="0">
                  <c:v>0</c:v>
                </c:pt>
                <c:pt idx="1">
                  <c:v>30.963756532073521</c:v>
                </c:pt>
                <c:pt idx="2">
                  <c:v>30.963756532073521</c:v>
                </c:pt>
              </c:numCache>
            </c:numRef>
          </c:xVal>
          <c:yVal>
            <c:numRef>
              <c:f>Schiefeebene!$AI$42:$AK$42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3.3648022404960245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66C-4401-A6E2-D68B063C86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3863008"/>
        <c:axId val="553868288"/>
      </c:scatterChart>
      <c:valAx>
        <c:axId val="5538630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53868288"/>
        <c:crosses val="autoZero"/>
        <c:crossBetween val="midCat"/>
      </c:valAx>
      <c:valAx>
        <c:axId val="553868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538630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3.5641579532087145E-2"/>
          <c:y val="2.1212121672244021E-2"/>
          <c:w val="0.89009129359281547"/>
          <c:h val="0.92825474346011461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'Leistung bei Wechselstrom'!$D$10</c:f>
              <c:strCache>
                <c:ptCount val="1"/>
                <c:pt idx="0">
                  <c:v>Û * sin(x + φU)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xVal>
            <c:numRef>
              <c:f>'Leistung bei Wechselstrom'!$F$8:$AT$8</c:f>
              <c:numCache>
                <c:formatCode>General</c:formatCode>
                <c:ptCount val="4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</c:numCache>
            </c:numRef>
          </c:xVal>
          <c:yVal>
            <c:numRef>
              <c:f>'Leistung bei Wechselstrom'!$F$10:$AT$10</c:f>
              <c:numCache>
                <c:formatCode>#,##0.00</c:formatCode>
                <c:ptCount val="41"/>
                <c:pt idx="0">
                  <c:v>0.86602540378443871</c:v>
                </c:pt>
                <c:pt idx="1">
                  <c:v>0.76604444311897835</c:v>
                </c:pt>
                <c:pt idx="2">
                  <c:v>0.64278760968653947</c:v>
                </c:pt>
                <c:pt idx="3">
                  <c:v>0.50000000000000033</c:v>
                </c:pt>
                <c:pt idx="4">
                  <c:v>0.34202014332566888</c:v>
                </c:pt>
                <c:pt idx="5">
                  <c:v>0.17364817766693069</c:v>
                </c:pt>
                <c:pt idx="6">
                  <c:v>1.22514845490862E-16</c:v>
                </c:pt>
                <c:pt idx="7">
                  <c:v>-0.17364817766693003</c:v>
                </c:pt>
                <c:pt idx="8">
                  <c:v>-0.34202014332566821</c:v>
                </c:pt>
                <c:pt idx="9">
                  <c:v>-0.49999999999999972</c:v>
                </c:pt>
                <c:pt idx="10">
                  <c:v>-0.64278760968653925</c:v>
                </c:pt>
                <c:pt idx="11">
                  <c:v>-0.7660444431189779</c:v>
                </c:pt>
                <c:pt idx="12">
                  <c:v>-0.86602540378443837</c:v>
                </c:pt>
                <c:pt idx="13">
                  <c:v>-0.93969262078590843</c:v>
                </c:pt>
                <c:pt idx="14">
                  <c:v>-0.98480775301220802</c:v>
                </c:pt>
                <c:pt idx="15">
                  <c:v>-1</c:v>
                </c:pt>
                <c:pt idx="16">
                  <c:v>-0.98480775301220813</c:v>
                </c:pt>
                <c:pt idx="17">
                  <c:v>-0.93969262078590854</c:v>
                </c:pt>
                <c:pt idx="18">
                  <c:v>-0.86602540378443904</c:v>
                </c:pt>
                <c:pt idx="19">
                  <c:v>-0.76604444311897812</c:v>
                </c:pt>
                <c:pt idx="20">
                  <c:v>-0.64278760968653958</c:v>
                </c:pt>
                <c:pt idx="21">
                  <c:v>-0.49999999999999967</c:v>
                </c:pt>
                <c:pt idx="22">
                  <c:v>-0.3420201433256686</c:v>
                </c:pt>
                <c:pt idx="23">
                  <c:v>-0.17364817766693039</c:v>
                </c:pt>
                <c:pt idx="24">
                  <c:v>-2.45029690981724E-16</c:v>
                </c:pt>
                <c:pt idx="25">
                  <c:v>0.17364817766692991</c:v>
                </c:pt>
                <c:pt idx="26">
                  <c:v>0.3420201433256681</c:v>
                </c:pt>
                <c:pt idx="27">
                  <c:v>0.49999999999999928</c:v>
                </c:pt>
                <c:pt idx="28">
                  <c:v>0.64278760968653847</c:v>
                </c:pt>
                <c:pt idx="29">
                  <c:v>0.76604444311897724</c:v>
                </c:pt>
                <c:pt idx="30">
                  <c:v>0.86602540378443882</c:v>
                </c:pt>
                <c:pt idx="31">
                  <c:v>0.93969262078590843</c:v>
                </c:pt>
                <c:pt idx="32">
                  <c:v>0.98480775301220802</c:v>
                </c:pt>
                <c:pt idx="33">
                  <c:v>1</c:v>
                </c:pt>
                <c:pt idx="34">
                  <c:v>0.98480775301220813</c:v>
                </c:pt>
                <c:pt idx="35">
                  <c:v>0.93969262078590865</c:v>
                </c:pt>
                <c:pt idx="36">
                  <c:v>0.86602540378443915</c:v>
                </c:pt>
                <c:pt idx="37">
                  <c:v>0.76604444311897879</c:v>
                </c:pt>
                <c:pt idx="38">
                  <c:v>0.64278760968653903</c:v>
                </c:pt>
                <c:pt idx="39">
                  <c:v>0.50000000000000133</c:v>
                </c:pt>
                <c:pt idx="40">
                  <c:v>0.34202014332566871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DD0-41F0-8B94-FEB68C71545A}"/>
            </c:ext>
          </c:extLst>
        </c:ser>
        <c:ser>
          <c:idx val="1"/>
          <c:order val="1"/>
          <c:tx>
            <c:strRef>
              <c:f>'Leistung bei Wechselstrom'!$D$11</c:f>
              <c:strCache>
                <c:ptCount val="1"/>
                <c:pt idx="0">
                  <c:v>Î * sin(x + φI)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'Leistung bei Wechselstrom'!$F$8:$AT$8</c:f>
              <c:numCache>
                <c:formatCode>General</c:formatCode>
                <c:ptCount val="4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</c:numCache>
            </c:numRef>
          </c:xVal>
          <c:yVal>
            <c:numRef>
              <c:f>'Leistung bei Wechselstrom'!$F$11:$AT$11</c:f>
              <c:numCache>
                <c:formatCode>#,##0.00</c:formatCode>
                <c:ptCount val="41"/>
                <c:pt idx="0">
                  <c:v>2</c:v>
                </c:pt>
                <c:pt idx="1">
                  <c:v>1.969615506024416</c:v>
                </c:pt>
                <c:pt idx="2">
                  <c:v>1.8793852415718169</c:v>
                </c:pt>
                <c:pt idx="3">
                  <c:v>1.7320508075688774</c:v>
                </c:pt>
                <c:pt idx="4">
                  <c:v>1.532088886237956</c:v>
                </c:pt>
                <c:pt idx="5">
                  <c:v>1.2855752193730789</c:v>
                </c:pt>
                <c:pt idx="6">
                  <c:v>1.0000000000000007</c:v>
                </c:pt>
                <c:pt idx="7">
                  <c:v>0.68404028665133776</c:v>
                </c:pt>
                <c:pt idx="8">
                  <c:v>0.34729635533386055</c:v>
                </c:pt>
                <c:pt idx="9">
                  <c:v>2.45029690981724E-16</c:v>
                </c:pt>
                <c:pt idx="10">
                  <c:v>-0.34729635533386005</c:v>
                </c:pt>
                <c:pt idx="11">
                  <c:v>-0.68404028665133731</c:v>
                </c:pt>
                <c:pt idx="12">
                  <c:v>-0.99999999999999944</c:v>
                </c:pt>
                <c:pt idx="13">
                  <c:v>-1.2855752193730785</c:v>
                </c:pt>
                <c:pt idx="14">
                  <c:v>-1.5320888862379558</c:v>
                </c:pt>
                <c:pt idx="15">
                  <c:v>-1.7320508075688776</c:v>
                </c:pt>
                <c:pt idx="16">
                  <c:v>-1.8793852415718169</c:v>
                </c:pt>
                <c:pt idx="17">
                  <c:v>-1.969615506024416</c:v>
                </c:pt>
                <c:pt idx="18">
                  <c:v>-2</c:v>
                </c:pt>
                <c:pt idx="19">
                  <c:v>-1.9696155060244163</c:v>
                </c:pt>
                <c:pt idx="20">
                  <c:v>-1.8793852415718171</c:v>
                </c:pt>
                <c:pt idx="21">
                  <c:v>-1.7320508075688772</c:v>
                </c:pt>
                <c:pt idx="22">
                  <c:v>-1.5320888862379562</c:v>
                </c:pt>
                <c:pt idx="23">
                  <c:v>-1.2855752193730792</c:v>
                </c:pt>
                <c:pt idx="24">
                  <c:v>-1.0000000000000009</c:v>
                </c:pt>
                <c:pt idx="25">
                  <c:v>-0.68404028665133887</c:v>
                </c:pt>
                <c:pt idx="26">
                  <c:v>-0.34729635533386077</c:v>
                </c:pt>
                <c:pt idx="27">
                  <c:v>-4.90059381963448E-16</c:v>
                </c:pt>
                <c:pt idx="28">
                  <c:v>0.34729635533385983</c:v>
                </c:pt>
                <c:pt idx="29">
                  <c:v>0.6840402866513362</c:v>
                </c:pt>
                <c:pt idx="30">
                  <c:v>1</c:v>
                </c:pt>
                <c:pt idx="31">
                  <c:v>1.2855752193730783</c:v>
                </c:pt>
                <c:pt idx="32">
                  <c:v>1.5320888862379556</c:v>
                </c:pt>
                <c:pt idx="33">
                  <c:v>1.7320508075688767</c:v>
                </c:pt>
                <c:pt idx="34">
                  <c:v>1.8793852415718169</c:v>
                </c:pt>
                <c:pt idx="35">
                  <c:v>1.9696155060244158</c:v>
                </c:pt>
                <c:pt idx="36">
                  <c:v>2</c:v>
                </c:pt>
                <c:pt idx="37">
                  <c:v>1.9696155060244163</c:v>
                </c:pt>
                <c:pt idx="38">
                  <c:v>1.879385241571816</c:v>
                </c:pt>
                <c:pt idx="39">
                  <c:v>1.7320508075688783</c:v>
                </c:pt>
                <c:pt idx="40">
                  <c:v>1.5320888862379551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DD0-41F0-8B94-FEB68C71545A}"/>
            </c:ext>
          </c:extLst>
        </c:ser>
        <c:ser>
          <c:idx val="2"/>
          <c:order val="2"/>
          <c:tx>
            <c:strRef>
              <c:f>'Leistung bei Wechselstrom'!$D$12</c:f>
              <c:strCache>
                <c:ptCount val="1"/>
                <c:pt idx="0">
                  <c:v>Nicht gleichphasig</c:v>
                </c:pt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xVal>
            <c:numRef>
              <c:f>'Leistung bei Wechselstrom'!$F$8:$AT$8</c:f>
              <c:numCache>
                <c:formatCode>General</c:formatCode>
                <c:ptCount val="4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</c:numCache>
            </c:numRef>
          </c:xVal>
          <c:yVal>
            <c:numRef>
              <c:f>'Leistung bei Wechselstrom'!$F$12:$AT$12</c:f>
              <c:numCache>
                <c:formatCode>#,##0.00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DD0-41F0-8B94-FEB68C71545A}"/>
            </c:ext>
          </c:extLst>
        </c:ser>
        <c:ser>
          <c:idx val="3"/>
          <c:order val="3"/>
          <c:tx>
            <c:strRef>
              <c:f>'Leistung bei Wechselstrom'!$D$13</c:f>
              <c:strCache>
                <c:ptCount val="1"/>
                <c:pt idx="0">
                  <c:v>U(t) * I(t)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'Leistung bei Wechselstrom'!$F$8:$AT$8</c:f>
              <c:numCache>
                <c:formatCode>General</c:formatCode>
                <c:ptCount val="4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</c:numCache>
            </c:numRef>
          </c:xVal>
          <c:yVal>
            <c:numRef>
              <c:f>'Leistung bei Wechselstrom'!$F$13:$AT$13</c:f>
              <c:numCache>
                <c:formatCode>#,##0.00</c:formatCode>
                <c:ptCount val="41"/>
                <c:pt idx="0">
                  <c:v>1.7320508075688774</c:v>
                </c:pt>
                <c:pt idx="1">
                  <c:v>1.5088130134709785</c:v>
                </c:pt>
                <c:pt idx="2">
                  <c:v>1.2080455471101077</c:v>
                </c:pt>
                <c:pt idx="3">
                  <c:v>0.86602540378443926</c:v>
                </c:pt>
                <c:pt idx="4">
                  <c:v>0.52400526045877016</c:v>
                </c:pt>
                <c:pt idx="5">
                  <c:v>0.22323779409789982</c:v>
                </c:pt>
                <c:pt idx="6">
                  <c:v>1.2251484549086207E-16</c:v>
                </c:pt>
                <c:pt idx="7">
                  <c:v>-0.11878234922776924</c:v>
                </c:pt>
                <c:pt idx="8">
                  <c:v>-0.11878234922776919</c:v>
                </c:pt>
                <c:pt idx="9">
                  <c:v>-1.2251484549086193E-16</c:v>
                </c:pt>
                <c:pt idx="10">
                  <c:v>0.22323779409789887</c:v>
                </c:pt>
                <c:pt idx="11">
                  <c:v>0.52400526045876972</c:v>
                </c:pt>
                <c:pt idx="12">
                  <c:v>0.86602540378443793</c:v>
                </c:pt>
                <c:pt idx="13">
                  <c:v>1.2080455471101073</c:v>
                </c:pt>
                <c:pt idx="14">
                  <c:v>1.5088130134709776</c:v>
                </c:pt>
                <c:pt idx="15">
                  <c:v>1.7320508075688776</c:v>
                </c:pt>
                <c:pt idx="16">
                  <c:v>1.8508331567966469</c:v>
                </c:pt>
                <c:pt idx="17">
                  <c:v>1.8508331567966469</c:v>
                </c:pt>
                <c:pt idx="18">
                  <c:v>1.7320508075688781</c:v>
                </c:pt>
                <c:pt idx="19">
                  <c:v>1.5088130134709783</c:v>
                </c:pt>
                <c:pt idx="20">
                  <c:v>1.2080455471101081</c:v>
                </c:pt>
                <c:pt idx="21">
                  <c:v>0.86602540378443804</c:v>
                </c:pt>
                <c:pt idx="22">
                  <c:v>0.52400526045876983</c:v>
                </c:pt>
                <c:pt idx="23">
                  <c:v>0.22323779409789946</c:v>
                </c:pt>
                <c:pt idx="24">
                  <c:v>2.450296909817242E-16</c:v>
                </c:pt>
                <c:pt idx="25">
                  <c:v>-0.11878234922776935</c:v>
                </c:pt>
                <c:pt idx="26">
                  <c:v>-0.11878234922776922</c:v>
                </c:pt>
                <c:pt idx="27">
                  <c:v>-2.4502969098172366E-16</c:v>
                </c:pt>
                <c:pt idx="28">
                  <c:v>0.22323779409789846</c:v>
                </c:pt>
                <c:pt idx="29">
                  <c:v>0.52400526045876838</c:v>
                </c:pt>
                <c:pt idx="30">
                  <c:v>0.86602540378443882</c:v>
                </c:pt>
                <c:pt idx="31">
                  <c:v>1.208045547110107</c:v>
                </c:pt>
                <c:pt idx="32">
                  <c:v>1.5088130134709774</c:v>
                </c:pt>
                <c:pt idx="33">
                  <c:v>1.7320508075688767</c:v>
                </c:pt>
                <c:pt idx="34">
                  <c:v>1.8508331567966469</c:v>
                </c:pt>
                <c:pt idx="35">
                  <c:v>1.8508331567966469</c:v>
                </c:pt>
                <c:pt idx="36">
                  <c:v>1.7320508075688783</c:v>
                </c:pt>
                <c:pt idx="37">
                  <c:v>1.5088130134709796</c:v>
                </c:pt>
                <c:pt idx="38">
                  <c:v>1.2080455471101064</c:v>
                </c:pt>
                <c:pt idx="39">
                  <c:v>0.86602540378444148</c:v>
                </c:pt>
                <c:pt idx="40">
                  <c:v>0.52400526045876961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FDD0-41F0-8B94-FEB68C71545A}"/>
            </c:ext>
          </c:extLst>
        </c:ser>
        <c:ser>
          <c:idx val="4"/>
          <c:order val="4"/>
          <c:tx>
            <c:strRef>
              <c:f>'Leistung bei Wechselstrom'!$T$4</c:f>
              <c:strCache>
                <c:ptCount val="1"/>
                <c:pt idx="0">
                  <c:v>x-Achse:</c:v>
                </c:pt>
              </c:strCache>
            </c:strRef>
          </c:tx>
          <c:spPr>
            <a:ln w="38100" cap="rnd">
              <a:solidFill>
                <a:schemeClr val="tx1">
                  <a:lumMod val="95000"/>
                  <a:lumOff val="5000"/>
                </a:schemeClr>
              </a:solidFill>
              <a:round/>
              <a:headEnd type="none" w="med" len="med"/>
              <a:tailEnd type="triangle" w="med" len="med"/>
            </a:ln>
            <a:effectLst/>
          </c:spPr>
          <c:marker>
            <c:symbol val="none"/>
          </c:marker>
          <c:xVal>
            <c:numRef>
              <c:f>'Leistung bei Wechselstrom'!$U$4:$V$4</c:f>
              <c:numCache>
                <c:formatCode>General</c:formatCode>
                <c:ptCount val="2"/>
                <c:pt idx="0">
                  <c:v>0</c:v>
                </c:pt>
                <c:pt idx="1">
                  <c:v>400</c:v>
                </c:pt>
              </c:numCache>
            </c:numRef>
          </c:xVal>
          <c:yVal>
            <c:numRef>
              <c:f>'Leistung bei Wechselstrom'!$U$5:$V$5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FDD0-41F0-8B94-FEB68C71545A}"/>
            </c:ext>
          </c:extLst>
        </c:ser>
        <c:ser>
          <c:idx val="5"/>
          <c:order val="5"/>
          <c:tx>
            <c:strRef>
              <c:f>'Leistung bei Wechselstrom'!$Y$4</c:f>
              <c:strCache>
                <c:ptCount val="1"/>
                <c:pt idx="0">
                  <c:v>y-Achse:</c:v>
                </c:pt>
              </c:strCache>
            </c:strRef>
          </c:tx>
          <c:spPr>
            <a:ln w="38100" cap="rnd">
              <a:solidFill>
                <a:schemeClr val="tx1"/>
              </a:solidFill>
              <a:round/>
              <a:headEnd type="none" w="med" len="med"/>
              <a:tailEnd type="triangle" w="med" len="med"/>
            </a:ln>
            <a:effectLst/>
          </c:spPr>
          <c:marker>
            <c:symbol val="none"/>
          </c:marker>
          <c:xVal>
            <c:numRef>
              <c:f>'Leistung bei Wechselstrom'!$Z$4:$AA$4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'Leistung bei Wechselstrom'!$Z$5:$AA$5</c:f>
              <c:numCache>
                <c:formatCode>#,##0.00</c:formatCode>
                <c:ptCount val="2"/>
                <c:pt idx="0">
                  <c:v>-2</c:v>
                </c:pt>
                <c:pt idx="1">
                  <c:v>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FDD0-41F0-8B94-FEB68C7154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1672687"/>
        <c:axId val="2111662607"/>
      </c:scatterChart>
      <c:valAx>
        <c:axId val="21116726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/>
                  <a:t>Winkel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111662607"/>
        <c:crosses val="autoZero"/>
        <c:crossBetween val="midCat"/>
      </c:valAx>
      <c:valAx>
        <c:axId val="2111662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/>
                  <a:t>Amplitude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1116726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Sinus_Cosinus!$G$12</c:f>
              <c:strCache>
                <c:ptCount val="1"/>
                <c:pt idx="0">
                  <c:v>4 * sin(x) =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xVal>
            <c:numRef>
              <c:f>Sinus_Cosinus!$H$10:$AV$10</c:f>
              <c:numCache>
                <c:formatCode>General</c:formatCode>
                <c:ptCount val="4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</c:numCache>
            </c:numRef>
          </c:xVal>
          <c:yVal>
            <c:numRef>
              <c:f>Sinus_Cosinus!$H$12:$AV$12</c:f>
              <c:numCache>
                <c:formatCode>#,##0.00</c:formatCode>
                <c:ptCount val="41"/>
                <c:pt idx="0">
                  <c:v>0</c:v>
                </c:pt>
                <c:pt idx="1">
                  <c:v>0.69459271066772132</c:v>
                </c:pt>
                <c:pt idx="2">
                  <c:v>1.3680805733026749</c:v>
                </c:pt>
                <c:pt idx="3">
                  <c:v>1.9999999999999998</c:v>
                </c:pt>
                <c:pt idx="4">
                  <c:v>2.571150438746157</c:v>
                </c:pt>
                <c:pt idx="5">
                  <c:v>3.0641777724759121</c:v>
                </c:pt>
                <c:pt idx="6">
                  <c:v>3.4641016151377544</c:v>
                </c:pt>
                <c:pt idx="7">
                  <c:v>3.7587704831436333</c:v>
                </c:pt>
                <c:pt idx="8">
                  <c:v>3.9392310120488321</c:v>
                </c:pt>
                <c:pt idx="9">
                  <c:v>4</c:v>
                </c:pt>
                <c:pt idx="10">
                  <c:v>3.9392310120488321</c:v>
                </c:pt>
                <c:pt idx="11">
                  <c:v>3.7587704831436337</c:v>
                </c:pt>
                <c:pt idx="12">
                  <c:v>3.4641016151377548</c:v>
                </c:pt>
                <c:pt idx="13">
                  <c:v>3.0641777724759121</c:v>
                </c:pt>
                <c:pt idx="14">
                  <c:v>2.5711504387461579</c:v>
                </c:pt>
                <c:pt idx="15">
                  <c:v>1.9999999999999998</c:v>
                </c:pt>
                <c:pt idx="16">
                  <c:v>1.3680805733026755</c:v>
                </c:pt>
                <c:pt idx="17">
                  <c:v>0.6945927106677211</c:v>
                </c:pt>
                <c:pt idx="18">
                  <c:v>4.90059381963448E-16</c:v>
                </c:pt>
                <c:pt idx="19">
                  <c:v>-0.69459271066772188</c:v>
                </c:pt>
                <c:pt idx="20">
                  <c:v>-1.3680805733026746</c:v>
                </c:pt>
                <c:pt idx="21">
                  <c:v>-2.0000000000000004</c:v>
                </c:pt>
                <c:pt idx="22">
                  <c:v>-2.571150438746157</c:v>
                </c:pt>
                <c:pt idx="23">
                  <c:v>-3.0641777724759116</c:v>
                </c:pt>
                <c:pt idx="24">
                  <c:v>-3.4641016151377535</c:v>
                </c:pt>
                <c:pt idx="25">
                  <c:v>-3.7587704831436328</c:v>
                </c:pt>
                <c:pt idx="26">
                  <c:v>-3.9392310120488321</c:v>
                </c:pt>
                <c:pt idx="27">
                  <c:v>-4</c:v>
                </c:pt>
                <c:pt idx="28">
                  <c:v>-3.9392310120488325</c:v>
                </c:pt>
                <c:pt idx="29">
                  <c:v>-3.7587704831436342</c:v>
                </c:pt>
                <c:pt idx="30">
                  <c:v>-3.4641016151377544</c:v>
                </c:pt>
                <c:pt idx="31">
                  <c:v>-3.0641777724759125</c:v>
                </c:pt>
                <c:pt idx="32">
                  <c:v>-2.5711504387461583</c:v>
                </c:pt>
                <c:pt idx="33">
                  <c:v>-2.0000000000000018</c:v>
                </c:pt>
                <c:pt idx="34">
                  <c:v>-1.3680805733026744</c:v>
                </c:pt>
                <c:pt idx="35">
                  <c:v>-0.6945927106677251</c:v>
                </c:pt>
                <c:pt idx="36">
                  <c:v>-9.8011876392689601E-16</c:v>
                </c:pt>
                <c:pt idx="37">
                  <c:v>0.69459271066771966</c:v>
                </c:pt>
                <c:pt idx="38">
                  <c:v>1.3680805733026757</c:v>
                </c:pt>
                <c:pt idx="39">
                  <c:v>1.9999999999999971</c:v>
                </c:pt>
                <c:pt idx="40">
                  <c:v>2.5711504387461566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759-49E2-8EC6-0E1D02C2600D}"/>
            </c:ext>
          </c:extLst>
        </c:ser>
        <c:ser>
          <c:idx val="1"/>
          <c:order val="1"/>
          <c:tx>
            <c:strRef>
              <c:f>Sinus_Cosinus!$G$13</c:f>
              <c:strCache>
                <c:ptCount val="1"/>
                <c:pt idx="0">
                  <c:v>4 * cos(x - 90) =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xVal>
            <c:numRef>
              <c:f>Sinus_Cosinus!$H$10:$AV$10</c:f>
              <c:numCache>
                <c:formatCode>General</c:formatCode>
                <c:ptCount val="4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</c:numCache>
            </c:numRef>
          </c:xVal>
          <c:yVal>
            <c:numRef>
              <c:f>Sinus_Cosinus!$H$13:$AV$13</c:f>
              <c:numCache>
                <c:formatCode>#,##0.00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759-49E2-8EC6-0E1D02C2600D}"/>
            </c:ext>
          </c:extLst>
        </c:ser>
        <c:ser>
          <c:idx val="2"/>
          <c:order val="2"/>
          <c:tx>
            <c:strRef>
              <c:f>Sinus_Cosinus!$AZ$9</c:f>
              <c:strCache>
                <c:ptCount val="1"/>
                <c:pt idx="0">
                  <c:v>Momentanwerte</c:v>
                </c:pt>
              </c:strCache>
            </c:strRef>
          </c:tx>
          <c:spPr>
            <a:ln w="19050" cap="rnd">
              <a:solidFill>
                <a:schemeClr val="tx1">
                  <a:lumMod val="95000"/>
                  <a:lumOff val="5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Sinus_Cosinus!$BC$3:$BD$3</c:f>
              <c:numCache>
                <c:formatCode>General</c:formatCode>
                <c:ptCount val="2"/>
                <c:pt idx="0">
                  <c:v>30</c:v>
                </c:pt>
                <c:pt idx="1">
                  <c:v>30</c:v>
                </c:pt>
              </c:numCache>
            </c:numRef>
          </c:xVal>
          <c:yVal>
            <c:numRef>
              <c:f>Sinus_Cosinus!$BC$4:$BD$4</c:f>
              <c:numCache>
                <c:formatCode>#,##0.00</c:formatCode>
                <c:ptCount val="2"/>
                <c:pt idx="0">
                  <c:v>0</c:v>
                </c:pt>
                <c:pt idx="1">
                  <c:v>1.9999999999999998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5D4-486A-9DE0-EEDEB21B2D1F}"/>
            </c:ext>
          </c:extLst>
        </c:ser>
        <c:ser>
          <c:idx val="3"/>
          <c:order val="3"/>
          <c:tx>
            <c:strRef>
              <c:f>Sinus_Cosinus!$G$16</c:f>
              <c:strCache>
                <c:ptCount val="1"/>
                <c:pt idx="0">
                  <c:v>Y1 + Y2 =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Sinus_Cosinus!$H$10:$AV$10</c:f>
              <c:numCache>
                <c:formatCode>General</c:formatCode>
                <c:ptCount val="4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</c:numCache>
            </c:numRef>
          </c:xVal>
          <c:yVal>
            <c:numRef>
              <c:f>Sinus_Cosinus!$H$16:$AV$16</c:f>
              <c:numCache>
                <c:formatCode>#,##0.00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D90-482E-8572-0E4B124868E5}"/>
            </c:ext>
          </c:extLst>
        </c:ser>
        <c:ser>
          <c:idx val="4"/>
          <c:order val="4"/>
          <c:tx>
            <c:strRef>
              <c:f>Sinus_Cosinus!$G$17</c:f>
              <c:strCache>
                <c:ptCount val="1"/>
                <c:pt idx="0">
                  <c:v>Y1 * Y2 =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Sinus_Cosinus!$H$10:$AV$10</c:f>
              <c:numCache>
                <c:formatCode>General</c:formatCode>
                <c:ptCount val="4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</c:numCache>
            </c:numRef>
          </c:xVal>
          <c:yVal>
            <c:numRef>
              <c:f>Sinus_Cosinus!$H$17:$AV$17</c:f>
              <c:numCache>
                <c:formatCode>#,##0.00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D90-482E-8572-0E4B124868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666463"/>
        <c:axId val="88665983"/>
      </c:scatterChart>
      <c:valAx>
        <c:axId val="886664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95000"/>
                <a:lumOff val="5000"/>
              </a:schemeClr>
            </a:solidFill>
            <a:round/>
            <a:tailEnd type="triangle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88665983"/>
        <c:crosses val="autoZero"/>
        <c:crossBetween val="midCat"/>
      </c:valAx>
      <c:valAx>
        <c:axId val="88665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#,##0.00" sourceLinked="1"/>
        <c:majorTickMark val="none"/>
        <c:minorTickMark val="none"/>
        <c:tickLblPos val="nextTo"/>
        <c:spPr>
          <a:noFill/>
          <a:ln w="25400" cap="flat" cmpd="sng" algn="ctr">
            <a:solidFill>
              <a:schemeClr val="tx1">
                <a:lumMod val="95000"/>
                <a:lumOff val="5000"/>
              </a:schemeClr>
            </a:solidFill>
            <a:round/>
            <a:tailEnd type="triangle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886664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2.6266172486809316E-2"/>
          <c:y val="1.3659342976888873E-2"/>
          <c:w val="0.94202553284382662"/>
          <c:h val="0.94528821693437382"/>
        </c:manualLayout>
      </c:layout>
      <c:scatterChart>
        <c:scatterStyle val="smoothMarker"/>
        <c:varyColors val="0"/>
        <c:ser>
          <c:idx val="0"/>
          <c:order val="0"/>
          <c:tx>
            <c:strRef>
              <c:f>Sinus_Cosinus!$F$12</c:f>
              <c:strCache>
                <c:ptCount val="1"/>
                <c:pt idx="0">
                  <c:v>y1 = 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  <a:headEnd type="none" w="med" len="med"/>
              <a:tailEnd type="triangle" w="med" len="med"/>
            </a:ln>
            <a:effectLst/>
          </c:spPr>
          <c:marker>
            <c:symbol val="none"/>
          </c:marker>
          <c:xVal>
            <c:numRef>
              <c:f>Sinus_Cosinus!$BG$12:$BH$12</c:f>
              <c:numCache>
                <c:formatCode>0.000</c:formatCode>
                <c:ptCount val="2"/>
                <c:pt idx="0">
                  <c:v>0</c:v>
                </c:pt>
                <c:pt idx="1">
                  <c:v>3.4641016151377548</c:v>
                </c:pt>
              </c:numCache>
            </c:numRef>
          </c:xVal>
          <c:yVal>
            <c:numRef>
              <c:f>Sinus_Cosinus!$BI$12:$BJ$12</c:f>
              <c:numCache>
                <c:formatCode>0.000</c:formatCode>
                <c:ptCount val="2"/>
                <c:pt idx="0">
                  <c:v>0</c:v>
                </c:pt>
                <c:pt idx="1">
                  <c:v>1.9999999999999998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3C7-48E6-9D02-BDAF35CC215A}"/>
            </c:ext>
          </c:extLst>
        </c:ser>
        <c:ser>
          <c:idx val="1"/>
          <c:order val="1"/>
          <c:tx>
            <c:strRef>
              <c:f>Sinus_Cosinus!$F$13</c:f>
              <c:strCache>
                <c:ptCount val="1"/>
                <c:pt idx="0">
                  <c:v>y2 = 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  <a:headEnd type="none" w="med" len="med"/>
              <a:tailEnd type="triangle" w="med" len="med"/>
            </a:ln>
            <a:effectLst/>
          </c:spPr>
          <c:marker>
            <c:symbol val="none"/>
          </c:marker>
          <c:xVal>
            <c:numRef>
              <c:f>Sinus_Cosinus!$BG$13:$BH$13</c:f>
              <c:numCache>
                <c:formatCode>0.000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Sinus_Cosinus!$BI$13:$BJ$13</c:f>
              <c:numCache>
                <c:formatCode>0.000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3C7-48E6-9D02-BDAF35CC215A}"/>
            </c:ext>
          </c:extLst>
        </c:ser>
        <c:ser>
          <c:idx val="2"/>
          <c:order val="2"/>
          <c:tx>
            <c:strRef>
              <c:f>Sinus_Cosinus!$BK$9</c:f>
              <c:strCache>
                <c:ptCount val="1"/>
                <c:pt idx="0">
                  <c:v>Skala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none"/>
          </c:marker>
          <c:xVal>
            <c:numRef>
              <c:f>Sinus_Cosinus!$BL$11:$BO$11</c:f>
              <c:numCache>
                <c:formatCode>General</c:formatCode>
                <c:ptCount val="4"/>
                <c:pt idx="0">
                  <c:v>0</c:v>
                </c:pt>
                <c:pt idx="1">
                  <c:v>4</c:v>
                </c:pt>
                <c:pt idx="2">
                  <c:v>0</c:v>
                </c:pt>
                <c:pt idx="3">
                  <c:v>-4</c:v>
                </c:pt>
              </c:numCache>
            </c:numRef>
          </c:xVal>
          <c:yVal>
            <c:numRef>
              <c:f>Sinus_Cosinus!$BP$11:$BS$11</c:f>
              <c:numCache>
                <c:formatCode>General</c:formatCode>
                <c:ptCount val="4"/>
                <c:pt idx="0">
                  <c:v>4</c:v>
                </c:pt>
                <c:pt idx="1">
                  <c:v>0</c:v>
                </c:pt>
                <c:pt idx="2">
                  <c:v>-4</c:v>
                </c:pt>
                <c:pt idx="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3C7-48E6-9D02-BDAF35CC215A}"/>
            </c:ext>
          </c:extLst>
        </c:ser>
        <c:ser>
          <c:idx val="3"/>
          <c:order val="3"/>
          <c:tx>
            <c:strRef>
              <c:f>Sinus_Cosinus!$G$16</c:f>
              <c:strCache>
                <c:ptCount val="1"/>
                <c:pt idx="0">
                  <c:v>Y1 + Y2 =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  <a:tailEnd type="triangle"/>
            </a:ln>
            <a:effectLst/>
          </c:spPr>
          <c:marker>
            <c:symbol val="none"/>
          </c:marker>
          <c:xVal>
            <c:numRef>
              <c:f>Sinus_Cosinus!$BG$16:$BH$16</c:f>
              <c:numCache>
                <c:formatCode>0.000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Sinus_Cosinus!$BI$16:$BJ$16</c:f>
              <c:numCache>
                <c:formatCode>0.000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DC9-4DFF-99A6-C586D34B2748}"/>
            </c:ext>
          </c:extLst>
        </c:ser>
        <c:ser>
          <c:idx val="4"/>
          <c:order val="4"/>
          <c:tx>
            <c:strRef>
              <c:f>Sinus_Cosinus!$BK$15</c:f>
              <c:strCache>
                <c:ptCount val="1"/>
                <c:pt idx="0">
                  <c:v>Hilfslinie_1</c:v>
                </c:pt>
              </c:strCache>
            </c:strRef>
          </c:tx>
          <c:spPr>
            <a:ln w="19050" cap="rnd">
              <a:solidFill>
                <a:schemeClr val="bg1">
                  <a:lumMod val="50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Sinus_Cosinus!$BK$16:$BL$16</c:f>
              <c:numCache>
                <c:formatCode>0.000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Sinus_Cosinus!$BM$16:$BN$16</c:f>
              <c:numCache>
                <c:formatCode>0.000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DC9-4DFF-99A6-C586D34B2748}"/>
            </c:ext>
          </c:extLst>
        </c:ser>
        <c:ser>
          <c:idx val="5"/>
          <c:order val="5"/>
          <c:tx>
            <c:strRef>
              <c:f>Sinus_Cosinus!$BO$15</c:f>
              <c:strCache>
                <c:ptCount val="1"/>
                <c:pt idx="0">
                  <c:v>Hilfslinie_2</c:v>
                </c:pt>
              </c:strCache>
            </c:strRef>
          </c:tx>
          <c:spPr>
            <a:ln w="19050" cap="rnd">
              <a:solidFill>
                <a:schemeClr val="bg1">
                  <a:lumMod val="50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Sinus_Cosinus!$BO$16:$BP$16</c:f>
              <c:numCache>
                <c:formatCode>0.000</c:formatCode>
                <c:ptCount val="2"/>
                <c:pt idx="0">
                  <c:v>3.4641016151377548</c:v>
                </c:pt>
                <c:pt idx="1">
                  <c:v>0</c:v>
                </c:pt>
              </c:numCache>
            </c:numRef>
          </c:xVal>
          <c:yVal>
            <c:numRef>
              <c:f>Sinus_Cosinus!$BQ$16:$BR$16</c:f>
              <c:numCache>
                <c:formatCode>0.000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DC9-4DFF-99A6-C586D34B27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17423"/>
        <c:axId val="11719823"/>
      </c:scatterChart>
      <c:valAx>
        <c:axId val="117174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1719823"/>
        <c:crosses val="autoZero"/>
        <c:crossBetween val="midCat"/>
      </c:valAx>
      <c:valAx>
        <c:axId val="11719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17174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Tangens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Sinus_Cosinus!$G$61</c:f>
              <c:strCache>
                <c:ptCount val="1"/>
                <c:pt idx="0">
                  <c:v>tan(x) =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xVal>
            <c:numRef>
              <c:f>Sinus_Cosinus!$H$10:$AV$10</c:f>
              <c:numCache>
                <c:formatCode>General</c:formatCode>
                <c:ptCount val="4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</c:numCache>
            </c:numRef>
          </c:xVal>
          <c:yVal>
            <c:numRef>
              <c:f>Sinus_Cosinus!$H$61:$AV$61</c:f>
              <c:numCache>
                <c:formatCode>#,##0.00</c:formatCode>
                <c:ptCount val="41"/>
                <c:pt idx="0">
                  <c:v>0</c:v>
                </c:pt>
                <c:pt idx="1">
                  <c:v>0.17632698070846498</c:v>
                </c:pt>
                <c:pt idx="2">
                  <c:v>0.36397023426620234</c:v>
                </c:pt>
                <c:pt idx="3">
                  <c:v>0.57735026918962573</c:v>
                </c:pt>
                <c:pt idx="4">
                  <c:v>0.83909963117727993</c:v>
                </c:pt>
                <c:pt idx="5">
                  <c:v>1.19175359259421</c:v>
                </c:pt>
                <c:pt idx="6">
                  <c:v>1.7320508075688767</c:v>
                </c:pt>
                <c:pt idx="7">
                  <c:v>2.7474774194546216</c:v>
                </c:pt>
                <c:pt idx="8">
                  <c:v>5.6712818196177066</c:v>
                </c:pt>
                <c:pt idx="9">
                  <c:v>0</c:v>
                </c:pt>
                <c:pt idx="10">
                  <c:v>-5.6712818196177111</c:v>
                </c:pt>
                <c:pt idx="11">
                  <c:v>-2.7474774194546225</c:v>
                </c:pt>
                <c:pt idx="12">
                  <c:v>-1.7320508075688783</c:v>
                </c:pt>
                <c:pt idx="13">
                  <c:v>-1.19175359259421</c:v>
                </c:pt>
                <c:pt idx="14">
                  <c:v>-0.83909963117728037</c:v>
                </c:pt>
                <c:pt idx="15">
                  <c:v>-0.57735026918962573</c:v>
                </c:pt>
                <c:pt idx="16">
                  <c:v>-0.36397023426620256</c:v>
                </c:pt>
                <c:pt idx="17">
                  <c:v>-0.17632698070846489</c:v>
                </c:pt>
                <c:pt idx="18">
                  <c:v>-1.22514845490862E-16</c:v>
                </c:pt>
                <c:pt idx="19">
                  <c:v>0.17632698070846509</c:v>
                </c:pt>
                <c:pt idx="20">
                  <c:v>0.36397023426620229</c:v>
                </c:pt>
                <c:pt idx="21">
                  <c:v>0.57735026918962595</c:v>
                </c:pt>
                <c:pt idx="22">
                  <c:v>0.83909963117727993</c:v>
                </c:pt>
                <c:pt idx="23">
                  <c:v>1.1917535925942093</c:v>
                </c:pt>
                <c:pt idx="24">
                  <c:v>1.7320508075688754</c:v>
                </c:pt>
                <c:pt idx="25">
                  <c:v>2.7474774194546168</c:v>
                </c:pt>
                <c:pt idx="26">
                  <c:v>5.6712818196177102</c:v>
                </c:pt>
                <c:pt idx="27">
                  <c:v>0</c:v>
                </c:pt>
                <c:pt idx="28">
                  <c:v>-5.6712818196177226</c:v>
                </c:pt>
                <c:pt idx="29">
                  <c:v>-2.7474774194546274</c:v>
                </c:pt>
                <c:pt idx="30">
                  <c:v>-1.732050807568877</c:v>
                </c:pt>
                <c:pt idx="31">
                  <c:v>-1.1917535925942102</c:v>
                </c:pt>
                <c:pt idx="32">
                  <c:v>-0.83909963117728059</c:v>
                </c:pt>
                <c:pt idx="33">
                  <c:v>-0.57735026918962651</c:v>
                </c:pt>
                <c:pt idx="34">
                  <c:v>-0.36397023426620218</c:v>
                </c:pt>
                <c:pt idx="35">
                  <c:v>-0.17632698070846592</c:v>
                </c:pt>
                <c:pt idx="36">
                  <c:v>-2.45029690981724E-16</c:v>
                </c:pt>
                <c:pt idx="37">
                  <c:v>0.1763269807084645</c:v>
                </c:pt>
                <c:pt idx="38">
                  <c:v>0.36397023426620262</c:v>
                </c:pt>
                <c:pt idx="39">
                  <c:v>0.57735026918962462</c:v>
                </c:pt>
                <c:pt idx="40">
                  <c:v>0.8390996311772797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657-4B02-836E-96F973D3FC0A}"/>
            </c:ext>
          </c:extLst>
        </c:ser>
        <c:ser>
          <c:idx val="1"/>
          <c:order val="1"/>
          <c:tx>
            <c:strRef>
              <c:f>Sinus_Cosinus!$G$62</c:f>
              <c:strCache>
                <c:ptCount val="1"/>
                <c:pt idx="0">
                  <c:v>sin(x) =</c:v>
                </c:pt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xVal>
            <c:numRef>
              <c:f>Sinus_Cosinus!$H$10:$AV$10</c:f>
              <c:numCache>
                <c:formatCode>General</c:formatCode>
                <c:ptCount val="4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</c:numCache>
            </c:numRef>
          </c:xVal>
          <c:yVal>
            <c:numRef>
              <c:f>Sinus_Cosinus!$H$62:$AV$62</c:f>
              <c:numCache>
                <c:formatCode>#,##0.00</c:formatCode>
                <c:ptCount val="41"/>
                <c:pt idx="0">
                  <c:v>0</c:v>
                </c:pt>
                <c:pt idx="1">
                  <c:v>0.17364817766693033</c:v>
                </c:pt>
                <c:pt idx="2">
                  <c:v>0.34202014332566871</c:v>
                </c:pt>
                <c:pt idx="3">
                  <c:v>0.49999999999999994</c:v>
                </c:pt>
                <c:pt idx="4">
                  <c:v>0.64278760968653925</c:v>
                </c:pt>
                <c:pt idx="5">
                  <c:v>0.76604444311897801</c:v>
                </c:pt>
                <c:pt idx="6">
                  <c:v>0.8660254037844386</c:v>
                </c:pt>
                <c:pt idx="7">
                  <c:v>0.93969262078590832</c:v>
                </c:pt>
                <c:pt idx="8">
                  <c:v>0.98480775301220802</c:v>
                </c:pt>
                <c:pt idx="9">
                  <c:v>1</c:v>
                </c:pt>
                <c:pt idx="10">
                  <c:v>0.98480775301220802</c:v>
                </c:pt>
                <c:pt idx="11">
                  <c:v>0.93969262078590843</c:v>
                </c:pt>
                <c:pt idx="12">
                  <c:v>0.86602540378443871</c:v>
                </c:pt>
                <c:pt idx="13">
                  <c:v>0.76604444311897801</c:v>
                </c:pt>
                <c:pt idx="14">
                  <c:v>0.64278760968653947</c:v>
                </c:pt>
                <c:pt idx="15">
                  <c:v>0.49999999999999994</c:v>
                </c:pt>
                <c:pt idx="16">
                  <c:v>0.34202014332566888</c:v>
                </c:pt>
                <c:pt idx="17">
                  <c:v>0.17364817766693028</c:v>
                </c:pt>
                <c:pt idx="18">
                  <c:v>1.22514845490862E-16</c:v>
                </c:pt>
                <c:pt idx="19">
                  <c:v>-0.17364817766693047</c:v>
                </c:pt>
                <c:pt idx="20">
                  <c:v>-0.34202014332566866</c:v>
                </c:pt>
                <c:pt idx="21">
                  <c:v>-0.50000000000000011</c:v>
                </c:pt>
                <c:pt idx="22">
                  <c:v>-0.64278760968653925</c:v>
                </c:pt>
                <c:pt idx="23">
                  <c:v>-0.7660444431189779</c:v>
                </c:pt>
                <c:pt idx="24">
                  <c:v>-0.86602540378443837</c:v>
                </c:pt>
                <c:pt idx="25">
                  <c:v>-0.93969262078590821</c:v>
                </c:pt>
                <c:pt idx="26">
                  <c:v>-0.98480775301220802</c:v>
                </c:pt>
                <c:pt idx="27">
                  <c:v>-1</c:v>
                </c:pt>
                <c:pt idx="28">
                  <c:v>-0.98480775301220813</c:v>
                </c:pt>
                <c:pt idx="29">
                  <c:v>-0.93969262078590854</c:v>
                </c:pt>
                <c:pt idx="30">
                  <c:v>-0.8660254037844386</c:v>
                </c:pt>
                <c:pt idx="31">
                  <c:v>-0.76604444311897812</c:v>
                </c:pt>
                <c:pt idx="32">
                  <c:v>-0.64278760968653958</c:v>
                </c:pt>
                <c:pt idx="33">
                  <c:v>-0.50000000000000044</c:v>
                </c:pt>
                <c:pt idx="34">
                  <c:v>-0.3420201433256686</c:v>
                </c:pt>
                <c:pt idx="35">
                  <c:v>-0.17364817766693127</c:v>
                </c:pt>
                <c:pt idx="36">
                  <c:v>-2.45029690981724E-16</c:v>
                </c:pt>
                <c:pt idx="37">
                  <c:v>0.17364817766692991</c:v>
                </c:pt>
                <c:pt idx="38">
                  <c:v>0.34202014332566893</c:v>
                </c:pt>
                <c:pt idx="39">
                  <c:v>0.49999999999999928</c:v>
                </c:pt>
                <c:pt idx="40">
                  <c:v>0.64278760968653914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657-4B02-836E-96F973D3FC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1561519"/>
        <c:axId val="2051558159"/>
      </c:scatterChart>
      <c:valAx>
        <c:axId val="20515615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051558159"/>
        <c:crosses val="autoZero"/>
        <c:crossBetween val="midCat"/>
      </c:valAx>
      <c:valAx>
        <c:axId val="2051558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0515615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Sinuskurve!$H$12</c:f>
              <c:strCache>
                <c:ptCount val="1"/>
                <c:pt idx="0">
                  <c:v>y1 = sin(α)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Sinuskurve!$J$11:$AX$11</c:f>
              <c:numCache>
                <c:formatCode>#,##0.00_ ;[Red]\-#,##0.00\ </c:formatCode>
                <c:ptCount val="41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170</c:v>
                </c:pt>
                <c:pt idx="17">
                  <c:v>180</c:v>
                </c:pt>
                <c:pt idx="18">
                  <c:v>190</c:v>
                </c:pt>
                <c:pt idx="19">
                  <c:v>200</c:v>
                </c:pt>
                <c:pt idx="20">
                  <c:v>210</c:v>
                </c:pt>
                <c:pt idx="21">
                  <c:v>220</c:v>
                </c:pt>
                <c:pt idx="22">
                  <c:v>230</c:v>
                </c:pt>
                <c:pt idx="23">
                  <c:v>240</c:v>
                </c:pt>
                <c:pt idx="24">
                  <c:v>250</c:v>
                </c:pt>
                <c:pt idx="25">
                  <c:v>260</c:v>
                </c:pt>
                <c:pt idx="26">
                  <c:v>270</c:v>
                </c:pt>
                <c:pt idx="27">
                  <c:v>280</c:v>
                </c:pt>
                <c:pt idx="28">
                  <c:v>290</c:v>
                </c:pt>
                <c:pt idx="29">
                  <c:v>300</c:v>
                </c:pt>
                <c:pt idx="30">
                  <c:v>310</c:v>
                </c:pt>
                <c:pt idx="31">
                  <c:v>320</c:v>
                </c:pt>
                <c:pt idx="32">
                  <c:v>330</c:v>
                </c:pt>
                <c:pt idx="33">
                  <c:v>340</c:v>
                </c:pt>
                <c:pt idx="34">
                  <c:v>350</c:v>
                </c:pt>
                <c:pt idx="35">
                  <c:v>360</c:v>
                </c:pt>
                <c:pt idx="36">
                  <c:v>370</c:v>
                </c:pt>
                <c:pt idx="37">
                  <c:v>380</c:v>
                </c:pt>
                <c:pt idx="38">
                  <c:v>390</c:v>
                </c:pt>
                <c:pt idx="39">
                  <c:v>400</c:v>
                </c:pt>
                <c:pt idx="40">
                  <c:v>410</c:v>
                </c:pt>
              </c:numCache>
            </c:numRef>
          </c:xVal>
          <c:yVal>
            <c:numRef>
              <c:f>Sinuskurve!$J$12:$AX$12</c:f>
              <c:numCache>
                <c:formatCode>#,##0.00_ ;[Red]\-#,##0.00\ </c:formatCode>
                <c:ptCount val="41"/>
                <c:pt idx="0">
                  <c:v>0.17364817766693033</c:v>
                </c:pt>
                <c:pt idx="1">
                  <c:v>0.34202014332566871</c:v>
                </c:pt>
                <c:pt idx="2">
                  <c:v>0.49999999999999994</c:v>
                </c:pt>
                <c:pt idx="3">
                  <c:v>0.64278760968653925</c:v>
                </c:pt>
                <c:pt idx="4">
                  <c:v>0.76604444311897801</c:v>
                </c:pt>
                <c:pt idx="5">
                  <c:v>0.8660254037844386</c:v>
                </c:pt>
                <c:pt idx="6">
                  <c:v>0.93969262078590832</c:v>
                </c:pt>
                <c:pt idx="7">
                  <c:v>0.98480775301220802</c:v>
                </c:pt>
                <c:pt idx="8">
                  <c:v>1</c:v>
                </c:pt>
                <c:pt idx="9">
                  <c:v>0.98480775301220802</c:v>
                </c:pt>
                <c:pt idx="10">
                  <c:v>0.93969262078590843</c:v>
                </c:pt>
                <c:pt idx="11">
                  <c:v>0.86602540378443871</c:v>
                </c:pt>
                <c:pt idx="12">
                  <c:v>0.76604444311897801</c:v>
                </c:pt>
                <c:pt idx="13">
                  <c:v>0.64278760968653947</c:v>
                </c:pt>
                <c:pt idx="14">
                  <c:v>0.49999999999999994</c:v>
                </c:pt>
                <c:pt idx="15">
                  <c:v>0.34202014332566888</c:v>
                </c:pt>
                <c:pt idx="16">
                  <c:v>0.17364817766693028</c:v>
                </c:pt>
                <c:pt idx="17">
                  <c:v>1.22514845490862E-16</c:v>
                </c:pt>
                <c:pt idx="18">
                  <c:v>-0.17364817766693047</c:v>
                </c:pt>
                <c:pt idx="19">
                  <c:v>-0.34202014332566866</c:v>
                </c:pt>
                <c:pt idx="20">
                  <c:v>-0.50000000000000011</c:v>
                </c:pt>
                <c:pt idx="21">
                  <c:v>-0.64278760968653925</c:v>
                </c:pt>
                <c:pt idx="22">
                  <c:v>-0.7660444431189779</c:v>
                </c:pt>
                <c:pt idx="23">
                  <c:v>-0.86602540378443837</c:v>
                </c:pt>
                <c:pt idx="24">
                  <c:v>-0.93969262078590821</c:v>
                </c:pt>
                <c:pt idx="25">
                  <c:v>-0.98480775301220802</c:v>
                </c:pt>
                <c:pt idx="26">
                  <c:v>-1</c:v>
                </c:pt>
                <c:pt idx="27">
                  <c:v>-0.98480775301220813</c:v>
                </c:pt>
                <c:pt idx="28">
                  <c:v>-0.93969262078590854</c:v>
                </c:pt>
                <c:pt idx="29">
                  <c:v>-0.8660254037844386</c:v>
                </c:pt>
                <c:pt idx="30">
                  <c:v>-0.76604444311897812</c:v>
                </c:pt>
                <c:pt idx="31">
                  <c:v>-0.64278760968653958</c:v>
                </c:pt>
                <c:pt idx="32">
                  <c:v>-0.50000000000000044</c:v>
                </c:pt>
                <c:pt idx="33">
                  <c:v>-0.3420201433256686</c:v>
                </c:pt>
                <c:pt idx="34">
                  <c:v>-0.17364817766693127</c:v>
                </c:pt>
                <c:pt idx="35">
                  <c:v>-2.45029690981724E-16</c:v>
                </c:pt>
                <c:pt idx="36">
                  <c:v>0.17364817766692991</c:v>
                </c:pt>
                <c:pt idx="37">
                  <c:v>0.34202014332566893</c:v>
                </c:pt>
                <c:pt idx="38">
                  <c:v>0.49999999999999928</c:v>
                </c:pt>
                <c:pt idx="39">
                  <c:v>0.64278760968653914</c:v>
                </c:pt>
                <c:pt idx="40">
                  <c:v>0.76604444311897779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1D8-4109-ACB4-9F181B810945}"/>
            </c:ext>
          </c:extLst>
        </c:ser>
        <c:ser>
          <c:idx val="1"/>
          <c:order val="1"/>
          <c:tx>
            <c:strRef>
              <c:f>Sinuskurve!$H$13</c:f>
              <c:strCache>
                <c:ptCount val="1"/>
                <c:pt idx="0">
                  <c:v>y2 = 5 * sin(3 * α + 90°)</c:v>
                </c:pt>
              </c:strCache>
            </c:strRef>
          </c:tx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xVal>
            <c:numRef>
              <c:f>Sinuskurve!$J$11:$AX$11</c:f>
              <c:numCache>
                <c:formatCode>#,##0.00_ ;[Red]\-#,##0.00\ </c:formatCode>
                <c:ptCount val="41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170</c:v>
                </c:pt>
                <c:pt idx="17">
                  <c:v>180</c:v>
                </c:pt>
                <c:pt idx="18">
                  <c:v>190</c:v>
                </c:pt>
                <c:pt idx="19">
                  <c:v>200</c:v>
                </c:pt>
                <c:pt idx="20">
                  <c:v>210</c:v>
                </c:pt>
                <c:pt idx="21">
                  <c:v>220</c:v>
                </c:pt>
                <c:pt idx="22">
                  <c:v>230</c:v>
                </c:pt>
                <c:pt idx="23">
                  <c:v>240</c:v>
                </c:pt>
                <c:pt idx="24">
                  <c:v>250</c:v>
                </c:pt>
                <c:pt idx="25">
                  <c:v>260</c:v>
                </c:pt>
                <c:pt idx="26">
                  <c:v>270</c:v>
                </c:pt>
                <c:pt idx="27">
                  <c:v>280</c:v>
                </c:pt>
                <c:pt idx="28">
                  <c:v>290</c:v>
                </c:pt>
                <c:pt idx="29">
                  <c:v>300</c:v>
                </c:pt>
                <c:pt idx="30">
                  <c:v>310</c:v>
                </c:pt>
                <c:pt idx="31">
                  <c:v>320</c:v>
                </c:pt>
                <c:pt idx="32">
                  <c:v>330</c:v>
                </c:pt>
                <c:pt idx="33">
                  <c:v>340</c:v>
                </c:pt>
                <c:pt idx="34">
                  <c:v>350</c:v>
                </c:pt>
                <c:pt idx="35">
                  <c:v>360</c:v>
                </c:pt>
                <c:pt idx="36">
                  <c:v>370</c:v>
                </c:pt>
                <c:pt idx="37">
                  <c:v>380</c:v>
                </c:pt>
                <c:pt idx="38">
                  <c:v>390</c:v>
                </c:pt>
                <c:pt idx="39">
                  <c:v>400</c:v>
                </c:pt>
                <c:pt idx="40">
                  <c:v>410</c:v>
                </c:pt>
              </c:numCache>
            </c:numRef>
          </c:xVal>
          <c:yVal>
            <c:numRef>
              <c:f>Sinuskurve!$J$13:$AX$13</c:f>
              <c:numCache>
                <c:formatCode>#,##0.00_ ;[Red]\-#,##0.00\ </c:formatCode>
                <c:ptCount val="41"/>
                <c:pt idx="0">
                  <c:v>4.3301270189221936</c:v>
                </c:pt>
                <c:pt idx="1">
                  <c:v>2.5000000000000018</c:v>
                </c:pt>
                <c:pt idx="2">
                  <c:v>6.1257422745431001E-16</c:v>
                </c:pt>
                <c:pt idx="3">
                  <c:v>-2.4999999999999987</c:v>
                </c:pt>
                <c:pt idx="4">
                  <c:v>-4.3301270189221945</c:v>
                </c:pt>
                <c:pt idx="5">
                  <c:v>-5</c:v>
                </c:pt>
                <c:pt idx="6">
                  <c:v>-4.3301270189221954</c:v>
                </c:pt>
                <c:pt idx="7">
                  <c:v>-2.5000000000000022</c:v>
                </c:pt>
                <c:pt idx="8">
                  <c:v>-1.22514845490862E-15</c:v>
                </c:pt>
                <c:pt idx="9">
                  <c:v>2.5</c:v>
                </c:pt>
                <c:pt idx="10">
                  <c:v>4.3301270189221945</c:v>
                </c:pt>
                <c:pt idx="11">
                  <c:v>5</c:v>
                </c:pt>
                <c:pt idx="12">
                  <c:v>4.330127018922191</c:v>
                </c:pt>
                <c:pt idx="13">
                  <c:v>2.4999999999999991</c:v>
                </c:pt>
                <c:pt idx="14">
                  <c:v>1.83772268236293E-15</c:v>
                </c:pt>
                <c:pt idx="15">
                  <c:v>-2.499999999999996</c:v>
                </c:pt>
                <c:pt idx="16">
                  <c:v>-4.3301270189221936</c:v>
                </c:pt>
                <c:pt idx="17">
                  <c:v>-5</c:v>
                </c:pt>
                <c:pt idx="18">
                  <c:v>-4.330127018922191</c:v>
                </c:pt>
                <c:pt idx="19">
                  <c:v>-2.4999999999999996</c:v>
                </c:pt>
                <c:pt idx="20">
                  <c:v>6.4314872871840123E-15</c:v>
                </c:pt>
                <c:pt idx="21">
                  <c:v>2.5000000000000027</c:v>
                </c:pt>
                <c:pt idx="22">
                  <c:v>4.3301270189221936</c:v>
                </c:pt>
                <c:pt idx="23">
                  <c:v>5</c:v>
                </c:pt>
                <c:pt idx="24">
                  <c:v>4.3301270189221963</c:v>
                </c:pt>
                <c:pt idx="25">
                  <c:v>2.5</c:v>
                </c:pt>
                <c:pt idx="26">
                  <c:v>3.06287113727155E-15</c:v>
                </c:pt>
                <c:pt idx="27">
                  <c:v>-2.4999999999999947</c:v>
                </c:pt>
                <c:pt idx="28">
                  <c:v>-4.3301270189221883</c:v>
                </c:pt>
                <c:pt idx="29">
                  <c:v>-5</c:v>
                </c:pt>
                <c:pt idx="30">
                  <c:v>-4.3301270189221919</c:v>
                </c:pt>
                <c:pt idx="31">
                  <c:v>-2.500000000000016</c:v>
                </c:pt>
                <c:pt idx="32">
                  <c:v>-3.67544536472586E-15</c:v>
                </c:pt>
                <c:pt idx="33">
                  <c:v>2.5000000000000093</c:v>
                </c:pt>
                <c:pt idx="34">
                  <c:v>4.3301270189221883</c:v>
                </c:pt>
                <c:pt idx="35">
                  <c:v>5</c:v>
                </c:pt>
                <c:pt idx="36">
                  <c:v>4.3301270189222016</c:v>
                </c:pt>
                <c:pt idx="37">
                  <c:v>2.5000000000000009</c:v>
                </c:pt>
                <c:pt idx="38">
                  <c:v>2.2051587986182675E-14</c:v>
                </c:pt>
                <c:pt idx="39">
                  <c:v>-2.4999999999999938</c:v>
                </c:pt>
                <c:pt idx="40">
                  <c:v>-4.3301270189221972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CF5-457B-89B0-CC4FB7C05FDE}"/>
            </c:ext>
          </c:extLst>
        </c:ser>
        <c:ser>
          <c:idx val="2"/>
          <c:order val="2"/>
          <c:tx>
            <c:strRef>
              <c:f>Sinuskurve!$D$23</c:f>
              <c:strCache>
                <c:ptCount val="1"/>
                <c:pt idx="0">
                  <c:v>Messwert:</c:v>
                </c:pt>
              </c:strCache>
            </c:strRef>
          </c:tx>
          <c:spPr>
            <a:ln w="19050" cap="rnd">
              <a:solidFill>
                <a:schemeClr val="tx1">
                  <a:lumMod val="95000"/>
                  <a:lumOff val="5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Sinuskurve!$E$23:$F$23</c:f>
              <c:numCache>
                <c:formatCode>0.00</c:formatCode>
                <c:ptCount val="2"/>
                <c:pt idx="0">
                  <c:v>80</c:v>
                </c:pt>
                <c:pt idx="1">
                  <c:v>80</c:v>
                </c:pt>
              </c:numCache>
            </c:numRef>
          </c:xVal>
          <c:yVal>
            <c:numRef>
              <c:f>Sinuskurve!$E$24:$F$24</c:f>
              <c:numCache>
                <c:formatCode>General</c:formatCode>
                <c:ptCount val="2"/>
                <c:pt idx="0" formatCode="#,##0.00">
                  <c:v>-2.5000000000000022</c:v>
                </c:pt>
                <c:pt idx="1">
                  <c:v>0.98480775301220802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944-4C73-A6F7-F03561596932}"/>
            </c:ext>
          </c:extLst>
        </c:ser>
        <c:ser>
          <c:idx val="3"/>
          <c:order val="3"/>
          <c:tx>
            <c:strRef>
              <c:f>Sinuskurve!$D$26</c:f>
              <c:strCache>
                <c:ptCount val="1"/>
                <c:pt idx="0">
                  <c:v>X-Achse: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19050" cap="rnd">
                <a:solidFill>
                  <a:schemeClr val="tx1">
                    <a:lumMod val="95000"/>
                    <a:lumOff val="5000"/>
                  </a:schemeClr>
                </a:solidFill>
                <a:round/>
                <a:headEnd type="none" w="med" len="med"/>
                <a:tailEnd type="triangle" w="med" len="med"/>
              </a:ln>
              <a:effectLst/>
            </c:spPr>
            <c:extLst>
              <c:ext xmlns:c16="http://schemas.microsoft.com/office/drawing/2014/chart" uri="{C3380CC4-5D6E-409C-BE32-E72D297353CC}">
                <c16:uniqueId val="{00000003-5944-4C73-A6F7-F03561596932}"/>
              </c:ext>
            </c:extLst>
          </c:dPt>
          <c:xVal>
            <c:numRef>
              <c:f>Sinuskurve!$E$26:$F$26</c:f>
              <c:numCache>
                <c:formatCode>#,##0.00_ ;[Red]\-#,##0.00\ </c:formatCode>
                <c:ptCount val="2"/>
                <c:pt idx="0">
                  <c:v>10</c:v>
                </c:pt>
                <c:pt idx="1">
                  <c:v>430.5</c:v>
                </c:pt>
              </c:numCache>
            </c:numRef>
          </c:xVal>
          <c:yVal>
            <c:numRef>
              <c:f>Sinuskurve!$E$27:$F$27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944-4C73-A6F7-F03561596932}"/>
            </c:ext>
          </c:extLst>
        </c:ser>
        <c:ser>
          <c:idx val="4"/>
          <c:order val="4"/>
          <c:tx>
            <c:strRef>
              <c:f>Sinuskurve!$D$29</c:f>
              <c:strCache>
                <c:ptCount val="1"/>
                <c:pt idx="0">
                  <c:v>Y-Achse:</c:v>
                </c:pt>
              </c:strCache>
            </c:strRef>
          </c:tx>
          <c:spPr>
            <a:ln w="19050" cap="rnd">
              <a:solidFill>
                <a:schemeClr val="tx1">
                  <a:lumMod val="95000"/>
                  <a:lumOff val="5000"/>
                </a:schemeClr>
              </a:solidFill>
              <a:prstDash val="solid"/>
              <a:round/>
              <a:headEnd type="none" w="med" len="med"/>
              <a:tailEnd type="triangle" w="med" len="med"/>
            </a:ln>
            <a:effectLst/>
          </c:spPr>
          <c:marker>
            <c:symbol val="none"/>
          </c:marker>
          <c:xVal>
            <c:numRef>
              <c:f>Sinuskurve!$E$29:$F$29</c:f>
              <c:numCache>
                <c:formatCode>#,##0.00_ ;[Red]\-#,##0.00\ </c:formatCode>
                <c:ptCount val="2"/>
                <c:pt idx="0">
                  <c:v>10</c:v>
                </c:pt>
                <c:pt idx="1">
                  <c:v>10</c:v>
                </c:pt>
              </c:numCache>
            </c:numRef>
          </c:xVal>
          <c:yVal>
            <c:numRef>
              <c:f>Sinuskurve!$E$30:$F$30</c:f>
              <c:numCache>
                <c:formatCode>#,##0.00_ ;[Red]\-#,##0.00\ </c:formatCode>
                <c:ptCount val="2"/>
                <c:pt idx="0">
                  <c:v>-5</c:v>
                </c:pt>
                <c:pt idx="1">
                  <c:v>5.25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944-4C73-A6F7-F035615969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8152223"/>
        <c:axId val="378155583"/>
      </c:scatterChart>
      <c:valAx>
        <c:axId val="3781522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_ ;[Red]\-#,##0.00\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378155583"/>
        <c:crosses val="autoZero"/>
        <c:crossBetween val="midCat"/>
      </c:valAx>
      <c:valAx>
        <c:axId val="378155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_ ;[Red]\-#,##0.00\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3781522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Sinuskurve!$H$23</c:f>
              <c:strCache>
                <c:ptCount val="1"/>
                <c:pt idx="0">
                  <c:v>y1 = sin(α)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  <a:headEnd type="none" w="med" len="med"/>
              <a:tailEnd type="triangle" w="med" len="med"/>
            </a:ln>
            <a:effectLst/>
          </c:spPr>
          <c:marker>
            <c:symbol val="none"/>
          </c:marker>
          <c:xVal>
            <c:numRef>
              <c:f>Sinuskurve!$I$23:$J$23</c:f>
              <c:numCache>
                <c:formatCode>General</c:formatCode>
                <c:ptCount val="2"/>
                <c:pt idx="0">
                  <c:v>0</c:v>
                </c:pt>
                <c:pt idx="1">
                  <c:v>0.17101007166283441</c:v>
                </c:pt>
              </c:numCache>
            </c:numRef>
          </c:xVal>
          <c:yVal>
            <c:numRef>
              <c:f>Sinuskurve!$I$24:$J$24</c:f>
              <c:numCache>
                <c:formatCode>General</c:formatCode>
                <c:ptCount val="2"/>
                <c:pt idx="0">
                  <c:v>0</c:v>
                </c:pt>
                <c:pt idx="1">
                  <c:v>0.9698463103929541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41F-48A4-AA4D-341E35464E3F}"/>
            </c:ext>
          </c:extLst>
        </c:ser>
        <c:ser>
          <c:idx val="1"/>
          <c:order val="1"/>
          <c:tx>
            <c:strRef>
              <c:f>Sinuskurve!$H$25</c:f>
              <c:strCache>
                <c:ptCount val="1"/>
                <c:pt idx="0">
                  <c:v>y2 = 5 * sin(3 * α + 90°)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  <a:headEnd type="none" w="med" len="med"/>
              <a:tailEnd type="triangle" w="med" len="med"/>
            </a:ln>
            <a:effectLst/>
          </c:spPr>
          <c:marker>
            <c:symbol val="none"/>
          </c:marker>
          <c:xVal>
            <c:numRef>
              <c:f>Sinuskurve!$I$25:$J$25</c:f>
              <c:numCache>
                <c:formatCode>General</c:formatCode>
                <c:ptCount val="2"/>
                <c:pt idx="0">
                  <c:v>0</c:v>
                </c:pt>
                <c:pt idx="1">
                  <c:v>-0.43412044416732642</c:v>
                </c:pt>
              </c:numCache>
            </c:numRef>
          </c:xVal>
          <c:yVal>
            <c:numRef>
              <c:f>Sinuskurve!$I$26:$J$26</c:f>
              <c:numCache>
                <c:formatCode>General</c:formatCode>
                <c:ptCount val="2"/>
                <c:pt idx="0">
                  <c:v>0</c:v>
                </c:pt>
                <c:pt idx="1">
                  <c:v>-2.4620193825305221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41F-48A4-AA4D-341E35464E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7742848"/>
        <c:axId val="287743328"/>
      </c:scatterChart>
      <c:valAx>
        <c:axId val="287742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87743328"/>
        <c:crosses val="autoZero"/>
        <c:crossBetween val="midCat"/>
      </c:valAx>
      <c:valAx>
        <c:axId val="287743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877428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2302448950735642E-2"/>
          <c:y val="0.26364711491931803"/>
          <c:w val="0.58241476031355699"/>
          <c:h val="0.6846246536724615"/>
        </c:manualLayout>
      </c:layout>
      <c:scatterChart>
        <c:scatterStyle val="lineMarker"/>
        <c:varyColors val="0"/>
        <c:ser>
          <c:idx val="7"/>
          <c:order val="0"/>
          <c:tx>
            <c:strRef>
              <c:f>Vektoroperationen!$Y$3</c:f>
              <c:strCache>
                <c:ptCount val="1"/>
                <c:pt idx="0">
                  <c:v>x-Achse</c:v>
                </c:pt>
              </c:strCache>
            </c:strRef>
          </c:tx>
          <c:spPr>
            <a:ln w="28575" cap="rnd">
              <a:solidFill>
                <a:schemeClr val="tx1">
                  <a:lumMod val="95000"/>
                  <a:lumOff val="5000"/>
                </a:schemeClr>
              </a:solidFill>
              <a:round/>
              <a:headEnd type="none" w="med" len="med"/>
              <a:tailEnd type="arrow" w="med" len="med"/>
            </a:ln>
            <a:effectLst/>
          </c:spPr>
          <c:marker>
            <c:symbol val="none"/>
          </c:marker>
          <c:xVal>
            <c:numRef>
              <c:f>Vektoroperationen!$Z$3:$AA$3</c:f>
              <c:numCache>
                <c:formatCode>General</c:formatCode>
                <c:ptCount val="2"/>
                <c:pt idx="0">
                  <c:v>0</c:v>
                </c:pt>
                <c:pt idx="1">
                  <c:v>400.10373654841072</c:v>
                </c:pt>
              </c:numCache>
            </c:numRef>
          </c:xVal>
          <c:yVal>
            <c:numRef>
              <c:f>Vektoroperationen!$AB$3:$AC$3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D386-44E6-995D-F084AE3590EA}"/>
            </c:ext>
          </c:extLst>
        </c:ser>
        <c:ser>
          <c:idx val="8"/>
          <c:order val="1"/>
          <c:tx>
            <c:strRef>
              <c:f>Vektoroperationen!$Y$4</c:f>
              <c:strCache>
                <c:ptCount val="1"/>
                <c:pt idx="0">
                  <c:v>y-Achse</c:v>
                </c:pt>
              </c:strCache>
            </c:strRef>
          </c:tx>
          <c:spPr>
            <a:ln w="28575" cap="rnd">
              <a:solidFill>
                <a:schemeClr val="tx1">
                  <a:lumMod val="95000"/>
                  <a:lumOff val="5000"/>
                </a:schemeClr>
              </a:solidFill>
              <a:round/>
              <a:headEnd type="none" w="med" len="med"/>
              <a:tailEnd type="arrow" w="med" len="med"/>
            </a:ln>
            <a:effectLst/>
          </c:spPr>
          <c:marker>
            <c:symbol val="none"/>
          </c:marker>
          <c:xVal>
            <c:numRef>
              <c:f>Vektoroperationen!$Z$4:$AA$4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Vektoroperationen!$AB$4:$AC$4</c:f>
              <c:numCache>
                <c:formatCode>General</c:formatCode>
                <c:ptCount val="2"/>
                <c:pt idx="0">
                  <c:v>0</c:v>
                </c:pt>
                <c:pt idx="1">
                  <c:v>400.10373654841072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D386-44E6-995D-F084AE3590EA}"/>
            </c:ext>
          </c:extLst>
        </c:ser>
        <c:ser>
          <c:idx val="0"/>
          <c:order val="2"/>
          <c:tx>
            <c:strRef>
              <c:f>Vektoroperationen!$C$14</c:f>
              <c:strCache>
                <c:ptCount val="1"/>
                <c:pt idx="0">
                  <c:v>F1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  <a:headEnd type="none" w="med" len="med"/>
              <a:tailEnd type="triangle" w="med" len="med"/>
            </a:ln>
            <a:effectLst/>
          </c:spPr>
          <c:marker>
            <c:symbol val="none"/>
          </c:marker>
          <c:xVal>
            <c:numRef>
              <c:f>Vektoroperationen!$P$14:$Q$14</c:f>
              <c:numCache>
                <c:formatCode>#,##0.00</c:formatCode>
                <c:ptCount val="2"/>
                <c:pt idx="0">
                  <c:v>0</c:v>
                </c:pt>
                <c:pt idx="1">
                  <c:v>363.73066958946424</c:v>
                </c:pt>
              </c:numCache>
            </c:numRef>
          </c:xVal>
          <c:yVal>
            <c:numRef>
              <c:f>Vektoroperationen!$R$14:$S$14</c:f>
              <c:numCache>
                <c:formatCode>#,##0.00</c:formatCode>
                <c:ptCount val="2"/>
                <c:pt idx="0">
                  <c:v>0</c:v>
                </c:pt>
                <c:pt idx="1">
                  <c:v>-209.99999999999997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386-44E6-995D-F084AE3590EA}"/>
            </c:ext>
          </c:extLst>
        </c:ser>
        <c:ser>
          <c:idx val="1"/>
          <c:order val="3"/>
          <c:tx>
            <c:strRef>
              <c:f>Vektoroperationen!$C$15</c:f>
              <c:strCache>
                <c:ptCount val="1"/>
                <c:pt idx="0">
                  <c:v>F2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  <a:headEnd type="none" w="med" len="med"/>
              <a:tailEnd type="triangle" w="med" len="med"/>
            </a:ln>
            <a:effectLst/>
          </c:spPr>
          <c:marker>
            <c:symbol val="none"/>
          </c:marker>
          <c:xVal>
            <c:numRef>
              <c:f>Vektoroperationen!$P$15:$Q$15</c:f>
              <c:numCache>
                <c:formatCode>#,##0.00</c:formatCode>
                <c:ptCount val="2"/>
                <c:pt idx="0">
                  <c:v>363.73066958946424</c:v>
                </c:pt>
                <c:pt idx="1">
                  <c:v>265.68412645992248</c:v>
                </c:pt>
              </c:numCache>
            </c:numRef>
          </c:xVal>
          <c:yVal>
            <c:numRef>
              <c:f>Vektoroperationen!$R$15:$S$15</c:f>
              <c:numCache>
                <c:formatCode>#,##0.00</c:formatCode>
                <c:ptCount val="2"/>
                <c:pt idx="0">
                  <c:v>-209.99999999999997</c:v>
                </c:pt>
                <c:pt idx="1">
                  <c:v>-323.52037429618917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386-44E6-995D-F084AE3590EA}"/>
            </c:ext>
          </c:extLst>
        </c:ser>
        <c:ser>
          <c:idx val="2"/>
          <c:order val="4"/>
          <c:tx>
            <c:strRef>
              <c:f>Vektoroperationen!$C$16</c:f>
              <c:strCache>
                <c:ptCount val="1"/>
                <c:pt idx="0">
                  <c:v>F3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</a:schemeClr>
              </a:solidFill>
              <a:round/>
              <a:headEnd type="none" w="med" len="med"/>
              <a:tailEnd type="triangle" w="med" len="med"/>
            </a:ln>
            <a:effectLst/>
          </c:spPr>
          <c:marker>
            <c:symbol val="none"/>
          </c:marker>
          <c:xVal>
            <c:numRef>
              <c:f>Vektoroperationen!$P$16:$Q$16</c:f>
              <c:numCache>
                <c:formatCode>#,##0.00</c:formatCode>
                <c:ptCount val="2"/>
                <c:pt idx="0">
                  <c:v>265.68412645992248</c:v>
                </c:pt>
                <c:pt idx="1">
                  <c:v>65.684127318391234</c:v>
                </c:pt>
              </c:numCache>
            </c:numRef>
          </c:xVal>
          <c:yVal>
            <c:numRef>
              <c:f>Vektoroperationen!$R$16:$S$16</c:f>
              <c:numCache>
                <c:formatCode>#,##0.00</c:formatCode>
                <c:ptCount val="2"/>
                <c:pt idx="0">
                  <c:v>-323.52037429618917</c:v>
                </c:pt>
                <c:pt idx="1">
                  <c:v>-323.50184357825708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386-44E6-995D-F084AE3590EA}"/>
            </c:ext>
          </c:extLst>
        </c:ser>
        <c:ser>
          <c:idx val="3"/>
          <c:order val="5"/>
          <c:tx>
            <c:strRef>
              <c:f>Vektoroperationen!$C$17</c:f>
              <c:strCache>
                <c:ptCount val="1"/>
                <c:pt idx="0">
                  <c:v>F4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  <a:headEnd type="none" w="med" len="med"/>
              <a:tailEnd type="triangle" w="med" len="med"/>
            </a:ln>
            <a:effectLst/>
          </c:spPr>
          <c:marker>
            <c:symbol val="none"/>
          </c:marker>
          <c:xVal>
            <c:numRef>
              <c:f>Vektoroperationen!$P$17:$Q$17</c:f>
              <c:numCache>
                <c:formatCode>#,##0.00</c:formatCode>
                <c:ptCount val="2"/>
                <c:pt idx="0">
                  <c:v>65.684127318391234</c:v>
                </c:pt>
                <c:pt idx="1">
                  <c:v>65.684127318391234</c:v>
                </c:pt>
              </c:numCache>
            </c:numRef>
          </c:xVal>
          <c:yVal>
            <c:numRef>
              <c:f>Vektoroperationen!$R$17:$S$17</c:f>
              <c:numCache>
                <c:formatCode>#,##0.00</c:formatCode>
                <c:ptCount val="2"/>
                <c:pt idx="0">
                  <c:v>-323.50184357825708</c:v>
                </c:pt>
                <c:pt idx="1">
                  <c:v>-223.50184357825708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386-44E6-995D-F084AE3590EA}"/>
            </c:ext>
          </c:extLst>
        </c:ser>
        <c:ser>
          <c:idx val="4"/>
          <c:order val="6"/>
          <c:tx>
            <c:strRef>
              <c:f>Vektoroperationen!$C$18</c:f>
              <c:strCache>
                <c:ptCount val="1"/>
                <c:pt idx="0">
                  <c:v>F5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  <a:headEnd type="none" w="med" len="med"/>
              <a:tailEnd type="triangle" w="med" len="med"/>
            </a:ln>
            <a:effectLst/>
          </c:spPr>
          <c:marker>
            <c:symbol val="none"/>
          </c:marker>
          <c:xVal>
            <c:numRef>
              <c:f>Vektoroperationen!$P$18:$Q$18</c:f>
              <c:numCache>
                <c:formatCode>#,##0.00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Vektoroperationen!$R$18:$S$18</c:f>
              <c:numCache>
                <c:formatCode>#,##0.00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386-44E6-995D-F084AE3590EA}"/>
            </c:ext>
          </c:extLst>
        </c:ser>
        <c:ser>
          <c:idx val="5"/>
          <c:order val="7"/>
          <c:tx>
            <c:strRef>
              <c:f>Vektoroperationen!$C$19</c:f>
              <c:strCache>
                <c:ptCount val="1"/>
                <c:pt idx="0">
                  <c:v>F6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  <a:headEnd type="none" w="med" len="med"/>
              <a:tailEnd type="triangle" w="med" len="med"/>
            </a:ln>
            <a:effectLst/>
          </c:spPr>
          <c:marker>
            <c:symbol val="none"/>
          </c:marker>
          <c:xVal>
            <c:numRef>
              <c:f>Vektoroperationen!$P$19:$Q$19</c:f>
              <c:numCache>
                <c:formatCode>#,##0.00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Vektoroperationen!$R$19:$S$19</c:f>
              <c:numCache>
                <c:formatCode>#,##0.00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D386-44E6-995D-F084AE3590EA}"/>
            </c:ext>
          </c:extLst>
        </c:ser>
        <c:ser>
          <c:idx val="6"/>
          <c:order val="8"/>
          <c:tx>
            <c:strRef>
              <c:f>Vektoroperationen!$C$20</c:f>
              <c:strCache>
                <c:ptCount val="1"/>
                <c:pt idx="0">
                  <c:v>F7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  <a:headEnd type="none" w="med" len="med"/>
              <a:tailEnd type="triangle" w="med" len="med"/>
            </a:ln>
            <a:effectLst/>
          </c:spPr>
          <c:marker>
            <c:symbol val="none"/>
          </c:marker>
          <c:xVal>
            <c:numRef>
              <c:f>Vektoroperationen!$P$20:$Q$20</c:f>
              <c:numCache>
                <c:formatCode>#,##0.00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Vektoroperationen!$R$20:$S$20</c:f>
              <c:numCache>
                <c:formatCode>#,##0.00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D386-44E6-995D-F084AE3590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38752"/>
        <c:axId val="11735872"/>
      </c:scatterChart>
      <c:valAx>
        <c:axId val="117387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accent4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1735872"/>
        <c:crosses val="autoZero"/>
        <c:crossBetween val="midCat"/>
      </c:valAx>
      <c:valAx>
        <c:axId val="11735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17387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VektorZeitbereich!$Q$13</c:f>
              <c:strCache>
                <c:ptCount val="1"/>
                <c:pt idx="0">
                  <c:v>Skala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none"/>
          </c:marker>
          <c:xVal>
            <c:numRef>
              <c:f>VektorZeitbereich!$R$15:$U$15</c:f>
              <c:numCache>
                <c:formatCode>#,##0.00</c:formatCode>
                <c:ptCount val="4"/>
                <c:pt idx="0">
                  <c:v>8.8000000000000007</c:v>
                </c:pt>
                <c:pt idx="1">
                  <c:v>0</c:v>
                </c:pt>
                <c:pt idx="2">
                  <c:v>-8.8000000000000007</c:v>
                </c:pt>
                <c:pt idx="3">
                  <c:v>0</c:v>
                </c:pt>
              </c:numCache>
            </c:numRef>
          </c:xVal>
          <c:yVal>
            <c:numRef>
              <c:f>VektorZeitbereich!$R$16:$U$16</c:f>
              <c:numCache>
                <c:formatCode>#,##0.00</c:formatCode>
                <c:ptCount val="4"/>
                <c:pt idx="0">
                  <c:v>0</c:v>
                </c:pt>
                <c:pt idx="1">
                  <c:v>8.8000000000000007</c:v>
                </c:pt>
                <c:pt idx="2">
                  <c:v>0</c:v>
                </c:pt>
                <c:pt idx="3">
                  <c:v>-8.8000000000000007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3D9-40AC-9BAB-55E0AA1B41C8}"/>
            </c:ext>
          </c:extLst>
        </c:ser>
        <c:ser>
          <c:idx val="1"/>
          <c:order val="1"/>
          <c:tx>
            <c:strRef>
              <c:f>VektorZeitbereich!$B$15</c:f>
              <c:strCache>
                <c:ptCount val="1"/>
                <c:pt idx="0">
                  <c:v>V1</c:v>
                </c:pt>
              </c:strCache>
            </c:strRef>
          </c:tx>
          <c:spPr>
            <a:ln w="25400" cap="rnd">
              <a:solidFill>
                <a:srgbClr val="FFC000"/>
              </a:solidFill>
              <a:round/>
              <a:tailEnd type="triangle"/>
            </a:ln>
            <a:effectLst/>
          </c:spPr>
          <c:marker>
            <c:symbol val="none"/>
          </c:marker>
          <c:xVal>
            <c:numRef>
              <c:f>VektorZeitbereich!$L$15:$M$15</c:f>
              <c:numCache>
                <c:formatCode>#,##0.00</c:formatCode>
                <c:ptCount val="2"/>
                <c:pt idx="0">
                  <c:v>0</c:v>
                </c:pt>
                <c:pt idx="1">
                  <c:v>1.83772268236293E-16</c:v>
                </c:pt>
              </c:numCache>
            </c:numRef>
          </c:xVal>
          <c:yVal>
            <c:numRef>
              <c:f>VektorZeitbereich!$N$15:$O$15</c:f>
              <c:numCache>
                <c:formatCode>#,##0.00</c:formatCode>
                <c:ptCount val="2"/>
                <c:pt idx="0">
                  <c:v>0</c:v>
                </c:pt>
                <c:pt idx="1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DB1-43FD-8953-C7BECB15F8F3}"/>
            </c:ext>
          </c:extLst>
        </c:ser>
        <c:ser>
          <c:idx val="2"/>
          <c:order val="2"/>
          <c:tx>
            <c:strRef>
              <c:f>VektorZeitbereich!$B$16</c:f>
              <c:strCache>
                <c:ptCount val="1"/>
                <c:pt idx="0">
                  <c:v>V2</c:v>
                </c:pt>
              </c:strCache>
            </c:strRef>
          </c:tx>
          <c:spPr>
            <a:ln w="25400" cap="rnd">
              <a:solidFill>
                <a:srgbClr val="00B0F0"/>
              </a:solidFill>
              <a:round/>
              <a:tailEnd type="triangle"/>
            </a:ln>
            <a:effectLst/>
          </c:spPr>
          <c:marker>
            <c:symbol val="none"/>
          </c:marker>
          <c:xVal>
            <c:numRef>
              <c:f>VektorZeitbereich!$L$16:$M$16</c:f>
              <c:numCache>
                <c:formatCode>#,##0.00</c:formatCode>
                <c:ptCount val="2"/>
                <c:pt idx="0">
                  <c:v>0</c:v>
                </c:pt>
                <c:pt idx="1">
                  <c:v>-4</c:v>
                </c:pt>
              </c:numCache>
            </c:numRef>
          </c:xVal>
          <c:yVal>
            <c:numRef>
              <c:f>VektorZeitbereich!$N$16:$O$16</c:f>
              <c:numCache>
                <c:formatCode>#,##0.00</c:formatCode>
                <c:ptCount val="2"/>
                <c:pt idx="0">
                  <c:v>0</c:v>
                </c:pt>
                <c:pt idx="1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DB1-43FD-8953-C7BECB15F8F3}"/>
            </c:ext>
          </c:extLst>
        </c:ser>
        <c:ser>
          <c:idx val="3"/>
          <c:order val="3"/>
          <c:tx>
            <c:strRef>
              <c:f>VektorZeitbereich!$B$17</c:f>
              <c:strCache>
                <c:ptCount val="1"/>
                <c:pt idx="0">
                  <c:v>V1 + V2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  <a:tailEnd type="triangle"/>
            </a:ln>
            <a:effectLst/>
          </c:spPr>
          <c:marker>
            <c:symbol val="none"/>
          </c:marker>
          <c:xVal>
            <c:numRef>
              <c:f>VektorZeitbereich!$L$17:$M$17</c:f>
              <c:numCache>
                <c:formatCode>#,##0.00</c:formatCode>
                <c:ptCount val="2"/>
                <c:pt idx="0">
                  <c:v>0</c:v>
                </c:pt>
                <c:pt idx="1">
                  <c:v>-4</c:v>
                </c:pt>
              </c:numCache>
            </c:numRef>
          </c:xVal>
          <c:yVal>
            <c:numRef>
              <c:f>VektorZeitbereich!$N$17:$O$17</c:f>
              <c:numCache>
                <c:formatCode>#,##0.00</c:formatCode>
                <c:ptCount val="2"/>
                <c:pt idx="0">
                  <c:v>0</c:v>
                </c:pt>
                <c:pt idx="1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56E-4192-A1FE-08837BE608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7030208"/>
        <c:axId val="697032608"/>
      </c:scatterChart>
      <c:valAx>
        <c:axId val="6970302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97032608"/>
        <c:crosses val="autoZero"/>
        <c:crossBetween val="midCat"/>
      </c:valAx>
      <c:valAx>
        <c:axId val="697032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970302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VektorZeitbereich!$L$23</c:f>
              <c:strCache>
                <c:ptCount val="1"/>
                <c:pt idx="0">
                  <c:v>V1</c:v>
                </c:pt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xVal>
            <c:numRef>
              <c:f>VektorZeitbereich!$M$21:$AW$21</c:f>
              <c:numCache>
                <c:formatCode>General</c:formatCode>
                <c:ptCount val="3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</c:numCache>
            </c:numRef>
          </c:xVal>
          <c:yVal>
            <c:numRef>
              <c:f>VektorZeitbereich!$M$23:$AW$23</c:f>
              <c:numCache>
                <c:formatCode>General</c:formatCode>
                <c:ptCount val="37"/>
                <c:pt idx="0">
                  <c:v>3</c:v>
                </c:pt>
                <c:pt idx="1">
                  <c:v>2.9544232590366239</c:v>
                </c:pt>
                <c:pt idx="2">
                  <c:v>2.8190778623577253</c:v>
                </c:pt>
                <c:pt idx="3">
                  <c:v>2.598076211353316</c:v>
                </c:pt>
                <c:pt idx="4">
                  <c:v>2.2981333293569342</c:v>
                </c:pt>
                <c:pt idx="5">
                  <c:v>1.9283628290596184</c:v>
                </c:pt>
                <c:pt idx="6">
                  <c:v>1.5000000000000009</c:v>
                </c:pt>
                <c:pt idx="7">
                  <c:v>1.0260604299770066</c:v>
                </c:pt>
                <c:pt idx="8">
                  <c:v>0.5209445330007908</c:v>
                </c:pt>
                <c:pt idx="9">
                  <c:v>3.67544536472586E-16</c:v>
                </c:pt>
                <c:pt idx="10">
                  <c:v>-0.52094453300079002</c:v>
                </c:pt>
                <c:pt idx="11">
                  <c:v>-1.026060429977006</c:v>
                </c:pt>
                <c:pt idx="12">
                  <c:v>-1.4999999999999991</c:v>
                </c:pt>
                <c:pt idx="13">
                  <c:v>-1.9283628290596178</c:v>
                </c:pt>
                <c:pt idx="14">
                  <c:v>-2.2981333293569337</c:v>
                </c:pt>
                <c:pt idx="15">
                  <c:v>-2.5980762113533165</c:v>
                </c:pt>
                <c:pt idx="16">
                  <c:v>-2.8190778623577253</c:v>
                </c:pt>
                <c:pt idx="17">
                  <c:v>-2.9544232590366239</c:v>
                </c:pt>
                <c:pt idx="18">
                  <c:v>-3</c:v>
                </c:pt>
                <c:pt idx="19">
                  <c:v>-2.9544232590366244</c:v>
                </c:pt>
                <c:pt idx="20">
                  <c:v>-2.8190778623577257</c:v>
                </c:pt>
                <c:pt idx="21">
                  <c:v>-2.598076211353316</c:v>
                </c:pt>
                <c:pt idx="22">
                  <c:v>-2.2981333293569346</c:v>
                </c:pt>
                <c:pt idx="23">
                  <c:v>-1.9283628290596186</c:v>
                </c:pt>
                <c:pt idx="24">
                  <c:v>-1.5000000000000013</c:v>
                </c:pt>
                <c:pt idx="25">
                  <c:v>-1.0260604299770084</c:v>
                </c:pt>
                <c:pt idx="26">
                  <c:v>-0.52094453300079113</c:v>
                </c:pt>
                <c:pt idx="27">
                  <c:v>-7.3508907294517201E-16</c:v>
                </c:pt>
                <c:pt idx="28">
                  <c:v>0.5209445330007898</c:v>
                </c:pt>
                <c:pt idx="29">
                  <c:v>1.0260604299770044</c:v>
                </c:pt>
                <c:pt idx="30">
                  <c:v>1.5</c:v>
                </c:pt>
                <c:pt idx="31">
                  <c:v>1.9283628290596173</c:v>
                </c:pt>
                <c:pt idx="32">
                  <c:v>2.2981333293569333</c:v>
                </c:pt>
                <c:pt idx="33">
                  <c:v>2.5980762113533151</c:v>
                </c:pt>
                <c:pt idx="34">
                  <c:v>2.8190778623577253</c:v>
                </c:pt>
                <c:pt idx="35">
                  <c:v>2.9544232590366235</c:v>
                </c:pt>
                <c:pt idx="36">
                  <c:v>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BD5-4A5F-8259-FAA7631A2C0C}"/>
            </c:ext>
          </c:extLst>
        </c:ser>
        <c:ser>
          <c:idx val="1"/>
          <c:order val="1"/>
          <c:tx>
            <c:strRef>
              <c:f>VektorZeitbereich!$L$24</c:f>
              <c:strCache>
                <c:ptCount val="1"/>
                <c:pt idx="0">
                  <c:v>V2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xVal>
            <c:numRef>
              <c:f>VektorZeitbereich!$M$21:$AW$21</c:f>
              <c:numCache>
                <c:formatCode>General</c:formatCode>
                <c:ptCount val="3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</c:numCache>
            </c:numRef>
          </c:xVal>
          <c:yVal>
            <c:numRef>
              <c:f>VektorZeitbereich!$M$24:$AW$24</c:f>
              <c:numCache>
                <c:formatCode>General</c:formatCode>
                <c:ptCount val="37"/>
                <c:pt idx="0">
                  <c:v>5.0000000000000009</c:v>
                </c:pt>
                <c:pt idx="1">
                  <c:v>4.2294460543933212</c:v>
                </c:pt>
                <c:pt idx="2">
                  <c:v>3.330382530626868</c:v>
                </c:pt>
                <c:pt idx="3">
                  <c:v>2.3301270189221959</c:v>
                </c:pt>
                <c:pt idx="4">
                  <c:v>1.2590717768487343</c:v>
                </c:pt>
                <c:pt idx="5">
                  <c:v>0.14976027595678734</c:v>
                </c:pt>
                <c:pt idx="6">
                  <c:v>-0.9641016151377505</c:v>
                </c:pt>
                <c:pt idx="7">
                  <c:v>-2.0486697665152875</c:v>
                </c:pt>
                <c:pt idx="8">
                  <c:v>-3.0709901237141795</c:v>
                </c:pt>
                <c:pt idx="9">
                  <c:v>-3.9999999999999978</c:v>
                </c:pt>
                <c:pt idx="10">
                  <c:v>-4.807471900383482</c:v>
                </c:pt>
                <c:pt idx="11">
                  <c:v>-5.4688711997719741</c:v>
                </c:pt>
                <c:pt idx="12">
                  <c:v>-5.9641016151377517</c:v>
                </c:pt>
                <c:pt idx="13">
                  <c:v>-6.2781158209086083</c:v>
                </c:pt>
                <c:pt idx="14">
                  <c:v>-6.4013726543410474</c:v>
                </c:pt>
                <c:pt idx="15">
                  <c:v>-6.3301270189221928</c:v>
                </c:pt>
                <c:pt idx="16">
                  <c:v>-6.0665436772322172</c:v>
                </c:pt>
                <c:pt idx="17">
                  <c:v>-5.6186314757287628</c:v>
                </c:pt>
                <c:pt idx="18">
                  <c:v>-5.0000000000000018</c:v>
                </c:pt>
                <c:pt idx="19">
                  <c:v>-4.2294460543933221</c:v>
                </c:pt>
                <c:pt idx="20">
                  <c:v>-3.3303825306268715</c:v>
                </c:pt>
                <c:pt idx="21">
                  <c:v>-2.3301270189221941</c:v>
                </c:pt>
                <c:pt idx="22">
                  <c:v>-1.2590717768487352</c:v>
                </c:pt>
                <c:pt idx="23">
                  <c:v>-0.14976027595678815</c:v>
                </c:pt>
                <c:pt idx="24">
                  <c:v>0.96410161513774961</c:v>
                </c:pt>
                <c:pt idx="25">
                  <c:v>2.048669766515284</c:v>
                </c:pt>
                <c:pt idx="26">
                  <c:v>3.070990123714179</c:v>
                </c:pt>
                <c:pt idx="27">
                  <c:v>3.9999999999999973</c:v>
                </c:pt>
                <c:pt idx="28">
                  <c:v>4.8074719003834812</c:v>
                </c:pt>
                <c:pt idx="29">
                  <c:v>5.4688711997719741</c:v>
                </c:pt>
                <c:pt idx="30">
                  <c:v>5.9641016151377544</c:v>
                </c:pt>
                <c:pt idx="31">
                  <c:v>6.2781158209086083</c:v>
                </c:pt>
                <c:pt idx="32">
                  <c:v>6.4013726543410474</c:v>
                </c:pt>
                <c:pt idx="33">
                  <c:v>6.3301270189221928</c:v>
                </c:pt>
                <c:pt idx="34">
                  <c:v>6.0665436772322172</c:v>
                </c:pt>
                <c:pt idx="35">
                  <c:v>5.6186314757287628</c:v>
                </c:pt>
                <c:pt idx="36">
                  <c:v>5.0000000000000027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BD5-4A5F-8259-FAA7631A2C0C}"/>
            </c:ext>
          </c:extLst>
        </c:ser>
        <c:ser>
          <c:idx val="2"/>
          <c:order val="2"/>
          <c:tx>
            <c:strRef>
              <c:f>VektorZeitbereich!$L$25</c:f>
              <c:strCache>
                <c:ptCount val="1"/>
                <c:pt idx="0">
                  <c:v>V1 + V2</c:v>
                </c:pt>
              </c:strCache>
            </c:strRef>
          </c:tx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xVal>
            <c:numRef>
              <c:f>VektorZeitbereich!$M$21:$AW$21</c:f>
              <c:numCache>
                <c:formatCode>General</c:formatCode>
                <c:ptCount val="3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</c:numCache>
            </c:numRef>
          </c:xVal>
          <c:yVal>
            <c:numRef>
              <c:f>VektorZeitbereich!$M$25:$AW$25</c:f>
              <c:numCache>
                <c:formatCode>General</c:formatCode>
                <c:ptCount val="37"/>
                <c:pt idx="0">
                  <c:v>8</c:v>
                </c:pt>
                <c:pt idx="1">
                  <c:v>7.1838693134299447</c:v>
                </c:pt>
                <c:pt idx="2">
                  <c:v>6.1494603929845937</c:v>
                </c:pt>
                <c:pt idx="3">
                  <c:v>4.9282032302755123</c:v>
                </c:pt>
                <c:pt idx="4">
                  <c:v>3.5572051062056684</c:v>
                </c:pt>
                <c:pt idx="5">
                  <c:v>2.078123105016406</c:v>
                </c:pt>
                <c:pt idx="6">
                  <c:v>0.53589838486225039</c:v>
                </c:pt>
                <c:pt idx="7">
                  <c:v>-1.0226093365382809</c:v>
                </c:pt>
                <c:pt idx="8">
                  <c:v>-2.5500455907133888</c:v>
                </c:pt>
                <c:pt idx="9">
                  <c:v>-3.9999999999999973</c:v>
                </c:pt>
                <c:pt idx="10">
                  <c:v>-5.3284164333842723</c:v>
                </c:pt>
                <c:pt idx="11">
                  <c:v>-6.4949316297489803</c:v>
                </c:pt>
                <c:pt idx="12">
                  <c:v>-7.4641016151377508</c:v>
                </c:pt>
                <c:pt idx="13">
                  <c:v>-8.2064786499682256</c:v>
                </c:pt>
                <c:pt idx="14">
                  <c:v>-8.699505983697982</c:v>
                </c:pt>
                <c:pt idx="15">
                  <c:v>-8.9282032302755088</c:v>
                </c:pt>
                <c:pt idx="16">
                  <c:v>-8.8856215395899429</c:v>
                </c:pt>
                <c:pt idx="17">
                  <c:v>-8.5730547347653872</c:v>
                </c:pt>
                <c:pt idx="18">
                  <c:v>-8.0000000000000018</c:v>
                </c:pt>
                <c:pt idx="19">
                  <c:v>-7.1838693134299465</c:v>
                </c:pt>
                <c:pt idx="20">
                  <c:v>-6.1494603929845972</c:v>
                </c:pt>
                <c:pt idx="21">
                  <c:v>-4.9282032302755105</c:v>
                </c:pt>
                <c:pt idx="22">
                  <c:v>-3.5572051062056698</c:v>
                </c:pt>
                <c:pt idx="23">
                  <c:v>-2.0781231050164068</c:v>
                </c:pt>
                <c:pt idx="24">
                  <c:v>-0.53589838486225172</c:v>
                </c:pt>
                <c:pt idx="25">
                  <c:v>1.0226093365382756</c:v>
                </c:pt>
                <c:pt idx="26">
                  <c:v>2.5500455907133879</c:v>
                </c:pt>
                <c:pt idx="27">
                  <c:v>3.9999999999999964</c:v>
                </c:pt>
                <c:pt idx="28">
                  <c:v>5.3284164333842714</c:v>
                </c:pt>
                <c:pt idx="29">
                  <c:v>6.4949316297489785</c:v>
                </c:pt>
                <c:pt idx="30">
                  <c:v>7.4641016151377544</c:v>
                </c:pt>
                <c:pt idx="31">
                  <c:v>8.2064786499682256</c:v>
                </c:pt>
                <c:pt idx="32">
                  <c:v>8.6995059836979802</c:v>
                </c:pt>
                <c:pt idx="33">
                  <c:v>8.928203230275507</c:v>
                </c:pt>
                <c:pt idx="34">
                  <c:v>8.8856215395899429</c:v>
                </c:pt>
                <c:pt idx="35">
                  <c:v>8.5730547347653854</c:v>
                </c:pt>
                <c:pt idx="36">
                  <c:v>8.0000000000000036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BD5-4A5F-8259-FAA7631A2C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0543407"/>
        <c:axId val="550543887"/>
      </c:scatterChart>
      <c:valAx>
        <c:axId val="5505434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50543887"/>
        <c:crosses val="autoZero"/>
        <c:crossBetween val="midCat"/>
      </c:valAx>
      <c:valAx>
        <c:axId val="550543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505434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0465714040043902E-2"/>
          <c:y val="4.6025104602510462E-2"/>
          <c:w val="0.90531900207224802"/>
          <c:h val="0.85691101373834544"/>
        </c:manualLayout>
      </c:layout>
      <c:scatterChart>
        <c:scatterStyle val="smoothMarker"/>
        <c:varyColors val="0"/>
        <c:ser>
          <c:idx val="0"/>
          <c:order val="0"/>
          <c:tx>
            <c:strRef>
              <c:f>Kinematik_1!$B$5</c:f>
              <c:strCache>
                <c:ptCount val="1"/>
                <c:pt idx="0">
                  <c:v>Weg s [m] gemessen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Kinematik_1!$C$4:$F$4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xVal>
          <c:yVal>
            <c:numRef>
              <c:f>Kinematik_1!$C$5:$F$5</c:f>
              <c:numCache>
                <c:formatCode>General</c:formatCode>
                <c:ptCount val="4"/>
                <c:pt idx="0">
                  <c:v>10</c:v>
                </c:pt>
                <c:pt idx="1">
                  <c:v>19.899999999999999</c:v>
                </c:pt>
                <c:pt idx="2">
                  <c:v>30.05</c:v>
                </c:pt>
                <c:pt idx="3">
                  <c:v>40.5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034-49E4-8CED-60D4545B8694}"/>
            </c:ext>
          </c:extLst>
        </c:ser>
        <c:ser>
          <c:idx val="1"/>
          <c:order val="1"/>
          <c:tx>
            <c:strRef>
              <c:f>Kinematik_1!$B$8</c:f>
              <c:strCache>
                <c:ptCount val="1"/>
                <c:pt idx="0">
                  <c:v>Weg s = v*t [m] gerechnet</c:v>
                </c:pt>
              </c:strCache>
            </c:strRef>
          </c:tx>
          <c:spPr>
            <a:ln w="9525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Kinematik_1!$C$4:$F$4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xVal>
          <c:yVal>
            <c:numRef>
              <c:f>Kinematik_1!$C$8:$F$8</c:f>
              <c:numCache>
                <c:formatCode>General</c:formatCode>
                <c:ptCount val="4"/>
                <c:pt idx="0">
                  <c:v>10.022916666666667</c:v>
                </c:pt>
                <c:pt idx="1">
                  <c:v>20.045833333333334</c:v>
                </c:pt>
                <c:pt idx="2">
                  <c:v>30.068750000000001</c:v>
                </c:pt>
                <c:pt idx="3">
                  <c:v>40.091666666666669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034-49E4-8CED-60D4545B8694}"/>
            </c:ext>
          </c:extLst>
        </c:ser>
        <c:ser>
          <c:idx val="2"/>
          <c:order val="2"/>
          <c:tx>
            <c:strRef>
              <c:f>Kinematik_1!$I$18</c:f>
              <c:strCache>
                <c:ptCount val="1"/>
                <c:pt idx="0">
                  <c:v>y = ax + b</c:v>
                </c:pt>
              </c:strCache>
            </c:strRef>
          </c:tx>
          <c:spPr>
            <a:ln w="952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xVal>
            <c:numRef>
              <c:f>Kinematik_1!$J$17:$AO$17</c:f>
              <c:numCache>
                <c:formatCode>General</c:formatCode>
                <c:ptCount val="32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</c:numCache>
            </c:numRef>
          </c:xVal>
          <c:yVal>
            <c:numRef>
              <c:f>Kinematik_1!$J$18:$AO$18</c:f>
              <c:numCache>
                <c:formatCode>General</c:formatCode>
                <c:ptCount val="32"/>
                <c:pt idx="0">
                  <c:v>10</c:v>
                </c:pt>
                <c:pt idx="1">
                  <c:v>12.5</c:v>
                </c:pt>
                <c:pt idx="2">
                  <c:v>15</c:v>
                </c:pt>
                <c:pt idx="3">
                  <c:v>17.5</c:v>
                </c:pt>
                <c:pt idx="4">
                  <c:v>20</c:v>
                </c:pt>
                <c:pt idx="5">
                  <c:v>22.5</c:v>
                </c:pt>
                <c:pt idx="6">
                  <c:v>25</c:v>
                </c:pt>
                <c:pt idx="7">
                  <c:v>27.5</c:v>
                </c:pt>
                <c:pt idx="8">
                  <c:v>30</c:v>
                </c:pt>
                <c:pt idx="9">
                  <c:v>32.5</c:v>
                </c:pt>
                <c:pt idx="10">
                  <c:v>35</c:v>
                </c:pt>
                <c:pt idx="11">
                  <c:v>37.5</c:v>
                </c:pt>
                <c:pt idx="12">
                  <c:v>40</c:v>
                </c:pt>
                <c:pt idx="13">
                  <c:v>42.5</c:v>
                </c:pt>
                <c:pt idx="14">
                  <c:v>45</c:v>
                </c:pt>
                <c:pt idx="15">
                  <c:v>47.5</c:v>
                </c:pt>
                <c:pt idx="16">
                  <c:v>50</c:v>
                </c:pt>
                <c:pt idx="17">
                  <c:v>52.5</c:v>
                </c:pt>
                <c:pt idx="18">
                  <c:v>55</c:v>
                </c:pt>
                <c:pt idx="19">
                  <c:v>57.5</c:v>
                </c:pt>
                <c:pt idx="20">
                  <c:v>60</c:v>
                </c:pt>
                <c:pt idx="21">
                  <c:v>62.5</c:v>
                </c:pt>
                <c:pt idx="22">
                  <c:v>65</c:v>
                </c:pt>
                <c:pt idx="23">
                  <c:v>67.5</c:v>
                </c:pt>
                <c:pt idx="24">
                  <c:v>70</c:v>
                </c:pt>
                <c:pt idx="25">
                  <c:v>72.5</c:v>
                </c:pt>
                <c:pt idx="26">
                  <c:v>75</c:v>
                </c:pt>
                <c:pt idx="27">
                  <c:v>77.5</c:v>
                </c:pt>
                <c:pt idx="28">
                  <c:v>80</c:v>
                </c:pt>
                <c:pt idx="29">
                  <c:v>82.5</c:v>
                </c:pt>
                <c:pt idx="30">
                  <c:v>85</c:v>
                </c:pt>
                <c:pt idx="31">
                  <c:v>87.5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176-4E7C-99EF-90C15DD1EE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6164415"/>
        <c:axId val="866161535"/>
      </c:scatterChart>
      <c:valAx>
        <c:axId val="8661644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866161535"/>
        <c:crosses val="autoZero"/>
        <c:crossBetween val="midCat"/>
      </c:valAx>
      <c:valAx>
        <c:axId val="866161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8661644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/>
              <a:t>Weg-Zeit Diagramm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Kinematik_1!#REF!</c:f>
            </c:numRef>
          </c:xVal>
          <c:yVal>
            <c:numRef>
              <c:f>Kinematik_1!#REF!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Kinematik_1!#REF!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2A34-42EA-895E-E3188ED26C61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Kinematik_1!#REF!</c:f>
            </c:numRef>
          </c:xVal>
          <c:yVal>
            <c:numRef>
              <c:f>Kinematik_1!#REF!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Kinematik_1!#REF!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2A34-42EA-895E-E3188ED26C61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Kinematik_1!#REF!</c:f>
            </c:numRef>
          </c:xVal>
          <c:yVal>
            <c:numRef>
              <c:f>Kinematik_1!#REF!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Kinematik_1!#REF!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2C8D-421F-A5E2-66FDEFA41288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Kinematik_1!#REF!</c:f>
            </c:numRef>
          </c:xVal>
          <c:yVal>
            <c:numRef>
              <c:f>Kinematik_1!#REF!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Kinematik_1!#REF!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2C8D-421F-A5E2-66FDEFA412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5482511"/>
        <c:axId val="1515505071"/>
      </c:scatterChart>
      <c:valAx>
        <c:axId val="15154825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/>
                  <a:t>Zeit [h]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515505071"/>
        <c:crosses val="autoZero"/>
        <c:crossBetween val="midCat"/>
      </c:valAx>
      <c:valAx>
        <c:axId val="1515505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Strecke [km]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5154825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0465714040043902E-2"/>
          <c:y val="4.6025104602510462E-2"/>
          <c:w val="0.90531900207224802"/>
          <c:h val="0.85691101373834544"/>
        </c:manualLayout>
      </c:layout>
      <c:scatterChart>
        <c:scatterStyle val="smooth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'Kinematik_1 (Weg-Zeit)'!#REF!</c:f>
            </c:numRef>
          </c:xVal>
          <c:yVal>
            <c:numRef>
              <c:f>'Kinematik_1 (Weg-Zeit)'!#REF!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'Kinematik_1 (Weg-Zeit)'!#REF!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9991-4BCC-A81D-EF0D3637F6EB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none"/>
          </c:marker>
          <c:xVal>
            <c:numRef>
              <c:f>'Kinematik_1 (Weg-Zeit)'!#REF!</c:f>
            </c:numRef>
          </c:xVal>
          <c:yVal>
            <c:numRef>
              <c:f>'Kinematik_1 (Weg-Zeit)'!#REF!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'Kinematik_1 (Weg-Zeit)'!#REF!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9991-4BCC-A81D-EF0D3637F6EB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none"/>
          </c:marker>
          <c:xVal>
            <c:numRef>
              <c:f>'Kinematik_1 (Weg-Zeit)'!#REF!</c:f>
            </c:numRef>
          </c:xVal>
          <c:yVal>
            <c:numRef>
              <c:f>'Kinematik_1 (Weg-Zeit)'!#REF!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'Kinematik_1 (Weg-Zeit)'!#REF!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2-9991-4BCC-A81D-EF0D3637F6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6164415"/>
        <c:axId val="866161535"/>
      </c:scatterChart>
      <c:valAx>
        <c:axId val="8661644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866161535"/>
        <c:crosses val="autoZero"/>
        <c:crossBetween val="midCat"/>
      </c:valAx>
      <c:valAx>
        <c:axId val="866161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8661644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/>
              <a:t>Weg-Zeit Diagramm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4.9881294219055419E-2"/>
          <c:y val="0.15066346645309164"/>
          <c:w val="0.91498795031554891"/>
          <c:h val="0.66896564738755482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'Kinematik_1 (Weg-Zeit)'!$B$12</c:f>
              <c:strCache>
                <c:ptCount val="1"/>
                <c:pt idx="0">
                  <c:v>Fz_1:   s1 = v1 * t + s01  = </c:v>
                </c:pt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xVal>
            <c:numRef>
              <c:f>'Kinematik_1 (Weg-Zeit)'!$F$11:$Z$11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xVal>
          <c:yVal>
            <c:numRef>
              <c:f>'Kinematik_1 (Weg-Zeit)'!$F$12:$Z$12</c:f>
              <c:numCache>
                <c:formatCode>General</c:formatCode>
                <c:ptCount val="21"/>
                <c:pt idx="0">
                  <c:v>0</c:v>
                </c:pt>
                <c:pt idx="1">
                  <c:v>10.4</c:v>
                </c:pt>
                <c:pt idx="2">
                  <c:v>20.8</c:v>
                </c:pt>
                <c:pt idx="3">
                  <c:v>31.200000000000003</c:v>
                </c:pt>
                <c:pt idx="4">
                  <c:v>41.6</c:v>
                </c:pt>
                <c:pt idx="5">
                  <c:v>52</c:v>
                </c:pt>
                <c:pt idx="6">
                  <c:v>62.400000000000006</c:v>
                </c:pt>
                <c:pt idx="7">
                  <c:v>72.8</c:v>
                </c:pt>
                <c:pt idx="8">
                  <c:v>83.2</c:v>
                </c:pt>
                <c:pt idx="9">
                  <c:v>93.600000000000009</c:v>
                </c:pt>
                <c:pt idx="10">
                  <c:v>104</c:v>
                </c:pt>
                <c:pt idx="11">
                  <c:v>114.4</c:v>
                </c:pt>
                <c:pt idx="12">
                  <c:v>124.80000000000001</c:v>
                </c:pt>
                <c:pt idx="13">
                  <c:v>135.20000000000002</c:v>
                </c:pt>
                <c:pt idx="14">
                  <c:v>145.6</c:v>
                </c:pt>
                <c:pt idx="15">
                  <c:v>156</c:v>
                </c:pt>
                <c:pt idx="16">
                  <c:v>166.4</c:v>
                </c:pt>
                <c:pt idx="17">
                  <c:v>176.8</c:v>
                </c:pt>
                <c:pt idx="18">
                  <c:v>187.20000000000002</c:v>
                </c:pt>
                <c:pt idx="19">
                  <c:v>197.6</c:v>
                </c:pt>
                <c:pt idx="20">
                  <c:v>208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503-487D-9245-FE9E6E37F39E}"/>
            </c:ext>
          </c:extLst>
        </c:ser>
        <c:ser>
          <c:idx val="1"/>
          <c:order val="1"/>
          <c:tx>
            <c:strRef>
              <c:f>'Kinematik_1 (Weg-Zeit)'!$B$14</c:f>
              <c:strCache>
                <c:ptCount val="1"/>
                <c:pt idx="0">
                  <c:v>Fz_2:   s2 = v2 * t + s02  = </c:v>
                </c:pt>
              </c:strCache>
            </c:strRef>
          </c:tx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xVal>
            <c:numRef>
              <c:f>'Kinematik_1 (Weg-Zeit)'!$F$11:$Z$11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xVal>
          <c:yVal>
            <c:numRef>
              <c:f>'Kinematik_1 (Weg-Zeit)'!$F$14:$Z$14</c:f>
              <c:numCache>
                <c:formatCode>General</c:formatCode>
                <c:ptCount val="21"/>
                <c:pt idx="0">
                  <c:v>25.641024999999999</c:v>
                </c:pt>
                <c:pt idx="1">
                  <c:v>34.188032999999997</c:v>
                </c:pt>
                <c:pt idx="2">
                  <c:v>42.735040999999995</c:v>
                </c:pt>
                <c:pt idx="3">
                  <c:v>51.282049000000001</c:v>
                </c:pt>
                <c:pt idx="4">
                  <c:v>59.829056999999999</c:v>
                </c:pt>
                <c:pt idx="5">
                  <c:v>68.376064999999997</c:v>
                </c:pt>
                <c:pt idx="6">
                  <c:v>76.923073000000002</c:v>
                </c:pt>
                <c:pt idx="7">
                  <c:v>85.470080999999993</c:v>
                </c:pt>
                <c:pt idx="8">
                  <c:v>94.017088999999999</c:v>
                </c:pt>
                <c:pt idx="9">
                  <c:v>102.564097</c:v>
                </c:pt>
                <c:pt idx="10">
                  <c:v>111.11110499999999</c:v>
                </c:pt>
                <c:pt idx="11">
                  <c:v>119.658113</c:v>
                </c:pt>
                <c:pt idx="12">
                  <c:v>128.20512100000002</c:v>
                </c:pt>
                <c:pt idx="13">
                  <c:v>136.752129</c:v>
                </c:pt>
                <c:pt idx="14">
                  <c:v>145.299137</c:v>
                </c:pt>
                <c:pt idx="15">
                  <c:v>153.84614499999998</c:v>
                </c:pt>
                <c:pt idx="16">
                  <c:v>162.39315299999998</c:v>
                </c:pt>
                <c:pt idx="17">
                  <c:v>170.94016099999999</c:v>
                </c:pt>
                <c:pt idx="18">
                  <c:v>179.48716899999999</c:v>
                </c:pt>
                <c:pt idx="19">
                  <c:v>188.034177</c:v>
                </c:pt>
                <c:pt idx="20">
                  <c:v>196.581185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503-487D-9245-FE9E6E37F39E}"/>
            </c:ext>
          </c:extLst>
        </c:ser>
        <c:ser>
          <c:idx val="2"/>
          <c:order val="2"/>
          <c:tx>
            <c:strRef>
              <c:f>'Kinematik_1 (Weg-Zeit)'!$G$39</c:f>
              <c:strCache>
                <c:ptCount val="1"/>
                <c:pt idx="0">
                  <c:v>horizontale:</c:v>
                </c:pt>
              </c:strCache>
            </c:strRef>
          </c:tx>
          <c:spPr>
            <a:ln w="19050" cap="rnd">
              <a:solidFill>
                <a:schemeClr val="tx1">
                  <a:lumMod val="95000"/>
                  <a:lumOff val="5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'Kinematik_1 (Weg-Zeit)'!$H$39:$I$39</c:f>
              <c:numCache>
                <c:formatCode>General</c:formatCode>
                <c:ptCount val="2"/>
                <c:pt idx="0">
                  <c:v>0</c:v>
                </c:pt>
                <c:pt idx="1">
                  <c:v>13.837633945532412</c:v>
                </c:pt>
              </c:numCache>
            </c:numRef>
          </c:xVal>
          <c:yVal>
            <c:numRef>
              <c:f>'Kinematik_1 (Weg-Zeit)'!$H$40:$I$40</c:f>
              <c:numCache>
                <c:formatCode>General</c:formatCode>
                <c:ptCount val="2"/>
                <c:pt idx="0">
                  <c:v>143.91139303353708</c:v>
                </c:pt>
                <c:pt idx="1">
                  <c:v>143.91139303353708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503-487D-9245-FE9E6E37F39E}"/>
            </c:ext>
          </c:extLst>
        </c:ser>
        <c:ser>
          <c:idx val="3"/>
          <c:order val="3"/>
          <c:tx>
            <c:strRef>
              <c:f>'Kinematik_1 (Weg-Zeit)'!$G$42</c:f>
              <c:strCache>
                <c:ptCount val="1"/>
                <c:pt idx="0">
                  <c:v>vertikale:</c:v>
                </c:pt>
              </c:strCache>
            </c:strRef>
          </c:tx>
          <c:spPr>
            <a:ln w="19050" cap="rnd">
              <a:solidFill>
                <a:schemeClr val="tx1">
                  <a:lumMod val="95000"/>
                  <a:lumOff val="5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'Kinematik_1 (Weg-Zeit)'!$H$42:$I$42</c:f>
              <c:numCache>
                <c:formatCode>General</c:formatCode>
                <c:ptCount val="2"/>
                <c:pt idx="0">
                  <c:v>13.837633945532412</c:v>
                </c:pt>
                <c:pt idx="1">
                  <c:v>13.837633945532412</c:v>
                </c:pt>
              </c:numCache>
            </c:numRef>
          </c:xVal>
          <c:yVal>
            <c:numRef>
              <c:f>'Kinematik_1 (Weg-Zeit)'!$H$43:$I$43</c:f>
              <c:numCache>
                <c:formatCode>General</c:formatCode>
                <c:ptCount val="2"/>
                <c:pt idx="0">
                  <c:v>0</c:v>
                </c:pt>
                <c:pt idx="1">
                  <c:v>143.91139303353708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503-487D-9245-FE9E6E37F3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5482511"/>
        <c:axId val="1515505071"/>
      </c:scatterChart>
      <c:valAx>
        <c:axId val="15154825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/>
                  <a:t>Zeit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515505071"/>
        <c:crosses val="autoZero"/>
        <c:crossBetween val="midCat"/>
      </c:valAx>
      <c:valAx>
        <c:axId val="1515505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Strecke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5154825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2"/>
        <c:delete val="1"/>
      </c:legendEntry>
      <c:legendEntry>
        <c:idx val="3"/>
        <c:delete val="1"/>
      </c:legendEntry>
      <c:layout>
        <c:manualLayout>
          <c:xMode val="edge"/>
          <c:yMode val="edge"/>
          <c:x val="0.81132975712699251"/>
          <c:y val="0.40776879139268785"/>
          <c:w val="0.12956060836092209"/>
          <c:h val="0.1370969960255343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/>
              <a:t>Weg -ZeitDiagramm</a:t>
            </a:r>
          </a:p>
        </c:rich>
      </c:tx>
      <c:layout>
        <c:manualLayout>
          <c:xMode val="edge"/>
          <c:yMode val="edge"/>
          <c:x val="0.42986083462673624"/>
          <c:y val="3.836596566262856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'Kinematik_1 (Weg-Zeit)'!$B$12</c:f>
              <c:strCache>
                <c:ptCount val="1"/>
                <c:pt idx="0">
                  <c:v>Fz_1:   s1 = v1 * t + s01  = </c:v>
                </c:pt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xVal>
            <c:numRef>
              <c:f>'Kinematik_1 (Weg-Zeit)'!$F$12:$Z$12</c:f>
              <c:numCache>
                <c:formatCode>General</c:formatCode>
                <c:ptCount val="21"/>
                <c:pt idx="0">
                  <c:v>0</c:v>
                </c:pt>
                <c:pt idx="1">
                  <c:v>10.4</c:v>
                </c:pt>
                <c:pt idx="2">
                  <c:v>20.8</c:v>
                </c:pt>
                <c:pt idx="3">
                  <c:v>31.200000000000003</c:v>
                </c:pt>
                <c:pt idx="4">
                  <c:v>41.6</c:v>
                </c:pt>
                <c:pt idx="5">
                  <c:v>52</c:v>
                </c:pt>
                <c:pt idx="6">
                  <c:v>62.400000000000006</c:v>
                </c:pt>
                <c:pt idx="7">
                  <c:v>72.8</c:v>
                </c:pt>
                <c:pt idx="8">
                  <c:v>83.2</c:v>
                </c:pt>
                <c:pt idx="9">
                  <c:v>93.600000000000009</c:v>
                </c:pt>
                <c:pt idx="10">
                  <c:v>104</c:v>
                </c:pt>
                <c:pt idx="11">
                  <c:v>114.4</c:v>
                </c:pt>
                <c:pt idx="12">
                  <c:v>124.80000000000001</c:v>
                </c:pt>
                <c:pt idx="13">
                  <c:v>135.20000000000002</c:v>
                </c:pt>
                <c:pt idx="14">
                  <c:v>145.6</c:v>
                </c:pt>
                <c:pt idx="15">
                  <c:v>156</c:v>
                </c:pt>
                <c:pt idx="16">
                  <c:v>166.4</c:v>
                </c:pt>
                <c:pt idx="17">
                  <c:v>176.8</c:v>
                </c:pt>
                <c:pt idx="18">
                  <c:v>187.20000000000002</c:v>
                </c:pt>
                <c:pt idx="19">
                  <c:v>197.6</c:v>
                </c:pt>
                <c:pt idx="20">
                  <c:v>208</c:v>
                </c:pt>
              </c:numCache>
            </c:numRef>
          </c:xVal>
          <c:yVal>
            <c:numRef>
              <c:f>'Kinematik_1 (Weg-Zeit)'!$F$11:$Z$11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F9E-4A9D-AE44-046B5F23F92D}"/>
            </c:ext>
          </c:extLst>
        </c:ser>
        <c:ser>
          <c:idx val="1"/>
          <c:order val="1"/>
          <c:tx>
            <c:strRef>
              <c:f>'Kinematik_1 (Weg-Zeit)'!$B$14</c:f>
              <c:strCache>
                <c:ptCount val="1"/>
                <c:pt idx="0">
                  <c:v>Fz_2:   s2 = v2 * t + s02  = </c:v>
                </c:pt>
              </c:strCache>
            </c:strRef>
          </c:tx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xVal>
            <c:numRef>
              <c:f>'Kinematik_1 (Weg-Zeit)'!$F$14:$Z$14</c:f>
              <c:numCache>
                <c:formatCode>General</c:formatCode>
                <c:ptCount val="21"/>
                <c:pt idx="0">
                  <c:v>25.641024999999999</c:v>
                </c:pt>
                <c:pt idx="1">
                  <c:v>34.188032999999997</c:v>
                </c:pt>
                <c:pt idx="2">
                  <c:v>42.735040999999995</c:v>
                </c:pt>
                <c:pt idx="3">
                  <c:v>51.282049000000001</c:v>
                </c:pt>
                <c:pt idx="4">
                  <c:v>59.829056999999999</c:v>
                </c:pt>
                <c:pt idx="5">
                  <c:v>68.376064999999997</c:v>
                </c:pt>
                <c:pt idx="6">
                  <c:v>76.923073000000002</c:v>
                </c:pt>
                <c:pt idx="7">
                  <c:v>85.470080999999993</c:v>
                </c:pt>
                <c:pt idx="8">
                  <c:v>94.017088999999999</c:v>
                </c:pt>
                <c:pt idx="9">
                  <c:v>102.564097</c:v>
                </c:pt>
                <c:pt idx="10">
                  <c:v>111.11110499999999</c:v>
                </c:pt>
                <c:pt idx="11">
                  <c:v>119.658113</c:v>
                </c:pt>
                <c:pt idx="12">
                  <c:v>128.20512100000002</c:v>
                </c:pt>
                <c:pt idx="13">
                  <c:v>136.752129</c:v>
                </c:pt>
                <c:pt idx="14">
                  <c:v>145.299137</c:v>
                </c:pt>
                <c:pt idx="15">
                  <c:v>153.84614499999998</c:v>
                </c:pt>
                <c:pt idx="16">
                  <c:v>162.39315299999998</c:v>
                </c:pt>
                <c:pt idx="17">
                  <c:v>170.94016099999999</c:v>
                </c:pt>
                <c:pt idx="18">
                  <c:v>179.48716899999999</c:v>
                </c:pt>
                <c:pt idx="19">
                  <c:v>188.034177</c:v>
                </c:pt>
                <c:pt idx="20">
                  <c:v>196.581185</c:v>
                </c:pt>
              </c:numCache>
            </c:numRef>
          </c:xVal>
          <c:yVal>
            <c:numRef>
              <c:f>'Kinematik_1 (Weg-Zeit)'!$F$11:$Z$11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F9E-4A9D-AE44-046B5F23F9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5482511"/>
        <c:axId val="1515505071"/>
      </c:scatterChart>
      <c:valAx>
        <c:axId val="15154825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Strecke [km]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515505071"/>
        <c:crosses val="autoZero"/>
        <c:crossBetween val="midCat"/>
      </c:valAx>
      <c:valAx>
        <c:axId val="1515505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Zeit [h]</a:t>
                </a:r>
              </a:p>
            </c:rich>
          </c:tx>
          <c:layout>
            <c:manualLayout>
              <c:xMode val="edge"/>
              <c:yMode val="edge"/>
              <c:x val="1.4367759826055249E-2"/>
              <c:y val="0.368592985091366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5154825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/>
              <a:t>Geschwindigkeit-Zeit</a:t>
            </a:r>
            <a:r>
              <a:rPr lang="de-CH" baseline="0"/>
              <a:t> Diagramm</a:t>
            </a:r>
            <a:endParaRPr lang="de-C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CH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Kinematik_2!$C$20</c:f>
              <c:strCache>
                <c:ptCount val="1"/>
                <c:pt idx="0">
                  <c:v>v = a * t + v0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Kinematik_2!$E$19:$Y$19</c:f>
              <c:numCache>
                <c:formatCode>General</c:formatCode>
                <c:ptCount val="21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</c:numCache>
            </c:numRef>
          </c:xVal>
          <c:yVal>
            <c:numRef>
              <c:f>Kinematik_2!$E$20:$Y$20</c:f>
              <c:numCache>
                <c:formatCode>General</c:formatCode>
                <c:ptCount val="21"/>
                <c:pt idx="0">
                  <c:v>30</c:v>
                </c:pt>
                <c:pt idx="1">
                  <c:v>32</c:v>
                </c:pt>
                <c:pt idx="2">
                  <c:v>34</c:v>
                </c:pt>
                <c:pt idx="3">
                  <c:v>36</c:v>
                </c:pt>
                <c:pt idx="4">
                  <c:v>38</c:v>
                </c:pt>
                <c:pt idx="5">
                  <c:v>40</c:v>
                </c:pt>
                <c:pt idx="6">
                  <c:v>42</c:v>
                </c:pt>
                <c:pt idx="7">
                  <c:v>44</c:v>
                </c:pt>
                <c:pt idx="8">
                  <c:v>46</c:v>
                </c:pt>
                <c:pt idx="9">
                  <c:v>48</c:v>
                </c:pt>
                <c:pt idx="10">
                  <c:v>50</c:v>
                </c:pt>
                <c:pt idx="11">
                  <c:v>52</c:v>
                </c:pt>
                <c:pt idx="12">
                  <c:v>54</c:v>
                </c:pt>
                <c:pt idx="13">
                  <c:v>56</c:v>
                </c:pt>
                <c:pt idx="14">
                  <c:v>58</c:v>
                </c:pt>
                <c:pt idx="15">
                  <c:v>60</c:v>
                </c:pt>
                <c:pt idx="16">
                  <c:v>62</c:v>
                </c:pt>
                <c:pt idx="17">
                  <c:v>64</c:v>
                </c:pt>
                <c:pt idx="18">
                  <c:v>66</c:v>
                </c:pt>
                <c:pt idx="19">
                  <c:v>68</c:v>
                </c:pt>
                <c:pt idx="20">
                  <c:v>70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5BB-4B4D-883F-3319D7F46756}"/>
            </c:ext>
          </c:extLst>
        </c:ser>
        <c:ser>
          <c:idx val="1"/>
          <c:order val="1"/>
          <c:tx>
            <c:strRef>
              <c:f>Kinematik_2!$N$2</c:f>
              <c:strCache>
                <c:ptCount val="1"/>
                <c:pt idx="0">
                  <c:v>Senkrechte</c:v>
                </c:pt>
              </c:strCache>
            </c:strRef>
          </c:tx>
          <c:spPr>
            <a:ln w="12700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Kinematik_2!$N$3:$O$3</c:f>
              <c:numCache>
                <c:formatCode>General</c:formatCode>
                <c:ptCount val="2"/>
                <c:pt idx="0">
                  <c:v>4</c:v>
                </c:pt>
                <c:pt idx="1">
                  <c:v>4</c:v>
                </c:pt>
              </c:numCache>
            </c:numRef>
          </c:xVal>
          <c:yVal>
            <c:numRef>
              <c:f>Kinematik_2!$N$4:$O$4</c:f>
              <c:numCache>
                <c:formatCode>General</c:formatCode>
                <c:ptCount val="2"/>
                <c:pt idx="0">
                  <c:v>0</c:v>
                </c:pt>
                <c:pt idx="1">
                  <c:v>46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5BB-4B4D-883F-3319D7F46756}"/>
            </c:ext>
          </c:extLst>
        </c:ser>
        <c:ser>
          <c:idx val="2"/>
          <c:order val="2"/>
          <c:tx>
            <c:strRef>
              <c:f>Kinematik_2!$Q$2</c:f>
              <c:strCache>
                <c:ptCount val="1"/>
                <c:pt idx="0">
                  <c:v>Vertikale Hilfslinie</c:v>
                </c:pt>
              </c:strCache>
            </c:strRef>
          </c:tx>
          <c:spPr>
            <a:ln w="9525" cap="rnd">
              <a:solidFill>
                <a:srgbClr val="FF0000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Kinematik_2!$Q$3:$R$3</c:f>
              <c:numCache>
                <c:formatCode>General</c:formatCode>
                <c:ptCount val="2"/>
                <c:pt idx="0">
                  <c:v>0</c:v>
                </c:pt>
                <c:pt idx="1">
                  <c:v>4</c:v>
                </c:pt>
              </c:numCache>
            </c:numRef>
          </c:xVal>
          <c:yVal>
            <c:numRef>
              <c:f>Kinematik_2!$Q$4:$R$4</c:f>
              <c:numCache>
                <c:formatCode>General</c:formatCode>
                <c:ptCount val="2"/>
                <c:pt idx="0">
                  <c:v>30</c:v>
                </c:pt>
                <c:pt idx="1">
                  <c:v>30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5BB-4B4D-883F-3319D7F46756}"/>
            </c:ext>
          </c:extLst>
        </c:ser>
        <c:ser>
          <c:idx val="3"/>
          <c:order val="3"/>
          <c:tx>
            <c:strRef>
              <c:f>Kinematik_2!$T$2</c:f>
              <c:strCache>
                <c:ptCount val="1"/>
                <c:pt idx="0">
                  <c:v>Vertikale</c:v>
                </c:pt>
              </c:strCache>
            </c:strRef>
          </c:tx>
          <c:spPr>
            <a:ln w="127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Kinematik_2!$T$3:$U$3</c:f>
              <c:numCache>
                <c:formatCode>General</c:formatCode>
                <c:ptCount val="2"/>
                <c:pt idx="0">
                  <c:v>0</c:v>
                </c:pt>
                <c:pt idx="1">
                  <c:v>4</c:v>
                </c:pt>
              </c:numCache>
            </c:numRef>
          </c:xVal>
          <c:yVal>
            <c:numRef>
              <c:f>Kinematik_2!$T$4:$U$4</c:f>
              <c:numCache>
                <c:formatCode>General</c:formatCode>
                <c:ptCount val="2"/>
                <c:pt idx="0">
                  <c:v>46</c:v>
                </c:pt>
                <c:pt idx="1">
                  <c:v>46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020-4E87-B567-157405C2BD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0405664"/>
        <c:axId val="1130406144"/>
      </c:scatterChart>
      <c:valAx>
        <c:axId val="1130405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/>
                  <a:t>Zeit t [s]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130406144"/>
        <c:crosses val="autoZero"/>
        <c:crossBetween val="midCat"/>
      </c:valAx>
      <c:valAx>
        <c:axId val="1130406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Geschwindigkeit v [m/s]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1304056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Weg-Zeit Diagramm</a:t>
            </a:r>
            <a:r>
              <a:rPr lang="en-US" baseline="0"/>
              <a:t>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Kinematik_2!$C$21</c:f>
              <c:strCache>
                <c:ptCount val="1"/>
                <c:pt idx="0">
                  <c:v>s = a/2 * t2 + v0*t  +  s0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Kinematik_2!$E$19:$Y$19</c:f>
              <c:numCache>
                <c:formatCode>General</c:formatCode>
                <c:ptCount val="21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</c:numCache>
            </c:numRef>
          </c:xVal>
          <c:yVal>
            <c:numRef>
              <c:f>Kinematik_2!$E$21:$Y$21</c:f>
              <c:numCache>
                <c:formatCode>General</c:formatCode>
                <c:ptCount val="21"/>
                <c:pt idx="0">
                  <c:v>50</c:v>
                </c:pt>
                <c:pt idx="1">
                  <c:v>65.5</c:v>
                </c:pt>
                <c:pt idx="2">
                  <c:v>82</c:v>
                </c:pt>
                <c:pt idx="3">
                  <c:v>99.5</c:v>
                </c:pt>
                <c:pt idx="4">
                  <c:v>118</c:v>
                </c:pt>
                <c:pt idx="5">
                  <c:v>137.5</c:v>
                </c:pt>
                <c:pt idx="6">
                  <c:v>158</c:v>
                </c:pt>
                <c:pt idx="7">
                  <c:v>179.5</c:v>
                </c:pt>
                <c:pt idx="8">
                  <c:v>202</c:v>
                </c:pt>
                <c:pt idx="9">
                  <c:v>225.5</c:v>
                </c:pt>
                <c:pt idx="10">
                  <c:v>250</c:v>
                </c:pt>
                <c:pt idx="11">
                  <c:v>275.5</c:v>
                </c:pt>
                <c:pt idx="12">
                  <c:v>302</c:v>
                </c:pt>
                <c:pt idx="13">
                  <c:v>329.5</c:v>
                </c:pt>
                <c:pt idx="14">
                  <c:v>358</c:v>
                </c:pt>
                <c:pt idx="15">
                  <c:v>387.5</c:v>
                </c:pt>
                <c:pt idx="16">
                  <c:v>418</c:v>
                </c:pt>
                <c:pt idx="17">
                  <c:v>449.5</c:v>
                </c:pt>
                <c:pt idx="18">
                  <c:v>482</c:v>
                </c:pt>
                <c:pt idx="19">
                  <c:v>515.5</c:v>
                </c:pt>
                <c:pt idx="20">
                  <c:v>550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30D-4EC4-B2CF-F9F2CB1F2A6C}"/>
            </c:ext>
          </c:extLst>
        </c:ser>
        <c:ser>
          <c:idx val="1"/>
          <c:order val="1"/>
          <c:tx>
            <c:strRef>
              <c:f>Kinematik_2!$X$2</c:f>
              <c:strCache>
                <c:ptCount val="1"/>
                <c:pt idx="0">
                  <c:v>Senkrechte_2</c:v>
                </c:pt>
              </c:strCache>
            </c:strRef>
          </c:tx>
          <c:spPr>
            <a:ln w="127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Kinematik_2!$X$3:$Y$3</c:f>
              <c:numCache>
                <c:formatCode>General</c:formatCode>
                <c:ptCount val="2"/>
                <c:pt idx="0">
                  <c:v>4</c:v>
                </c:pt>
                <c:pt idx="1">
                  <c:v>4</c:v>
                </c:pt>
              </c:numCache>
            </c:numRef>
          </c:xVal>
          <c:yVal>
            <c:numRef>
              <c:f>Kinematik_2!$X$4:$Y$4</c:f>
              <c:numCache>
                <c:formatCode>General</c:formatCode>
                <c:ptCount val="2"/>
                <c:pt idx="0">
                  <c:v>0</c:v>
                </c:pt>
                <c:pt idx="1">
                  <c:v>202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934-4A3D-AC4F-58A3941EEC57}"/>
            </c:ext>
          </c:extLst>
        </c:ser>
        <c:ser>
          <c:idx val="2"/>
          <c:order val="2"/>
          <c:tx>
            <c:strRef>
              <c:f>Kinematik_2!$AA$2</c:f>
              <c:strCache>
                <c:ptCount val="1"/>
                <c:pt idx="0">
                  <c:v>Vertikale_2</c:v>
                </c:pt>
              </c:strCache>
            </c:strRef>
          </c:tx>
          <c:spPr>
            <a:ln w="127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Kinematik_2!$AA$3:$AB$3</c:f>
              <c:numCache>
                <c:formatCode>General</c:formatCode>
                <c:ptCount val="2"/>
                <c:pt idx="0">
                  <c:v>0</c:v>
                </c:pt>
                <c:pt idx="1">
                  <c:v>4</c:v>
                </c:pt>
              </c:numCache>
            </c:numRef>
          </c:xVal>
          <c:yVal>
            <c:numRef>
              <c:f>Kinematik_2!$AA$4:$AB$4</c:f>
              <c:numCache>
                <c:formatCode>General</c:formatCode>
                <c:ptCount val="2"/>
                <c:pt idx="0">
                  <c:v>202</c:v>
                </c:pt>
                <c:pt idx="1">
                  <c:v>202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934-4A3D-AC4F-58A3941EEC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1584816"/>
        <c:axId val="631581936"/>
      </c:scatterChart>
      <c:valAx>
        <c:axId val="631584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/>
                  <a:t>Zeit t [s]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31581936"/>
        <c:crosses val="autoZero"/>
        <c:crossBetween val="midCat"/>
      </c:valAx>
      <c:valAx>
        <c:axId val="631581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/>
                  <a:t>Strecke</a:t>
                </a:r>
                <a:r>
                  <a:rPr lang="de-CH" baseline="0"/>
                  <a:t> s [m]</a:t>
                </a:r>
                <a:endParaRPr lang="de-CH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CH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315848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0465714040043902E-2"/>
          <c:y val="4.6025104602510462E-2"/>
          <c:w val="0.90531900207224802"/>
          <c:h val="0.85691101373834544"/>
        </c:manualLayout>
      </c:layout>
      <c:scatterChart>
        <c:scatterStyle val="smooth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'Kinematik_1 (Weg-Zeit)'!#REF!</c:f>
            </c:numRef>
          </c:xVal>
          <c:yVal>
            <c:numRef>
              <c:f>'Kinematik_1 (Weg-Zeit)'!#REF!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'Kinematik_1 (Weg-Zeit)'!#REF!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6536-4FC4-B690-E597D463668B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none"/>
          </c:marker>
          <c:xVal>
            <c:numRef>
              <c:f>'Kinematik_1 (Weg-Zeit)'!#REF!</c:f>
            </c:numRef>
          </c:xVal>
          <c:yVal>
            <c:numRef>
              <c:f>'Kinematik_1 (Weg-Zeit)'!#REF!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'Kinematik_1 (Weg-Zeit)'!#REF!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6536-4FC4-B690-E597D463668B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none"/>
          </c:marker>
          <c:xVal>
            <c:numRef>
              <c:f>'Kinematik_1 (Weg-Zeit)'!#REF!</c:f>
            </c:numRef>
          </c:xVal>
          <c:yVal>
            <c:numRef>
              <c:f>'Kinematik_1 (Weg-Zeit)'!#REF!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'Kinematik_1 (Weg-Zeit)'!#REF!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2-6536-4FC4-B690-E597D46366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6164415"/>
        <c:axId val="866161535"/>
      </c:scatterChart>
      <c:valAx>
        <c:axId val="8661644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866161535"/>
        <c:crosses val="autoZero"/>
        <c:crossBetween val="midCat"/>
      </c:valAx>
      <c:valAx>
        <c:axId val="866161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8661644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/>
              <a:t>Weg-Zeit Diagramm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4.9881294219055419E-2"/>
          <c:y val="0.15066346645309164"/>
          <c:w val="0.91498795031554891"/>
          <c:h val="0.66896564738755482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'Kinematik_2 (Weg-Zeit)'!$B$13</c:f>
              <c:strCache>
                <c:ptCount val="1"/>
                <c:pt idx="0">
                  <c:v>v1 = a1*t + v01  = </c:v>
                </c:pt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xVal>
            <c:numRef>
              <c:f>'Kinematik_2 (Weg-Zeit)'!$G$11:$AA$11</c:f>
              <c:numCache>
                <c:formatCode>General</c:formatCode>
                <c:ptCount val="21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</c:numCache>
            </c:numRef>
          </c:xVal>
          <c:yVal>
            <c:numRef>
              <c:f>'Kinematik_2 (Weg-Zeit)'!$G$13:$AA$13</c:f>
              <c:numCache>
                <c:formatCode>General</c:formatCode>
                <c:ptCount val="21"/>
                <c:pt idx="0">
                  <c:v>30.000000000000004</c:v>
                </c:pt>
                <c:pt idx="1">
                  <c:v>33.6</c:v>
                </c:pt>
                <c:pt idx="2">
                  <c:v>37.200000000000003</c:v>
                </c:pt>
                <c:pt idx="3">
                  <c:v>40.800000000000004</c:v>
                </c:pt>
                <c:pt idx="4">
                  <c:v>44.400000000000006</c:v>
                </c:pt>
                <c:pt idx="5">
                  <c:v>48</c:v>
                </c:pt>
                <c:pt idx="6">
                  <c:v>51.6</c:v>
                </c:pt>
                <c:pt idx="7">
                  <c:v>55.2</c:v>
                </c:pt>
                <c:pt idx="8">
                  <c:v>58.800000000000011</c:v>
                </c:pt>
                <c:pt idx="9">
                  <c:v>62.400000000000013</c:v>
                </c:pt>
                <c:pt idx="10">
                  <c:v>66.000000000000014</c:v>
                </c:pt>
                <c:pt idx="11">
                  <c:v>69.600000000000009</c:v>
                </c:pt>
                <c:pt idx="12">
                  <c:v>73.200000000000017</c:v>
                </c:pt>
                <c:pt idx="13">
                  <c:v>76.800000000000011</c:v>
                </c:pt>
                <c:pt idx="14">
                  <c:v>80.400000000000006</c:v>
                </c:pt>
                <c:pt idx="15">
                  <c:v>84.000000000000014</c:v>
                </c:pt>
                <c:pt idx="16">
                  <c:v>87.600000000000009</c:v>
                </c:pt>
                <c:pt idx="17">
                  <c:v>91.200000000000017</c:v>
                </c:pt>
                <c:pt idx="18">
                  <c:v>94.800000000000011</c:v>
                </c:pt>
                <c:pt idx="19">
                  <c:v>98.4</c:v>
                </c:pt>
                <c:pt idx="20">
                  <c:v>102.00000000000001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E64-4360-819F-5918B5774B37}"/>
            </c:ext>
          </c:extLst>
        </c:ser>
        <c:ser>
          <c:idx val="1"/>
          <c:order val="1"/>
          <c:tx>
            <c:strRef>
              <c:f>'Kinematik_2 (Weg-Zeit)'!$B$18</c:f>
              <c:strCache>
                <c:ptCount val="1"/>
                <c:pt idx="0">
                  <c:v>Fz_2:   s2 = v2 * t + s02  = </c:v>
                </c:pt>
              </c:strCache>
            </c:strRef>
          </c:tx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xVal>
            <c:numRef>
              <c:f>'Kinematik_2 (Weg-Zeit)'!$G$11:$AA$11</c:f>
              <c:numCache>
                <c:formatCode>General</c:formatCode>
                <c:ptCount val="21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</c:numCache>
            </c:numRef>
          </c:xVal>
          <c:yVal>
            <c:numRef>
              <c:f>'Kinematik_2 (Weg-Zeit)'!$G$18:$AA$18</c:f>
              <c:numCache>
                <c:formatCode>General</c:formatCode>
                <c:ptCount val="21"/>
                <c:pt idx="0">
                  <c:v>0</c:v>
                </c:pt>
                <c:pt idx="1">
                  <c:v>60</c:v>
                </c:pt>
                <c:pt idx="2">
                  <c:v>120</c:v>
                </c:pt>
                <c:pt idx="3">
                  <c:v>180</c:v>
                </c:pt>
                <c:pt idx="4">
                  <c:v>240</c:v>
                </c:pt>
                <c:pt idx="5">
                  <c:v>300</c:v>
                </c:pt>
                <c:pt idx="6">
                  <c:v>360</c:v>
                </c:pt>
                <c:pt idx="7">
                  <c:v>420</c:v>
                </c:pt>
                <c:pt idx="8">
                  <c:v>480</c:v>
                </c:pt>
                <c:pt idx="9">
                  <c:v>540</c:v>
                </c:pt>
                <c:pt idx="10">
                  <c:v>600</c:v>
                </c:pt>
                <c:pt idx="11">
                  <c:v>660</c:v>
                </c:pt>
                <c:pt idx="12">
                  <c:v>720</c:v>
                </c:pt>
                <c:pt idx="13">
                  <c:v>780</c:v>
                </c:pt>
                <c:pt idx="14">
                  <c:v>840</c:v>
                </c:pt>
                <c:pt idx="15">
                  <c:v>900</c:v>
                </c:pt>
                <c:pt idx="16">
                  <c:v>960</c:v>
                </c:pt>
                <c:pt idx="17">
                  <c:v>1020</c:v>
                </c:pt>
                <c:pt idx="18">
                  <c:v>1080</c:v>
                </c:pt>
                <c:pt idx="19">
                  <c:v>1140</c:v>
                </c:pt>
                <c:pt idx="20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E64-4360-819F-5918B5774B37}"/>
            </c:ext>
          </c:extLst>
        </c:ser>
        <c:ser>
          <c:idx val="2"/>
          <c:order val="2"/>
          <c:tx>
            <c:strRef>
              <c:f>'Kinematik_2 (Weg-Zeit)'!$H$45</c:f>
              <c:strCache>
                <c:ptCount val="1"/>
                <c:pt idx="0">
                  <c:v>horizontale:</c:v>
                </c:pt>
              </c:strCache>
            </c:strRef>
          </c:tx>
          <c:spPr>
            <a:ln w="19050" cap="rnd">
              <a:solidFill>
                <a:schemeClr val="tx1">
                  <a:lumMod val="95000"/>
                  <a:lumOff val="5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'Kinematik_2 (Weg-Zeit)'!$I$45:$J$45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'Kinematik_2 (Weg-Zeit)'!$I$46:$J$46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E64-4360-819F-5918B5774B37}"/>
            </c:ext>
          </c:extLst>
        </c:ser>
        <c:ser>
          <c:idx val="3"/>
          <c:order val="3"/>
          <c:tx>
            <c:strRef>
              <c:f>'Kinematik_2 (Weg-Zeit)'!$H$48</c:f>
              <c:strCache>
                <c:ptCount val="1"/>
                <c:pt idx="0">
                  <c:v>vertikale:</c:v>
                </c:pt>
              </c:strCache>
            </c:strRef>
          </c:tx>
          <c:spPr>
            <a:ln w="19050" cap="rnd">
              <a:solidFill>
                <a:schemeClr val="tx1">
                  <a:lumMod val="95000"/>
                  <a:lumOff val="5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'Kinematik_2 (Weg-Zeit)'!$I$48:$J$48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'Kinematik_2 (Weg-Zeit)'!$I$49:$J$49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E64-4360-819F-5918B5774B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5482511"/>
        <c:axId val="1515505071"/>
      </c:scatterChart>
      <c:valAx>
        <c:axId val="15154825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/>
                  <a:t>Zeit [h]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515505071"/>
        <c:crosses val="autoZero"/>
        <c:crossBetween val="midCat"/>
      </c:valAx>
      <c:valAx>
        <c:axId val="1515505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Strecke [km]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5154825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2"/>
        <c:delete val="1"/>
      </c:legendEntry>
      <c:legendEntry>
        <c:idx val="3"/>
        <c:delete val="1"/>
      </c:legendEntry>
      <c:layout>
        <c:manualLayout>
          <c:xMode val="edge"/>
          <c:yMode val="edge"/>
          <c:x val="0.81135788180128132"/>
          <c:y val="0.19603205928242115"/>
          <c:w val="0.13674474718442198"/>
          <c:h val="0.1370969960255343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/>
              <a:t>Weg -ZeitDiagramm</a:t>
            </a:r>
          </a:p>
        </c:rich>
      </c:tx>
      <c:layout>
        <c:manualLayout>
          <c:xMode val="edge"/>
          <c:yMode val="edge"/>
          <c:x val="0.42986083462673624"/>
          <c:y val="3.836596566262856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'Kinematik_2 (Weg-Zeit)'!$B$13</c:f>
              <c:strCache>
                <c:ptCount val="1"/>
                <c:pt idx="0">
                  <c:v>v1 = a1*t + v01  = </c:v>
                </c:pt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xVal>
            <c:numRef>
              <c:f>'Kinematik_2 (Weg-Zeit)'!$G$13:$AA$13</c:f>
              <c:numCache>
                <c:formatCode>General</c:formatCode>
                <c:ptCount val="21"/>
                <c:pt idx="0">
                  <c:v>30.000000000000004</c:v>
                </c:pt>
                <c:pt idx="1">
                  <c:v>33.6</c:v>
                </c:pt>
                <c:pt idx="2">
                  <c:v>37.200000000000003</c:v>
                </c:pt>
                <c:pt idx="3">
                  <c:v>40.800000000000004</c:v>
                </c:pt>
                <c:pt idx="4">
                  <c:v>44.400000000000006</c:v>
                </c:pt>
                <c:pt idx="5">
                  <c:v>48</c:v>
                </c:pt>
                <c:pt idx="6">
                  <c:v>51.6</c:v>
                </c:pt>
                <c:pt idx="7">
                  <c:v>55.2</c:v>
                </c:pt>
                <c:pt idx="8">
                  <c:v>58.800000000000011</c:v>
                </c:pt>
                <c:pt idx="9">
                  <c:v>62.400000000000013</c:v>
                </c:pt>
                <c:pt idx="10">
                  <c:v>66.000000000000014</c:v>
                </c:pt>
                <c:pt idx="11">
                  <c:v>69.600000000000009</c:v>
                </c:pt>
                <c:pt idx="12">
                  <c:v>73.200000000000017</c:v>
                </c:pt>
                <c:pt idx="13">
                  <c:v>76.800000000000011</c:v>
                </c:pt>
                <c:pt idx="14">
                  <c:v>80.400000000000006</c:v>
                </c:pt>
                <c:pt idx="15">
                  <c:v>84.000000000000014</c:v>
                </c:pt>
                <c:pt idx="16">
                  <c:v>87.600000000000009</c:v>
                </c:pt>
                <c:pt idx="17">
                  <c:v>91.200000000000017</c:v>
                </c:pt>
                <c:pt idx="18">
                  <c:v>94.800000000000011</c:v>
                </c:pt>
                <c:pt idx="19">
                  <c:v>98.4</c:v>
                </c:pt>
                <c:pt idx="20">
                  <c:v>102.00000000000001</c:v>
                </c:pt>
              </c:numCache>
            </c:numRef>
          </c:xVal>
          <c:yVal>
            <c:numRef>
              <c:f>'Kinematik_2 (Weg-Zeit)'!$G$11:$AA$11</c:f>
              <c:numCache>
                <c:formatCode>General</c:formatCode>
                <c:ptCount val="21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337-4341-990A-A1B6DA74C00F}"/>
            </c:ext>
          </c:extLst>
        </c:ser>
        <c:ser>
          <c:idx val="1"/>
          <c:order val="1"/>
          <c:tx>
            <c:strRef>
              <c:f>'Kinematik_2 (Weg-Zeit)'!$B$18</c:f>
              <c:strCache>
                <c:ptCount val="1"/>
                <c:pt idx="0">
                  <c:v>Fz_2:   s2 = v2 * t + s02  = </c:v>
                </c:pt>
              </c:strCache>
            </c:strRef>
          </c:tx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xVal>
            <c:numRef>
              <c:f>'Kinematik_2 (Weg-Zeit)'!$G$18:$AA$18</c:f>
              <c:numCache>
                <c:formatCode>General</c:formatCode>
                <c:ptCount val="21"/>
                <c:pt idx="0">
                  <c:v>0</c:v>
                </c:pt>
                <c:pt idx="1">
                  <c:v>60</c:v>
                </c:pt>
                <c:pt idx="2">
                  <c:v>120</c:v>
                </c:pt>
                <c:pt idx="3">
                  <c:v>180</c:v>
                </c:pt>
                <c:pt idx="4">
                  <c:v>240</c:v>
                </c:pt>
                <c:pt idx="5">
                  <c:v>300</c:v>
                </c:pt>
                <c:pt idx="6">
                  <c:v>360</c:v>
                </c:pt>
                <c:pt idx="7">
                  <c:v>420</c:v>
                </c:pt>
                <c:pt idx="8">
                  <c:v>480</c:v>
                </c:pt>
                <c:pt idx="9">
                  <c:v>540</c:v>
                </c:pt>
                <c:pt idx="10">
                  <c:v>600</c:v>
                </c:pt>
                <c:pt idx="11">
                  <c:v>660</c:v>
                </c:pt>
                <c:pt idx="12">
                  <c:v>720</c:v>
                </c:pt>
                <c:pt idx="13">
                  <c:v>780</c:v>
                </c:pt>
                <c:pt idx="14">
                  <c:v>840</c:v>
                </c:pt>
                <c:pt idx="15">
                  <c:v>900</c:v>
                </c:pt>
                <c:pt idx="16">
                  <c:v>960</c:v>
                </c:pt>
                <c:pt idx="17">
                  <c:v>1020</c:v>
                </c:pt>
                <c:pt idx="18">
                  <c:v>1080</c:v>
                </c:pt>
                <c:pt idx="19">
                  <c:v>1140</c:v>
                </c:pt>
                <c:pt idx="20">
                  <c:v>1200</c:v>
                </c:pt>
              </c:numCache>
            </c:numRef>
          </c:xVal>
          <c:yVal>
            <c:numRef>
              <c:f>'Kinematik_2 (Weg-Zeit)'!$G$11:$AA$11</c:f>
              <c:numCache>
                <c:formatCode>General</c:formatCode>
                <c:ptCount val="21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337-4341-990A-A1B6DA74C0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5482511"/>
        <c:axId val="1515505071"/>
      </c:scatterChart>
      <c:valAx>
        <c:axId val="15154825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Strecke [km]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515505071"/>
        <c:crosses val="autoZero"/>
        <c:crossBetween val="midCat"/>
      </c:valAx>
      <c:valAx>
        <c:axId val="1515505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Zeit [h]</a:t>
                </a:r>
              </a:p>
            </c:rich>
          </c:tx>
          <c:layout>
            <c:manualLayout>
              <c:xMode val="edge"/>
              <c:yMode val="edge"/>
              <c:x val="1.4367759826055249E-2"/>
              <c:y val="0.368592985091366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5154825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/>
              <a:t>Fourierreihe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3.5689214731536877E-2"/>
          <c:y val="5.5460561318852915E-2"/>
          <c:w val="0.87486611239984313"/>
          <c:h val="0.90512181243332035"/>
        </c:manualLayout>
      </c:layout>
      <c:scatterChart>
        <c:scatterStyle val="smoothMarker"/>
        <c:varyColors val="0"/>
        <c:ser>
          <c:idx val="0"/>
          <c:order val="0"/>
          <c:tx>
            <c:strRef>
              <c:f>Fourierreihe!$M$15</c:f>
              <c:strCache>
                <c:ptCount val="1"/>
                <c:pt idx="0">
                  <c:v>y0 =  sin(2*pi * 50Hz * t ) = </c:v>
                </c:pt>
              </c:strCache>
            </c:strRef>
          </c:tx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Fourierreihe!$P$12:$BB$12</c:f>
              <c:numCache>
                <c:formatCode>General</c:formatCode>
                <c:ptCount val="39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</c:numCache>
            </c:numRef>
          </c:xVal>
          <c:yVal>
            <c:numRef>
              <c:f>Fourierreihe!$P$15:$BB$15</c:f>
              <c:numCache>
                <c:formatCode>0.00</c:formatCode>
                <c:ptCount val="39"/>
                <c:pt idx="0">
                  <c:v>0</c:v>
                </c:pt>
                <c:pt idx="1">
                  <c:v>0.17364817766693033</c:v>
                </c:pt>
                <c:pt idx="2">
                  <c:v>0.34202014332566871</c:v>
                </c:pt>
                <c:pt idx="3">
                  <c:v>0.49999999999999994</c:v>
                </c:pt>
                <c:pt idx="4">
                  <c:v>0.64278760968653925</c:v>
                </c:pt>
                <c:pt idx="5">
                  <c:v>0.76604444311897812</c:v>
                </c:pt>
                <c:pt idx="6">
                  <c:v>0.8660254037844386</c:v>
                </c:pt>
                <c:pt idx="7">
                  <c:v>0.93969262078590843</c:v>
                </c:pt>
                <c:pt idx="8">
                  <c:v>0.98480775301220802</c:v>
                </c:pt>
                <c:pt idx="9">
                  <c:v>1</c:v>
                </c:pt>
                <c:pt idx="10">
                  <c:v>0.98480775301220802</c:v>
                </c:pt>
                <c:pt idx="11">
                  <c:v>0.93969262078590832</c:v>
                </c:pt>
                <c:pt idx="12">
                  <c:v>0.86602540378443871</c:v>
                </c:pt>
                <c:pt idx="13">
                  <c:v>0.76604444311897801</c:v>
                </c:pt>
                <c:pt idx="14">
                  <c:v>0.64278760968653914</c:v>
                </c:pt>
                <c:pt idx="15">
                  <c:v>0.49999999999999994</c:v>
                </c:pt>
                <c:pt idx="16">
                  <c:v>0.34202014332566888</c:v>
                </c:pt>
                <c:pt idx="17">
                  <c:v>0.17364817766693028</c:v>
                </c:pt>
                <c:pt idx="18">
                  <c:v>1.22514845490862E-16</c:v>
                </c:pt>
                <c:pt idx="19">
                  <c:v>-0.17364817766693047</c:v>
                </c:pt>
                <c:pt idx="20">
                  <c:v>-0.34202014332566905</c:v>
                </c:pt>
                <c:pt idx="21">
                  <c:v>-0.50000000000000011</c:v>
                </c:pt>
                <c:pt idx="22">
                  <c:v>-0.64278760968653958</c:v>
                </c:pt>
                <c:pt idx="23">
                  <c:v>-0.76604444311897846</c:v>
                </c:pt>
                <c:pt idx="24">
                  <c:v>-0.86602540378443837</c:v>
                </c:pt>
                <c:pt idx="25">
                  <c:v>-0.93969262078590843</c:v>
                </c:pt>
                <c:pt idx="26">
                  <c:v>-0.98480775301220802</c:v>
                </c:pt>
                <c:pt idx="27">
                  <c:v>-1</c:v>
                </c:pt>
                <c:pt idx="28">
                  <c:v>-0.98480775301220802</c:v>
                </c:pt>
                <c:pt idx="29">
                  <c:v>-0.93969262078590832</c:v>
                </c:pt>
                <c:pt idx="30">
                  <c:v>-0.8660254037844386</c:v>
                </c:pt>
                <c:pt idx="31">
                  <c:v>-0.76604444311897812</c:v>
                </c:pt>
                <c:pt idx="32">
                  <c:v>-0.64278760968653958</c:v>
                </c:pt>
                <c:pt idx="33">
                  <c:v>-0.49999999999999967</c:v>
                </c:pt>
                <c:pt idx="34">
                  <c:v>-0.3420201433256686</c:v>
                </c:pt>
                <c:pt idx="35">
                  <c:v>-0.17364817766693039</c:v>
                </c:pt>
                <c:pt idx="36">
                  <c:v>-2.45029690981724E-16</c:v>
                </c:pt>
                <c:pt idx="37">
                  <c:v>0.17364817766693078</c:v>
                </c:pt>
                <c:pt idx="38">
                  <c:v>0.34202014332566893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617-4BF7-A82C-D744D19A61BA}"/>
            </c:ext>
          </c:extLst>
        </c:ser>
        <c:ser>
          <c:idx val="1"/>
          <c:order val="1"/>
          <c:tx>
            <c:strRef>
              <c:f>Fourierreihe!$M$16</c:f>
              <c:strCache>
                <c:ptCount val="1"/>
                <c:pt idx="0">
                  <c:v>y1 = 0.33 * sin(2*pi * 150Hz * t ) = </c:v>
                </c:pt>
              </c:strCache>
            </c:strRef>
          </c:tx>
          <c:spPr>
            <a:ln w="19050" cap="rnd">
              <a:solidFill>
                <a:schemeClr val="accent2">
                  <a:lumMod val="5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Fourierreihe!$P$12:$BB$12</c:f>
              <c:numCache>
                <c:formatCode>General</c:formatCode>
                <c:ptCount val="39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</c:numCache>
            </c:numRef>
          </c:xVal>
          <c:yVal>
            <c:numRef>
              <c:f>Fourierreihe!$P$16:$BB$16</c:f>
              <c:numCache>
                <c:formatCode>0.00</c:formatCode>
                <c:ptCount val="39"/>
                <c:pt idx="0">
                  <c:v>0</c:v>
                </c:pt>
                <c:pt idx="1">
                  <c:v>0.16666666666666663</c:v>
                </c:pt>
                <c:pt idx="2">
                  <c:v>0.28867513459481287</c:v>
                </c:pt>
                <c:pt idx="3">
                  <c:v>0.33333333333333331</c:v>
                </c:pt>
                <c:pt idx="4">
                  <c:v>0.28867513459481287</c:v>
                </c:pt>
                <c:pt idx="5">
                  <c:v>0.16666666666666663</c:v>
                </c:pt>
                <c:pt idx="6">
                  <c:v>1.8886801844697487E-16</c:v>
                </c:pt>
                <c:pt idx="7">
                  <c:v>-0.16666666666666669</c:v>
                </c:pt>
                <c:pt idx="8">
                  <c:v>-0.28867513459481275</c:v>
                </c:pt>
                <c:pt idx="9">
                  <c:v>-0.33333333333333331</c:v>
                </c:pt>
                <c:pt idx="10">
                  <c:v>-0.28867513459481287</c:v>
                </c:pt>
                <c:pt idx="11">
                  <c:v>-0.16666666666666655</c:v>
                </c:pt>
                <c:pt idx="12">
                  <c:v>-3.7773603689394974E-16</c:v>
                </c:pt>
                <c:pt idx="13">
                  <c:v>0.16666666666666666</c:v>
                </c:pt>
                <c:pt idx="14">
                  <c:v>0.28867513459481292</c:v>
                </c:pt>
                <c:pt idx="15">
                  <c:v>0.33333333333333331</c:v>
                </c:pt>
                <c:pt idx="16">
                  <c:v>0.28867513459481303</c:v>
                </c:pt>
                <c:pt idx="17">
                  <c:v>0.16666666666666657</c:v>
                </c:pt>
                <c:pt idx="18">
                  <c:v>1.22514845490862E-16</c:v>
                </c:pt>
                <c:pt idx="19">
                  <c:v>-0.16666666666666638</c:v>
                </c:pt>
                <c:pt idx="20">
                  <c:v>-0.28867513459481287</c:v>
                </c:pt>
                <c:pt idx="21">
                  <c:v>-0.33333333333333331</c:v>
                </c:pt>
                <c:pt idx="22">
                  <c:v>-0.28867513459481275</c:v>
                </c:pt>
                <c:pt idx="23">
                  <c:v>-0.16666666666666663</c:v>
                </c:pt>
                <c:pt idx="24">
                  <c:v>-7.5547207378789949E-16</c:v>
                </c:pt>
                <c:pt idx="25">
                  <c:v>0.16666666666666635</c:v>
                </c:pt>
                <c:pt idx="26">
                  <c:v>0.28867513459481287</c:v>
                </c:pt>
                <c:pt idx="27">
                  <c:v>0.33333333333333331</c:v>
                </c:pt>
                <c:pt idx="28">
                  <c:v>0.28867513459481275</c:v>
                </c:pt>
                <c:pt idx="29">
                  <c:v>0.16666666666666718</c:v>
                </c:pt>
                <c:pt idx="30">
                  <c:v>2.0419140915143666E-16</c:v>
                </c:pt>
                <c:pt idx="31">
                  <c:v>-0.1666666666666663</c:v>
                </c:pt>
                <c:pt idx="32">
                  <c:v>-0.28867513459481253</c:v>
                </c:pt>
                <c:pt idx="33">
                  <c:v>-0.33333333333333331</c:v>
                </c:pt>
                <c:pt idx="34">
                  <c:v>-0.28867513459481275</c:v>
                </c:pt>
                <c:pt idx="35">
                  <c:v>-0.16666666666666669</c:v>
                </c:pt>
                <c:pt idx="36">
                  <c:v>-2.45029690981724E-16</c:v>
                </c:pt>
                <c:pt idx="37">
                  <c:v>0.16666666666666627</c:v>
                </c:pt>
                <c:pt idx="38">
                  <c:v>0.28867513459481253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617-4BF7-A82C-D744D19A61BA}"/>
            </c:ext>
          </c:extLst>
        </c:ser>
        <c:ser>
          <c:idx val="2"/>
          <c:order val="2"/>
          <c:tx>
            <c:strRef>
              <c:f>Fourierreihe!$M$17</c:f>
              <c:strCache>
                <c:ptCount val="1"/>
                <c:pt idx="0">
                  <c:v>y2 = 0.2 * sin(2*pi * 250Hz * t ) = </c:v>
                </c:pt>
              </c:strCache>
            </c:strRef>
          </c:tx>
          <c:spPr>
            <a:ln w="19050" cap="rnd">
              <a:solidFill>
                <a:schemeClr val="accent2">
                  <a:lumMod val="75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Fourierreihe!$P$12:$BB$12</c:f>
              <c:numCache>
                <c:formatCode>General</c:formatCode>
                <c:ptCount val="39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</c:numCache>
            </c:numRef>
          </c:xVal>
          <c:yVal>
            <c:numRef>
              <c:f>Fourierreihe!$P$17:$BB$17</c:f>
              <c:numCache>
                <c:formatCode>0.00</c:formatCode>
                <c:ptCount val="39"/>
                <c:pt idx="0">
                  <c:v>0</c:v>
                </c:pt>
                <c:pt idx="1">
                  <c:v>0.15320888862379559</c:v>
                </c:pt>
                <c:pt idx="2">
                  <c:v>0.19696155060244164</c:v>
                </c:pt>
                <c:pt idx="3">
                  <c:v>0.10000000000000007</c:v>
                </c:pt>
                <c:pt idx="4">
                  <c:v>-6.8404028665133648E-2</c:v>
                </c:pt>
                <c:pt idx="5">
                  <c:v>-0.18793852415718165</c:v>
                </c:pt>
                <c:pt idx="6">
                  <c:v>-0.17320508075688781</c:v>
                </c:pt>
                <c:pt idx="7">
                  <c:v>-3.472963553338608E-2</c:v>
                </c:pt>
                <c:pt idx="8">
                  <c:v>0.12855752193730771</c:v>
                </c:pt>
                <c:pt idx="9">
                  <c:v>0.2</c:v>
                </c:pt>
                <c:pt idx="10">
                  <c:v>0.12855752193730807</c:v>
                </c:pt>
                <c:pt idx="11">
                  <c:v>-3.4729635533385955E-2</c:v>
                </c:pt>
                <c:pt idx="12">
                  <c:v>-0.17320508075688756</c:v>
                </c:pt>
                <c:pt idx="13">
                  <c:v>-0.18793852415718174</c:v>
                </c:pt>
                <c:pt idx="14">
                  <c:v>-6.8404028665133773E-2</c:v>
                </c:pt>
                <c:pt idx="15">
                  <c:v>9.9999999999999811E-2</c:v>
                </c:pt>
                <c:pt idx="16">
                  <c:v>0.19696155060244155</c:v>
                </c:pt>
                <c:pt idx="17">
                  <c:v>0.15320888862379578</c:v>
                </c:pt>
                <c:pt idx="18">
                  <c:v>1.22514845490862E-16</c:v>
                </c:pt>
                <c:pt idx="19">
                  <c:v>-0.15320888862379542</c:v>
                </c:pt>
                <c:pt idx="20">
                  <c:v>-0.19696155060244172</c:v>
                </c:pt>
                <c:pt idx="21">
                  <c:v>-0.10000000000000003</c:v>
                </c:pt>
                <c:pt idx="22">
                  <c:v>6.8404028665133537E-2</c:v>
                </c:pt>
                <c:pt idx="23">
                  <c:v>0.18793852415718154</c:v>
                </c:pt>
                <c:pt idx="24">
                  <c:v>0.17320508075688806</c:v>
                </c:pt>
                <c:pt idx="25">
                  <c:v>3.4729635533386899E-2</c:v>
                </c:pt>
                <c:pt idx="26">
                  <c:v>-0.1285575219373076</c:v>
                </c:pt>
                <c:pt idx="27">
                  <c:v>-0.2</c:v>
                </c:pt>
                <c:pt idx="28">
                  <c:v>-0.12855752193730791</c:v>
                </c:pt>
                <c:pt idx="29">
                  <c:v>3.4729635533385143E-2</c:v>
                </c:pt>
                <c:pt idx="30">
                  <c:v>0.17320508075688754</c:v>
                </c:pt>
                <c:pt idx="31">
                  <c:v>0.18793852415718193</c:v>
                </c:pt>
                <c:pt idx="32">
                  <c:v>6.840402866513455E-2</c:v>
                </c:pt>
                <c:pt idx="33">
                  <c:v>-9.99999999999997E-2</c:v>
                </c:pt>
                <c:pt idx="34">
                  <c:v>-0.19696155060244153</c:v>
                </c:pt>
                <c:pt idx="35">
                  <c:v>-0.15320888862379611</c:v>
                </c:pt>
                <c:pt idx="36">
                  <c:v>-2.45029690981724E-16</c:v>
                </c:pt>
                <c:pt idx="37">
                  <c:v>0.15320888862379489</c:v>
                </c:pt>
                <c:pt idx="38">
                  <c:v>0.19696155060244172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617-4BF7-A82C-D744D19A61BA}"/>
            </c:ext>
          </c:extLst>
        </c:ser>
        <c:ser>
          <c:idx val="3"/>
          <c:order val="3"/>
          <c:tx>
            <c:strRef>
              <c:f>Fourierreihe!$M$18</c:f>
              <c:strCache>
                <c:ptCount val="1"/>
                <c:pt idx="0">
                  <c:v>y3 = 0.14 * sin(2*pi * 350Hz * t ) = 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Fourierreihe!$P$12:$BB$12</c:f>
              <c:numCache>
                <c:formatCode>General</c:formatCode>
                <c:ptCount val="39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</c:numCache>
            </c:numRef>
          </c:xVal>
          <c:yVal>
            <c:numRef>
              <c:f>Fourierreihe!$P$18:$BB$18</c:f>
              <c:numCache>
                <c:formatCode>0.00</c:formatCode>
                <c:ptCount val="39"/>
                <c:pt idx="0">
                  <c:v>0</c:v>
                </c:pt>
                <c:pt idx="1">
                  <c:v>0.13424180296941546</c:v>
                </c:pt>
                <c:pt idx="2">
                  <c:v>9.1826801383791345E-2</c:v>
                </c:pt>
                <c:pt idx="3">
                  <c:v>-7.1428571428571341E-2</c:v>
                </c:pt>
                <c:pt idx="4">
                  <c:v>-0.14068682185888687</c:v>
                </c:pt>
                <c:pt idx="5">
                  <c:v>-2.4806882523847322E-2</c:v>
                </c:pt>
                <c:pt idx="6">
                  <c:v>0.12371791482634827</c:v>
                </c:pt>
                <c:pt idx="7">
                  <c:v>0.10943492044556839</c:v>
                </c:pt>
                <c:pt idx="8">
                  <c:v>-4.8860020475095425E-2</c:v>
                </c:pt>
                <c:pt idx="9">
                  <c:v>-0.14285714285714285</c:v>
                </c:pt>
                <c:pt idx="10">
                  <c:v>-4.8860020475095779E-2</c:v>
                </c:pt>
                <c:pt idx="11">
                  <c:v>0.10943492044556814</c:v>
                </c:pt>
                <c:pt idx="12">
                  <c:v>0.12371791482634859</c:v>
                </c:pt>
                <c:pt idx="13">
                  <c:v>-2.4806882523847079E-2</c:v>
                </c:pt>
                <c:pt idx="14">
                  <c:v>-0.14068682185888681</c:v>
                </c:pt>
                <c:pt idx="15">
                  <c:v>-7.1428571428571883E-2</c:v>
                </c:pt>
                <c:pt idx="16">
                  <c:v>9.1826801383791151E-2</c:v>
                </c:pt>
                <c:pt idx="17">
                  <c:v>0.13424180296941562</c:v>
                </c:pt>
                <c:pt idx="18">
                  <c:v>1.22514845490862E-16</c:v>
                </c:pt>
                <c:pt idx="19">
                  <c:v>-0.13424180296941537</c:v>
                </c:pt>
                <c:pt idx="20">
                  <c:v>-9.1826801383791734E-2</c:v>
                </c:pt>
                <c:pt idx="21">
                  <c:v>7.142857142857123E-2</c:v>
                </c:pt>
                <c:pt idx="22">
                  <c:v>0.14068682185888692</c:v>
                </c:pt>
                <c:pt idx="23">
                  <c:v>2.4806882523847319E-2</c:v>
                </c:pt>
                <c:pt idx="24">
                  <c:v>-0.12371791482634795</c:v>
                </c:pt>
                <c:pt idx="25">
                  <c:v>-0.10943492044556863</c:v>
                </c:pt>
                <c:pt idx="26">
                  <c:v>4.8860020475095314E-2</c:v>
                </c:pt>
                <c:pt idx="27">
                  <c:v>0.14285714285714285</c:v>
                </c:pt>
                <c:pt idx="28">
                  <c:v>4.8860020475096133E-2</c:v>
                </c:pt>
                <c:pt idx="29">
                  <c:v>-0.10943492044556806</c:v>
                </c:pt>
                <c:pt idx="30">
                  <c:v>-0.1237179148263489</c:v>
                </c:pt>
                <c:pt idx="31">
                  <c:v>2.4806882523846455E-2</c:v>
                </c:pt>
                <c:pt idx="32">
                  <c:v>0.14068682185888678</c:v>
                </c:pt>
                <c:pt idx="33">
                  <c:v>7.1428571428572424E-2</c:v>
                </c:pt>
                <c:pt idx="34">
                  <c:v>-9.1826801383790679E-2</c:v>
                </c:pt>
                <c:pt idx="35">
                  <c:v>-0.13424180296941565</c:v>
                </c:pt>
                <c:pt idx="36">
                  <c:v>-2.45029690981724E-16</c:v>
                </c:pt>
                <c:pt idx="37">
                  <c:v>0.13424180296941515</c:v>
                </c:pt>
                <c:pt idx="38">
                  <c:v>9.1826801383791817E-2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617-4BF7-A82C-D744D19A61BA}"/>
            </c:ext>
          </c:extLst>
        </c:ser>
        <c:ser>
          <c:idx val="4"/>
          <c:order val="4"/>
          <c:tx>
            <c:strRef>
              <c:f>Fourierreihe!$M$19</c:f>
              <c:strCache>
                <c:ptCount val="1"/>
                <c:pt idx="0">
                  <c:v>yResultierend = y0 + y1 + y2 + y3 = </c:v>
                </c:pt>
              </c:strCache>
            </c:strRef>
          </c:tx>
          <c:spPr>
            <a:ln w="317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Fourierreihe!$P$12:$BB$12</c:f>
              <c:numCache>
                <c:formatCode>General</c:formatCode>
                <c:ptCount val="39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</c:numCache>
            </c:numRef>
          </c:xVal>
          <c:yVal>
            <c:numRef>
              <c:f>Fourierreihe!$P$19:$BB$19</c:f>
              <c:numCache>
                <c:formatCode>0.00</c:formatCode>
                <c:ptCount val="39"/>
                <c:pt idx="0">
                  <c:v>0</c:v>
                </c:pt>
                <c:pt idx="1">
                  <c:v>0.62776553592680795</c:v>
                </c:pt>
                <c:pt idx="2">
                  <c:v>0.91948362990671439</c:v>
                </c:pt>
                <c:pt idx="3">
                  <c:v>0.86190476190476195</c:v>
                </c:pt>
                <c:pt idx="4">
                  <c:v>0.72237189375733157</c:v>
                </c:pt>
                <c:pt idx="5">
                  <c:v>0.71996570310461572</c:v>
                </c:pt>
                <c:pt idx="6">
                  <c:v>0.81653823785389934</c:v>
                </c:pt>
                <c:pt idx="7">
                  <c:v>0.847731239031424</c:v>
                </c:pt>
                <c:pt idx="8">
                  <c:v>0.77583011987960759</c:v>
                </c:pt>
                <c:pt idx="9">
                  <c:v>0.7238095238095239</c:v>
                </c:pt>
                <c:pt idx="10">
                  <c:v>0.77583011987960748</c:v>
                </c:pt>
                <c:pt idx="11">
                  <c:v>0.847731239031424</c:v>
                </c:pt>
                <c:pt idx="12">
                  <c:v>0.81653823785389945</c:v>
                </c:pt>
                <c:pt idx="13">
                  <c:v>0.71996570310461583</c:v>
                </c:pt>
                <c:pt idx="14">
                  <c:v>0.72237189375733157</c:v>
                </c:pt>
                <c:pt idx="15">
                  <c:v>0.86190476190476129</c:v>
                </c:pt>
                <c:pt idx="16">
                  <c:v>0.91948362990671473</c:v>
                </c:pt>
                <c:pt idx="17">
                  <c:v>0.62776553592680817</c:v>
                </c:pt>
                <c:pt idx="18">
                  <c:v>4.90059381963448E-16</c:v>
                </c:pt>
                <c:pt idx="19">
                  <c:v>-0.62776553592680762</c:v>
                </c:pt>
                <c:pt idx="20">
                  <c:v>-0.91948362990671539</c:v>
                </c:pt>
                <c:pt idx="21">
                  <c:v>-0.8619047619047624</c:v>
                </c:pt>
                <c:pt idx="22">
                  <c:v>-0.72237189375733191</c:v>
                </c:pt>
                <c:pt idx="23">
                  <c:v>-0.71996570310461616</c:v>
                </c:pt>
                <c:pt idx="24">
                  <c:v>-0.81653823785389912</c:v>
                </c:pt>
                <c:pt idx="25">
                  <c:v>-0.84773123903142378</c:v>
                </c:pt>
                <c:pt idx="26">
                  <c:v>-0.77583011987960748</c:v>
                </c:pt>
                <c:pt idx="27">
                  <c:v>-0.7238095238095239</c:v>
                </c:pt>
                <c:pt idx="28">
                  <c:v>-0.77583011987960693</c:v>
                </c:pt>
                <c:pt idx="29">
                  <c:v>-0.847731239031424</c:v>
                </c:pt>
                <c:pt idx="30">
                  <c:v>-0.81653823785389967</c:v>
                </c:pt>
                <c:pt idx="31">
                  <c:v>-0.71996570310461605</c:v>
                </c:pt>
                <c:pt idx="32">
                  <c:v>-0.7223718937573308</c:v>
                </c:pt>
                <c:pt idx="33">
                  <c:v>-0.86190476190476029</c:v>
                </c:pt>
                <c:pt idx="34">
                  <c:v>-0.91948362990671351</c:v>
                </c:pt>
                <c:pt idx="35">
                  <c:v>-0.62776553592680884</c:v>
                </c:pt>
                <c:pt idx="36">
                  <c:v>-9.8011876392689601E-16</c:v>
                </c:pt>
                <c:pt idx="37">
                  <c:v>0.62776553592680706</c:v>
                </c:pt>
                <c:pt idx="38">
                  <c:v>0.91948362990671506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A617-4BF7-A82C-D744D19A61BA}"/>
            </c:ext>
          </c:extLst>
        </c:ser>
        <c:ser>
          <c:idx val="5"/>
          <c:order val="5"/>
          <c:tx>
            <c:strRef>
              <c:f>Fourierreihe!$V$4</c:f>
              <c:strCache>
                <c:ptCount val="1"/>
                <c:pt idx="0">
                  <c:v>Hilfslinie:</c:v>
                </c:pt>
              </c:strCache>
            </c:strRef>
          </c:tx>
          <c:spPr>
            <a:ln w="19050" cap="rnd">
              <a:solidFill>
                <a:schemeClr val="tx1">
                  <a:lumMod val="95000"/>
                  <a:lumOff val="5000"/>
                </a:schemeClr>
              </a:solidFill>
              <a:round/>
              <a:headEnd type="none"/>
              <a:tailEnd type="triangle"/>
            </a:ln>
            <a:effectLst/>
          </c:spPr>
          <c:marker>
            <c:symbol val="none"/>
          </c:marker>
          <c:xVal>
            <c:numRef>
              <c:f>Fourierreihe!$Z$5:$AA$5</c:f>
              <c:numCache>
                <c:formatCode>General</c:formatCode>
                <c:ptCount val="2"/>
                <c:pt idx="0">
                  <c:v>50</c:v>
                </c:pt>
                <c:pt idx="1">
                  <c:v>50</c:v>
                </c:pt>
              </c:numCache>
            </c:numRef>
          </c:xVal>
          <c:yVal>
            <c:numRef>
              <c:f>Fourierreihe!$Z$6:$AA$6</c:f>
              <c:numCache>
                <c:formatCode>General</c:formatCode>
                <c:ptCount val="2"/>
                <c:pt idx="0">
                  <c:v>0</c:v>
                </c:pt>
                <c:pt idx="1">
                  <c:v>0.76604444311897812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CB1-4989-AFCF-57F354435A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074943"/>
        <c:axId val="192078783"/>
      </c:scatterChart>
      <c:valAx>
        <c:axId val="1920749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/>
                  <a:t>Winkel phi [°]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92078783"/>
        <c:crosses val="autoZero"/>
        <c:crossBetween val="midCat"/>
      </c:valAx>
      <c:valAx>
        <c:axId val="192078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/>
                  <a:t>Amplitude</a:t>
                </a:r>
              </a:p>
              <a:p>
                <a:pPr>
                  <a:defRPr/>
                </a:pPr>
                <a:endParaRPr lang="de-CH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920749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2205293305049966E-2"/>
          <c:y val="2.429473953674088E-2"/>
          <c:w val="0.90193554992787428"/>
          <c:h val="0.75880836476403668"/>
        </c:manualLayout>
      </c:layout>
      <c:scatterChart>
        <c:scatterStyle val="smoothMarker"/>
        <c:varyColors val="0"/>
        <c:ser>
          <c:idx val="0"/>
          <c:order val="0"/>
          <c:tx>
            <c:strRef>
              <c:f>Scheinleistung!$J$14</c:f>
              <c:strCache>
                <c:ptCount val="1"/>
                <c:pt idx="0">
                  <c:v>U =  sin(x ) =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Scheinleistung!$M$12:$AY$12</c:f>
              <c:numCache>
                <c:formatCode>General</c:formatCode>
                <c:ptCount val="39"/>
                <c:pt idx="0">
                  <c:v>0</c:v>
                </c:pt>
                <c:pt idx="1">
                  <c:v>15</c:v>
                </c:pt>
                <c:pt idx="2">
                  <c:v>30</c:v>
                </c:pt>
                <c:pt idx="3">
                  <c:v>45</c:v>
                </c:pt>
                <c:pt idx="4">
                  <c:v>60</c:v>
                </c:pt>
                <c:pt idx="5">
                  <c:v>75</c:v>
                </c:pt>
                <c:pt idx="6">
                  <c:v>90</c:v>
                </c:pt>
                <c:pt idx="7">
                  <c:v>105</c:v>
                </c:pt>
                <c:pt idx="8">
                  <c:v>120</c:v>
                </c:pt>
                <c:pt idx="9">
                  <c:v>135</c:v>
                </c:pt>
                <c:pt idx="10">
                  <c:v>150</c:v>
                </c:pt>
                <c:pt idx="11">
                  <c:v>165</c:v>
                </c:pt>
                <c:pt idx="12">
                  <c:v>180</c:v>
                </c:pt>
                <c:pt idx="13">
                  <c:v>195</c:v>
                </c:pt>
                <c:pt idx="14">
                  <c:v>210</c:v>
                </c:pt>
                <c:pt idx="15">
                  <c:v>225</c:v>
                </c:pt>
                <c:pt idx="16">
                  <c:v>240</c:v>
                </c:pt>
                <c:pt idx="17">
                  <c:v>255</c:v>
                </c:pt>
                <c:pt idx="18">
                  <c:v>270</c:v>
                </c:pt>
                <c:pt idx="19">
                  <c:v>285</c:v>
                </c:pt>
                <c:pt idx="20">
                  <c:v>300</c:v>
                </c:pt>
                <c:pt idx="21">
                  <c:v>315</c:v>
                </c:pt>
                <c:pt idx="22">
                  <c:v>330</c:v>
                </c:pt>
                <c:pt idx="23">
                  <c:v>345</c:v>
                </c:pt>
                <c:pt idx="24">
                  <c:v>360</c:v>
                </c:pt>
                <c:pt idx="25">
                  <c:v>375</c:v>
                </c:pt>
                <c:pt idx="26">
                  <c:v>390</c:v>
                </c:pt>
                <c:pt idx="27">
                  <c:v>405</c:v>
                </c:pt>
                <c:pt idx="28">
                  <c:v>420</c:v>
                </c:pt>
                <c:pt idx="29">
                  <c:v>435</c:v>
                </c:pt>
                <c:pt idx="30">
                  <c:v>450</c:v>
                </c:pt>
                <c:pt idx="31">
                  <c:v>465</c:v>
                </c:pt>
                <c:pt idx="32">
                  <c:v>480</c:v>
                </c:pt>
                <c:pt idx="33">
                  <c:v>495</c:v>
                </c:pt>
                <c:pt idx="34">
                  <c:v>510</c:v>
                </c:pt>
                <c:pt idx="35">
                  <c:v>525</c:v>
                </c:pt>
                <c:pt idx="36">
                  <c:v>540</c:v>
                </c:pt>
                <c:pt idx="37">
                  <c:v>555</c:v>
                </c:pt>
                <c:pt idx="38">
                  <c:v>570</c:v>
                </c:pt>
              </c:numCache>
            </c:numRef>
          </c:xVal>
          <c:yVal>
            <c:numRef>
              <c:f>Scheinleistung!$M$14:$AY$14</c:f>
              <c:numCache>
                <c:formatCode>0.00</c:formatCode>
                <c:ptCount val="39"/>
                <c:pt idx="0">
                  <c:v>0</c:v>
                </c:pt>
                <c:pt idx="1">
                  <c:v>0.25881904510252074</c:v>
                </c:pt>
                <c:pt idx="2">
                  <c:v>0.49999999999999994</c:v>
                </c:pt>
                <c:pt idx="3">
                  <c:v>0.70710678118654746</c:v>
                </c:pt>
                <c:pt idx="4">
                  <c:v>0.8660254037844386</c:v>
                </c:pt>
                <c:pt idx="5">
                  <c:v>0.96592582628906831</c:v>
                </c:pt>
                <c:pt idx="6">
                  <c:v>1</c:v>
                </c:pt>
                <c:pt idx="7">
                  <c:v>0.96592582628906831</c:v>
                </c:pt>
                <c:pt idx="8">
                  <c:v>0.86602540378443871</c:v>
                </c:pt>
                <c:pt idx="9">
                  <c:v>0.70710678118654757</c:v>
                </c:pt>
                <c:pt idx="10">
                  <c:v>0.49999999999999994</c:v>
                </c:pt>
                <c:pt idx="11">
                  <c:v>0.25881904510252102</c:v>
                </c:pt>
                <c:pt idx="12">
                  <c:v>1.22514845490862E-16</c:v>
                </c:pt>
                <c:pt idx="13">
                  <c:v>-0.25881904510252035</c:v>
                </c:pt>
                <c:pt idx="14">
                  <c:v>-0.50000000000000011</c:v>
                </c:pt>
                <c:pt idx="15">
                  <c:v>-0.70710678118654746</c:v>
                </c:pt>
                <c:pt idx="16">
                  <c:v>-0.86602540378443837</c:v>
                </c:pt>
                <c:pt idx="17">
                  <c:v>-0.96592582628906831</c:v>
                </c:pt>
                <c:pt idx="18">
                  <c:v>-1</c:v>
                </c:pt>
                <c:pt idx="19">
                  <c:v>-0.9659258262890682</c:v>
                </c:pt>
                <c:pt idx="20">
                  <c:v>-0.8660254037844386</c:v>
                </c:pt>
                <c:pt idx="21">
                  <c:v>-0.70710678118654768</c:v>
                </c:pt>
                <c:pt idx="22">
                  <c:v>-0.50000000000000044</c:v>
                </c:pt>
                <c:pt idx="23">
                  <c:v>-0.25881904510252068</c:v>
                </c:pt>
                <c:pt idx="24">
                  <c:v>-2.45029690981724E-16</c:v>
                </c:pt>
                <c:pt idx="25">
                  <c:v>0.25881904510252024</c:v>
                </c:pt>
                <c:pt idx="26">
                  <c:v>0.49999999999999928</c:v>
                </c:pt>
                <c:pt idx="27">
                  <c:v>0.70710678118654668</c:v>
                </c:pt>
                <c:pt idx="28">
                  <c:v>0.86602540378443882</c:v>
                </c:pt>
                <c:pt idx="29">
                  <c:v>0.96592582628906831</c:v>
                </c:pt>
                <c:pt idx="30">
                  <c:v>1</c:v>
                </c:pt>
                <c:pt idx="31">
                  <c:v>0.96592582628906842</c:v>
                </c:pt>
                <c:pt idx="32">
                  <c:v>0.86602540378443915</c:v>
                </c:pt>
                <c:pt idx="33">
                  <c:v>0.70710678118654713</c:v>
                </c:pt>
                <c:pt idx="34">
                  <c:v>0.49999999999999978</c:v>
                </c:pt>
                <c:pt idx="35">
                  <c:v>0.25881904510252079</c:v>
                </c:pt>
                <c:pt idx="36">
                  <c:v>3.67544536472586E-16</c:v>
                </c:pt>
                <c:pt idx="37">
                  <c:v>-0.25881904510252185</c:v>
                </c:pt>
                <c:pt idx="38">
                  <c:v>-0.50000000000000067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D5-4B17-87D9-4BBF3EBE3CE3}"/>
            </c:ext>
          </c:extLst>
        </c:ser>
        <c:ser>
          <c:idx val="1"/>
          <c:order val="1"/>
          <c:tx>
            <c:strRef>
              <c:f>Scheinleistung!$J$15</c:f>
              <c:strCache>
                <c:ptCount val="1"/>
                <c:pt idx="0">
                  <c:v>I =  sin(x  + -60°) = 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Scheinleistung!$M$12:$AY$12</c:f>
              <c:numCache>
                <c:formatCode>General</c:formatCode>
                <c:ptCount val="39"/>
                <c:pt idx="0">
                  <c:v>0</c:v>
                </c:pt>
                <c:pt idx="1">
                  <c:v>15</c:v>
                </c:pt>
                <c:pt idx="2">
                  <c:v>30</c:v>
                </c:pt>
                <c:pt idx="3">
                  <c:v>45</c:v>
                </c:pt>
                <c:pt idx="4">
                  <c:v>60</c:v>
                </c:pt>
                <c:pt idx="5">
                  <c:v>75</c:v>
                </c:pt>
                <c:pt idx="6">
                  <c:v>90</c:v>
                </c:pt>
                <c:pt idx="7">
                  <c:v>105</c:v>
                </c:pt>
                <c:pt idx="8">
                  <c:v>120</c:v>
                </c:pt>
                <c:pt idx="9">
                  <c:v>135</c:v>
                </c:pt>
                <c:pt idx="10">
                  <c:v>150</c:v>
                </c:pt>
                <c:pt idx="11">
                  <c:v>165</c:v>
                </c:pt>
                <c:pt idx="12">
                  <c:v>180</c:v>
                </c:pt>
                <c:pt idx="13">
                  <c:v>195</c:v>
                </c:pt>
                <c:pt idx="14">
                  <c:v>210</c:v>
                </c:pt>
                <c:pt idx="15">
                  <c:v>225</c:v>
                </c:pt>
                <c:pt idx="16">
                  <c:v>240</c:v>
                </c:pt>
                <c:pt idx="17">
                  <c:v>255</c:v>
                </c:pt>
                <c:pt idx="18">
                  <c:v>270</c:v>
                </c:pt>
                <c:pt idx="19">
                  <c:v>285</c:v>
                </c:pt>
                <c:pt idx="20">
                  <c:v>300</c:v>
                </c:pt>
                <c:pt idx="21">
                  <c:v>315</c:v>
                </c:pt>
                <c:pt idx="22">
                  <c:v>330</c:v>
                </c:pt>
                <c:pt idx="23">
                  <c:v>345</c:v>
                </c:pt>
                <c:pt idx="24">
                  <c:v>360</c:v>
                </c:pt>
                <c:pt idx="25">
                  <c:v>375</c:v>
                </c:pt>
                <c:pt idx="26">
                  <c:v>390</c:v>
                </c:pt>
                <c:pt idx="27">
                  <c:v>405</c:v>
                </c:pt>
                <c:pt idx="28">
                  <c:v>420</c:v>
                </c:pt>
                <c:pt idx="29">
                  <c:v>435</c:v>
                </c:pt>
                <c:pt idx="30">
                  <c:v>450</c:v>
                </c:pt>
                <c:pt idx="31">
                  <c:v>465</c:v>
                </c:pt>
                <c:pt idx="32">
                  <c:v>480</c:v>
                </c:pt>
                <c:pt idx="33">
                  <c:v>495</c:v>
                </c:pt>
                <c:pt idx="34">
                  <c:v>510</c:v>
                </c:pt>
                <c:pt idx="35">
                  <c:v>525</c:v>
                </c:pt>
                <c:pt idx="36">
                  <c:v>540</c:v>
                </c:pt>
                <c:pt idx="37">
                  <c:v>555</c:v>
                </c:pt>
                <c:pt idx="38">
                  <c:v>570</c:v>
                </c:pt>
              </c:numCache>
            </c:numRef>
          </c:xVal>
          <c:yVal>
            <c:numRef>
              <c:f>Scheinleistung!$M$15:$AY$15</c:f>
              <c:numCache>
                <c:formatCode>0.00</c:formatCode>
                <c:ptCount val="39"/>
                <c:pt idx="0">
                  <c:v>-0.8660254037844386</c:v>
                </c:pt>
                <c:pt idx="1">
                  <c:v>-0.70710678118654746</c:v>
                </c:pt>
                <c:pt idx="2">
                  <c:v>-0.49999999999999994</c:v>
                </c:pt>
                <c:pt idx="3">
                  <c:v>-0.25881904510252068</c:v>
                </c:pt>
                <c:pt idx="4">
                  <c:v>0</c:v>
                </c:pt>
                <c:pt idx="5">
                  <c:v>0.25881904510252091</c:v>
                </c:pt>
                <c:pt idx="6">
                  <c:v>0.5</c:v>
                </c:pt>
                <c:pt idx="7">
                  <c:v>0.70710678118654768</c:v>
                </c:pt>
                <c:pt idx="8">
                  <c:v>0.8660254037844386</c:v>
                </c:pt>
                <c:pt idx="9">
                  <c:v>0.96592582628906831</c:v>
                </c:pt>
                <c:pt idx="10">
                  <c:v>1</c:v>
                </c:pt>
                <c:pt idx="11">
                  <c:v>0.96592582628906831</c:v>
                </c:pt>
                <c:pt idx="12">
                  <c:v>0.86602540378443849</c:v>
                </c:pt>
                <c:pt idx="13">
                  <c:v>0.70710678118654757</c:v>
                </c:pt>
                <c:pt idx="14">
                  <c:v>0.49999999999999956</c:v>
                </c:pt>
                <c:pt idx="15">
                  <c:v>0.25881904510252057</c:v>
                </c:pt>
                <c:pt idx="16">
                  <c:v>1.22514845490862E-16</c:v>
                </c:pt>
                <c:pt idx="17">
                  <c:v>-0.25881904510252118</c:v>
                </c:pt>
                <c:pt idx="18">
                  <c:v>-0.50000000000000011</c:v>
                </c:pt>
                <c:pt idx="19">
                  <c:v>-0.70710678118654802</c:v>
                </c:pt>
                <c:pt idx="20">
                  <c:v>-0.86602540378443882</c:v>
                </c:pt>
                <c:pt idx="21">
                  <c:v>-0.96592582628906831</c:v>
                </c:pt>
                <c:pt idx="22">
                  <c:v>-1</c:v>
                </c:pt>
                <c:pt idx="23">
                  <c:v>-0.9659258262890682</c:v>
                </c:pt>
                <c:pt idx="24">
                  <c:v>-0.8660254037844386</c:v>
                </c:pt>
                <c:pt idx="25">
                  <c:v>-0.70710678118654768</c:v>
                </c:pt>
                <c:pt idx="26">
                  <c:v>-0.50000000000000044</c:v>
                </c:pt>
                <c:pt idx="27">
                  <c:v>-0.25881904510252157</c:v>
                </c:pt>
                <c:pt idx="28">
                  <c:v>6.4314872871840123E-16</c:v>
                </c:pt>
                <c:pt idx="29">
                  <c:v>0.25881904510252107</c:v>
                </c:pt>
                <c:pt idx="30">
                  <c:v>0.5</c:v>
                </c:pt>
                <c:pt idx="31">
                  <c:v>0.70710678118654735</c:v>
                </c:pt>
                <c:pt idx="32">
                  <c:v>0.86602540378443837</c:v>
                </c:pt>
                <c:pt idx="33">
                  <c:v>0.96592582628906853</c:v>
                </c:pt>
                <c:pt idx="34">
                  <c:v>1</c:v>
                </c:pt>
                <c:pt idx="35">
                  <c:v>0.96592582628906842</c:v>
                </c:pt>
                <c:pt idx="36">
                  <c:v>0.86602540378443915</c:v>
                </c:pt>
                <c:pt idx="37">
                  <c:v>0.70710678118654713</c:v>
                </c:pt>
                <c:pt idx="38">
                  <c:v>0.49999999999999978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0D5-4B17-87D9-4BBF3EBE3CE3}"/>
            </c:ext>
          </c:extLst>
        </c:ser>
        <c:ser>
          <c:idx val="2"/>
          <c:order val="2"/>
          <c:tx>
            <c:strRef>
              <c:f>Scheinleistung!$J$21</c:f>
              <c:strCache>
                <c:ptCount val="1"/>
                <c:pt idx="0">
                  <c:v>Scheinleistung S = U *I = </c:v>
                </c:pt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xVal>
            <c:numRef>
              <c:f>Scheinleistung!$M$12:$AY$12</c:f>
              <c:numCache>
                <c:formatCode>General</c:formatCode>
                <c:ptCount val="39"/>
                <c:pt idx="0">
                  <c:v>0</c:v>
                </c:pt>
                <c:pt idx="1">
                  <c:v>15</c:v>
                </c:pt>
                <c:pt idx="2">
                  <c:v>30</c:v>
                </c:pt>
                <c:pt idx="3">
                  <c:v>45</c:v>
                </c:pt>
                <c:pt idx="4">
                  <c:v>60</c:v>
                </c:pt>
                <c:pt idx="5">
                  <c:v>75</c:v>
                </c:pt>
                <c:pt idx="6">
                  <c:v>90</c:v>
                </c:pt>
                <c:pt idx="7">
                  <c:v>105</c:v>
                </c:pt>
                <c:pt idx="8">
                  <c:v>120</c:v>
                </c:pt>
                <c:pt idx="9">
                  <c:v>135</c:v>
                </c:pt>
                <c:pt idx="10">
                  <c:v>150</c:v>
                </c:pt>
                <c:pt idx="11">
                  <c:v>165</c:v>
                </c:pt>
                <c:pt idx="12">
                  <c:v>180</c:v>
                </c:pt>
                <c:pt idx="13">
                  <c:v>195</c:v>
                </c:pt>
                <c:pt idx="14">
                  <c:v>210</c:v>
                </c:pt>
                <c:pt idx="15">
                  <c:v>225</c:v>
                </c:pt>
                <c:pt idx="16">
                  <c:v>240</c:v>
                </c:pt>
                <c:pt idx="17">
                  <c:v>255</c:v>
                </c:pt>
                <c:pt idx="18">
                  <c:v>270</c:v>
                </c:pt>
                <c:pt idx="19">
                  <c:v>285</c:v>
                </c:pt>
                <c:pt idx="20">
                  <c:v>300</c:v>
                </c:pt>
                <c:pt idx="21">
                  <c:v>315</c:v>
                </c:pt>
                <c:pt idx="22">
                  <c:v>330</c:v>
                </c:pt>
                <c:pt idx="23">
                  <c:v>345</c:v>
                </c:pt>
                <c:pt idx="24">
                  <c:v>360</c:v>
                </c:pt>
                <c:pt idx="25">
                  <c:v>375</c:v>
                </c:pt>
                <c:pt idx="26">
                  <c:v>390</c:v>
                </c:pt>
                <c:pt idx="27">
                  <c:v>405</c:v>
                </c:pt>
                <c:pt idx="28">
                  <c:v>420</c:v>
                </c:pt>
                <c:pt idx="29">
                  <c:v>435</c:v>
                </c:pt>
                <c:pt idx="30">
                  <c:v>450</c:v>
                </c:pt>
                <c:pt idx="31">
                  <c:v>465</c:v>
                </c:pt>
                <c:pt idx="32">
                  <c:v>480</c:v>
                </c:pt>
                <c:pt idx="33">
                  <c:v>495</c:v>
                </c:pt>
                <c:pt idx="34">
                  <c:v>510</c:v>
                </c:pt>
                <c:pt idx="35">
                  <c:v>525</c:v>
                </c:pt>
                <c:pt idx="36">
                  <c:v>540</c:v>
                </c:pt>
                <c:pt idx="37">
                  <c:v>555</c:v>
                </c:pt>
                <c:pt idx="38">
                  <c:v>570</c:v>
                </c:pt>
              </c:numCache>
            </c:numRef>
          </c:xVal>
          <c:yVal>
            <c:numRef>
              <c:f>Scheinleistung!$M$21:$AY$21</c:f>
              <c:numCache>
                <c:formatCode>0.00</c:formatCode>
                <c:ptCount val="39"/>
                <c:pt idx="0">
                  <c:v>0</c:v>
                </c:pt>
                <c:pt idx="1">
                  <c:v>-0.1830127018922193</c:v>
                </c:pt>
                <c:pt idx="2">
                  <c:v>-0.24999999999999994</c:v>
                </c:pt>
                <c:pt idx="3">
                  <c:v>-0.18301270189221924</c:v>
                </c:pt>
                <c:pt idx="4">
                  <c:v>0</c:v>
                </c:pt>
                <c:pt idx="5">
                  <c:v>0.25000000000000017</c:v>
                </c:pt>
                <c:pt idx="6">
                  <c:v>0.5</c:v>
                </c:pt>
                <c:pt idx="7">
                  <c:v>0.68301270189221952</c:v>
                </c:pt>
                <c:pt idx="8">
                  <c:v>0.75</c:v>
                </c:pt>
                <c:pt idx="9">
                  <c:v>0.68301270189221941</c:v>
                </c:pt>
                <c:pt idx="10">
                  <c:v>0.49999999999999994</c:v>
                </c:pt>
                <c:pt idx="11">
                  <c:v>0.25000000000000028</c:v>
                </c:pt>
                <c:pt idx="12">
                  <c:v>1.0610096853581185E-16</c:v>
                </c:pt>
                <c:pt idx="13">
                  <c:v>-0.18301270189221905</c:v>
                </c:pt>
                <c:pt idx="14">
                  <c:v>-0.24999999999999983</c:v>
                </c:pt>
                <c:pt idx="15">
                  <c:v>-0.18301270189221916</c:v>
                </c:pt>
                <c:pt idx="16">
                  <c:v>-1.0610096853581184E-16</c:v>
                </c:pt>
                <c:pt idx="17">
                  <c:v>0.25000000000000039</c:v>
                </c:pt>
                <c:pt idx="18">
                  <c:v>0.50000000000000011</c:v>
                </c:pt>
                <c:pt idx="19">
                  <c:v>0.68301270189221974</c:v>
                </c:pt>
                <c:pt idx="20">
                  <c:v>0.75000000000000011</c:v>
                </c:pt>
                <c:pt idx="21">
                  <c:v>0.68301270189221952</c:v>
                </c:pt>
                <c:pt idx="22">
                  <c:v>0.50000000000000044</c:v>
                </c:pt>
                <c:pt idx="23">
                  <c:v>0.24999999999999989</c:v>
                </c:pt>
                <c:pt idx="24">
                  <c:v>2.1220193707162375E-16</c:v>
                </c:pt>
                <c:pt idx="25">
                  <c:v>-0.18301270189221899</c:v>
                </c:pt>
                <c:pt idx="26">
                  <c:v>-0.24999999999999986</c:v>
                </c:pt>
                <c:pt idx="27">
                  <c:v>-0.18301270189221969</c:v>
                </c:pt>
                <c:pt idx="28">
                  <c:v>5.5698313748180192E-16</c:v>
                </c:pt>
                <c:pt idx="29">
                  <c:v>0.25000000000000033</c:v>
                </c:pt>
                <c:pt idx="30">
                  <c:v>0.5</c:v>
                </c:pt>
                <c:pt idx="31">
                  <c:v>0.6830127018922193</c:v>
                </c:pt>
                <c:pt idx="32">
                  <c:v>0.75000000000000022</c:v>
                </c:pt>
                <c:pt idx="33">
                  <c:v>0.68301270189221908</c:v>
                </c:pt>
                <c:pt idx="34">
                  <c:v>0.49999999999999978</c:v>
                </c:pt>
                <c:pt idx="35">
                  <c:v>0.25000000000000006</c:v>
                </c:pt>
                <c:pt idx="36">
                  <c:v>3.183029056074358E-16</c:v>
                </c:pt>
                <c:pt idx="37">
                  <c:v>-0.18301270189221999</c:v>
                </c:pt>
                <c:pt idx="38">
                  <c:v>-0.25000000000000022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D5-4B17-87D9-4BBF3EBE3CE3}"/>
            </c:ext>
          </c:extLst>
        </c:ser>
        <c:ser>
          <c:idx val="3"/>
          <c:order val="3"/>
          <c:tx>
            <c:strRef>
              <c:f>Scheinleistung!$S$4</c:f>
              <c:strCache>
                <c:ptCount val="1"/>
                <c:pt idx="0">
                  <c:v>Hilfslinie:</c:v>
                </c:pt>
              </c:strCache>
            </c:strRef>
          </c:tx>
          <c:spPr>
            <a:ln w="19050" cap="rnd">
              <a:solidFill>
                <a:schemeClr val="tx1">
                  <a:lumMod val="95000"/>
                  <a:lumOff val="5000"/>
                </a:schemeClr>
              </a:solidFill>
              <a:round/>
              <a:headEnd type="triangle" w="med" len="med"/>
              <a:tailEnd type="triangle" w="med" len="med"/>
            </a:ln>
            <a:effectLst/>
          </c:spPr>
          <c:marker>
            <c:symbol val="none"/>
          </c:marker>
          <c:xVal>
            <c:numRef>
              <c:f>Scheinleistung!$W$5:$X$5</c:f>
              <c:numCache>
                <c:formatCode>General</c:formatCode>
                <c:ptCount val="2"/>
                <c:pt idx="0">
                  <c:v>60</c:v>
                </c:pt>
                <c:pt idx="1">
                  <c:v>60</c:v>
                </c:pt>
              </c:numCache>
            </c:numRef>
          </c:xVal>
          <c:yVal>
            <c:numRef>
              <c:f>Scheinleistung!$W$6:$X$6</c:f>
              <c:numCache>
                <c:formatCode>0.00</c:formatCode>
                <c:ptCount val="2"/>
                <c:pt idx="0">
                  <c:v>-0.43301270189221958</c:v>
                </c:pt>
                <c:pt idx="1">
                  <c:v>0.8660254037844386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0D5-4B17-87D9-4BBF3EBE3CE3}"/>
            </c:ext>
          </c:extLst>
        </c:ser>
        <c:ser>
          <c:idx val="4"/>
          <c:order val="4"/>
          <c:tx>
            <c:strRef>
              <c:f>Scheinleistung!$J$16</c:f>
              <c:strCache>
                <c:ptCount val="1"/>
                <c:pt idx="0">
                  <c:v>IP = 0.5 * sin(x ) = </c:v>
                </c:pt>
              </c:strCache>
            </c:strRef>
          </c:tx>
          <c:spPr>
            <a:ln w="19050" cap="rnd">
              <a:solidFill>
                <a:srgbClr val="C0000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Scheinleistung!$M$12:$AY$12</c:f>
              <c:numCache>
                <c:formatCode>General</c:formatCode>
                <c:ptCount val="39"/>
                <c:pt idx="0">
                  <c:v>0</c:v>
                </c:pt>
                <c:pt idx="1">
                  <c:v>15</c:v>
                </c:pt>
                <c:pt idx="2">
                  <c:v>30</c:v>
                </c:pt>
                <c:pt idx="3">
                  <c:v>45</c:v>
                </c:pt>
                <c:pt idx="4">
                  <c:v>60</c:v>
                </c:pt>
                <c:pt idx="5">
                  <c:v>75</c:v>
                </c:pt>
                <c:pt idx="6">
                  <c:v>90</c:v>
                </c:pt>
                <c:pt idx="7">
                  <c:v>105</c:v>
                </c:pt>
                <c:pt idx="8">
                  <c:v>120</c:v>
                </c:pt>
                <c:pt idx="9">
                  <c:v>135</c:v>
                </c:pt>
                <c:pt idx="10">
                  <c:v>150</c:v>
                </c:pt>
                <c:pt idx="11">
                  <c:v>165</c:v>
                </c:pt>
                <c:pt idx="12">
                  <c:v>180</c:v>
                </c:pt>
                <c:pt idx="13">
                  <c:v>195</c:v>
                </c:pt>
                <c:pt idx="14">
                  <c:v>210</c:v>
                </c:pt>
                <c:pt idx="15">
                  <c:v>225</c:v>
                </c:pt>
                <c:pt idx="16">
                  <c:v>240</c:v>
                </c:pt>
                <c:pt idx="17">
                  <c:v>255</c:v>
                </c:pt>
                <c:pt idx="18">
                  <c:v>270</c:v>
                </c:pt>
                <c:pt idx="19">
                  <c:v>285</c:v>
                </c:pt>
                <c:pt idx="20">
                  <c:v>300</c:v>
                </c:pt>
                <c:pt idx="21">
                  <c:v>315</c:v>
                </c:pt>
                <c:pt idx="22">
                  <c:v>330</c:v>
                </c:pt>
                <c:pt idx="23">
                  <c:v>345</c:v>
                </c:pt>
                <c:pt idx="24">
                  <c:v>360</c:v>
                </c:pt>
                <c:pt idx="25">
                  <c:v>375</c:v>
                </c:pt>
                <c:pt idx="26">
                  <c:v>390</c:v>
                </c:pt>
                <c:pt idx="27">
                  <c:v>405</c:v>
                </c:pt>
                <c:pt idx="28">
                  <c:v>420</c:v>
                </c:pt>
                <c:pt idx="29">
                  <c:v>435</c:v>
                </c:pt>
                <c:pt idx="30">
                  <c:v>450</c:v>
                </c:pt>
                <c:pt idx="31">
                  <c:v>465</c:v>
                </c:pt>
                <c:pt idx="32">
                  <c:v>480</c:v>
                </c:pt>
                <c:pt idx="33">
                  <c:v>495</c:v>
                </c:pt>
                <c:pt idx="34">
                  <c:v>510</c:v>
                </c:pt>
                <c:pt idx="35">
                  <c:v>525</c:v>
                </c:pt>
                <c:pt idx="36">
                  <c:v>540</c:v>
                </c:pt>
                <c:pt idx="37">
                  <c:v>555</c:v>
                </c:pt>
                <c:pt idx="38">
                  <c:v>570</c:v>
                </c:pt>
              </c:numCache>
            </c:numRef>
          </c:xVal>
          <c:yVal>
            <c:numRef>
              <c:f>Scheinleistung!$M$16:$AY$16</c:f>
              <c:numCache>
                <c:formatCode>0.00</c:formatCode>
                <c:ptCount val="39"/>
                <c:pt idx="0">
                  <c:v>0</c:v>
                </c:pt>
                <c:pt idx="1">
                  <c:v>0.1294095225512604</c:v>
                </c:pt>
                <c:pt idx="2">
                  <c:v>0.25</c:v>
                </c:pt>
                <c:pt idx="3">
                  <c:v>0.35355339059327379</c:v>
                </c:pt>
                <c:pt idx="4">
                  <c:v>0.43301270189221941</c:v>
                </c:pt>
                <c:pt idx="5">
                  <c:v>0.48296291314453427</c:v>
                </c:pt>
                <c:pt idx="6">
                  <c:v>0.50000000000000011</c:v>
                </c:pt>
                <c:pt idx="7">
                  <c:v>0.48296291314453427</c:v>
                </c:pt>
                <c:pt idx="8">
                  <c:v>0.43301270189221946</c:v>
                </c:pt>
                <c:pt idx="9">
                  <c:v>0.35355339059327384</c:v>
                </c:pt>
                <c:pt idx="10">
                  <c:v>0.25</c:v>
                </c:pt>
                <c:pt idx="11">
                  <c:v>0.12940952255126054</c:v>
                </c:pt>
                <c:pt idx="12">
                  <c:v>6.1257422745431013E-17</c:v>
                </c:pt>
                <c:pt idx="13">
                  <c:v>-0.1294095225512602</c:v>
                </c:pt>
                <c:pt idx="14">
                  <c:v>-0.25000000000000011</c:v>
                </c:pt>
                <c:pt idx="15">
                  <c:v>-0.35355339059327379</c:v>
                </c:pt>
                <c:pt idx="16">
                  <c:v>-0.4330127018922193</c:v>
                </c:pt>
                <c:pt idx="17">
                  <c:v>-0.48296291314453427</c:v>
                </c:pt>
                <c:pt idx="18">
                  <c:v>-0.50000000000000011</c:v>
                </c:pt>
                <c:pt idx="19">
                  <c:v>-0.48296291314453421</c:v>
                </c:pt>
                <c:pt idx="20">
                  <c:v>-0.43301270189221941</c:v>
                </c:pt>
                <c:pt idx="21">
                  <c:v>-0.3535533905932739</c:v>
                </c:pt>
                <c:pt idx="22">
                  <c:v>-0.25000000000000028</c:v>
                </c:pt>
                <c:pt idx="23">
                  <c:v>-0.12940952255126037</c:v>
                </c:pt>
                <c:pt idx="24">
                  <c:v>-1.2251484549086203E-16</c:v>
                </c:pt>
                <c:pt idx="25">
                  <c:v>0.12940952255126015</c:v>
                </c:pt>
                <c:pt idx="26">
                  <c:v>0.24999999999999969</c:v>
                </c:pt>
                <c:pt idx="27">
                  <c:v>0.3535533905932734</c:v>
                </c:pt>
                <c:pt idx="28">
                  <c:v>0.43301270189221952</c:v>
                </c:pt>
                <c:pt idx="29">
                  <c:v>0.48296291314453427</c:v>
                </c:pt>
                <c:pt idx="30">
                  <c:v>0.50000000000000011</c:v>
                </c:pt>
                <c:pt idx="31">
                  <c:v>0.48296291314453432</c:v>
                </c:pt>
                <c:pt idx="32">
                  <c:v>0.43301270189221969</c:v>
                </c:pt>
                <c:pt idx="33">
                  <c:v>0.35355339059327362</c:v>
                </c:pt>
                <c:pt idx="34">
                  <c:v>0.24999999999999994</c:v>
                </c:pt>
                <c:pt idx="35">
                  <c:v>0.12940952255126043</c:v>
                </c:pt>
                <c:pt idx="36">
                  <c:v>1.8377226823629305E-16</c:v>
                </c:pt>
                <c:pt idx="37">
                  <c:v>-0.12940952255126095</c:v>
                </c:pt>
                <c:pt idx="38">
                  <c:v>-0.25000000000000039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34B-4BFE-BDB8-3E859255A479}"/>
            </c:ext>
          </c:extLst>
        </c:ser>
        <c:ser>
          <c:idx val="5"/>
          <c:order val="5"/>
          <c:tx>
            <c:strRef>
              <c:f>Scheinleistung!$J$17</c:f>
              <c:strCache>
                <c:ptCount val="1"/>
                <c:pt idx="0">
                  <c:v>IQ = -0.87 * sin(x  + 90°) = </c:v>
                </c:pt>
              </c:strCache>
            </c:strRef>
          </c:tx>
          <c:spPr>
            <a:ln w="19050" cap="rnd">
              <a:solidFill>
                <a:srgbClr val="C00000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Scheinleistung!$M$12:$AY$12</c:f>
              <c:numCache>
                <c:formatCode>General</c:formatCode>
                <c:ptCount val="39"/>
                <c:pt idx="0">
                  <c:v>0</c:v>
                </c:pt>
                <c:pt idx="1">
                  <c:v>15</c:v>
                </c:pt>
                <c:pt idx="2">
                  <c:v>30</c:v>
                </c:pt>
                <c:pt idx="3">
                  <c:v>45</c:v>
                </c:pt>
                <c:pt idx="4">
                  <c:v>60</c:v>
                </c:pt>
                <c:pt idx="5">
                  <c:v>75</c:v>
                </c:pt>
                <c:pt idx="6">
                  <c:v>90</c:v>
                </c:pt>
                <c:pt idx="7">
                  <c:v>105</c:v>
                </c:pt>
                <c:pt idx="8">
                  <c:v>120</c:v>
                </c:pt>
                <c:pt idx="9">
                  <c:v>135</c:v>
                </c:pt>
                <c:pt idx="10">
                  <c:v>150</c:v>
                </c:pt>
                <c:pt idx="11">
                  <c:v>165</c:v>
                </c:pt>
                <c:pt idx="12">
                  <c:v>180</c:v>
                </c:pt>
                <c:pt idx="13">
                  <c:v>195</c:v>
                </c:pt>
                <c:pt idx="14">
                  <c:v>210</c:v>
                </c:pt>
                <c:pt idx="15">
                  <c:v>225</c:v>
                </c:pt>
                <c:pt idx="16">
                  <c:v>240</c:v>
                </c:pt>
                <c:pt idx="17">
                  <c:v>255</c:v>
                </c:pt>
                <c:pt idx="18">
                  <c:v>270</c:v>
                </c:pt>
                <c:pt idx="19">
                  <c:v>285</c:v>
                </c:pt>
                <c:pt idx="20">
                  <c:v>300</c:v>
                </c:pt>
                <c:pt idx="21">
                  <c:v>315</c:v>
                </c:pt>
                <c:pt idx="22">
                  <c:v>330</c:v>
                </c:pt>
                <c:pt idx="23">
                  <c:v>345</c:v>
                </c:pt>
                <c:pt idx="24">
                  <c:v>360</c:v>
                </c:pt>
                <c:pt idx="25">
                  <c:v>375</c:v>
                </c:pt>
                <c:pt idx="26">
                  <c:v>390</c:v>
                </c:pt>
                <c:pt idx="27">
                  <c:v>405</c:v>
                </c:pt>
                <c:pt idx="28">
                  <c:v>420</c:v>
                </c:pt>
                <c:pt idx="29">
                  <c:v>435</c:v>
                </c:pt>
                <c:pt idx="30">
                  <c:v>450</c:v>
                </c:pt>
                <c:pt idx="31">
                  <c:v>465</c:v>
                </c:pt>
                <c:pt idx="32">
                  <c:v>480</c:v>
                </c:pt>
                <c:pt idx="33">
                  <c:v>495</c:v>
                </c:pt>
                <c:pt idx="34">
                  <c:v>510</c:v>
                </c:pt>
                <c:pt idx="35">
                  <c:v>525</c:v>
                </c:pt>
                <c:pt idx="36">
                  <c:v>540</c:v>
                </c:pt>
                <c:pt idx="37">
                  <c:v>555</c:v>
                </c:pt>
                <c:pt idx="38">
                  <c:v>570</c:v>
                </c:pt>
              </c:numCache>
            </c:numRef>
          </c:xVal>
          <c:yVal>
            <c:numRef>
              <c:f>Scheinleistung!$M$17:$AY$17</c:f>
              <c:numCache>
                <c:formatCode>0.00</c:formatCode>
                <c:ptCount val="39"/>
                <c:pt idx="0">
                  <c:v>-0.8660254037844386</c:v>
                </c:pt>
                <c:pt idx="1">
                  <c:v>-0.83651630373780783</c:v>
                </c:pt>
                <c:pt idx="2">
                  <c:v>-0.75</c:v>
                </c:pt>
                <c:pt idx="3">
                  <c:v>-0.61237243569579458</c:v>
                </c:pt>
                <c:pt idx="4">
                  <c:v>-0.43301270189221958</c:v>
                </c:pt>
                <c:pt idx="5">
                  <c:v>-0.22414386804201319</c:v>
                </c:pt>
                <c:pt idx="6">
                  <c:v>-1.0610096853581188E-16</c:v>
                </c:pt>
                <c:pt idx="7">
                  <c:v>0.22414386804201339</c:v>
                </c:pt>
                <c:pt idx="8">
                  <c:v>0.43301270189221908</c:v>
                </c:pt>
                <c:pt idx="9">
                  <c:v>0.61237243569579447</c:v>
                </c:pt>
                <c:pt idx="10">
                  <c:v>0.75000000000000011</c:v>
                </c:pt>
                <c:pt idx="11">
                  <c:v>0.83651630373780783</c:v>
                </c:pt>
                <c:pt idx="12">
                  <c:v>0.8660254037844386</c:v>
                </c:pt>
                <c:pt idx="13">
                  <c:v>0.83651630373780794</c:v>
                </c:pt>
                <c:pt idx="14">
                  <c:v>0.74999999999999989</c:v>
                </c:pt>
                <c:pt idx="15">
                  <c:v>0.61237243569579458</c:v>
                </c:pt>
                <c:pt idx="16">
                  <c:v>0.43301270189221969</c:v>
                </c:pt>
                <c:pt idx="17">
                  <c:v>0.22414386804201331</c:v>
                </c:pt>
                <c:pt idx="18">
                  <c:v>2.1220193707162375E-16</c:v>
                </c:pt>
                <c:pt idx="19">
                  <c:v>-0.22414386804201364</c:v>
                </c:pt>
                <c:pt idx="20">
                  <c:v>-0.4330127018922193</c:v>
                </c:pt>
                <c:pt idx="21">
                  <c:v>-0.61237243569579436</c:v>
                </c:pt>
                <c:pt idx="22">
                  <c:v>-0.74999999999999967</c:v>
                </c:pt>
                <c:pt idx="23">
                  <c:v>-0.83651630373780783</c:v>
                </c:pt>
                <c:pt idx="24">
                  <c:v>-0.8660254037844386</c:v>
                </c:pt>
                <c:pt idx="25">
                  <c:v>-0.83651630373780794</c:v>
                </c:pt>
                <c:pt idx="26">
                  <c:v>-0.75000000000000044</c:v>
                </c:pt>
                <c:pt idx="27">
                  <c:v>-0.61237243569579525</c:v>
                </c:pt>
                <c:pt idx="28">
                  <c:v>-0.43301270189221913</c:v>
                </c:pt>
                <c:pt idx="29">
                  <c:v>-0.22414386804201339</c:v>
                </c:pt>
                <c:pt idx="30">
                  <c:v>-3.183029056074356E-16</c:v>
                </c:pt>
                <c:pt idx="31">
                  <c:v>0.22414386804201281</c:v>
                </c:pt>
                <c:pt idx="32">
                  <c:v>0.43301270189221858</c:v>
                </c:pt>
                <c:pt idx="33">
                  <c:v>0.6123724356957948</c:v>
                </c:pt>
                <c:pt idx="34">
                  <c:v>0.75</c:v>
                </c:pt>
                <c:pt idx="35">
                  <c:v>0.83651630373780783</c:v>
                </c:pt>
                <c:pt idx="36">
                  <c:v>0.8660254037844386</c:v>
                </c:pt>
                <c:pt idx="37">
                  <c:v>0.83651630373780761</c:v>
                </c:pt>
                <c:pt idx="38">
                  <c:v>0.74999999999999967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34B-4BFE-BDB8-3E859255A479}"/>
            </c:ext>
          </c:extLst>
        </c:ser>
        <c:ser>
          <c:idx val="6"/>
          <c:order val="6"/>
          <c:tx>
            <c:strRef>
              <c:f>Scheinleistung!$J$18</c:f>
              <c:strCache>
                <c:ptCount val="1"/>
                <c:pt idx="0">
                  <c:v>I = IP + IQ = 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xVal>
            <c:numRef>
              <c:f>Scheinleistung!$M$12:$AY$12</c:f>
              <c:numCache>
                <c:formatCode>General</c:formatCode>
                <c:ptCount val="39"/>
                <c:pt idx="0">
                  <c:v>0</c:v>
                </c:pt>
                <c:pt idx="1">
                  <c:v>15</c:v>
                </c:pt>
                <c:pt idx="2">
                  <c:v>30</c:v>
                </c:pt>
                <c:pt idx="3">
                  <c:v>45</c:v>
                </c:pt>
                <c:pt idx="4">
                  <c:v>60</c:v>
                </c:pt>
                <c:pt idx="5">
                  <c:v>75</c:v>
                </c:pt>
                <c:pt idx="6">
                  <c:v>90</c:v>
                </c:pt>
                <c:pt idx="7">
                  <c:v>105</c:v>
                </c:pt>
                <c:pt idx="8">
                  <c:v>120</c:v>
                </c:pt>
                <c:pt idx="9">
                  <c:v>135</c:v>
                </c:pt>
                <c:pt idx="10">
                  <c:v>150</c:v>
                </c:pt>
                <c:pt idx="11">
                  <c:v>165</c:v>
                </c:pt>
                <c:pt idx="12">
                  <c:v>180</c:v>
                </c:pt>
                <c:pt idx="13">
                  <c:v>195</c:v>
                </c:pt>
                <c:pt idx="14">
                  <c:v>210</c:v>
                </c:pt>
                <c:pt idx="15">
                  <c:v>225</c:v>
                </c:pt>
                <c:pt idx="16">
                  <c:v>240</c:v>
                </c:pt>
                <c:pt idx="17">
                  <c:v>255</c:v>
                </c:pt>
                <c:pt idx="18">
                  <c:v>270</c:v>
                </c:pt>
                <c:pt idx="19">
                  <c:v>285</c:v>
                </c:pt>
                <c:pt idx="20">
                  <c:v>300</c:v>
                </c:pt>
                <c:pt idx="21">
                  <c:v>315</c:v>
                </c:pt>
                <c:pt idx="22">
                  <c:v>330</c:v>
                </c:pt>
                <c:pt idx="23">
                  <c:v>345</c:v>
                </c:pt>
                <c:pt idx="24">
                  <c:v>360</c:v>
                </c:pt>
                <c:pt idx="25">
                  <c:v>375</c:v>
                </c:pt>
                <c:pt idx="26">
                  <c:v>390</c:v>
                </c:pt>
                <c:pt idx="27">
                  <c:v>405</c:v>
                </c:pt>
                <c:pt idx="28">
                  <c:v>420</c:v>
                </c:pt>
                <c:pt idx="29">
                  <c:v>435</c:v>
                </c:pt>
                <c:pt idx="30">
                  <c:v>450</c:v>
                </c:pt>
                <c:pt idx="31">
                  <c:v>465</c:v>
                </c:pt>
                <c:pt idx="32">
                  <c:v>480</c:v>
                </c:pt>
                <c:pt idx="33">
                  <c:v>495</c:v>
                </c:pt>
                <c:pt idx="34">
                  <c:v>510</c:v>
                </c:pt>
                <c:pt idx="35">
                  <c:v>525</c:v>
                </c:pt>
                <c:pt idx="36">
                  <c:v>540</c:v>
                </c:pt>
                <c:pt idx="37">
                  <c:v>555</c:v>
                </c:pt>
                <c:pt idx="38">
                  <c:v>570</c:v>
                </c:pt>
              </c:numCache>
            </c:numRef>
          </c:xVal>
          <c:yVal>
            <c:numRef>
              <c:f>Scheinleistung!$M$18:$AY$18</c:f>
              <c:numCache>
                <c:formatCode>0.00</c:formatCode>
                <c:ptCount val="3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34B-4BFE-BDB8-3E859255A479}"/>
            </c:ext>
          </c:extLst>
        </c:ser>
        <c:ser>
          <c:idx val="7"/>
          <c:order val="7"/>
          <c:tx>
            <c:strRef>
              <c:f>Scheinleistung!$J$22</c:f>
              <c:strCache>
                <c:ptCount val="1"/>
                <c:pt idx="0">
                  <c:v>Wirkleistung P = U *IP = </c:v>
                </c:pt>
              </c:strCache>
            </c:strRef>
          </c:tx>
          <c:spPr>
            <a:ln w="19050" cap="rnd">
              <a:solidFill>
                <a:srgbClr val="FFC00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Scheinleistung!$M$12:$AY$12</c:f>
              <c:numCache>
                <c:formatCode>General</c:formatCode>
                <c:ptCount val="39"/>
                <c:pt idx="0">
                  <c:v>0</c:v>
                </c:pt>
                <c:pt idx="1">
                  <c:v>15</c:v>
                </c:pt>
                <c:pt idx="2">
                  <c:v>30</c:v>
                </c:pt>
                <c:pt idx="3">
                  <c:v>45</c:v>
                </c:pt>
                <c:pt idx="4">
                  <c:v>60</c:v>
                </c:pt>
                <c:pt idx="5">
                  <c:v>75</c:v>
                </c:pt>
                <c:pt idx="6">
                  <c:v>90</c:v>
                </c:pt>
                <c:pt idx="7">
                  <c:v>105</c:v>
                </c:pt>
                <c:pt idx="8">
                  <c:v>120</c:v>
                </c:pt>
                <c:pt idx="9">
                  <c:v>135</c:v>
                </c:pt>
                <c:pt idx="10">
                  <c:v>150</c:v>
                </c:pt>
                <c:pt idx="11">
                  <c:v>165</c:v>
                </c:pt>
                <c:pt idx="12">
                  <c:v>180</c:v>
                </c:pt>
                <c:pt idx="13">
                  <c:v>195</c:v>
                </c:pt>
                <c:pt idx="14">
                  <c:v>210</c:v>
                </c:pt>
                <c:pt idx="15">
                  <c:v>225</c:v>
                </c:pt>
                <c:pt idx="16">
                  <c:v>240</c:v>
                </c:pt>
                <c:pt idx="17">
                  <c:v>255</c:v>
                </c:pt>
                <c:pt idx="18">
                  <c:v>270</c:v>
                </c:pt>
                <c:pt idx="19">
                  <c:v>285</c:v>
                </c:pt>
                <c:pt idx="20">
                  <c:v>300</c:v>
                </c:pt>
                <c:pt idx="21">
                  <c:v>315</c:v>
                </c:pt>
                <c:pt idx="22">
                  <c:v>330</c:v>
                </c:pt>
                <c:pt idx="23">
                  <c:v>345</c:v>
                </c:pt>
                <c:pt idx="24">
                  <c:v>360</c:v>
                </c:pt>
                <c:pt idx="25">
                  <c:v>375</c:v>
                </c:pt>
                <c:pt idx="26">
                  <c:v>390</c:v>
                </c:pt>
                <c:pt idx="27">
                  <c:v>405</c:v>
                </c:pt>
                <c:pt idx="28">
                  <c:v>420</c:v>
                </c:pt>
                <c:pt idx="29">
                  <c:v>435</c:v>
                </c:pt>
                <c:pt idx="30">
                  <c:v>450</c:v>
                </c:pt>
                <c:pt idx="31">
                  <c:v>465</c:v>
                </c:pt>
                <c:pt idx="32">
                  <c:v>480</c:v>
                </c:pt>
                <c:pt idx="33">
                  <c:v>495</c:v>
                </c:pt>
                <c:pt idx="34">
                  <c:v>510</c:v>
                </c:pt>
                <c:pt idx="35">
                  <c:v>525</c:v>
                </c:pt>
                <c:pt idx="36">
                  <c:v>540</c:v>
                </c:pt>
                <c:pt idx="37">
                  <c:v>555</c:v>
                </c:pt>
                <c:pt idx="38">
                  <c:v>570</c:v>
                </c:pt>
              </c:numCache>
            </c:numRef>
          </c:xVal>
          <c:yVal>
            <c:numRef>
              <c:f>Scheinleistung!$M$22:$AY$22</c:f>
              <c:numCache>
                <c:formatCode>0.00</c:formatCode>
                <c:ptCount val="39"/>
                <c:pt idx="0">
                  <c:v>0</c:v>
                </c:pt>
                <c:pt idx="1">
                  <c:v>3.3493649053890337E-2</c:v>
                </c:pt>
                <c:pt idx="2">
                  <c:v>0.12499999999999999</c:v>
                </c:pt>
                <c:pt idx="3">
                  <c:v>0.25</c:v>
                </c:pt>
                <c:pt idx="4">
                  <c:v>0.37500000000000006</c:v>
                </c:pt>
                <c:pt idx="5">
                  <c:v>0.46650635094610982</c:v>
                </c:pt>
                <c:pt idx="6">
                  <c:v>0.50000000000000011</c:v>
                </c:pt>
                <c:pt idx="7">
                  <c:v>0.46650635094610982</c:v>
                </c:pt>
                <c:pt idx="8">
                  <c:v>0.37500000000000017</c:v>
                </c:pt>
                <c:pt idx="9">
                  <c:v>0.25000000000000006</c:v>
                </c:pt>
                <c:pt idx="10">
                  <c:v>0.12499999999999999</c:v>
                </c:pt>
                <c:pt idx="11">
                  <c:v>3.3493649053890413E-2</c:v>
                </c:pt>
                <c:pt idx="12">
                  <c:v>7.504943682824896E-33</c:v>
                </c:pt>
                <c:pt idx="13">
                  <c:v>3.349364905389024E-2</c:v>
                </c:pt>
                <c:pt idx="14">
                  <c:v>0.12500000000000008</c:v>
                </c:pt>
                <c:pt idx="15">
                  <c:v>0.25</c:v>
                </c:pt>
                <c:pt idx="16">
                  <c:v>0.37499999999999983</c:v>
                </c:pt>
                <c:pt idx="17">
                  <c:v>0.46650635094610982</c:v>
                </c:pt>
                <c:pt idx="18">
                  <c:v>0.50000000000000011</c:v>
                </c:pt>
                <c:pt idx="19">
                  <c:v>0.4665063509461097</c:v>
                </c:pt>
                <c:pt idx="20">
                  <c:v>0.37500000000000006</c:v>
                </c:pt>
                <c:pt idx="21">
                  <c:v>0.25000000000000017</c:v>
                </c:pt>
                <c:pt idx="22">
                  <c:v>0.12500000000000025</c:v>
                </c:pt>
                <c:pt idx="23">
                  <c:v>3.3493649053890323E-2</c:v>
                </c:pt>
                <c:pt idx="24">
                  <c:v>3.0019774731299584E-32</c:v>
                </c:pt>
                <c:pt idx="25">
                  <c:v>3.3493649053890212E-2</c:v>
                </c:pt>
                <c:pt idx="26">
                  <c:v>0.12499999999999967</c:v>
                </c:pt>
                <c:pt idx="27">
                  <c:v>0.24999999999999944</c:v>
                </c:pt>
                <c:pt idx="28">
                  <c:v>0.37500000000000022</c:v>
                </c:pt>
                <c:pt idx="29">
                  <c:v>0.46650635094610982</c:v>
                </c:pt>
                <c:pt idx="30">
                  <c:v>0.50000000000000011</c:v>
                </c:pt>
                <c:pt idx="31">
                  <c:v>0.46650635094610993</c:v>
                </c:pt>
                <c:pt idx="32">
                  <c:v>0.37500000000000056</c:v>
                </c:pt>
                <c:pt idx="33">
                  <c:v>0.24999999999999975</c:v>
                </c:pt>
                <c:pt idx="34">
                  <c:v>0.12499999999999992</c:v>
                </c:pt>
                <c:pt idx="35">
                  <c:v>3.3493649053890351E-2</c:v>
                </c:pt>
                <c:pt idx="36">
                  <c:v>6.7544493145424073E-32</c:v>
                </c:pt>
                <c:pt idx="37">
                  <c:v>3.3493649053890628E-2</c:v>
                </c:pt>
                <c:pt idx="38">
                  <c:v>0.12500000000000036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34B-4BFE-BDB8-3E859255A479}"/>
            </c:ext>
          </c:extLst>
        </c:ser>
        <c:ser>
          <c:idx val="8"/>
          <c:order val="8"/>
          <c:tx>
            <c:strRef>
              <c:f>Scheinleistung!$J$23</c:f>
              <c:strCache>
                <c:ptCount val="1"/>
                <c:pt idx="0">
                  <c:v>Blindleistung Q = U *IQ = </c:v>
                </c:pt>
              </c:strCache>
            </c:strRef>
          </c:tx>
          <c:spPr>
            <a:ln w="19050" cap="rnd">
              <a:solidFill>
                <a:srgbClr val="FFC000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Scheinleistung!$M$12:$AY$12</c:f>
              <c:numCache>
                <c:formatCode>General</c:formatCode>
                <c:ptCount val="39"/>
                <c:pt idx="0">
                  <c:v>0</c:v>
                </c:pt>
                <c:pt idx="1">
                  <c:v>15</c:v>
                </c:pt>
                <c:pt idx="2">
                  <c:v>30</c:v>
                </c:pt>
                <c:pt idx="3">
                  <c:v>45</c:v>
                </c:pt>
                <c:pt idx="4">
                  <c:v>60</c:v>
                </c:pt>
                <c:pt idx="5">
                  <c:v>75</c:v>
                </c:pt>
                <c:pt idx="6">
                  <c:v>90</c:v>
                </c:pt>
                <c:pt idx="7">
                  <c:v>105</c:v>
                </c:pt>
                <c:pt idx="8">
                  <c:v>120</c:v>
                </c:pt>
                <c:pt idx="9">
                  <c:v>135</c:v>
                </c:pt>
                <c:pt idx="10">
                  <c:v>150</c:v>
                </c:pt>
                <c:pt idx="11">
                  <c:v>165</c:v>
                </c:pt>
                <c:pt idx="12">
                  <c:v>180</c:v>
                </c:pt>
                <c:pt idx="13">
                  <c:v>195</c:v>
                </c:pt>
                <c:pt idx="14">
                  <c:v>210</c:v>
                </c:pt>
                <c:pt idx="15">
                  <c:v>225</c:v>
                </c:pt>
                <c:pt idx="16">
                  <c:v>240</c:v>
                </c:pt>
                <c:pt idx="17">
                  <c:v>255</c:v>
                </c:pt>
                <c:pt idx="18">
                  <c:v>270</c:v>
                </c:pt>
                <c:pt idx="19">
                  <c:v>285</c:v>
                </c:pt>
                <c:pt idx="20">
                  <c:v>300</c:v>
                </c:pt>
                <c:pt idx="21">
                  <c:v>315</c:v>
                </c:pt>
                <c:pt idx="22">
                  <c:v>330</c:v>
                </c:pt>
                <c:pt idx="23">
                  <c:v>345</c:v>
                </c:pt>
                <c:pt idx="24">
                  <c:v>360</c:v>
                </c:pt>
                <c:pt idx="25">
                  <c:v>375</c:v>
                </c:pt>
                <c:pt idx="26">
                  <c:v>390</c:v>
                </c:pt>
                <c:pt idx="27">
                  <c:v>405</c:v>
                </c:pt>
                <c:pt idx="28">
                  <c:v>420</c:v>
                </c:pt>
                <c:pt idx="29">
                  <c:v>435</c:v>
                </c:pt>
                <c:pt idx="30">
                  <c:v>450</c:v>
                </c:pt>
                <c:pt idx="31">
                  <c:v>465</c:v>
                </c:pt>
                <c:pt idx="32">
                  <c:v>480</c:v>
                </c:pt>
                <c:pt idx="33">
                  <c:v>495</c:v>
                </c:pt>
                <c:pt idx="34">
                  <c:v>510</c:v>
                </c:pt>
                <c:pt idx="35">
                  <c:v>525</c:v>
                </c:pt>
                <c:pt idx="36">
                  <c:v>540</c:v>
                </c:pt>
                <c:pt idx="37">
                  <c:v>555</c:v>
                </c:pt>
                <c:pt idx="38">
                  <c:v>570</c:v>
                </c:pt>
              </c:numCache>
            </c:numRef>
          </c:xVal>
          <c:yVal>
            <c:numRef>
              <c:f>Scheinleistung!$M$23:$AY$23</c:f>
              <c:numCache>
                <c:formatCode>0.00</c:formatCode>
                <c:ptCount val="39"/>
                <c:pt idx="0">
                  <c:v>0</c:v>
                </c:pt>
                <c:pt idx="1">
                  <c:v>-0.21650635094610962</c:v>
                </c:pt>
                <c:pt idx="2">
                  <c:v>-0.37499999999999994</c:v>
                </c:pt>
                <c:pt idx="3">
                  <c:v>-0.4330127018922193</c:v>
                </c:pt>
                <c:pt idx="4">
                  <c:v>-0.37500000000000022</c:v>
                </c:pt>
                <c:pt idx="5">
                  <c:v>-0.21650635094610948</c:v>
                </c:pt>
                <c:pt idx="6">
                  <c:v>-1.0610096853581188E-16</c:v>
                </c:pt>
                <c:pt idx="7">
                  <c:v>0.21650635094610968</c:v>
                </c:pt>
                <c:pt idx="8">
                  <c:v>0.37499999999999983</c:v>
                </c:pt>
                <c:pt idx="9">
                  <c:v>0.4330127018922193</c:v>
                </c:pt>
                <c:pt idx="10">
                  <c:v>0.375</c:v>
                </c:pt>
                <c:pt idx="11">
                  <c:v>0.21650635094610984</c:v>
                </c:pt>
                <c:pt idx="12">
                  <c:v>1.0610096853581188E-16</c:v>
                </c:pt>
                <c:pt idx="13">
                  <c:v>-0.21650635094610932</c:v>
                </c:pt>
                <c:pt idx="14">
                  <c:v>-0.375</c:v>
                </c:pt>
                <c:pt idx="15">
                  <c:v>-0.4330127018922193</c:v>
                </c:pt>
                <c:pt idx="16">
                  <c:v>-0.37500000000000022</c:v>
                </c:pt>
                <c:pt idx="17">
                  <c:v>-0.21650635094610959</c:v>
                </c:pt>
                <c:pt idx="18">
                  <c:v>-2.1220193707162375E-16</c:v>
                </c:pt>
                <c:pt idx="19">
                  <c:v>0.2165063509461099</c:v>
                </c:pt>
                <c:pt idx="20">
                  <c:v>0.37499999999999994</c:v>
                </c:pt>
                <c:pt idx="21">
                  <c:v>0.4330127018922193</c:v>
                </c:pt>
                <c:pt idx="22">
                  <c:v>0.37500000000000017</c:v>
                </c:pt>
                <c:pt idx="23">
                  <c:v>0.21650635094610957</c:v>
                </c:pt>
                <c:pt idx="24">
                  <c:v>2.1220193707162375E-16</c:v>
                </c:pt>
                <c:pt idx="25">
                  <c:v>-0.21650635094610923</c:v>
                </c:pt>
                <c:pt idx="26">
                  <c:v>-0.37499999999999967</c:v>
                </c:pt>
                <c:pt idx="27">
                  <c:v>-0.4330127018922193</c:v>
                </c:pt>
                <c:pt idx="28">
                  <c:v>-0.37499999999999989</c:v>
                </c:pt>
                <c:pt idx="29">
                  <c:v>-0.21650635094610968</c:v>
                </c:pt>
                <c:pt idx="30">
                  <c:v>-3.183029056074356E-16</c:v>
                </c:pt>
                <c:pt idx="31">
                  <c:v>0.21650635094610915</c:v>
                </c:pt>
                <c:pt idx="32">
                  <c:v>0.37499999999999956</c:v>
                </c:pt>
                <c:pt idx="33">
                  <c:v>0.4330127018922193</c:v>
                </c:pt>
                <c:pt idx="34">
                  <c:v>0.37499999999999983</c:v>
                </c:pt>
                <c:pt idx="35">
                  <c:v>0.21650635094610968</c:v>
                </c:pt>
                <c:pt idx="36">
                  <c:v>3.183029056074356E-16</c:v>
                </c:pt>
                <c:pt idx="37">
                  <c:v>-0.21650635094611048</c:v>
                </c:pt>
                <c:pt idx="38">
                  <c:v>-0.37500000000000033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E34B-4BFE-BDB8-3E859255A479}"/>
            </c:ext>
          </c:extLst>
        </c:ser>
        <c:ser>
          <c:idx val="9"/>
          <c:order val="9"/>
          <c:tx>
            <c:strRef>
              <c:f>Scheinleistung!$Z$4</c:f>
              <c:strCache>
                <c:ptCount val="1"/>
                <c:pt idx="0">
                  <c:v>x-Achse:</c:v>
                </c:pt>
              </c:strCache>
            </c:strRef>
          </c:tx>
          <c:spPr>
            <a:ln w="38100" cap="rnd">
              <a:solidFill>
                <a:schemeClr val="tx1">
                  <a:lumMod val="95000"/>
                  <a:lumOff val="5000"/>
                </a:schemeClr>
              </a:solidFill>
              <a:round/>
              <a:headEnd type="none" w="med" len="med"/>
              <a:tailEnd type="triangle" w="med" len="med"/>
            </a:ln>
            <a:effectLst/>
          </c:spPr>
          <c:marker>
            <c:symbol val="none"/>
          </c:marker>
          <c:xVal>
            <c:numRef>
              <c:f>Scheinleistung!$Z$5:$AA$5</c:f>
              <c:numCache>
                <c:formatCode>General</c:formatCode>
                <c:ptCount val="2"/>
                <c:pt idx="0">
                  <c:v>0</c:v>
                </c:pt>
                <c:pt idx="1">
                  <c:v>570</c:v>
                </c:pt>
              </c:numCache>
            </c:numRef>
          </c:xVal>
          <c:yVal>
            <c:numRef>
              <c:f>Scheinleistung!$Z$6:$AA$6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E34B-4BFE-BDB8-3E859255A479}"/>
            </c:ext>
          </c:extLst>
        </c:ser>
        <c:ser>
          <c:idx val="10"/>
          <c:order val="10"/>
          <c:tx>
            <c:strRef>
              <c:f>Scheinleistung!$AC$4</c:f>
              <c:strCache>
                <c:ptCount val="1"/>
                <c:pt idx="0">
                  <c:v>y-Achse:</c:v>
                </c:pt>
              </c:strCache>
            </c:strRef>
          </c:tx>
          <c:spPr>
            <a:ln w="28575" cap="rnd">
              <a:solidFill>
                <a:schemeClr val="tx1">
                  <a:lumMod val="95000"/>
                  <a:lumOff val="5000"/>
                </a:schemeClr>
              </a:solidFill>
              <a:round/>
              <a:headEnd type="none" w="med" len="med"/>
              <a:tailEnd type="triangle" w="med" len="med"/>
            </a:ln>
            <a:effectLst/>
          </c:spPr>
          <c:marker>
            <c:symbol val="none"/>
          </c:marker>
          <c:xVal>
            <c:numRef>
              <c:f>Scheinleistung!$AC$5:$AD$5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Scheinleistung!$AC$6:$AD$6</c:f>
              <c:numCache>
                <c:formatCode>0.00</c:formatCode>
                <c:ptCount val="2"/>
                <c:pt idx="0">
                  <c:v>-1</c:v>
                </c:pt>
                <c:pt idx="1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E34B-4BFE-BDB8-3E859255A4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0486639"/>
        <c:axId val="970485199"/>
      </c:scatterChart>
      <c:valAx>
        <c:axId val="9704866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Phasenwinkel [°]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970485199"/>
        <c:crosses val="autoZero"/>
        <c:crossBetween val="midCat"/>
      </c:valAx>
      <c:valAx>
        <c:axId val="970485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>
                    <a:solidFill>
                      <a:srgbClr val="00B0F0"/>
                    </a:solidFill>
                  </a:rPr>
                  <a:t>Spannung</a:t>
                </a:r>
                <a:r>
                  <a:rPr lang="de-CH"/>
                  <a:t> / </a:t>
                </a:r>
                <a:r>
                  <a:rPr lang="de-CH">
                    <a:solidFill>
                      <a:srgbClr val="FF0000"/>
                    </a:solidFill>
                  </a:rPr>
                  <a:t>Stromstärke</a:t>
                </a:r>
                <a:r>
                  <a:rPr lang="de-CH"/>
                  <a:t> / </a:t>
                </a:r>
                <a:r>
                  <a:rPr lang="de-CH">
                    <a:solidFill>
                      <a:srgbClr val="FFC000"/>
                    </a:solidFill>
                  </a:rPr>
                  <a:t>Leistung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9704866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3"/>
        <c:delete val="1"/>
      </c:legendEntry>
      <c:legendEntry>
        <c:idx val="6"/>
        <c:delete val="1"/>
      </c:legendEntry>
      <c:legendEntry>
        <c:idx val="9"/>
        <c:delete val="1"/>
      </c:legendEntry>
      <c:layout>
        <c:manualLayout>
          <c:xMode val="edge"/>
          <c:yMode val="edge"/>
          <c:x val="5.898518426161177E-2"/>
          <c:y val="0.84164438344576964"/>
          <c:w val="0.77190440883160338"/>
          <c:h val="0.1583555711978492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6057301282007805E-2"/>
          <c:y val="3.3732357816931936E-2"/>
          <c:w val="0.89301102557668788"/>
          <c:h val="0.93253523367945446"/>
        </c:manualLayout>
      </c:layout>
      <c:scatterChart>
        <c:scatterStyle val="lineMarker"/>
        <c:varyColors val="0"/>
        <c:ser>
          <c:idx val="0"/>
          <c:order val="0"/>
          <c:tx>
            <c:strRef>
              <c:f>'3-Phasenstrom'!$R$9</c:f>
              <c:strCache>
                <c:ptCount val="1"/>
                <c:pt idx="0">
                  <c:v>Skala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none"/>
          </c:marker>
          <c:xVal>
            <c:numRef>
              <c:f>'3-Phasenstrom'!$S$11:$V$11</c:f>
              <c:numCache>
                <c:formatCode>#,##0.00</c:formatCode>
                <c:ptCount val="4"/>
                <c:pt idx="0">
                  <c:v>357.79603128039309</c:v>
                </c:pt>
                <c:pt idx="1">
                  <c:v>0</c:v>
                </c:pt>
                <c:pt idx="2">
                  <c:v>-357.79603128039309</c:v>
                </c:pt>
                <c:pt idx="3">
                  <c:v>0</c:v>
                </c:pt>
              </c:numCache>
            </c:numRef>
          </c:xVal>
          <c:yVal>
            <c:numRef>
              <c:f>'3-Phasenstrom'!$S$12:$V$12</c:f>
              <c:numCache>
                <c:formatCode>#,##0.00</c:formatCode>
                <c:ptCount val="4"/>
                <c:pt idx="0">
                  <c:v>0</c:v>
                </c:pt>
                <c:pt idx="1">
                  <c:v>357.79603128039309</c:v>
                </c:pt>
                <c:pt idx="2">
                  <c:v>0</c:v>
                </c:pt>
                <c:pt idx="3">
                  <c:v>-357.79603128039309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F67-4F94-8E75-33D0B3E188C6}"/>
            </c:ext>
          </c:extLst>
        </c:ser>
        <c:ser>
          <c:idx val="1"/>
          <c:order val="1"/>
          <c:tx>
            <c:strRef>
              <c:f>'3-Phasenstrom'!$B$11</c:f>
              <c:strCache>
                <c:ptCount val="1"/>
                <c:pt idx="0">
                  <c:v>L1</c:v>
                </c:pt>
              </c:strCache>
            </c:strRef>
          </c:tx>
          <c:spPr>
            <a:ln w="25400" cap="rnd">
              <a:solidFill>
                <a:schemeClr val="accent2">
                  <a:lumMod val="75000"/>
                </a:schemeClr>
              </a:solidFill>
              <a:round/>
              <a:tailEnd type="triangle"/>
            </a:ln>
            <a:effectLst/>
          </c:spPr>
          <c:marker>
            <c:symbol val="none"/>
          </c:marker>
          <c:xVal>
            <c:numRef>
              <c:f>'3-Phasenstrom'!$M$11:$N$11</c:f>
              <c:numCache>
                <c:formatCode>#,##0.00</c:formatCode>
                <c:ptCount val="2"/>
                <c:pt idx="0">
                  <c:v>0</c:v>
                </c:pt>
                <c:pt idx="1">
                  <c:v>325.26911934581187</c:v>
                </c:pt>
              </c:numCache>
            </c:numRef>
          </c:xVal>
          <c:yVal>
            <c:numRef>
              <c:f>'3-Phasenstrom'!$O$11:$P$11</c:f>
              <c:numCache>
                <c:formatCode>#,##0.00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F67-4F94-8E75-33D0B3E188C6}"/>
            </c:ext>
          </c:extLst>
        </c:ser>
        <c:ser>
          <c:idx val="2"/>
          <c:order val="2"/>
          <c:tx>
            <c:strRef>
              <c:f>'3-Phasenstrom'!$B$12</c:f>
              <c:strCache>
                <c:ptCount val="1"/>
                <c:pt idx="0">
                  <c:v>L2</c:v>
                </c:pt>
              </c:strCache>
            </c:strRef>
          </c:tx>
          <c:spPr>
            <a:ln w="25400" cap="rnd">
              <a:solidFill>
                <a:schemeClr val="tx1">
                  <a:lumMod val="95000"/>
                  <a:lumOff val="5000"/>
                </a:schemeClr>
              </a:solidFill>
              <a:round/>
              <a:tailEnd type="triangle"/>
            </a:ln>
            <a:effectLst/>
          </c:spPr>
          <c:marker>
            <c:symbol val="none"/>
          </c:marker>
          <c:xVal>
            <c:numRef>
              <c:f>'3-Phasenstrom'!$M$12:$N$12</c:f>
              <c:numCache>
                <c:formatCode>#,##0.00</c:formatCode>
                <c:ptCount val="2"/>
                <c:pt idx="0">
                  <c:v>0</c:v>
                </c:pt>
                <c:pt idx="1">
                  <c:v>-162.63455967290585</c:v>
                </c:pt>
              </c:numCache>
            </c:numRef>
          </c:xVal>
          <c:yVal>
            <c:numRef>
              <c:f>'3-Phasenstrom'!$O$12:$P$12</c:f>
              <c:numCache>
                <c:formatCode>#,##0.00</c:formatCode>
                <c:ptCount val="2"/>
                <c:pt idx="0">
                  <c:v>0</c:v>
                </c:pt>
                <c:pt idx="1">
                  <c:v>281.69132042006549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F67-4F94-8E75-33D0B3E188C6}"/>
            </c:ext>
          </c:extLst>
        </c:ser>
        <c:ser>
          <c:idx val="6"/>
          <c:order val="3"/>
          <c:tx>
            <c:strRef>
              <c:f>'3-Phasenstrom'!$B$13</c:f>
              <c:strCache>
                <c:ptCount val="1"/>
                <c:pt idx="0">
                  <c:v>L3</c:v>
                </c:pt>
              </c:strCache>
            </c:strRef>
          </c:tx>
          <c:spPr>
            <a:ln w="25400" cap="rnd">
              <a:solidFill>
                <a:schemeClr val="bg1">
                  <a:lumMod val="50000"/>
                </a:schemeClr>
              </a:solidFill>
              <a:round/>
              <a:headEnd type="none"/>
              <a:tailEnd type="triangle"/>
            </a:ln>
            <a:effectLst/>
          </c:spPr>
          <c:marker>
            <c:symbol val="none"/>
          </c:marker>
          <c:xVal>
            <c:numRef>
              <c:f>'3-Phasenstrom'!$M$13:$N$13</c:f>
              <c:numCache>
                <c:formatCode>#,##0.00</c:formatCode>
                <c:ptCount val="2"/>
                <c:pt idx="0">
                  <c:v>0</c:v>
                </c:pt>
                <c:pt idx="1">
                  <c:v>-162.63455967290608</c:v>
                </c:pt>
              </c:numCache>
            </c:numRef>
          </c:xVal>
          <c:yVal>
            <c:numRef>
              <c:f>'3-Phasenstrom'!$O$13:$P$13</c:f>
              <c:numCache>
                <c:formatCode>#,##0.00</c:formatCode>
                <c:ptCount val="2"/>
                <c:pt idx="0">
                  <c:v>0</c:v>
                </c:pt>
                <c:pt idx="1">
                  <c:v>-281.69132042006538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37E-45B9-8F1E-B96AB731D0ED}"/>
            </c:ext>
          </c:extLst>
        </c:ser>
        <c:ser>
          <c:idx val="3"/>
          <c:order val="4"/>
          <c:tx>
            <c:strRef>
              <c:f>'3-Phasenstrom'!$B$14</c:f>
              <c:strCache>
                <c:ptCount val="1"/>
                <c:pt idx="0">
                  <c:v>L1 - L2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  <a:tailEnd type="triangle"/>
            </a:ln>
            <a:effectLst/>
          </c:spPr>
          <c:marker>
            <c:symbol val="none"/>
          </c:marker>
          <c:xVal>
            <c:numRef>
              <c:f>'3-Phasenstrom'!$M$14:$N$14</c:f>
              <c:numCache>
                <c:formatCode>#,##0.00</c:formatCode>
                <c:ptCount val="2"/>
                <c:pt idx="0">
                  <c:v>325.26911934581187</c:v>
                </c:pt>
                <c:pt idx="1">
                  <c:v>-162.63455967290585</c:v>
                </c:pt>
              </c:numCache>
            </c:numRef>
          </c:xVal>
          <c:yVal>
            <c:numRef>
              <c:f>'3-Phasenstrom'!$O$14:$P$14</c:f>
              <c:numCache>
                <c:formatCode>#,##0.00</c:formatCode>
                <c:ptCount val="2"/>
                <c:pt idx="0">
                  <c:v>0</c:v>
                </c:pt>
                <c:pt idx="1">
                  <c:v>281.69132042006549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F67-4F94-8E75-33D0B3E188C6}"/>
            </c:ext>
          </c:extLst>
        </c:ser>
        <c:ser>
          <c:idx val="4"/>
          <c:order val="5"/>
          <c:tx>
            <c:strRef>
              <c:f>'3-Phasenstrom'!$X$9</c:f>
              <c:strCache>
                <c:ptCount val="1"/>
                <c:pt idx="0">
                  <c:v>Horizontale L2H</c:v>
                </c:pt>
              </c:strCache>
            </c:strRef>
          </c:tx>
          <c:spPr>
            <a:ln w="12700" cap="rnd">
              <a:solidFill>
                <a:schemeClr val="tx1">
                  <a:lumMod val="95000"/>
                  <a:lumOff val="5000"/>
                </a:schemeClr>
              </a:solidFill>
              <a:prstDash val="dash"/>
              <a:round/>
              <a:headEnd type="none" w="med" len="med"/>
              <a:tailEnd type="triangle" w="med" len="med"/>
            </a:ln>
            <a:effectLst/>
          </c:spPr>
          <c:marker>
            <c:symbol val="none"/>
          </c:marker>
          <c:xVal>
            <c:numRef>
              <c:f>'3-Phasenstrom'!$X$10:$Y$10</c:f>
              <c:numCache>
                <c:formatCode>General</c:formatCode>
                <c:ptCount val="2"/>
                <c:pt idx="0">
                  <c:v>0</c:v>
                </c:pt>
                <c:pt idx="1">
                  <c:v>-162.63455967290585</c:v>
                </c:pt>
              </c:numCache>
            </c:numRef>
          </c:xVal>
          <c:yVal>
            <c:numRef>
              <c:f>'3-Phasenstrom'!$X$11:$Y$11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0E4-47A4-9968-E92710E7BD37}"/>
            </c:ext>
          </c:extLst>
        </c:ser>
        <c:ser>
          <c:idx val="5"/>
          <c:order val="6"/>
          <c:tx>
            <c:strRef>
              <c:f>'3-Phasenstrom'!$AA$9</c:f>
              <c:strCache>
                <c:ptCount val="1"/>
                <c:pt idx="0">
                  <c:v>Vertikale L2V</c:v>
                </c:pt>
              </c:strCache>
            </c:strRef>
          </c:tx>
          <c:spPr>
            <a:ln w="12700" cap="rnd">
              <a:solidFill>
                <a:schemeClr val="tx1">
                  <a:lumMod val="95000"/>
                  <a:lumOff val="5000"/>
                </a:schemeClr>
              </a:solidFill>
              <a:prstDash val="dash"/>
              <a:round/>
              <a:headEnd type="none" w="med" len="med"/>
              <a:tailEnd type="triangle" w="med" len="med"/>
            </a:ln>
            <a:effectLst/>
          </c:spPr>
          <c:marker>
            <c:symbol val="none"/>
          </c:marker>
          <c:xVal>
            <c:numRef>
              <c:f>'3-Phasenstrom'!$AA$10:$AB$10</c:f>
              <c:numCache>
                <c:formatCode>General</c:formatCode>
                <c:ptCount val="2"/>
                <c:pt idx="0">
                  <c:v>-162.63455967290585</c:v>
                </c:pt>
                <c:pt idx="1">
                  <c:v>-162.63455967290585</c:v>
                </c:pt>
              </c:numCache>
            </c:numRef>
          </c:xVal>
          <c:yVal>
            <c:numRef>
              <c:f>'3-Phasenstrom'!$AA$11:$AB$11</c:f>
              <c:numCache>
                <c:formatCode>General</c:formatCode>
                <c:ptCount val="2"/>
                <c:pt idx="0">
                  <c:v>0</c:v>
                </c:pt>
                <c:pt idx="1">
                  <c:v>281.69132042006549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CD8-49F0-ABDA-D2D27E06DA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7030208"/>
        <c:axId val="697032608"/>
      </c:scatterChart>
      <c:valAx>
        <c:axId val="6970302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97032608"/>
        <c:crosses val="autoZero"/>
        <c:crossBetween val="midCat"/>
      </c:valAx>
      <c:valAx>
        <c:axId val="697032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970302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'3-Phasenstrom'!$Q$22</c:f>
              <c:strCache>
                <c:ptCount val="1"/>
                <c:pt idx="0">
                  <c:v>L1</c:v>
                </c:pt>
              </c:strCache>
            </c:strRef>
          </c:tx>
          <c:spPr>
            <a:ln w="19050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'3-Phasenstrom'!$R$20:$BB$20</c:f>
              <c:numCache>
                <c:formatCode>General</c:formatCode>
                <c:ptCount val="3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</c:numCache>
            </c:numRef>
          </c:xVal>
          <c:yVal>
            <c:numRef>
              <c:f>'3-Phasenstrom'!$R$22:$BB$22</c:f>
              <c:numCache>
                <c:formatCode>General</c:formatCode>
                <c:ptCount val="37"/>
                <c:pt idx="0">
                  <c:v>0</c:v>
                </c:pt>
                <c:pt idx="1">
                  <c:v>56.482389825727509</c:v>
                </c:pt>
                <c:pt idx="2">
                  <c:v>111.24859081806862</c:v>
                </c:pt>
                <c:pt idx="3">
                  <c:v>162.63455967290591</c:v>
                </c:pt>
                <c:pt idx="4">
                  <c:v>209.07895972914008</c:v>
                </c:pt>
                <c:pt idx="5">
                  <c:v>249.17060139306287</c:v>
                </c:pt>
                <c:pt idx="6">
                  <c:v>281.69132042006549</c:v>
                </c:pt>
                <c:pt idx="7">
                  <c:v>305.65299121879036</c:v>
                </c:pt>
                <c:pt idx="8">
                  <c:v>320.32755054720872</c:v>
                </c:pt>
                <c:pt idx="9">
                  <c:v>325.26911934581187</c:v>
                </c:pt>
                <c:pt idx="10">
                  <c:v>320.32755054720872</c:v>
                </c:pt>
                <c:pt idx="11">
                  <c:v>305.65299121879036</c:v>
                </c:pt>
                <c:pt idx="12">
                  <c:v>281.69132042006549</c:v>
                </c:pt>
                <c:pt idx="13">
                  <c:v>249.17060139306287</c:v>
                </c:pt>
                <c:pt idx="14">
                  <c:v>209.07895972914014</c:v>
                </c:pt>
                <c:pt idx="15">
                  <c:v>162.63455967290591</c:v>
                </c:pt>
                <c:pt idx="16">
                  <c:v>111.24859081806868</c:v>
                </c:pt>
                <c:pt idx="17">
                  <c:v>56.482389825727488</c:v>
                </c:pt>
                <c:pt idx="18">
                  <c:v>3.9850295899600895E-14</c:v>
                </c:pt>
                <c:pt idx="19">
                  <c:v>-56.482389825727552</c:v>
                </c:pt>
                <c:pt idx="20">
                  <c:v>-111.24859081806861</c:v>
                </c:pt>
                <c:pt idx="21">
                  <c:v>-162.63455967290597</c:v>
                </c:pt>
                <c:pt idx="22">
                  <c:v>-209.07895972914008</c:v>
                </c:pt>
                <c:pt idx="23">
                  <c:v>-249.17060139306281</c:v>
                </c:pt>
                <c:pt idx="24">
                  <c:v>-281.69132042006538</c:v>
                </c:pt>
                <c:pt idx="25">
                  <c:v>-305.65299121879031</c:v>
                </c:pt>
                <c:pt idx="26">
                  <c:v>-320.32755054720872</c:v>
                </c:pt>
                <c:pt idx="27">
                  <c:v>-325.26911934581187</c:v>
                </c:pt>
                <c:pt idx="28">
                  <c:v>-320.32755054720877</c:v>
                </c:pt>
                <c:pt idx="29">
                  <c:v>-305.65299121879042</c:v>
                </c:pt>
                <c:pt idx="30">
                  <c:v>-281.69132042006549</c:v>
                </c:pt>
                <c:pt idx="31">
                  <c:v>-249.1706013930629</c:v>
                </c:pt>
                <c:pt idx="32">
                  <c:v>-209.07895972914019</c:v>
                </c:pt>
                <c:pt idx="33">
                  <c:v>-162.63455967290608</c:v>
                </c:pt>
                <c:pt idx="34">
                  <c:v>-111.24859081806858</c:v>
                </c:pt>
                <c:pt idx="35">
                  <c:v>-56.482389825727815</c:v>
                </c:pt>
                <c:pt idx="36">
                  <c:v>-7.9700591799201791E-14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280-4BE0-900A-AB7A282E3B42}"/>
            </c:ext>
          </c:extLst>
        </c:ser>
        <c:ser>
          <c:idx val="1"/>
          <c:order val="1"/>
          <c:tx>
            <c:strRef>
              <c:f>'3-Phasenstrom'!$Q$23</c:f>
              <c:strCache>
                <c:ptCount val="1"/>
                <c:pt idx="0">
                  <c:v>L2</c:v>
                </c:pt>
              </c:strCache>
            </c:strRef>
          </c:tx>
          <c:spPr>
            <a:ln w="19050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'3-Phasenstrom'!$R$20:$BB$20</c:f>
              <c:numCache>
                <c:formatCode>General</c:formatCode>
                <c:ptCount val="3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</c:numCache>
            </c:numRef>
          </c:xVal>
          <c:yVal>
            <c:numRef>
              <c:f>'3-Phasenstrom'!$R$23:$BB$23</c:f>
              <c:numCache>
                <c:formatCode>General</c:formatCode>
                <c:ptCount val="37"/>
                <c:pt idx="0">
                  <c:v>281.69132042006549</c:v>
                </c:pt>
                <c:pt idx="1">
                  <c:v>249.17060139306295</c:v>
                </c:pt>
                <c:pt idx="2">
                  <c:v>209.07895972914014</c:v>
                </c:pt>
                <c:pt idx="3">
                  <c:v>162.63455967290605</c:v>
                </c:pt>
                <c:pt idx="4">
                  <c:v>111.24859081806868</c:v>
                </c:pt>
                <c:pt idx="5">
                  <c:v>56.482389825727623</c:v>
                </c:pt>
                <c:pt idx="6">
                  <c:v>3.9850295899600895E-14</c:v>
                </c:pt>
                <c:pt idx="7">
                  <c:v>-56.48238982572741</c:v>
                </c:pt>
                <c:pt idx="8">
                  <c:v>-111.24859081806845</c:v>
                </c:pt>
                <c:pt idx="9">
                  <c:v>-162.63455967290585</c:v>
                </c:pt>
                <c:pt idx="10">
                  <c:v>-209.07895972914008</c:v>
                </c:pt>
                <c:pt idx="11">
                  <c:v>-249.17060139306281</c:v>
                </c:pt>
                <c:pt idx="12">
                  <c:v>-281.69132042006538</c:v>
                </c:pt>
                <c:pt idx="13">
                  <c:v>-305.65299121879036</c:v>
                </c:pt>
                <c:pt idx="14">
                  <c:v>-320.32755054720872</c:v>
                </c:pt>
                <c:pt idx="15">
                  <c:v>-325.26911934581187</c:v>
                </c:pt>
                <c:pt idx="16">
                  <c:v>-320.32755054720877</c:v>
                </c:pt>
                <c:pt idx="17">
                  <c:v>-305.65299121879042</c:v>
                </c:pt>
                <c:pt idx="18">
                  <c:v>-281.69132042006561</c:v>
                </c:pt>
                <c:pt idx="19">
                  <c:v>-249.1706013930629</c:v>
                </c:pt>
                <c:pt idx="20">
                  <c:v>-209.07895972914019</c:v>
                </c:pt>
                <c:pt idx="21">
                  <c:v>-162.63455967290582</c:v>
                </c:pt>
                <c:pt idx="22">
                  <c:v>-111.24859081806858</c:v>
                </c:pt>
                <c:pt idx="23">
                  <c:v>-56.482389825727523</c:v>
                </c:pt>
                <c:pt idx="24">
                  <c:v>-7.9700591799201791E-14</c:v>
                </c:pt>
                <c:pt idx="25">
                  <c:v>56.482389825727374</c:v>
                </c:pt>
                <c:pt idx="26">
                  <c:v>111.24859081806842</c:v>
                </c:pt>
                <c:pt idx="27">
                  <c:v>162.63455967290571</c:v>
                </c:pt>
                <c:pt idx="28">
                  <c:v>209.07895972913983</c:v>
                </c:pt>
                <c:pt idx="29">
                  <c:v>249.17060139306261</c:v>
                </c:pt>
                <c:pt idx="30">
                  <c:v>281.69132042006555</c:v>
                </c:pt>
                <c:pt idx="31">
                  <c:v>305.65299121879036</c:v>
                </c:pt>
                <c:pt idx="32">
                  <c:v>320.32755054720872</c:v>
                </c:pt>
                <c:pt idx="33">
                  <c:v>325.26911934581187</c:v>
                </c:pt>
                <c:pt idx="34">
                  <c:v>320.32755054720877</c:v>
                </c:pt>
                <c:pt idx="35">
                  <c:v>305.65299121879048</c:v>
                </c:pt>
                <c:pt idx="36">
                  <c:v>281.69132042006567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280-4BE0-900A-AB7A282E3B42}"/>
            </c:ext>
          </c:extLst>
        </c:ser>
        <c:ser>
          <c:idx val="2"/>
          <c:order val="2"/>
          <c:tx>
            <c:strRef>
              <c:f>'3-Phasenstrom'!$Q$25</c:f>
              <c:strCache>
                <c:ptCount val="1"/>
                <c:pt idx="0">
                  <c:v>L1 - L2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'3-Phasenstrom'!$R$20:$BB$20</c:f>
              <c:numCache>
                <c:formatCode>General</c:formatCode>
                <c:ptCount val="3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</c:numCache>
            </c:numRef>
          </c:xVal>
          <c:yVal>
            <c:numRef>
              <c:f>'3-Phasenstrom'!$R$25:$BB$25</c:f>
            </c:numRef>
          </c:yVal>
          <c:smooth val="1"/>
          <c:extLst>
            <c:ext xmlns:c16="http://schemas.microsoft.com/office/drawing/2014/chart" uri="{C3380CC4-5D6E-409C-BE32-E72D297353CC}">
              <c16:uniqueId val="{00000002-1280-4BE0-900A-AB7A282E3B42}"/>
            </c:ext>
          </c:extLst>
        </c:ser>
        <c:ser>
          <c:idx val="3"/>
          <c:order val="3"/>
          <c:tx>
            <c:strRef>
              <c:f>'3-Phasenstrom'!$Q$24</c:f>
              <c:strCache>
                <c:ptCount val="1"/>
                <c:pt idx="0">
                  <c:v>L3</c:v>
                </c:pt>
              </c:strCache>
            </c:strRef>
          </c:tx>
          <c:spPr>
            <a:ln w="19050" cap="rnd">
              <a:solidFill>
                <a:schemeClr val="tx1">
                  <a:lumMod val="95000"/>
                  <a:lumOff val="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'3-Phasenstrom'!$R$20:$BB$20</c:f>
              <c:numCache>
                <c:formatCode>General</c:formatCode>
                <c:ptCount val="3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</c:numCache>
            </c:numRef>
          </c:xVal>
          <c:yVal>
            <c:numRef>
              <c:f>'3-Phasenstrom'!$R$24:$BB$24</c:f>
              <c:numCache>
                <c:formatCode>General</c:formatCode>
                <c:ptCount val="37"/>
                <c:pt idx="0">
                  <c:v>-281.69132042006538</c:v>
                </c:pt>
                <c:pt idx="1">
                  <c:v>-305.65299121879031</c:v>
                </c:pt>
                <c:pt idx="2">
                  <c:v>-320.32755054720866</c:v>
                </c:pt>
                <c:pt idx="3">
                  <c:v>-325.26911934581187</c:v>
                </c:pt>
                <c:pt idx="4">
                  <c:v>-320.32755054720877</c:v>
                </c:pt>
                <c:pt idx="5">
                  <c:v>-305.65299121879042</c:v>
                </c:pt>
                <c:pt idx="6">
                  <c:v>-281.69132042006561</c:v>
                </c:pt>
                <c:pt idx="7">
                  <c:v>-249.17060139306307</c:v>
                </c:pt>
                <c:pt idx="8">
                  <c:v>-209.07895972914019</c:v>
                </c:pt>
                <c:pt idx="9">
                  <c:v>-162.63455967290608</c:v>
                </c:pt>
                <c:pt idx="10">
                  <c:v>-111.24859081806885</c:v>
                </c:pt>
                <c:pt idx="11">
                  <c:v>-56.482389825727523</c:v>
                </c:pt>
                <c:pt idx="12">
                  <c:v>-7.9700591799201791E-14</c:v>
                </c:pt>
                <c:pt idx="13">
                  <c:v>56.482389825727374</c:v>
                </c:pt>
                <c:pt idx="14">
                  <c:v>111.24859081806842</c:v>
                </c:pt>
                <c:pt idx="15">
                  <c:v>162.63455967290571</c:v>
                </c:pt>
                <c:pt idx="16">
                  <c:v>209.07895972913983</c:v>
                </c:pt>
                <c:pt idx="17">
                  <c:v>249.17060139306278</c:v>
                </c:pt>
                <c:pt idx="18">
                  <c:v>281.69132042006538</c:v>
                </c:pt>
                <c:pt idx="19">
                  <c:v>305.65299121879036</c:v>
                </c:pt>
                <c:pt idx="20">
                  <c:v>320.32755054720872</c:v>
                </c:pt>
                <c:pt idx="21">
                  <c:v>325.26911934581187</c:v>
                </c:pt>
                <c:pt idx="22">
                  <c:v>320.32755054720877</c:v>
                </c:pt>
                <c:pt idx="23">
                  <c:v>305.65299121879048</c:v>
                </c:pt>
                <c:pt idx="24">
                  <c:v>281.69132042006567</c:v>
                </c:pt>
                <c:pt idx="25">
                  <c:v>249.17060139306309</c:v>
                </c:pt>
                <c:pt idx="26">
                  <c:v>209.07895972914</c:v>
                </c:pt>
                <c:pt idx="27">
                  <c:v>162.63455967290585</c:v>
                </c:pt>
                <c:pt idx="28">
                  <c:v>111.24859081806862</c:v>
                </c:pt>
                <c:pt idx="29">
                  <c:v>56.482389825727559</c:v>
                </c:pt>
                <c:pt idx="30">
                  <c:v>1.1955088769880268E-13</c:v>
                </c:pt>
                <c:pt idx="31">
                  <c:v>-56.482389825727324</c:v>
                </c:pt>
                <c:pt idx="32">
                  <c:v>-111.24859081806838</c:v>
                </c:pt>
                <c:pt idx="33">
                  <c:v>-162.63455967290565</c:v>
                </c:pt>
                <c:pt idx="34">
                  <c:v>-209.0789597291398</c:v>
                </c:pt>
                <c:pt idx="35">
                  <c:v>-249.17060139306255</c:v>
                </c:pt>
                <c:pt idx="36">
                  <c:v>-281.69132042006521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451-4066-8236-E0D183FFA540}"/>
            </c:ext>
          </c:extLst>
        </c:ser>
        <c:ser>
          <c:idx val="4"/>
          <c:order val="4"/>
          <c:tx>
            <c:strRef>
              <c:f>'3-Phasenstrom'!$Q$26</c:f>
              <c:strCache>
                <c:ptCount val="1"/>
                <c:pt idx="0">
                  <c:v>L1 - L2</c:v>
                </c:pt>
              </c:strCache>
            </c:strRef>
          </c:tx>
          <c:spPr>
            <a:ln w="38100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xVal>
            <c:numRef>
              <c:f>'3-Phasenstrom'!$R$20:$BB$20</c:f>
              <c:numCache>
                <c:formatCode>General</c:formatCode>
                <c:ptCount val="3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</c:numCache>
            </c:numRef>
          </c:xVal>
          <c:yVal>
            <c:numRef>
              <c:f>'3-Phasenstrom'!$R$26:$BB$26</c:f>
              <c:numCache>
                <c:formatCode>General</c:formatCode>
                <c:ptCount val="37"/>
                <c:pt idx="0">
                  <c:v>-281.69132042006549</c:v>
                </c:pt>
                <c:pt idx="1">
                  <c:v>-192.68821156733543</c:v>
                </c:pt>
                <c:pt idx="2">
                  <c:v>-97.830368911071517</c:v>
                </c:pt>
                <c:pt idx="3">
                  <c:v>0</c:v>
                </c:pt>
                <c:pt idx="4">
                  <c:v>97.830368911071403</c:v>
                </c:pt>
                <c:pt idx="5">
                  <c:v>192.68821156733526</c:v>
                </c:pt>
                <c:pt idx="6">
                  <c:v>281.69132042006544</c:v>
                </c:pt>
                <c:pt idx="7">
                  <c:v>362.13538104451777</c:v>
                </c:pt>
                <c:pt idx="8">
                  <c:v>431.57614136527718</c:v>
                </c:pt>
                <c:pt idx="9">
                  <c:v>487.90367901871775</c:v>
                </c:pt>
                <c:pt idx="10">
                  <c:v>529.40651027634885</c:v>
                </c:pt>
                <c:pt idx="11">
                  <c:v>554.8235926118532</c:v>
                </c:pt>
                <c:pt idx="12">
                  <c:v>563.38264084013088</c:v>
                </c:pt>
                <c:pt idx="13">
                  <c:v>554.8235926118532</c:v>
                </c:pt>
                <c:pt idx="14">
                  <c:v>529.40651027634885</c:v>
                </c:pt>
                <c:pt idx="15">
                  <c:v>487.90367901871775</c:v>
                </c:pt>
                <c:pt idx="16">
                  <c:v>431.57614136527746</c:v>
                </c:pt>
                <c:pt idx="17">
                  <c:v>362.13538104451789</c:v>
                </c:pt>
                <c:pt idx="18">
                  <c:v>281.69132042006567</c:v>
                </c:pt>
                <c:pt idx="19">
                  <c:v>192.68821156733534</c:v>
                </c:pt>
                <c:pt idx="20">
                  <c:v>97.830368911071588</c:v>
                </c:pt>
                <c:pt idx="21">
                  <c:v>0</c:v>
                </c:pt>
                <c:pt idx="22">
                  <c:v>-97.830368911071503</c:v>
                </c:pt>
                <c:pt idx="23">
                  <c:v>-192.68821156733529</c:v>
                </c:pt>
                <c:pt idx="24">
                  <c:v>-281.69132042006532</c:v>
                </c:pt>
                <c:pt idx="25">
                  <c:v>-362.13538104451766</c:v>
                </c:pt>
                <c:pt idx="26">
                  <c:v>-431.57614136527712</c:v>
                </c:pt>
                <c:pt idx="27">
                  <c:v>-487.90367901871758</c:v>
                </c:pt>
                <c:pt idx="28">
                  <c:v>-529.40651027634863</c:v>
                </c:pt>
                <c:pt idx="29">
                  <c:v>-554.82359261185297</c:v>
                </c:pt>
                <c:pt idx="30">
                  <c:v>-563.38264084013099</c:v>
                </c:pt>
                <c:pt idx="31">
                  <c:v>-554.8235926118532</c:v>
                </c:pt>
                <c:pt idx="32">
                  <c:v>-529.40651027634885</c:v>
                </c:pt>
                <c:pt idx="33">
                  <c:v>-487.90367901871798</c:v>
                </c:pt>
                <c:pt idx="34">
                  <c:v>-431.57614136527735</c:v>
                </c:pt>
                <c:pt idx="35">
                  <c:v>-362.13538104451828</c:v>
                </c:pt>
                <c:pt idx="36">
                  <c:v>-281.69132042006572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D82-469D-A603-4C1FD6D593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0543407"/>
        <c:axId val="550543887"/>
      </c:scatterChart>
      <c:valAx>
        <c:axId val="5505434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50543887"/>
        <c:crosses val="autoZero"/>
        <c:crossBetween val="midCat"/>
      </c:valAx>
      <c:valAx>
        <c:axId val="550543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505434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0733614284129978E-2"/>
          <c:y val="4.8148834488828583E-2"/>
          <c:w val="0.9249412918567318"/>
          <c:h val="0.81172756137107138"/>
        </c:manualLayout>
      </c:layout>
      <c:scatterChart>
        <c:scatterStyle val="smoothMarker"/>
        <c:varyColors val="0"/>
        <c:ser>
          <c:idx val="4"/>
          <c:order val="0"/>
          <c:tx>
            <c:strRef>
              <c:f>'3-Phasenstrom'!$M$123</c:f>
              <c:strCache>
                <c:ptCount val="1"/>
                <c:pt idx="0">
                  <c:v>xAchse</c:v>
                </c:pt>
              </c:strCache>
            </c:strRef>
          </c:tx>
          <c:spPr>
            <a:ln w="28575" cap="rnd">
              <a:solidFill>
                <a:schemeClr val="tx1">
                  <a:lumMod val="95000"/>
                  <a:lumOff val="5000"/>
                </a:schemeClr>
              </a:solidFill>
              <a:round/>
              <a:headEnd type="none" w="med" len="med"/>
              <a:tailEnd type="triangle" w="med" len="med"/>
            </a:ln>
            <a:effectLst/>
          </c:spPr>
          <c:marker>
            <c:symbol val="none"/>
          </c:marker>
          <c:xVal>
            <c:numRef>
              <c:f>'3-Phasenstrom'!$N$123:$O$123</c:f>
              <c:numCache>
                <c:formatCode>#,##0.0</c:formatCode>
                <c:ptCount val="2"/>
                <c:pt idx="0">
                  <c:v>-9</c:v>
                </c:pt>
                <c:pt idx="1">
                  <c:v>9</c:v>
                </c:pt>
              </c:numCache>
            </c:numRef>
          </c:xVal>
          <c:yVal>
            <c:numRef>
              <c:f>'3-Phasenstrom'!$N$124:$O$124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1FC-459D-87F2-C1C108BA2DD0}"/>
            </c:ext>
          </c:extLst>
        </c:ser>
        <c:ser>
          <c:idx val="5"/>
          <c:order val="1"/>
          <c:tx>
            <c:strRef>
              <c:f>'3-Phasenstrom'!$M$125</c:f>
              <c:strCache>
                <c:ptCount val="1"/>
                <c:pt idx="0">
                  <c:v>yAchse</c:v>
                </c:pt>
              </c:strCache>
            </c:strRef>
          </c:tx>
          <c:spPr>
            <a:ln w="28575" cap="rnd">
              <a:solidFill>
                <a:schemeClr val="tx1">
                  <a:lumMod val="95000"/>
                  <a:lumOff val="5000"/>
                </a:schemeClr>
              </a:solidFill>
              <a:round/>
              <a:headEnd type="none" w="med" len="med"/>
              <a:tailEnd type="triangle" w="med" len="med"/>
            </a:ln>
            <a:effectLst/>
          </c:spPr>
          <c:marker>
            <c:symbol val="none"/>
          </c:marker>
          <c:xVal>
            <c:numRef>
              <c:f>'3-Phasenstrom'!$N$125:$O$125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'3-Phasenstrom'!$N$126:$O$126</c:f>
              <c:numCache>
                <c:formatCode>#,##0.0</c:formatCode>
                <c:ptCount val="2"/>
                <c:pt idx="0">
                  <c:v>-9</c:v>
                </c:pt>
                <c:pt idx="1">
                  <c:v>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1FC-459D-87F2-C1C108BA2DD0}"/>
            </c:ext>
          </c:extLst>
        </c:ser>
        <c:ser>
          <c:idx val="0"/>
          <c:order val="2"/>
          <c:tx>
            <c:strRef>
              <c:f>'3-Phasenstrom'!$J$115</c:f>
              <c:strCache>
                <c:ptCount val="1"/>
                <c:pt idx="0">
                  <c:v>I1:</c:v>
                </c:pt>
              </c:strCache>
            </c:strRef>
          </c:tx>
          <c:spPr>
            <a:ln w="19050" cap="rnd">
              <a:solidFill>
                <a:srgbClr val="FF0000"/>
              </a:solidFill>
              <a:prstDash val="solid"/>
              <a:round/>
              <a:headEnd type="none" w="med" len="med"/>
              <a:tailEnd type="triangle" w="med" len="med"/>
            </a:ln>
            <a:effectLst/>
          </c:spPr>
          <c:marker>
            <c:symbol val="none"/>
          </c:marker>
          <c:xVal>
            <c:numRef>
              <c:f>'3-Phasenstrom'!$K$115:$L$115</c:f>
              <c:numCache>
                <c:formatCode>#,##0.0</c:formatCode>
                <c:ptCount val="2"/>
                <c:pt idx="0" formatCode="General">
                  <c:v>0</c:v>
                </c:pt>
                <c:pt idx="1">
                  <c:v>7.5</c:v>
                </c:pt>
              </c:numCache>
            </c:numRef>
          </c:xVal>
          <c:yVal>
            <c:numRef>
              <c:f>'3-Phasenstrom'!$M$115:$N$115</c:f>
              <c:numCache>
                <c:formatCode>#,##0.0</c:formatCode>
                <c:ptCount val="2"/>
                <c:pt idx="0" formatCode="General">
                  <c:v>0</c:v>
                </c:pt>
                <c:pt idx="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861-438A-A054-66461F40D5A9}"/>
            </c:ext>
          </c:extLst>
        </c:ser>
        <c:ser>
          <c:idx val="1"/>
          <c:order val="3"/>
          <c:tx>
            <c:strRef>
              <c:f>'3-Phasenstrom'!$J$116</c:f>
              <c:strCache>
                <c:ptCount val="1"/>
                <c:pt idx="0">
                  <c:v>I2:</c:v>
                </c:pt>
              </c:strCache>
            </c:strRef>
          </c:tx>
          <c:spPr>
            <a:ln w="19050" cap="rnd">
              <a:solidFill>
                <a:srgbClr val="FF0000"/>
              </a:solidFill>
              <a:prstDash val="dash"/>
              <a:round/>
              <a:headEnd type="none" w="med" len="med"/>
              <a:tailEnd type="triangle" w="med" len="med"/>
            </a:ln>
            <a:effectLst/>
          </c:spPr>
          <c:marker>
            <c:symbol val="none"/>
          </c:marker>
          <c:xVal>
            <c:numRef>
              <c:f>'3-Phasenstrom'!$K$116:$L$116</c:f>
              <c:numCache>
                <c:formatCode>#,##0.0</c:formatCode>
                <c:ptCount val="2"/>
                <c:pt idx="0" formatCode="General">
                  <c:v>0</c:v>
                </c:pt>
                <c:pt idx="1">
                  <c:v>-1.8749999999999991</c:v>
                </c:pt>
              </c:numCache>
            </c:numRef>
          </c:xVal>
          <c:yVal>
            <c:numRef>
              <c:f>'3-Phasenstrom'!$M$116:$N$116</c:f>
              <c:numCache>
                <c:formatCode>#,##0.0</c:formatCode>
                <c:ptCount val="2"/>
                <c:pt idx="0" formatCode="General">
                  <c:v>0</c:v>
                </c:pt>
                <c:pt idx="1">
                  <c:v>3.247595264191645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861-438A-A054-66461F40D5A9}"/>
            </c:ext>
          </c:extLst>
        </c:ser>
        <c:ser>
          <c:idx val="2"/>
          <c:order val="4"/>
          <c:tx>
            <c:strRef>
              <c:f>'3-Phasenstrom'!$J$117</c:f>
              <c:strCache>
                <c:ptCount val="1"/>
                <c:pt idx="0">
                  <c:v>I3:</c:v>
                </c:pt>
              </c:strCache>
            </c:strRef>
          </c:tx>
          <c:spPr>
            <a:ln w="19050" cap="rnd">
              <a:solidFill>
                <a:srgbClr val="FF0000"/>
              </a:solidFill>
              <a:prstDash val="sysDash"/>
              <a:round/>
              <a:headEnd type="none" w="med" len="med"/>
              <a:tailEnd type="triangle" w="med" len="med"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19050" cap="rnd">
                <a:solidFill>
                  <a:srgbClr val="FF0000"/>
                </a:solidFill>
                <a:prstDash val="sysDash"/>
                <a:round/>
                <a:headEnd type="none" w="med" len="med"/>
                <a:tailEnd type="triangle" w="med" len="med"/>
              </a:ln>
              <a:effectLst/>
            </c:spPr>
            <c:extLst>
              <c:ext xmlns:c16="http://schemas.microsoft.com/office/drawing/2014/chart" uri="{C3380CC4-5D6E-409C-BE32-E72D297353CC}">
                <c16:uniqueId val="{00000004-F861-438A-A054-66461F40D5A9}"/>
              </c:ext>
            </c:extLst>
          </c:dPt>
          <c:xVal>
            <c:numRef>
              <c:f>'3-Phasenstrom'!$K$117:$L$117</c:f>
              <c:numCache>
                <c:formatCode>#,##0.0</c:formatCode>
                <c:ptCount val="2"/>
                <c:pt idx="0" formatCode="General">
                  <c:v>0</c:v>
                </c:pt>
                <c:pt idx="1">
                  <c:v>-0.93750000000000089</c:v>
                </c:pt>
              </c:numCache>
            </c:numRef>
          </c:xVal>
          <c:yVal>
            <c:numRef>
              <c:f>'3-Phasenstrom'!$M$117:$N$117</c:f>
              <c:numCache>
                <c:formatCode>#,##0.0</c:formatCode>
                <c:ptCount val="2"/>
                <c:pt idx="0" formatCode="General">
                  <c:v>0</c:v>
                </c:pt>
                <c:pt idx="1">
                  <c:v>-1.6237976320958221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861-438A-A054-66461F40D5A9}"/>
            </c:ext>
          </c:extLst>
        </c:ser>
        <c:ser>
          <c:idx val="3"/>
          <c:order val="5"/>
          <c:tx>
            <c:strRef>
              <c:f>'3-Phasenstrom'!$J$118</c:f>
              <c:strCache>
                <c:ptCount val="1"/>
                <c:pt idx="0">
                  <c:v>ITotal:</c:v>
                </c:pt>
              </c:strCache>
            </c:strRef>
          </c:tx>
          <c:spPr>
            <a:ln w="38100" cap="rnd">
              <a:solidFill>
                <a:srgbClr val="FF0000"/>
              </a:solidFill>
              <a:round/>
              <a:headEnd type="none" w="med" len="med"/>
              <a:tailEnd type="triangle" w="med" len="med"/>
            </a:ln>
            <a:effectLst/>
          </c:spPr>
          <c:marker>
            <c:symbol val="none"/>
          </c:marker>
          <c:xVal>
            <c:numRef>
              <c:f>'3-Phasenstrom'!$K$118:$L$118</c:f>
              <c:numCache>
                <c:formatCode>#,##0.0</c:formatCode>
                <c:ptCount val="2"/>
                <c:pt idx="0" formatCode="General">
                  <c:v>0</c:v>
                </c:pt>
                <c:pt idx="1">
                  <c:v>4.6875</c:v>
                </c:pt>
              </c:numCache>
            </c:numRef>
          </c:xVal>
          <c:yVal>
            <c:numRef>
              <c:f>'3-Phasenstrom'!$M$118:$N$118</c:f>
              <c:numCache>
                <c:formatCode>#,##0.0</c:formatCode>
                <c:ptCount val="2"/>
                <c:pt idx="0" formatCode="General">
                  <c:v>0</c:v>
                </c:pt>
                <c:pt idx="1">
                  <c:v>1.623797632095823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861-438A-A054-66461F40D5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688416"/>
        <c:axId val="113689856"/>
      </c:scatterChart>
      <c:valAx>
        <c:axId val="113688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13689856"/>
        <c:crosses val="autoZero"/>
        <c:crossBetween val="midCat"/>
      </c:valAx>
      <c:valAx>
        <c:axId val="113689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136884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ayout>
        <c:manualLayout>
          <c:xMode val="edge"/>
          <c:yMode val="edge"/>
          <c:x val="0.2706569073232043"/>
          <c:y val="0.88531508970007367"/>
          <c:w val="0.41948393774721832"/>
          <c:h val="0.1138471675185434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Polygone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'Fläche eines Polygones'!$D$23:$D$36</c:f>
              <c:numCache>
                <c:formatCode>General</c:formatCode>
                <c:ptCount val="14"/>
                <c:pt idx="0">
                  <c:v>0</c:v>
                </c:pt>
                <c:pt idx="1">
                  <c:v>4</c:v>
                </c:pt>
                <c:pt idx="2">
                  <c:v>2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xVal>
          <c:yVal>
            <c:numRef>
              <c:f>'Fläche eines Polygones'!$E$23:$E$36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3</c:v>
                </c:pt>
                <c:pt idx="3">
                  <c:v>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4F4-464B-B01F-A5D60F4C19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0821375"/>
        <c:axId val="570809855"/>
      </c:scatterChart>
      <c:valAx>
        <c:axId val="5708213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70809855"/>
        <c:crosses val="autoZero"/>
        <c:crossBetween val="midCat"/>
      </c:valAx>
      <c:valAx>
        <c:axId val="570809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708213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TOC!A1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hyperlink" Target="#TOC!A1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14.png"/><Relationship Id="rId2" Type="http://schemas.openxmlformats.org/officeDocument/2006/relationships/customXml" Target="../ink/ink2.xml"/><Relationship Id="rId1" Type="http://schemas.openxmlformats.org/officeDocument/2006/relationships/hyperlink" Target="#TOC!A1"/><Relationship Id="rId5" Type="http://schemas.openxmlformats.org/officeDocument/2006/relationships/image" Target="../media/image310.png"/><Relationship Id="rId4" Type="http://schemas.openxmlformats.org/officeDocument/2006/relationships/customXml" Target="../ink/ink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hyperlink" Target="#TOC!A1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hyperlink" Target="#TOC!A1"/></Relationships>
</file>

<file path=xl/drawings/_rels/drawing8.xml.rels><?xml version="1.0" encoding="UTF-8" standalone="yes"?>
<Relationships xmlns="http://schemas.openxmlformats.org/package/2006/relationships"><Relationship Id="rId117" Type="http://schemas.openxmlformats.org/officeDocument/2006/relationships/customXml" Target="../ink/ink58.xml"/><Relationship Id="rId21" Type="http://schemas.openxmlformats.org/officeDocument/2006/relationships/customXml" Target="../ink/ink10.xml"/><Relationship Id="rId42" Type="http://schemas.openxmlformats.org/officeDocument/2006/relationships/image" Target="../media/image23.png"/><Relationship Id="rId63" Type="http://schemas.openxmlformats.org/officeDocument/2006/relationships/customXml" Target="../ink/ink31.xml"/><Relationship Id="rId84" Type="http://schemas.openxmlformats.org/officeDocument/2006/relationships/image" Target="../media/image44.png"/><Relationship Id="rId138" Type="http://schemas.openxmlformats.org/officeDocument/2006/relationships/image" Target="../media/image71.png"/><Relationship Id="rId107" Type="http://schemas.openxmlformats.org/officeDocument/2006/relationships/customXml" Target="../ink/ink53.xml"/><Relationship Id="rId11" Type="http://schemas.openxmlformats.org/officeDocument/2006/relationships/customXml" Target="../ink/ink5.xml"/><Relationship Id="rId32" Type="http://schemas.openxmlformats.org/officeDocument/2006/relationships/image" Target="../media/image18.png"/><Relationship Id="rId53" Type="http://schemas.openxmlformats.org/officeDocument/2006/relationships/customXml" Target="../ink/ink26.xml"/><Relationship Id="rId74" Type="http://schemas.openxmlformats.org/officeDocument/2006/relationships/image" Target="../media/image39.png"/><Relationship Id="rId128" Type="http://schemas.openxmlformats.org/officeDocument/2006/relationships/image" Target="../media/image66.png"/><Relationship Id="rId149" Type="http://schemas.openxmlformats.org/officeDocument/2006/relationships/customXml" Target="../ink/ink74.xml"/><Relationship Id="rId5" Type="http://schemas.openxmlformats.org/officeDocument/2006/relationships/image" Target="../media/image5.png"/><Relationship Id="rId95" Type="http://schemas.openxmlformats.org/officeDocument/2006/relationships/customXml" Target="../ink/ink47.xml"/><Relationship Id="rId22" Type="http://schemas.openxmlformats.org/officeDocument/2006/relationships/image" Target="../media/image13.png"/><Relationship Id="rId27" Type="http://schemas.openxmlformats.org/officeDocument/2006/relationships/customXml" Target="../ink/ink13.xml"/><Relationship Id="rId43" Type="http://schemas.openxmlformats.org/officeDocument/2006/relationships/customXml" Target="../ink/ink21.xml"/><Relationship Id="rId48" Type="http://schemas.openxmlformats.org/officeDocument/2006/relationships/image" Target="../media/image26.png"/><Relationship Id="rId64" Type="http://schemas.openxmlformats.org/officeDocument/2006/relationships/image" Target="../media/image34.png"/><Relationship Id="rId69" Type="http://schemas.openxmlformats.org/officeDocument/2006/relationships/customXml" Target="../ink/ink34.xml"/><Relationship Id="rId113" Type="http://schemas.openxmlformats.org/officeDocument/2006/relationships/customXml" Target="../ink/ink56.xml"/><Relationship Id="rId118" Type="http://schemas.openxmlformats.org/officeDocument/2006/relationships/image" Target="../media/image61.png"/><Relationship Id="rId134" Type="http://schemas.openxmlformats.org/officeDocument/2006/relationships/image" Target="../media/image69.png"/><Relationship Id="rId139" Type="http://schemas.openxmlformats.org/officeDocument/2006/relationships/customXml" Target="../ink/ink69.xml"/><Relationship Id="rId80" Type="http://schemas.openxmlformats.org/officeDocument/2006/relationships/image" Target="../media/image42.png"/><Relationship Id="rId85" Type="http://schemas.openxmlformats.org/officeDocument/2006/relationships/customXml" Target="../ink/ink42.xml"/><Relationship Id="rId150" Type="http://schemas.openxmlformats.org/officeDocument/2006/relationships/image" Target="../media/image77.png"/><Relationship Id="rId12" Type="http://schemas.openxmlformats.org/officeDocument/2006/relationships/image" Target="../media/image8.png"/><Relationship Id="rId17" Type="http://schemas.openxmlformats.org/officeDocument/2006/relationships/customXml" Target="../ink/ink8.xml"/><Relationship Id="rId33" Type="http://schemas.openxmlformats.org/officeDocument/2006/relationships/customXml" Target="../ink/ink16.xml"/><Relationship Id="rId38" Type="http://schemas.openxmlformats.org/officeDocument/2006/relationships/image" Target="../media/image21.png"/><Relationship Id="rId59" Type="http://schemas.openxmlformats.org/officeDocument/2006/relationships/customXml" Target="../ink/ink29.xml"/><Relationship Id="rId103" Type="http://schemas.openxmlformats.org/officeDocument/2006/relationships/customXml" Target="../ink/ink51.xml"/><Relationship Id="rId108" Type="http://schemas.openxmlformats.org/officeDocument/2006/relationships/image" Target="../media/image56.png"/><Relationship Id="rId124" Type="http://schemas.openxmlformats.org/officeDocument/2006/relationships/image" Target="../media/image64.png"/><Relationship Id="rId129" Type="http://schemas.openxmlformats.org/officeDocument/2006/relationships/customXml" Target="../ink/ink64.xml"/><Relationship Id="rId54" Type="http://schemas.openxmlformats.org/officeDocument/2006/relationships/image" Target="../media/image29.png"/><Relationship Id="rId70" Type="http://schemas.openxmlformats.org/officeDocument/2006/relationships/image" Target="../media/image37.png"/><Relationship Id="rId75" Type="http://schemas.openxmlformats.org/officeDocument/2006/relationships/customXml" Target="../ink/ink37.xml"/><Relationship Id="rId91" Type="http://schemas.openxmlformats.org/officeDocument/2006/relationships/customXml" Target="../ink/ink45.xml"/><Relationship Id="rId96" Type="http://schemas.openxmlformats.org/officeDocument/2006/relationships/image" Target="../media/image50.png"/><Relationship Id="rId140" Type="http://schemas.openxmlformats.org/officeDocument/2006/relationships/image" Target="../media/image72.png"/><Relationship Id="rId145" Type="http://schemas.openxmlformats.org/officeDocument/2006/relationships/customXml" Target="../ink/ink72.xml"/><Relationship Id="rId1" Type="http://schemas.openxmlformats.org/officeDocument/2006/relationships/hyperlink" Target="#TOC!A1"/><Relationship Id="rId6" Type="http://schemas.openxmlformats.org/officeDocument/2006/relationships/chart" Target="../charts/chart3.xml"/><Relationship Id="rId23" Type="http://schemas.openxmlformats.org/officeDocument/2006/relationships/customXml" Target="../ink/ink11.xml"/><Relationship Id="rId28" Type="http://schemas.openxmlformats.org/officeDocument/2006/relationships/image" Target="../media/image16.png"/><Relationship Id="rId49" Type="http://schemas.openxmlformats.org/officeDocument/2006/relationships/customXml" Target="../ink/ink24.xml"/><Relationship Id="rId114" Type="http://schemas.openxmlformats.org/officeDocument/2006/relationships/image" Target="../media/image59.png"/><Relationship Id="rId119" Type="http://schemas.openxmlformats.org/officeDocument/2006/relationships/customXml" Target="../ink/ink59.xml"/><Relationship Id="rId44" Type="http://schemas.openxmlformats.org/officeDocument/2006/relationships/image" Target="../media/image24.png"/><Relationship Id="rId60" Type="http://schemas.openxmlformats.org/officeDocument/2006/relationships/image" Target="../media/image32.png"/><Relationship Id="rId65" Type="http://schemas.openxmlformats.org/officeDocument/2006/relationships/customXml" Target="../ink/ink32.xml"/><Relationship Id="rId81" Type="http://schemas.openxmlformats.org/officeDocument/2006/relationships/customXml" Target="../ink/ink40.xml"/><Relationship Id="rId86" Type="http://schemas.openxmlformats.org/officeDocument/2006/relationships/image" Target="../media/image45.png"/><Relationship Id="rId130" Type="http://schemas.openxmlformats.org/officeDocument/2006/relationships/image" Target="../media/image67.png"/><Relationship Id="rId135" Type="http://schemas.openxmlformats.org/officeDocument/2006/relationships/customXml" Target="../ink/ink67.xml"/><Relationship Id="rId151" Type="http://schemas.openxmlformats.org/officeDocument/2006/relationships/customXml" Target="../ink/ink75.xml"/><Relationship Id="rId13" Type="http://schemas.openxmlformats.org/officeDocument/2006/relationships/customXml" Target="../ink/ink6.xml"/><Relationship Id="rId18" Type="http://schemas.openxmlformats.org/officeDocument/2006/relationships/image" Target="../media/image11.png"/><Relationship Id="rId39" Type="http://schemas.openxmlformats.org/officeDocument/2006/relationships/customXml" Target="../ink/ink19.xml"/><Relationship Id="rId109" Type="http://schemas.openxmlformats.org/officeDocument/2006/relationships/customXml" Target="../ink/ink54.xml"/><Relationship Id="rId34" Type="http://schemas.openxmlformats.org/officeDocument/2006/relationships/image" Target="../media/image19.png"/><Relationship Id="rId50" Type="http://schemas.openxmlformats.org/officeDocument/2006/relationships/image" Target="../media/image27.png"/><Relationship Id="rId55" Type="http://schemas.openxmlformats.org/officeDocument/2006/relationships/customXml" Target="../ink/ink27.xml"/><Relationship Id="rId76" Type="http://schemas.openxmlformats.org/officeDocument/2006/relationships/image" Target="../media/image40.png"/><Relationship Id="rId97" Type="http://schemas.openxmlformats.org/officeDocument/2006/relationships/customXml" Target="../ink/ink48.xml"/><Relationship Id="rId104" Type="http://schemas.openxmlformats.org/officeDocument/2006/relationships/image" Target="../media/image54.png"/><Relationship Id="rId120" Type="http://schemas.openxmlformats.org/officeDocument/2006/relationships/image" Target="../media/image62.png"/><Relationship Id="rId125" Type="http://schemas.openxmlformats.org/officeDocument/2006/relationships/customXml" Target="../ink/ink62.xml"/><Relationship Id="rId141" Type="http://schemas.openxmlformats.org/officeDocument/2006/relationships/customXml" Target="../ink/ink70.xml"/><Relationship Id="rId146" Type="http://schemas.openxmlformats.org/officeDocument/2006/relationships/image" Target="../media/image75.png"/><Relationship Id="rId7" Type="http://schemas.openxmlformats.org/officeDocument/2006/relationships/image" Target="../media/image6.png"/><Relationship Id="rId71" Type="http://schemas.openxmlformats.org/officeDocument/2006/relationships/customXml" Target="../ink/ink35.xml"/><Relationship Id="rId92" Type="http://schemas.openxmlformats.org/officeDocument/2006/relationships/image" Target="../media/image48.png"/><Relationship Id="rId2" Type="http://schemas.openxmlformats.org/officeDocument/2006/relationships/image" Target="../media/image3.png"/><Relationship Id="rId29" Type="http://schemas.openxmlformats.org/officeDocument/2006/relationships/customXml" Target="../ink/ink14.xml"/><Relationship Id="rId24" Type="http://schemas.openxmlformats.org/officeDocument/2006/relationships/image" Target="../media/image14.png"/><Relationship Id="rId40" Type="http://schemas.openxmlformats.org/officeDocument/2006/relationships/image" Target="../media/image22.png"/><Relationship Id="rId45" Type="http://schemas.openxmlformats.org/officeDocument/2006/relationships/customXml" Target="../ink/ink22.xml"/><Relationship Id="rId66" Type="http://schemas.openxmlformats.org/officeDocument/2006/relationships/image" Target="../media/image35.png"/><Relationship Id="rId87" Type="http://schemas.openxmlformats.org/officeDocument/2006/relationships/customXml" Target="../ink/ink43.xml"/><Relationship Id="rId110" Type="http://schemas.openxmlformats.org/officeDocument/2006/relationships/image" Target="../media/image57.png"/><Relationship Id="rId115" Type="http://schemas.openxmlformats.org/officeDocument/2006/relationships/customXml" Target="../ink/ink57.xml"/><Relationship Id="rId131" Type="http://schemas.openxmlformats.org/officeDocument/2006/relationships/customXml" Target="../ink/ink65.xml"/><Relationship Id="rId136" Type="http://schemas.openxmlformats.org/officeDocument/2006/relationships/image" Target="../media/image70.png"/><Relationship Id="rId61" Type="http://schemas.openxmlformats.org/officeDocument/2006/relationships/customXml" Target="../ink/ink30.xml"/><Relationship Id="rId82" Type="http://schemas.openxmlformats.org/officeDocument/2006/relationships/image" Target="../media/image43.png"/><Relationship Id="rId152" Type="http://schemas.openxmlformats.org/officeDocument/2006/relationships/image" Target="../media/image78.png"/><Relationship Id="rId19" Type="http://schemas.openxmlformats.org/officeDocument/2006/relationships/customXml" Target="../ink/ink9.xml"/><Relationship Id="rId14" Type="http://schemas.openxmlformats.org/officeDocument/2006/relationships/image" Target="../media/image9.png"/><Relationship Id="rId30" Type="http://schemas.openxmlformats.org/officeDocument/2006/relationships/image" Target="../media/image17.png"/><Relationship Id="rId35" Type="http://schemas.openxmlformats.org/officeDocument/2006/relationships/customXml" Target="../ink/ink17.xml"/><Relationship Id="rId56" Type="http://schemas.openxmlformats.org/officeDocument/2006/relationships/image" Target="../media/image30.png"/><Relationship Id="rId77" Type="http://schemas.openxmlformats.org/officeDocument/2006/relationships/customXml" Target="../ink/ink38.xml"/><Relationship Id="rId100" Type="http://schemas.openxmlformats.org/officeDocument/2006/relationships/image" Target="../media/image52.png"/><Relationship Id="rId105" Type="http://schemas.openxmlformats.org/officeDocument/2006/relationships/customXml" Target="../ink/ink52.xml"/><Relationship Id="rId126" Type="http://schemas.openxmlformats.org/officeDocument/2006/relationships/image" Target="../media/image65.png"/><Relationship Id="rId147" Type="http://schemas.openxmlformats.org/officeDocument/2006/relationships/customXml" Target="../ink/ink73.xml"/><Relationship Id="rId8" Type="http://schemas.openxmlformats.org/officeDocument/2006/relationships/chart" Target="../charts/chart4.xml"/><Relationship Id="rId51" Type="http://schemas.openxmlformats.org/officeDocument/2006/relationships/customXml" Target="../ink/ink25.xml"/><Relationship Id="rId72" Type="http://schemas.openxmlformats.org/officeDocument/2006/relationships/image" Target="../media/image38.png"/><Relationship Id="rId93" Type="http://schemas.openxmlformats.org/officeDocument/2006/relationships/customXml" Target="../ink/ink46.xml"/><Relationship Id="rId98" Type="http://schemas.openxmlformats.org/officeDocument/2006/relationships/image" Target="../media/image51.png"/><Relationship Id="rId121" Type="http://schemas.openxmlformats.org/officeDocument/2006/relationships/customXml" Target="../ink/ink60.xml"/><Relationship Id="rId142" Type="http://schemas.openxmlformats.org/officeDocument/2006/relationships/image" Target="../media/image73.png"/><Relationship Id="rId3" Type="http://schemas.openxmlformats.org/officeDocument/2006/relationships/image" Target="../media/image4.png"/><Relationship Id="rId25" Type="http://schemas.openxmlformats.org/officeDocument/2006/relationships/customXml" Target="../ink/ink12.xml"/><Relationship Id="rId46" Type="http://schemas.openxmlformats.org/officeDocument/2006/relationships/image" Target="../media/image25.png"/><Relationship Id="rId67" Type="http://schemas.openxmlformats.org/officeDocument/2006/relationships/customXml" Target="../ink/ink33.xml"/><Relationship Id="rId116" Type="http://schemas.openxmlformats.org/officeDocument/2006/relationships/image" Target="../media/image60.png"/><Relationship Id="rId137" Type="http://schemas.openxmlformats.org/officeDocument/2006/relationships/customXml" Target="../ink/ink68.xml"/><Relationship Id="rId20" Type="http://schemas.openxmlformats.org/officeDocument/2006/relationships/image" Target="../media/image12.png"/><Relationship Id="rId41" Type="http://schemas.openxmlformats.org/officeDocument/2006/relationships/customXml" Target="../ink/ink20.xml"/><Relationship Id="rId62" Type="http://schemas.openxmlformats.org/officeDocument/2006/relationships/image" Target="../media/image33.png"/><Relationship Id="rId83" Type="http://schemas.openxmlformats.org/officeDocument/2006/relationships/customXml" Target="../ink/ink41.xml"/><Relationship Id="rId88" Type="http://schemas.openxmlformats.org/officeDocument/2006/relationships/image" Target="../media/image46.png"/><Relationship Id="rId111" Type="http://schemas.openxmlformats.org/officeDocument/2006/relationships/customXml" Target="../ink/ink55.xml"/><Relationship Id="rId132" Type="http://schemas.openxmlformats.org/officeDocument/2006/relationships/image" Target="../media/image68.png"/><Relationship Id="rId153" Type="http://schemas.openxmlformats.org/officeDocument/2006/relationships/chart" Target="../charts/chart5.xml"/><Relationship Id="rId15" Type="http://schemas.openxmlformats.org/officeDocument/2006/relationships/customXml" Target="../ink/ink7.xml"/><Relationship Id="rId36" Type="http://schemas.openxmlformats.org/officeDocument/2006/relationships/image" Target="../media/image20.png"/><Relationship Id="rId57" Type="http://schemas.openxmlformats.org/officeDocument/2006/relationships/customXml" Target="../ink/ink28.xml"/><Relationship Id="rId106" Type="http://schemas.openxmlformats.org/officeDocument/2006/relationships/image" Target="../media/image55.png"/><Relationship Id="rId127" Type="http://schemas.openxmlformats.org/officeDocument/2006/relationships/customXml" Target="../ink/ink63.xml"/><Relationship Id="rId10" Type="http://schemas.openxmlformats.org/officeDocument/2006/relationships/image" Target="../media/image7.png"/><Relationship Id="rId31" Type="http://schemas.openxmlformats.org/officeDocument/2006/relationships/customXml" Target="../ink/ink15.xml"/><Relationship Id="rId52" Type="http://schemas.openxmlformats.org/officeDocument/2006/relationships/image" Target="../media/image28.png"/><Relationship Id="rId73" Type="http://schemas.openxmlformats.org/officeDocument/2006/relationships/customXml" Target="../ink/ink36.xml"/><Relationship Id="rId78" Type="http://schemas.openxmlformats.org/officeDocument/2006/relationships/image" Target="../media/image41.png"/><Relationship Id="rId94" Type="http://schemas.openxmlformats.org/officeDocument/2006/relationships/image" Target="../media/image49.png"/><Relationship Id="rId99" Type="http://schemas.openxmlformats.org/officeDocument/2006/relationships/customXml" Target="../ink/ink49.xml"/><Relationship Id="rId101" Type="http://schemas.openxmlformats.org/officeDocument/2006/relationships/customXml" Target="../ink/ink50.xml"/><Relationship Id="rId122" Type="http://schemas.openxmlformats.org/officeDocument/2006/relationships/image" Target="../media/image63.png"/><Relationship Id="rId143" Type="http://schemas.openxmlformats.org/officeDocument/2006/relationships/customXml" Target="../ink/ink71.xml"/><Relationship Id="rId148" Type="http://schemas.openxmlformats.org/officeDocument/2006/relationships/image" Target="../media/image76.png"/><Relationship Id="rId4" Type="http://schemas.openxmlformats.org/officeDocument/2006/relationships/chart" Target="../charts/chart2.xml"/><Relationship Id="rId9" Type="http://schemas.openxmlformats.org/officeDocument/2006/relationships/customXml" Target="../ink/ink4.xml"/><Relationship Id="rId26" Type="http://schemas.openxmlformats.org/officeDocument/2006/relationships/image" Target="../media/image15.png"/><Relationship Id="rId47" Type="http://schemas.openxmlformats.org/officeDocument/2006/relationships/customXml" Target="../ink/ink23.xml"/><Relationship Id="rId68" Type="http://schemas.openxmlformats.org/officeDocument/2006/relationships/image" Target="../media/image36.png"/><Relationship Id="rId89" Type="http://schemas.openxmlformats.org/officeDocument/2006/relationships/customXml" Target="../ink/ink44.xml"/><Relationship Id="rId112" Type="http://schemas.openxmlformats.org/officeDocument/2006/relationships/image" Target="../media/image58.png"/><Relationship Id="rId133" Type="http://schemas.openxmlformats.org/officeDocument/2006/relationships/customXml" Target="../ink/ink66.xml"/><Relationship Id="rId154" Type="http://schemas.openxmlformats.org/officeDocument/2006/relationships/chart" Target="../charts/chart6.xml"/><Relationship Id="rId16" Type="http://schemas.openxmlformats.org/officeDocument/2006/relationships/image" Target="../media/image10.png"/><Relationship Id="rId37" Type="http://schemas.openxmlformats.org/officeDocument/2006/relationships/customXml" Target="../ink/ink18.xml"/><Relationship Id="rId58" Type="http://schemas.openxmlformats.org/officeDocument/2006/relationships/image" Target="../media/image31.png"/><Relationship Id="rId79" Type="http://schemas.openxmlformats.org/officeDocument/2006/relationships/customXml" Target="../ink/ink39.xml"/><Relationship Id="rId102" Type="http://schemas.openxmlformats.org/officeDocument/2006/relationships/image" Target="../media/image53.png"/><Relationship Id="rId123" Type="http://schemas.openxmlformats.org/officeDocument/2006/relationships/customXml" Target="../ink/ink61.xml"/><Relationship Id="rId144" Type="http://schemas.openxmlformats.org/officeDocument/2006/relationships/image" Target="../media/image74.png"/><Relationship Id="rId90" Type="http://schemas.openxmlformats.org/officeDocument/2006/relationships/image" Target="../media/image47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hyperlink" Target="#TOC!A1"/><Relationship Id="rId4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hyperlink" Target="#TOC!A1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hyperlink" Target="#TOC!A1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3.xml"/><Relationship Id="rId1" Type="http://schemas.openxmlformats.org/officeDocument/2006/relationships/hyperlink" Target="#TOC!A1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hyperlink" Target="#TOC!A1"/><Relationship Id="rId4" Type="http://schemas.openxmlformats.org/officeDocument/2006/relationships/chart" Target="../charts/chart16.xml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.xml"/><Relationship Id="rId2" Type="http://schemas.openxmlformats.org/officeDocument/2006/relationships/chart" Target="../charts/chart17.xml"/><Relationship Id="rId1" Type="http://schemas.openxmlformats.org/officeDocument/2006/relationships/hyperlink" Target="#TOC!A1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9.xml"/><Relationship Id="rId1" Type="http://schemas.openxmlformats.org/officeDocument/2006/relationships/hyperlink" Target="#TOC!A1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1.xml"/><Relationship Id="rId2" Type="http://schemas.openxmlformats.org/officeDocument/2006/relationships/chart" Target="../charts/chart20.xml"/><Relationship Id="rId1" Type="http://schemas.openxmlformats.org/officeDocument/2006/relationships/hyperlink" Target="#TOC!A1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hyperlink" Target="#TOC!A1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hyperlink" Target="#TOC!A1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79.png"/><Relationship Id="rId1" Type="http://schemas.openxmlformats.org/officeDocument/2006/relationships/hyperlink" Target="#TOC!A1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hyperlink" Target="#TOC!A1"/><Relationship Id="rId2" Type="http://schemas.openxmlformats.org/officeDocument/2006/relationships/chart" Target="../charts/chart23.xml"/><Relationship Id="rId1" Type="http://schemas.openxmlformats.org/officeDocument/2006/relationships/chart" Target="../charts/chart22.xml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hyperlink" Target="#TOC!A1"/><Relationship Id="rId2" Type="http://schemas.openxmlformats.org/officeDocument/2006/relationships/chart" Target="../charts/chart25.xml"/><Relationship Id="rId1" Type="http://schemas.openxmlformats.org/officeDocument/2006/relationships/chart" Target="../charts/chart24.xml"/><Relationship Id="rId4" Type="http://schemas.openxmlformats.org/officeDocument/2006/relationships/chart" Target="../charts/chart26.xml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hyperlink" Target="#TOC!A1"/><Relationship Id="rId2" Type="http://schemas.openxmlformats.org/officeDocument/2006/relationships/chart" Target="../charts/chart28.xml"/><Relationship Id="rId1" Type="http://schemas.openxmlformats.org/officeDocument/2006/relationships/chart" Target="../charts/chart27.xml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hyperlink" Target="#TOC!A1"/></Relationships>
</file>

<file path=xl/drawings/_rels/drawing24.xml.rels><?xml version="1.0" encoding="UTF-8" standalone="yes"?>
<Relationships xmlns="http://schemas.openxmlformats.org/package/2006/relationships"><Relationship Id="rId3" Type="http://schemas.openxmlformats.org/officeDocument/2006/relationships/hyperlink" Target="#TOC!A1"/><Relationship Id="rId2" Type="http://schemas.openxmlformats.org/officeDocument/2006/relationships/chart" Target="../charts/chart30.xml"/><Relationship Id="rId1" Type="http://schemas.openxmlformats.org/officeDocument/2006/relationships/chart" Target="../charts/chart29.xml"/><Relationship Id="rId4" Type="http://schemas.openxmlformats.org/officeDocument/2006/relationships/chart" Target="../charts/chart31.xml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hyperlink" Target="#TOC!A1"/><Relationship Id="rId1" Type="http://schemas.openxmlformats.org/officeDocument/2006/relationships/chart" Target="../charts/chart32.xml"/></Relationships>
</file>

<file path=xl/drawings/_rels/drawing26.xml.rels><?xml version="1.0" encoding="UTF-8" standalone="yes"?>
<Relationships xmlns="http://schemas.openxmlformats.org/package/2006/relationships"><Relationship Id="rId3" Type="http://schemas.openxmlformats.org/officeDocument/2006/relationships/image" Target="../media/image80.png"/><Relationship Id="rId2" Type="http://schemas.openxmlformats.org/officeDocument/2006/relationships/chart" Target="../charts/chart33.xml"/><Relationship Id="rId1" Type="http://schemas.openxmlformats.org/officeDocument/2006/relationships/hyperlink" Target="#TOC!A1"/><Relationship Id="rId5" Type="http://schemas.openxmlformats.org/officeDocument/2006/relationships/image" Target="../media/image82.png"/><Relationship Id="rId4" Type="http://schemas.openxmlformats.org/officeDocument/2006/relationships/image" Target="../media/image81.png"/></Relationships>
</file>

<file path=xl/drawings/_rels/drawing2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5.xml"/><Relationship Id="rId2" Type="http://schemas.openxmlformats.org/officeDocument/2006/relationships/chart" Target="../charts/chart34.xml"/><Relationship Id="rId1" Type="http://schemas.openxmlformats.org/officeDocument/2006/relationships/hyperlink" Target="#TOC!A1"/><Relationship Id="rId5" Type="http://schemas.openxmlformats.org/officeDocument/2006/relationships/chart" Target="../charts/chart36.xml"/><Relationship Id="rId4" Type="http://schemas.openxmlformats.org/officeDocument/2006/relationships/image" Target="../media/image83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hyperlink" Target="#TOC!A1"/></Relationships>
</file>

<file path=xl/drawings/_rels/drawing29.xml.rels><?xml version="1.0" encoding="UTF-8" standalone="yes"?>
<Relationships xmlns="http://schemas.openxmlformats.org/package/2006/relationships"><Relationship Id="rId8" Type="http://schemas.openxmlformats.org/officeDocument/2006/relationships/image" Target="../media/image90.png"/><Relationship Id="rId3" Type="http://schemas.openxmlformats.org/officeDocument/2006/relationships/image" Target="../media/image85.png"/><Relationship Id="rId7" Type="http://schemas.openxmlformats.org/officeDocument/2006/relationships/image" Target="../media/image89.png"/><Relationship Id="rId2" Type="http://schemas.openxmlformats.org/officeDocument/2006/relationships/image" Target="../media/image84.png"/><Relationship Id="rId1" Type="http://schemas.openxmlformats.org/officeDocument/2006/relationships/hyperlink" Target="#TOC!A1"/><Relationship Id="rId6" Type="http://schemas.openxmlformats.org/officeDocument/2006/relationships/image" Target="../media/image88.png"/><Relationship Id="rId5" Type="http://schemas.openxmlformats.org/officeDocument/2006/relationships/image" Target="../media/image87.png"/><Relationship Id="rId4" Type="http://schemas.openxmlformats.org/officeDocument/2006/relationships/image" Target="../media/image86.png"/></Relationships>
</file>

<file path=xl/drawings/_rels/drawing30.xml.rels><?xml version="1.0" encoding="UTF-8" standalone="yes"?>
<Relationships xmlns="http://schemas.openxmlformats.org/package/2006/relationships"><Relationship Id="rId3" Type="http://schemas.openxmlformats.org/officeDocument/2006/relationships/image" Target="../media/image92.png"/><Relationship Id="rId2" Type="http://schemas.openxmlformats.org/officeDocument/2006/relationships/image" Target="../media/image91.png"/><Relationship Id="rId1" Type="http://schemas.openxmlformats.org/officeDocument/2006/relationships/hyperlink" Target="#TOC!A1"/><Relationship Id="rId4" Type="http://schemas.openxmlformats.org/officeDocument/2006/relationships/chart" Target="../charts/chart3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580830</xdr:colOff>
      <xdr:row>29</xdr:row>
      <xdr:rowOff>180840</xdr:rowOff>
    </xdr:from>
    <xdr:to>
      <xdr:col>8</xdr:col>
      <xdr:colOff>589995</xdr:colOff>
      <xdr:row>30</xdr:row>
      <xdr:rowOff>9030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3" name="Freihand 2">
              <a:extLst>
                <a:ext uri="{FF2B5EF4-FFF2-40B4-BE49-F238E27FC236}">
                  <a16:creationId xmlns:a16="http://schemas.microsoft.com/office/drawing/2014/main" id="{F7F91517-43B1-A913-E033-725AB519DB55}"/>
                </a:ext>
              </a:extLst>
            </xdr14:cNvPr>
            <xdr14:cNvContentPartPr/>
          </xdr14:nvContentPartPr>
          <xdr14:nvPr macro=""/>
          <xdr14:xfrm>
            <a:off x="16449480" y="5514840"/>
            <a:ext cx="360" cy="360"/>
          </xdr14:xfrm>
        </xdr:contentPart>
      </mc:Choice>
      <mc:Fallback xmlns="">
        <xdr:pic>
          <xdr:nvPicPr>
            <xdr:cNvPr id="3" name="Freihand 2">
              <a:extLst>
                <a:ext uri="{FF2B5EF4-FFF2-40B4-BE49-F238E27FC236}">
                  <a16:creationId xmlns:a16="http://schemas.microsoft.com/office/drawing/2014/main" id="{F7F91517-43B1-A913-E033-725AB519DB55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6440480" y="55062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549286</xdr:colOff>
      <xdr:row>28</xdr:row>
      <xdr:rowOff>21980</xdr:rowOff>
    </xdr:from>
    <xdr:to>
      <xdr:col>13</xdr:col>
      <xdr:colOff>239877</xdr:colOff>
      <xdr:row>39</xdr:row>
      <xdr:rowOff>209550</xdr:rowOff>
    </xdr:to>
    <xdr:grpSp>
      <xdr:nvGrpSpPr>
        <xdr:cNvPr id="2" name="Gruppieren 1">
          <a:extLst>
            <a:ext uri="{FF2B5EF4-FFF2-40B4-BE49-F238E27FC236}">
              <a16:creationId xmlns:a16="http://schemas.microsoft.com/office/drawing/2014/main" id="{EBF133FE-860D-4D28-B08E-6CED0F28F119}"/>
            </a:ext>
          </a:extLst>
        </xdr:cNvPr>
        <xdr:cNvGrpSpPr/>
      </xdr:nvGrpSpPr>
      <xdr:grpSpPr>
        <a:xfrm>
          <a:off x="9693286" y="9951793"/>
          <a:ext cx="452591" cy="5164382"/>
          <a:chOff x="8934450" y="3259336"/>
          <a:chExt cx="459441" cy="1970228"/>
        </a:xfrm>
      </xdr:grpSpPr>
      <xdr:sp macro="" textlink="">
        <xdr:nvSpPr>
          <xdr:cNvPr id="3" name="Rechteck 2">
            <a:extLst>
              <a:ext uri="{FF2B5EF4-FFF2-40B4-BE49-F238E27FC236}">
                <a16:creationId xmlns:a16="http://schemas.microsoft.com/office/drawing/2014/main" id="{DF3BEF80-F1B3-DFD6-A723-505B8F967B7D}"/>
              </a:ext>
            </a:extLst>
          </xdr:cNvPr>
          <xdr:cNvSpPr/>
        </xdr:nvSpPr>
        <xdr:spPr>
          <a:xfrm>
            <a:off x="8967341" y="3670765"/>
            <a:ext cx="371475" cy="1076325"/>
          </a:xfrm>
          <a:prstGeom prst="rect">
            <a:avLst/>
          </a:prstGeom>
          <a:noFill/>
          <a:ln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  <xdr:cxnSp macro="">
        <xdr:nvCxnSpPr>
          <xdr:cNvPr id="4" name="Gerader Verbinder 3">
            <a:extLst>
              <a:ext uri="{FF2B5EF4-FFF2-40B4-BE49-F238E27FC236}">
                <a16:creationId xmlns:a16="http://schemas.microsoft.com/office/drawing/2014/main" id="{E7C71A7B-A51A-E75C-EF31-E32C24299608}"/>
              </a:ext>
            </a:extLst>
          </xdr:cNvPr>
          <xdr:cNvCxnSpPr>
            <a:cxnSpLocks/>
            <a:endCxn id="3" idx="0"/>
          </xdr:cNvCxnSpPr>
        </xdr:nvCxnSpPr>
        <xdr:spPr>
          <a:xfrm flipH="1">
            <a:off x="9153078" y="3259336"/>
            <a:ext cx="6321" cy="411429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5" name="Gerader Verbinder 4">
            <a:extLst>
              <a:ext uri="{FF2B5EF4-FFF2-40B4-BE49-F238E27FC236}">
                <a16:creationId xmlns:a16="http://schemas.microsoft.com/office/drawing/2014/main" id="{E9590CEF-4970-F734-D0BC-2685B40E2FC6}"/>
              </a:ext>
            </a:extLst>
          </xdr:cNvPr>
          <xdr:cNvCxnSpPr>
            <a:stCxn id="3" idx="2"/>
          </xdr:cNvCxnSpPr>
        </xdr:nvCxnSpPr>
        <xdr:spPr>
          <a:xfrm flipH="1">
            <a:off x="9150437" y="4747090"/>
            <a:ext cx="2642" cy="482474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6" name="Textfeld 5">
            <a:extLst>
              <a:ext uri="{FF2B5EF4-FFF2-40B4-BE49-F238E27FC236}">
                <a16:creationId xmlns:a16="http://schemas.microsoft.com/office/drawing/2014/main" id="{50974423-1BE8-8189-E587-1AFA6C006CB0}"/>
              </a:ext>
            </a:extLst>
          </xdr:cNvPr>
          <xdr:cNvSpPr txBox="1"/>
        </xdr:nvSpPr>
        <xdr:spPr>
          <a:xfrm>
            <a:off x="8934450" y="4010025"/>
            <a:ext cx="459441" cy="43370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de-CH" sz="2400"/>
              <a:t>R</a:t>
            </a:r>
            <a:r>
              <a:rPr lang="de-CH" sz="2400" baseline="-25000"/>
              <a:t>1</a:t>
            </a:r>
          </a:p>
        </xdr:txBody>
      </xdr:sp>
    </xdr:grpSp>
    <xdr:clientData/>
  </xdr:twoCellAnchor>
  <xdr:twoCellAnchor>
    <xdr:from>
      <xdr:col>13</xdr:col>
      <xdr:colOff>358771</xdr:colOff>
      <xdr:row>16</xdr:row>
      <xdr:rowOff>38099</xdr:rowOff>
    </xdr:from>
    <xdr:to>
      <xdr:col>14</xdr:col>
      <xdr:colOff>52537</xdr:colOff>
      <xdr:row>28</xdr:row>
      <xdr:rowOff>3173</xdr:rowOff>
    </xdr:to>
    <xdr:grpSp>
      <xdr:nvGrpSpPr>
        <xdr:cNvPr id="7" name="Gruppieren 6">
          <a:extLst>
            <a:ext uri="{FF2B5EF4-FFF2-40B4-BE49-F238E27FC236}">
              <a16:creationId xmlns:a16="http://schemas.microsoft.com/office/drawing/2014/main" id="{A79048F7-337A-4674-A6C1-F9C09DF2FA02}"/>
            </a:ext>
          </a:extLst>
        </xdr:cNvPr>
        <xdr:cNvGrpSpPr/>
      </xdr:nvGrpSpPr>
      <xdr:grpSpPr>
        <a:xfrm>
          <a:off x="10264771" y="4538662"/>
          <a:ext cx="455766" cy="5394324"/>
          <a:chOff x="8934450" y="3310662"/>
          <a:chExt cx="463177" cy="2140980"/>
        </a:xfrm>
      </xdr:grpSpPr>
      <xdr:sp macro="" textlink="">
        <xdr:nvSpPr>
          <xdr:cNvPr id="8" name="Rechteck 7">
            <a:extLst>
              <a:ext uri="{FF2B5EF4-FFF2-40B4-BE49-F238E27FC236}">
                <a16:creationId xmlns:a16="http://schemas.microsoft.com/office/drawing/2014/main" id="{ED231C22-1BCF-D7DA-D9F4-AC20BDEABDA9}"/>
              </a:ext>
            </a:extLst>
          </xdr:cNvPr>
          <xdr:cNvSpPr/>
        </xdr:nvSpPr>
        <xdr:spPr>
          <a:xfrm>
            <a:off x="8959850" y="3778250"/>
            <a:ext cx="371475" cy="1076325"/>
          </a:xfrm>
          <a:prstGeom prst="rect">
            <a:avLst/>
          </a:prstGeom>
          <a:noFill/>
          <a:ln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  <xdr:cxnSp macro="">
        <xdr:nvCxnSpPr>
          <xdr:cNvPr id="9" name="Gerader Verbinder 8">
            <a:extLst>
              <a:ext uri="{FF2B5EF4-FFF2-40B4-BE49-F238E27FC236}">
                <a16:creationId xmlns:a16="http://schemas.microsoft.com/office/drawing/2014/main" id="{B99E180E-5CBD-BCB3-A726-B6155E4C2993}"/>
              </a:ext>
            </a:extLst>
          </xdr:cNvPr>
          <xdr:cNvCxnSpPr>
            <a:endCxn id="8" idx="0"/>
          </xdr:cNvCxnSpPr>
        </xdr:nvCxnSpPr>
        <xdr:spPr>
          <a:xfrm flipH="1">
            <a:off x="9145588" y="3310662"/>
            <a:ext cx="3302" cy="467588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10" name="Gerader Verbinder 9">
            <a:extLst>
              <a:ext uri="{FF2B5EF4-FFF2-40B4-BE49-F238E27FC236}">
                <a16:creationId xmlns:a16="http://schemas.microsoft.com/office/drawing/2014/main" id="{9C52A77B-9473-ADEE-7034-70AE487339C1}"/>
              </a:ext>
            </a:extLst>
          </xdr:cNvPr>
          <xdr:cNvCxnSpPr>
            <a:stCxn id="8" idx="2"/>
          </xdr:cNvCxnSpPr>
        </xdr:nvCxnSpPr>
        <xdr:spPr>
          <a:xfrm>
            <a:off x="9145588" y="4854576"/>
            <a:ext cx="1587" cy="597066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11" name="Textfeld 10">
            <a:extLst>
              <a:ext uri="{FF2B5EF4-FFF2-40B4-BE49-F238E27FC236}">
                <a16:creationId xmlns:a16="http://schemas.microsoft.com/office/drawing/2014/main" id="{3B168DC5-E72A-039F-8EED-B4BB736DC50F}"/>
              </a:ext>
            </a:extLst>
          </xdr:cNvPr>
          <xdr:cNvSpPr txBox="1"/>
        </xdr:nvSpPr>
        <xdr:spPr>
          <a:xfrm>
            <a:off x="8934450" y="4010025"/>
            <a:ext cx="463177" cy="41931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de-CH" sz="2400"/>
              <a:t>R</a:t>
            </a:r>
            <a:r>
              <a:rPr lang="de-CH" sz="2400" baseline="-25000"/>
              <a:t>3</a:t>
            </a:r>
          </a:p>
        </xdr:txBody>
      </xdr:sp>
    </xdr:grpSp>
    <xdr:clientData/>
  </xdr:twoCellAnchor>
  <xdr:twoCellAnchor>
    <xdr:from>
      <xdr:col>12</xdr:col>
      <xdr:colOff>171450</xdr:colOff>
      <xdr:row>16</xdr:row>
      <xdr:rowOff>30080</xdr:rowOff>
    </xdr:from>
    <xdr:to>
      <xdr:col>12</xdr:col>
      <xdr:colOff>627216</xdr:colOff>
      <xdr:row>28</xdr:row>
      <xdr:rowOff>9525</xdr:rowOff>
    </xdr:to>
    <xdr:grpSp>
      <xdr:nvGrpSpPr>
        <xdr:cNvPr id="12" name="Gruppieren 11">
          <a:extLst>
            <a:ext uri="{FF2B5EF4-FFF2-40B4-BE49-F238E27FC236}">
              <a16:creationId xmlns:a16="http://schemas.microsoft.com/office/drawing/2014/main" id="{B4FC2871-D2E3-48D0-BD58-25E259A697C7}"/>
            </a:ext>
          </a:extLst>
        </xdr:cNvPr>
        <xdr:cNvGrpSpPr/>
      </xdr:nvGrpSpPr>
      <xdr:grpSpPr>
        <a:xfrm>
          <a:off x="9315450" y="4530643"/>
          <a:ext cx="455766" cy="5408695"/>
          <a:chOff x="8934450" y="3378101"/>
          <a:chExt cx="455766" cy="2073541"/>
        </a:xfrm>
      </xdr:grpSpPr>
      <xdr:sp macro="" textlink="">
        <xdr:nvSpPr>
          <xdr:cNvPr id="13" name="Rechteck 12">
            <a:extLst>
              <a:ext uri="{FF2B5EF4-FFF2-40B4-BE49-F238E27FC236}">
                <a16:creationId xmlns:a16="http://schemas.microsoft.com/office/drawing/2014/main" id="{FF4EF893-0937-9B4B-E98F-7C2674F86BF3}"/>
              </a:ext>
            </a:extLst>
          </xdr:cNvPr>
          <xdr:cNvSpPr/>
        </xdr:nvSpPr>
        <xdr:spPr>
          <a:xfrm>
            <a:off x="8959850" y="3778250"/>
            <a:ext cx="371475" cy="1076325"/>
          </a:xfrm>
          <a:prstGeom prst="rect">
            <a:avLst/>
          </a:prstGeom>
          <a:noFill/>
          <a:ln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  <xdr:cxnSp macro="">
        <xdr:nvCxnSpPr>
          <xdr:cNvPr id="14" name="Gerader Verbinder 13">
            <a:extLst>
              <a:ext uri="{FF2B5EF4-FFF2-40B4-BE49-F238E27FC236}">
                <a16:creationId xmlns:a16="http://schemas.microsoft.com/office/drawing/2014/main" id="{A8063904-EE42-D2A4-629C-303FEA385E5E}"/>
              </a:ext>
            </a:extLst>
          </xdr:cNvPr>
          <xdr:cNvCxnSpPr>
            <a:endCxn id="13" idx="0"/>
          </xdr:cNvCxnSpPr>
        </xdr:nvCxnSpPr>
        <xdr:spPr>
          <a:xfrm>
            <a:off x="9144000" y="3378101"/>
            <a:ext cx="1588" cy="400149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15" name="Gerader Verbinder 14">
            <a:extLst>
              <a:ext uri="{FF2B5EF4-FFF2-40B4-BE49-F238E27FC236}">
                <a16:creationId xmlns:a16="http://schemas.microsoft.com/office/drawing/2014/main" id="{A9470E4A-F282-3E7B-1D99-F56746FB9004}"/>
              </a:ext>
            </a:extLst>
          </xdr:cNvPr>
          <xdr:cNvCxnSpPr>
            <a:stCxn id="13" idx="2"/>
          </xdr:cNvCxnSpPr>
        </xdr:nvCxnSpPr>
        <xdr:spPr>
          <a:xfrm>
            <a:off x="9145588" y="4854576"/>
            <a:ext cx="1587" cy="597066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16" name="Textfeld 15">
            <a:extLst>
              <a:ext uri="{FF2B5EF4-FFF2-40B4-BE49-F238E27FC236}">
                <a16:creationId xmlns:a16="http://schemas.microsoft.com/office/drawing/2014/main" id="{DDA33CF5-86BE-DFC4-1FC8-9145AF0E2ECB}"/>
              </a:ext>
            </a:extLst>
          </xdr:cNvPr>
          <xdr:cNvSpPr txBox="1"/>
        </xdr:nvSpPr>
        <xdr:spPr>
          <a:xfrm>
            <a:off x="8934450" y="4010025"/>
            <a:ext cx="455766" cy="414334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de-CH" sz="2400"/>
              <a:t>R</a:t>
            </a:r>
            <a:r>
              <a:rPr lang="de-CH" sz="2400" baseline="-25000"/>
              <a:t>2</a:t>
            </a:r>
          </a:p>
        </xdr:txBody>
      </xdr:sp>
    </xdr:grpSp>
    <xdr:clientData/>
  </xdr:twoCellAnchor>
  <xdr:twoCellAnchor>
    <xdr:from>
      <xdr:col>9</xdr:col>
      <xdr:colOff>533400</xdr:colOff>
      <xdr:row>16</xdr:row>
      <xdr:rowOff>11258</xdr:rowOff>
    </xdr:from>
    <xdr:to>
      <xdr:col>10</xdr:col>
      <xdr:colOff>227166</xdr:colOff>
      <xdr:row>39</xdr:row>
      <xdr:rowOff>183173</xdr:rowOff>
    </xdr:to>
    <xdr:grpSp>
      <xdr:nvGrpSpPr>
        <xdr:cNvPr id="17" name="Gruppieren 16">
          <a:extLst>
            <a:ext uri="{FF2B5EF4-FFF2-40B4-BE49-F238E27FC236}">
              <a16:creationId xmlns:a16="http://schemas.microsoft.com/office/drawing/2014/main" id="{FD4B0B1A-CD6E-44B0-9E83-A07CBCFF65F9}"/>
            </a:ext>
          </a:extLst>
        </xdr:cNvPr>
        <xdr:cNvGrpSpPr/>
      </xdr:nvGrpSpPr>
      <xdr:grpSpPr>
        <a:xfrm>
          <a:off x="7391400" y="4511821"/>
          <a:ext cx="455766" cy="10577977"/>
          <a:chOff x="8934450" y="1116547"/>
          <a:chExt cx="455766" cy="4229676"/>
        </a:xfrm>
      </xdr:grpSpPr>
      <xdr:cxnSp macro="">
        <xdr:nvCxnSpPr>
          <xdr:cNvPr id="18" name="Gerader Verbinder 17">
            <a:extLst>
              <a:ext uri="{FF2B5EF4-FFF2-40B4-BE49-F238E27FC236}">
                <a16:creationId xmlns:a16="http://schemas.microsoft.com/office/drawing/2014/main" id="{B484F7FD-7F94-1366-C86D-054741EC4E02}"/>
              </a:ext>
            </a:extLst>
          </xdr:cNvPr>
          <xdr:cNvCxnSpPr>
            <a:endCxn id="21" idx="0"/>
          </xdr:cNvCxnSpPr>
        </xdr:nvCxnSpPr>
        <xdr:spPr>
          <a:xfrm flipH="1">
            <a:off x="9196877" y="1116547"/>
            <a:ext cx="16396" cy="2593546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19" name="Gerader Verbinder 18">
            <a:extLst>
              <a:ext uri="{FF2B5EF4-FFF2-40B4-BE49-F238E27FC236}">
                <a16:creationId xmlns:a16="http://schemas.microsoft.com/office/drawing/2014/main" id="{37267849-3548-8918-009F-7E90E6A230BF}"/>
              </a:ext>
            </a:extLst>
          </xdr:cNvPr>
          <xdr:cNvCxnSpPr>
            <a:stCxn id="21" idx="2"/>
          </xdr:cNvCxnSpPr>
        </xdr:nvCxnSpPr>
        <xdr:spPr>
          <a:xfrm>
            <a:off x="9196877" y="4786418"/>
            <a:ext cx="2808" cy="559805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20" name="Textfeld 19">
            <a:extLst>
              <a:ext uri="{FF2B5EF4-FFF2-40B4-BE49-F238E27FC236}">
                <a16:creationId xmlns:a16="http://schemas.microsoft.com/office/drawing/2014/main" id="{5A9BCF20-6C9F-D51B-CBF1-DD6CB0753F42}"/>
              </a:ext>
            </a:extLst>
          </xdr:cNvPr>
          <xdr:cNvSpPr txBox="1"/>
        </xdr:nvSpPr>
        <xdr:spPr>
          <a:xfrm>
            <a:off x="8934450" y="4010025"/>
            <a:ext cx="455766" cy="42542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de-CH" sz="2400"/>
              <a:t>R</a:t>
            </a:r>
            <a:r>
              <a:rPr lang="de-CH" sz="2400" baseline="-25000"/>
              <a:t>4</a:t>
            </a:r>
          </a:p>
        </xdr:txBody>
      </xdr:sp>
      <xdr:sp macro="" textlink="">
        <xdr:nvSpPr>
          <xdr:cNvPr id="21" name="Rechteck 20">
            <a:extLst>
              <a:ext uri="{FF2B5EF4-FFF2-40B4-BE49-F238E27FC236}">
                <a16:creationId xmlns:a16="http://schemas.microsoft.com/office/drawing/2014/main" id="{65E38AFC-01A5-3151-D3D7-0788E58FB105}"/>
              </a:ext>
            </a:extLst>
          </xdr:cNvPr>
          <xdr:cNvSpPr/>
        </xdr:nvSpPr>
        <xdr:spPr>
          <a:xfrm>
            <a:off x="9011139" y="3710093"/>
            <a:ext cx="371475" cy="1076325"/>
          </a:xfrm>
          <a:prstGeom prst="rect">
            <a:avLst/>
          </a:prstGeom>
          <a:noFill/>
          <a:ln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</xdr:grpSp>
    <xdr:clientData/>
  </xdr:twoCellAnchor>
  <xdr:twoCellAnchor>
    <xdr:from>
      <xdr:col>10</xdr:col>
      <xdr:colOff>542925</xdr:colOff>
      <xdr:row>16</xdr:row>
      <xdr:rowOff>6350</xdr:rowOff>
    </xdr:from>
    <xdr:to>
      <xdr:col>11</xdr:col>
      <xdr:colOff>236691</xdr:colOff>
      <xdr:row>39</xdr:row>
      <xdr:rowOff>171449</xdr:rowOff>
    </xdr:to>
    <xdr:grpSp>
      <xdr:nvGrpSpPr>
        <xdr:cNvPr id="22" name="Gruppieren 21">
          <a:extLst>
            <a:ext uri="{FF2B5EF4-FFF2-40B4-BE49-F238E27FC236}">
              <a16:creationId xmlns:a16="http://schemas.microsoft.com/office/drawing/2014/main" id="{D3BC1670-F130-410A-8705-9C058D10F9B4}"/>
            </a:ext>
          </a:extLst>
        </xdr:cNvPr>
        <xdr:cNvGrpSpPr/>
      </xdr:nvGrpSpPr>
      <xdr:grpSpPr>
        <a:xfrm>
          <a:off x="8162925" y="4506913"/>
          <a:ext cx="455766" cy="10571161"/>
          <a:chOff x="8934450" y="1108047"/>
          <a:chExt cx="455766" cy="4343595"/>
        </a:xfrm>
      </xdr:grpSpPr>
      <xdr:sp macro="" textlink="">
        <xdr:nvSpPr>
          <xdr:cNvPr id="23" name="Rechteck 22">
            <a:extLst>
              <a:ext uri="{FF2B5EF4-FFF2-40B4-BE49-F238E27FC236}">
                <a16:creationId xmlns:a16="http://schemas.microsoft.com/office/drawing/2014/main" id="{A0CE0D65-2514-3D1D-91EB-C6EA91430D1F}"/>
              </a:ext>
            </a:extLst>
          </xdr:cNvPr>
          <xdr:cNvSpPr/>
        </xdr:nvSpPr>
        <xdr:spPr>
          <a:xfrm>
            <a:off x="8959850" y="3778250"/>
            <a:ext cx="371475" cy="1076325"/>
          </a:xfrm>
          <a:prstGeom prst="rect">
            <a:avLst/>
          </a:prstGeom>
          <a:noFill/>
          <a:ln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  <xdr:cxnSp macro="">
        <xdr:nvCxnSpPr>
          <xdr:cNvPr id="24" name="Gerader Verbinder 23">
            <a:extLst>
              <a:ext uri="{FF2B5EF4-FFF2-40B4-BE49-F238E27FC236}">
                <a16:creationId xmlns:a16="http://schemas.microsoft.com/office/drawing/2014/main" id="{E4C68AC6-8FFB-D804-84E6-AAC2E1E868A6}"/>
              </a:ext>
            </a:extLst>
          </xdr:cNvPr>
          <xdr:cNvCxnSpPr>
            <a:endCxn id="23" idx="0"/>
          </xdr:cNvCxnSpPr>
        </xdr:nvCxnSpPr>
        <xdr:spPr>
          <a:xfrm flipH="1">
            <a:off x="9145588" y="1108047"/>
            <a:ext cx="16987" cy="2670203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25" name="Gerader Verbinder 24">
            <a:extLst>
              <a:ext uri="{FF2B5EF4-FFF2-40B4-BE49-F238E27FC236}">
                <a16:creationId xmlns:a16="http://schemas.microsoft.com/office/drawing/2014/main" id="{4DAA4EB0-59AA-D227-7D41-18DBB07CB7BE}"/>
              </a:ext>
            </a:extLst>
          </xdr:cNvPr>
          <xdr:cNvCxnSpPr>
            <a:stCxn id="23" idx="2"/>
          </xdr:cNvCxnSpPr>
        </xdr:nvCxnSpPr>
        <xdr:spPr>
          <a:xfrm>
            <a:off x="9145588" y="4854576"/>
            <a:ext cx="1587" cy="597066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26" name="Textfeld 25">
            <a:extLst>
              <a:ext uri="{FF2B5EF4-FFF2-40B4-BE49-F238E27FC236}">
                <a16:creationId xmlns:a16="http://schemas.microsoft.com/office/drawing/2014/main" id="{24474B3E-637F-DA41-2CB5-00AC44CBB0DC}"/>
              </a:ext>
            </a:extLst>
          </xdr:cNvPr>
          <xdr:cNvSpPr txBox="1"/>
        </xdr:nvSpPr>
        <xdr:spPr>
          <a:xfrm>
            <a:off x="8934450" y="4010025"/>
            <a:ext cx="455766" cy="42809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de-CH" sz="2400"/>
              <a:t>R</a:t>
            </a:r>
            <a:r>
              <a:rPr lang="de-CH" sz="2400" baseline="-25000"/>
              <a:t>5</a:t>
            </a:r>
          </a:p>
        </xdr:txBody>
      </xdr:sp>
    </xdr:grpSp>
    <xdr:clientData/>
  </xdr:twoCellAnchor>
  <xdr:twoCellAnchor>
    <xdr:from>
      <xdr:col>10</xdr:col>
      <xdr:colOff>561987</xdr:colOff>
      <xdr:row>4</xdr:row>
      <xdr:rowOff>21771</xdr:rowOff>
    </xdr:from>
    <xdr:to>
      <xdr:col>11</xdr:col>
      <xdr:colOff>255753</xdr:colOff>
      <xdr:row>16</xdr:row>
      <xdr:rowOff>9523</xdr:rowOff>
    </xdr:to>
    <xdr:grpSp>
      <xdr:nvGrpSpPr>
        <xdr:cNvPr id="27" name="Gruppieren 26">
          <a:extLst>
            <a:ext uri="{FF2B5EF4-FFF2-40B4-BE49-F238E27FC236}">
              <a16:creationId xmlns:a16="http://schemas.microsoft.com/office/drawing/2014/main" id="{166D7CA3-1827-4129-8023-9F0D9DE69DAD}"/>
            </a:ext>
          </a:extLst>
        </xdr:cNvPr>
        <xdr:cNvGrpSpPr/>
      </xdr:nvGrpSpPr>
      <xdr:grpSpPr>
        <a:xfrm>
          <a:off x="8181987" y="926646"/>
          <a:ext cx="455766" cy="3583440"/>
          <a:chOff x="8934450" y="3281431"/>
          <a:chExt cx="448531" cy="2170211"/>
        </a:xfrm>
      </xdr:grpSpPr>
      <xdr:sp macro="" textlink="">
        <xdr:nvSpPr>
          <xdr:cNvPr id="28" name="Rechteck 27">
            <a:extLst>
              <a:ext uri="{FF2B5EF4-FFF2-40B4-BE49-F238E27FC236}">
                <a16:creationId xmlns:a16="http://schemas.microsoft.com/office/drawing/2014/main" id="{FEFA0A52-0163-B4D4-7DDE-706A06B91F85}"/>
              </a:ext>
            </a:extLst>
          </xdr:cNvPr>
          <xdr:cNvSpPr/>
        </xdr:nvSpPr>
        <xdr:spPr>
          <a:xfrm>
            <a:off x="8956675" y="3778250"/>
            <a:ext cx="371475" cy="1076325"/>
          </a:xfrm>
          <a:prstGeom prst="rect">
            <a:avLst/>
          </a:prstGeom>
          <a:noFill/>
          <a:ln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  <xdr:cxnSp macro="">
        <xdr:nvCxnSpPr>
          <xdr:cNvPr id="29" name="Gerader Verbinder 28">
            <a:extLst>
              <a:ext uri="{FF2B5EF4-FFF2-40B4-BE49-F238E27FC236}">
                <a16:creationId xmlns:a16="http://schemas.microsoft.com/office/drawing/2014/main" id="{2A749B65-6E64-ADCD-6048-2B458B60A604}"/>
              </a:ext>
            </a:extLst>
          </xdr:cNvPr>
          <xdr:cNvCxnSpPr>
            <a:endCxn id="28" idx="0"/>
          </xdr:cNvCxnSpPr>
        </xdr:nvCxnSpPr>
        <xdr:spPr>
          <a:xfrm>
            <a:off x="9136657" y="3281431"/>
            <a:ext cx="5756" cy="496819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30" name="Gerader Verbinder 29">
            <a:extLst>
              <a:ext uri="{FF2B5EF4-FFF2-40B4-BE49-F238E27FC236}">
                <a16:creationId xmlns:a16="http://schemas.microsoft.com/office/drawing/2014/main" id="{5CC50D19-CFDA-3699-57E9-9944A56CDB61}"/>
              </a:ext>
            </a:extLst>
          </xdr:cNvPr>
          <xdr:cNvCxnSpPr>
            <a:stCxn id="28" idx="2"/>
          </xdr:cNvCxnSpPr>
        </xdr:nvCxnSpPr>
        <xdr:spPr>
          <a:xfrm>
            <a:off x="9142413" y="4854576"/>
            <a:ext cx="1587" cy="597066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31" name="Textfeld 30">
            <a:extLst>
              <a:ext uri="{FF2B5EF4-FFF2-40B4-BE49-F238E27FC236}">
                <a16:creationId xmlns:a16="http://schemas.microsoft.com/office/drawing/2014/main" id="{C73B8AC4-C30B-3167-FA84-C245386050EC}"/>
              </a:ext>
            </a:extLst>
          </xdr:cNvPr>
          <xdr:cNvSpPr txBox="1"/>
        </xdr:nvSpPr>
        <xdr:spPr>
          <a:xfrm>
            <a:off x="8934450" y="4010025"/>
            <a:ext cx="448531" cy="401814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de-CH" sz="2400"/>
              <a:t>R</a:t>
            </a:r>
            <a:r>
              <a:rPr lang="de-CH" sz="2400" baseline="-25000"/>
              <a:t>6</a:t>
            </a:r>
          </a:p>
        </xdr:txBody>
      </xdr:sp>
    </xdr:grpSp>
    <xdr:clientData/>
  </xdr:twoCellAnchor>
  <xdr:twoCellAnchor>
    <xdr:from>
      <xdr:col>4</xdr:col>
      <xdr:colOff>552450</xdr:colOff>
      <xdr:row>4</xdr:row>
      <xdr:rowOff>28575</xdr:rowOff>
    </xdr:from>
    <xdr:to>
      <xdr:col>5</xdr:col>
      <xdr:colOff>246216</xdr:colOff>
      <xdr:row>40</xdr:row>
      <xdr:rowOff>0</xdr:rowOff>
    </xdr:to>
    <xdr:grpSp>
      <xdr:nvGrpSpPr>
        <xdr:cNvPr id="32" name="Gruppieren 31">
          <a:extLst>
            <a:ext uri="{FF2B5EF4-FFF2-40B4-BE49-F238E27FC236}">
              <a16:creationId xmlns:a16="http://schemas.microsoft.com/office/drawing/2014/main" id="{3DCA4A87-62B0-4F4B-A468-3A415B839E77}"/>
            </a:ext>
          </a:extLst>
        </xdr:cNvPr>
        <xdr:cNvGrpSpPr/>
      </xdr:nvGrpSpPr>
      <xdr:grpSpPr>
        <a:xfrm>
          <a:off x="3600450" y="933450"/>
          <a:ext cx="455766" cy="14425613"/>
          <a:chOff x="8934450" y="1094414"/>
          <a:chExt cx="455766" cy="6412628"/>
        </a:xfrm>
      </xdr:grpSpPr>
      <xdr:sp macro="" textlink="">
        <xdr:nvSpPr>
          <xdr:cNvPr id="33" name="Rechteck 32">
            <a:extLst>
              <a:ext uri="{FF2B5EF4-FFF2-40B4-BE49-F238E27FC236}">
                <a16:creationId xmlns:a16="http://schemas.microsoft.com/office/drawing/2014/main" id="{66289C1B-E0E0-A47D-E076-DE28B808F6B2}"/>
              </a:ext>
            </a:extLst>
          </xdr:cNvPr>
          <xdr:cNvSpPr/>
        </xdr:nvSpPr>
        <xdr:spPr>
          <a:xfrm>
            <a:off x="8959850" y="3778250"/>
            <a:ext cx="371475" cy="1076325"/>
          </a:xfrm>
          <a:prstGeom prst="rect">
            <a:avLst/>
          </a:prstGeom>
          <a:noFill/>
          <a:ln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  <xdr:cxnSp macro="">
        <xdr:nvCxnSpPr>
          <xdr:cNvPr id="34" name="Gerader Verbinder 33">
            <a:extLst>
              <a:ext uri="{FF2B5EF4-FFF2-40B4-BE49-F238E27FC236}">
                <a16:creationId xmlns:a16="http://schemas.microsoft.com/office/drawing/2014/main" id="{6DBA2073-3401-4818-9945-F324ADADC0C9}"/>
              </a:ext>
            </a:extLst>
          </xdr:cNvPr>
          <xdr:cNvCxnSpPr>
            <a:endCxn id="33" idx="0"/>
          </xdr:cNvCxnSpPr>
        </xdr:nvCxnSpPr>
        <xdr:spPr>
          <a:xfrm flipH="1">
            <a:off x="9145588" y="1094414"/>
            <a:ext cx="7937" cy="2683836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35" name="Gerader Verbinder 34">
            <a:extLst>
              <a:ext uri="{FF2B5EF4-FFF2-40B4-BE49-F238E27FC236}">
                <a16:creationId xmlns:a16="http://schemas.microsoft.com/office/drawing/2014/main" id="{F70FDA25-5B83-A052-288C-9D0C9D27B2A3}"/>
              </a:ext>
            </a:extLst>
          </xdr:cNvPr>
          <xdr:cNvCxnSpPr>
            <a:stCxn id="33" idx="2"/>
          </xdr:cNvCxnSpPr>
        </xdr:nvCxnSpPr>
        <xdr:spPr>
          <a:xfrm flipH="1">
            <a:off x="9144000" y="4854575"/>
            <a:ext cx="1588" cy="2652467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36" name="Textfeld 35">
            <a:extLst>
              <a:ext uri="{FF2B5EF4-FFF2-40B4-BE49-F238E27FC236}">
                <a16:creationId xmlns:a16="http://schemas.microsoft.com/office/drawing/2014/main" id="{2E0F688E-6F5E-1EDF-8BA4-68887E9AC13D}"/>
              </a:ext>
            </a:extLst>
          </xdr:cNvPr>
          <xdr:cNvSpPr txBox="1"/>
        </xdr:nvSpPr>
        <xdr:spPr>
          <a:xfrm>
            <a:off x="8934450" y="4010025"/>
            <a:ext cx="455766" cy="41842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de-CH" sz="2400"/>
              <a:t>R</a:t>
            </a:r>
            <a:r>
              <a:rPr lang="de-CH" sz="2400" baseline="-25000"/>
              <a:t>9</a:t>
            </a:r>
          </a:p>
        </xdr:txBody>
      </xdr:sp>
    </xdr:grpSp>
    <xdr:clientData/>
  </xdr:twoCellAnchor>
  <xdr:twoCellAnchor>
    <xdr:from>
      <xdr:col>5</xdr:col>
      <xdr:colOff>561975</xdr:colOff>
      <xdr:row>4</xdr:row>
      <xdr:rowOff>25400</xdr:rowOff>
    </xdr:from>
    <xdr:to>
      <xdr:col>6</xdr:col>
      <xdr:colOff>255741</xdr:colOff>
      <xdr:row>23</xdr:row>
      <xdr:rowOff>133349</xdr:rowOff>
    </xdr:to>
    <xdr:grpSp>
      <xdr:nvGrpSpPr>
        <xdr:cNvPr id="37" name="Gruppieren 36">
          <a:extLst>
            <a:ext uri="{FF2B5EF4-FFF2-40B4-BE49-F238E27FC236}">
              <a16:creationId xmlns:a16="http://schemas.microsoft.com/office/drawing/2014/main" id="{AE837668-41E6-48B2-89D0-06F266CFEED5}"/>
            </a:ext>
          </a:extLst>
        </xdr:cNvPr>
        <xdr:cNvGrpSpPr/>
      </xdr:nvGrpSpPr>
      <xdr:grpSpPr>
        <a:xfrm>
          <a:off x="4371975" y="930275"/>
          <a:ext cx="455766" cy="6870699"/>
          <a:chOff x="8934450" y="1892573"/>
          <a:chExt cx="455766" cy="3559069"/>
        </a:xfrm>
      </xdr:grpSpPr>
      <xdr:sp macro="" textlink="">
        <xdr:nvSpPr>
          <xdr:cNvPr id="38" name="Rechteck 37">
            <a:extLst>
              <a:ext uri="{FF2B5EF4-FFF2-40B4-BE49-F238E27FC236}">
                <a16:creationId xmlns:a16="http://schemas.microsoft.com/office/drawing/2014/main" id="{0CEED63E-0A09-8AA7-90C2-8D2DA5AB7305}"/>
              </a:ext>
            </a:extLst>
          </xdr:cNvPr>
          <xdr:cNvSpPr/>
        </xdr:nvSpPr>
        <xdr:spPr>
          <a:xfrm>
            <a:off x="8959850" y="3778250"/>
            <a:ext cx="371475" cy="1076325"/>
          </a:xfrm>
          <a:prstGeom prst="rect">
            <a:avLst/>
          </a:prstGeom>
          <a:noFill/>
          <a:ln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  <xdr:cxnSp macro="">
        <xdr:nvCxnSpPr>
          <xdr:cNvPr id="39" name="Gerader Verbinder 38">
            <a:extLst>
              <a:ext uri="{FF2B5EF4-FFF2-40B4-BE49-F238E27FC236}">
                <a16:creationId xmlns:a16="http://schemas.microsoft.com/office/drawing/2014/main" id="{26386887-4FE0-A3B0-530E-0818008F60D2}"/>
              </a:ext>
            </a:extLst>
          </xdr:cNvPr>
          <xdr:cNvCxnSpPr>
            <a:endCxn id="38" idx="0"/>
          </xdr:cNvCxnSpPr>
        </xdr:nvCxnSpPr>
        <xdr:spPr>
          <a:xfrm flipH="1">
            <a:off x="9145588" y="1892573"/>
            <a:ext cx="1587" cy="1885677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40" name="Gerader Verbinder 39">
            <a:extLst>
              <a:ext uri="{FF2B5EF4-FFF2-40B4-BE49-F238E27FC236}">
                <a16:creationId xmlns:a16="http://schemas.microsoft.com/office/drawing/2014/main" id="{2BF92C2F-58E9-47AD-FCA4-7E30E0C48ABC}"/>
              </a:ext>
            </a:extLst>
          </xdr:cNvPr>
          <xdr:cNvCxnSpPr>
            <a:stCxn id="38" idx="2"/>
          </xdr:cNvCxnSpPr>
        </xdr:nvCxnSpPr>
        <xdr:spPr>
          <a:xfrm>
            <a:off x="9145588" y="4854576"/>
            <a:ext cx="1587" cy="597066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41" name="Textfeld 40">
            <a:extLst>
              <a:ext uri="{FF2B5EF4-FFF2-40B4-BE49-F238E27FC236}">
                <a16:creationId xmlns:a16="http://schemas.microsoft.com/office/drawing/2014/main" id="{CF729946-5EDF-6B02-6A05-8C2A9D56898A}"/>
              </a:ext>
            </a:extLst>
          </xdr:cNvPr>
          <xdr:cNvSpPr txBox="1"/>
        </xdr:nvSpPr>
        <xdr:spPr>
          <a:xfrm>
            <a:off x="8934450" y="4010025"/>
            <a:ext cx="455766" cy="407147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de-CH" sz="2400"/>
              <a:t>R</a:t>
            </a:r>
            <a:r>
              <a:rPr lang="de-CH" sz="2400" baseline="-25000"/>
              <a:t>7</a:t>
            </a:r>
          </a:p>
        </xdr:txBody>
      </xdr:sp>
    </xdr:grpSp>
    <xdr:clientData/>
  </xdr:twoCellAnchor>
  <xdr:twoCellAnchor>
    <xdr:from>
      <xdr:col>5</xdr:col>
      <xdr:colOff>561986</xdr:colOff>
      <xdr:row>23</xdr:row>
      <xdr:rowOff>107949</xdr:rowOff>
    </xdr:from>
    <xdr:to>
      <xdr:col>6</xdr:col>
      <xdr:colOff>255752</xdr:colOff>
      <xdr:row>39</xdr:row>
      <xdr:rowOff>184149</xdr:rowOff>
    </xdr:to>
    <xdr:grpSp>
      <xdr:nvGrpSpPr>
        <xdr:cNvPr id="42" name="Gruppieren 41">
          <a:extLst>
            <a:ext uri="{FF2B5EF4-FFF2-40B4-BE49-F238E27FC236}">
              <a16:creationId xmlns:a16="http://schemas.microsoft.com/office/drawing/2014/main" id="{81D29EC9-C96F-49F4-B51B-964204B0B5BB}"/>
            </a:ext>
          </a:extLst>
        </xdr:cNvPr>
        <xdr:cNvGrpSpPr/>
      </xdr:nvGrpSpPr>
      <xdr:grpSpPr>
        <a:xfrm>
          <a:off x="4371986" y="7775574"/>
          <a:ext cx="455766" cy="7315200"/>
          <a:chOff x="8934450" y="3254331"/>
          <a:chExt cx="448588" cy="2885570"/>
        </a:xfrm>
      </xdr:grpSpPr>
      <xdr:sp macro="" textlink="">
        <xdr:nvSpPr>
          <xdr:cNvPr id="43" name="Rechteck 42">
            <a:extLst>
              <a:ext uri="{FF2B5EF4-FFF2-40B4-BE49-F238E27FC236}">
                <a16:creationId xmlns:a16="http://schemas.microsoft.com/office/drawing/2014/main" id="{BF364DEB-357F-3F31-2701-47FE1472EF2F}"/>
              </a:ext>
            </a:extLst>
          </xdr:cNvPr>
          <xdr:cNvSpPr/>
        </xdr:nvSpPr>
        <xdr:spPr>
          <a:xfrm>
            <a:off x="8959850" y="3778250"/>
            <a:ext cx="371475" cy="1076325"/>
          </a:xfrm>
          <a:prstGeom prst="rect">
            <a:avLst/>
          </a:prstGeom>
          <a:noFill/>
          <a:ln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  <xdr:cxnSp macro="">
        <xdr:nvCxnSpPr>
          <xdr:cNvPr id="44" name="Gerader Verbinder 43">
            <a:extLst>
              <a:ext uri="{FF2B5EF4-FFF2-40B4-BE49-F238E27FC236}">
                <a16:creationId xmlns:a16="http://schemas.microsoft.com/office/drawing/2014/main" id="{CE686863-2AAB-D8FA-74F1-2B0AEDE57D29}"/>
              </a:ext>
            </a:extLst>
          </xdr:cNvPr>
          <xdr:cNvCxnSpPr>
            <a:endCxn id="43" idx="0"/>
          </xdr:cNvCxnSpPr>
        </xdr:nvCxnSpPr>
        <xdr:spPr>
          <a:xfrm flipH="1">
            <a:off x="9145588" y="3254331"/>
            <a:ext cx="1587" cy="523919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45" name="Gerader Verbinder 44">
            <a:extLst>
              <a:ext uri="{FF2B5EF4-FFF2-40B4-BE49-F238E27FC236}">
                <a16:creationId xmlns:a16="http://schemas.microsoft.com/office/drawing/2014/main" id="{77313413-B976-8E6E-FD7F-768479CFD41A}"/>
              </a:ext>
            </a:extLst>
          </xdr:cNvPr>
          <xdr:cNvCxnSpPr>
            <a:stCxn id="43" idx="2"/>
          </xdr:cNvCxnSpPr>
        </xdr:nvCxnSpPr>
        <xdr:spPr>
          <a:xfrm>
            <a:off x="9145588" y="4854575"/>
            <a:ext cx="150" cy="1285326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46" name="Textfeld 45">
            <a:extLst>
              <a:ext uri="{FF2B5EF4-FFF2-40B4-BE49-F238E27FC236}">
                <a16:creationId xmlns:a16="http://schemas.microsoft.com/office/drawing/2014/main" id="{C6C04A6F-7FD7-4E04-50F2-687ADCF8F0B2}"/>
              </a:ext>
            </a:extLst>
          </xdr:cNvPr>
          <xdr:cNvSpPr txBox="1"/>
        </xdr:nvSpPr>
        <xdr:spPr>
          <a:xfrm>
            <a:off x="8934450" y="4010025"/>
            <a:ext cx="448588" cy="43123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de-CH" sz="2400"/>
              <a:t>R</a:t>
            </a:r>
            <a:r>
              <a:rPr lang="de-CH" sz="2400" baseline="-25000"/>
              <a:t>8</a:t>
            </a:r>
          </a:p>
        </xdr:txBody>
      </xdr:sp>
    </xdr:grpSp>
    <xdr:clientData/>
  </xdr:twoCellAnchor>
  <xdr:twoCellAnchor>
    <xdr:from>
      <xdr:col>1</xdr:col>
      <xdr:colOff>536074</xdr:colOff>
      <xdr:row>4</xdr:row>
      <xdr:rowOff>9525</xdr:rowOff>
    </xdr:from>
    <xdr:to>
      <xdr:col>2</xdr:col>
      <xdr:colOff>271390</xdr:colOff>
      <xdr:row>20</xdr:row>
      <xdr:rowOff>21772</xdr:rowOff>
    </xdr:to>
    <xdr:grpSp>
      <xdr:nvGrpSpPr>
        <xdr:cNvPr id="47" name="Gruppieren 46">
          <a:extLst>
            <a:ext uri="{FF2B5EF4-FFF2-40B4-BE49-F238E27FC236}">
              <a16:creationId xmlns:a16="http://schemas.microsoft.com/office/drawing/2014/main" id="{D14E938F-01BF-4011-88C7-9802EB6553D0}"/>
            </a:ext>
          </a:extLst>
        </xdr:cNvPr>
        <xdr:cNvGrpSpPr/>
      </xdr:nvGrpSpPr>
      <xdr:grpSpPr>
        <a:xfrm>
          <a:off x="1298074" y="914400"/>
          <a:ext cx="497316" cy="5417685"/>
          <a:chOff x="8911345" y="3254331"/>
          <a:chExt cx="497612" cy="3010540"/>
        </a:xfrm>
      </xdr:grpSpPr>
      <xdr:sp macro="" textlink="">
        <xdr:nvSpPr>
          <xdr:cNvPr id="48" name="Rechteck 47">
            <a:extLst>
              <a:ext uri="{FF2B5EF4-FFF2-40B4-BE49-F238E27FC236}">
                <a16:creationId xmlns:a16="http://schemas.microsoft.com/office/drawing/2014/main" id="{2834E289-08F4-73D2-9DA8-3D6E49FFDBA1}"/>
              </a:ext>
            </a:extLst>
          </xdr:cNvPr>
          <xdr:cNvSpPr/>
        </xdr:nvSpPr>
        <xdr:spPr>
          <a:xfrm>
            <a:off x="8959850" y="3778250"/>
            <a:ext cx="371475" cy="1076325"/>
          </a:xfrm>
          <a:prstGeom prst="rect">
            <a:avLst/>
          </a:prstGeom>
          <a:noFill/>
          <a:ln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  <xdr:cxnSp macro="">
        <xdr:nvCxnSpPr>
          <xdr:cNvPr id="49" name="Gerader Verbinder 48">
            <a:extLst>
              <a:ext uri="{FF2B5EF4-FFF2-40B4-BE49-F238E27FC236}">
                <a16:creationId xmlns:a16="http://schemas.microsoft.com/office/drawing/2014/main" id="{0B9F251D-D668-4E05-E4BD-99ABBE6CA803}"/>
              </a:ext>
            </a:extLst>
          </xdr:cNvPr>
          <xdr:cNvCxnSpPr>
            <a:endCxn id="48" idx="0"/>
          </xdr:cNvCxnSpPr>
        </xdr:nvCxnSpPr>
        <xdr:spPr>
          <a:xfrm flipH="1">
            <a:off x="9145588" y="3254331"/>
            <a:ext cx="1587" cy="523919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50" name="Gerader Verbinder 49">
            <a:extLst>
              <a:ext uri="{FF2B5EF4-FFF2-40B4-BE49-F238E27FC236}">
                <a16:creationId xmlns:a16="http://schemas.microsoft.com/office/drawing/2014/main" id="{F74F39D1-D1FA-F47F-C1D3-7F3B68D42DBC}"/>
              </a:ext>
            </a:extLst>
          </xdr:cNvPr>
          <xdr:cNvCxnSpPr>
            <a:stCxn id="48" idx="2"/>
          </xdr:cNvCxnSpPr>
        </xdr:nvCxnSpPr>
        <xdr:spPr>
          <a:xfrm flipH="1">
            <a:off x="9134165" y="4854575"/>
            <a:ext cx="11423" cy="1410296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51" name="Textfeld 50">
            <a:extLst>
              <a:ext uri="{FF2B5EF4-FFF2-40B4-BE49-F238E27FC236}">
                <a16:creationId xmlns:a16="http://schemas.microsoft.com/office/drawing/2014/main" id="{4DFDD3A4-FB6D-ACD8-19AF-8A85A5D486F9}"/>
              </a:ext>
            </a:extLst>
          </xdr:cNvPr>
          <xdr:cNvSpPr txBox="1"/>
        </xdr:nvSpPr>
        <xdr:spPr>
          <a:xfrm>
            <a:off x="8911345" y="3999822"/>
            <a:ext cx="497612" cy="358294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de-CH" sz="2000"/>
              <a:t>R</a:t>
            </a:r>
            <a:r>
              <a:rPr lang="de-CH" sz="2000" baseline="-25000"/>
              <a:t>10</a:t>
            </a:r>
            <a:endParaRPr lang="de-CH" sz="1800" baseline="-25000"/>
          </a:p>
        </xdr:txBody>
      </xdr:sp>
    </xdr:grpSp>
    <xdr:clientData/>
  </xdr:twoCellAnchor>
  <xdr:twoCellAnchor>
    <xdr:from>
      <xdr:col>2</xdr:col>
      <xdr:colOff>6350</xdr:colOff>
      <xdr:row>4</xdr:row>
      <xdr:rowOff>6350</xdr:rowOff>
    </xdr:from>
    <xdr:to>
      <xdr:col>11</xdr:col>
      <xdr:colOff>9525</xdr:colOff>
      <xdr:row>4</xdr:row>
      <xdr:rowOff>19050</xdr:rowOff>
    </xdr:to>
    <xdr:cxnSp macro="">
      <xdr:nvCxnSpPr>
        <xdr:cNvPr id="52" name="Gerader Verbinder 51">
          <a:extLst>
            <a:ext uri="{FF2B5EF4-FFF2-40B4-BE49-F238E27FC236}">
              <a16:creationId xmlns:a16="http://schemas.microsoft.com/office/drawing/2014/main" id="{D3335933-F6BA-4BCE-A6C8-1FEDFBED3D12}"/>
            </a:ext>
          </a:extLst>
        </xdr:cNvPr>
        <xdr:cNvCxnSpPr/>
      </xdr:nvCxnSpPr>
      <xdr:spPr>
        <a:xfrm flipH="1" flipV="1">
          <a:off x="1530350" y="927100"/>
          <a:ext cx="6861175" cy="1270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406400</xdr:colOff>
      <xdr:row>21</xdr:row>
      <xdr:rowOff>99332</xdr:rowOff>
    </xdr:from>
    <xdr:to>
      <xdr:col>2</xdr:col>
      <xdr:colOff>263534</xdr:colOff>
      <xdr:row>21</xdr:row>
      <xdr:rowOff>105682</xdr:rowOff>
    </xdr:to>
    <xdr:cxnSp macro="">
      <xdr:nvCxnSpPr>
        <xdr:cNvPr id="53" name="Gerader Verbinder 52">
          <a:extLst>
            <a:ext uri="{FF2B5EF4-FFF2-40B4-BE49-F238E27FC236}">
              <a16:creationId xmlns:a16="http://schemas.microsoft.com/office/drawing/2014/main" id="{3F0CBA58-5A00-4443-8E16-979A04C56BEF}"/>
            </a:ext>
          </a:extLst>
        </xdr:cNvPr>
        <xdr:cNvCxnSpPr/>
      </xdr:nvCxnSpPr>
      <xdr:spPr>
        <a:xfrm flipH="1">
          <a:off x="1168400" y="6823982"/>
          <a:ext cx="619134" cy="63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597354</xdr:colOff>
      <xdr:row>20</xdr:row>
      <xdr:rowOff>58512</xdr:rowOff>
    </xdr:from>
    <xdr:to>
      <xdr:col>2</xdr:col>
      <xdr:colOff>130629</xdr:colOff>
      <xdr:row>20</xdr:row>
      <xdr:rowOff>58512</xdr:rowOff>
    </xdr:to>
    <xdr:cxnSp macro="">
      <xdr:nvCxnSpPr>
        <xdr:cNvPr id="54" name="Gerader Verbinder 53">
          <a:extLst>
            <a:ext uri="{FF2B5EF4-FFF2-40B4-BE49-F238E27FC236}">
              <a16:creationId xmlns:a16="http://schemas.microsoft.com/office/drawing/2014/main" id="{EBA90E39-E9BE-4373-BFDB-C17D8C1B91CA}"/>
            </a:ext>
          </a:extLst>
        </xdr:cNvPr>
        <xdr:cNvCxnSpPr/>
      </xdr:nvCxnSpPr>
      <xdr:spPr>
        <a:xfrm flipH="1">
          <a:off x="1359354" y="6332312"/>
          <a:ext cx="295275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609600</xdr:colOff>
      <xdr:row>21</xdr:row>
      <xdr:rowOff>142875</xdr:rowOff>
    </xdr:from>
    <xdr:to>
      <xdr:col>2</xdr:col>
      <xdr:colOff>142875</xdr:colOff>
      <xdr:row>21</xdr:row>
      <xdr:rowOff>142875</xdr:rowOff>
    </xdr:to>
    <xdr:cxnSp macro="">
      <xdr:nvCxnSpPr>
        <xdr:cNvPr id="55" name="Gerader Verbinder 54">
          <a:extLst>
            <a:ext uri="{FF2B5EF4-FFF2-40B4-BE49-F238E27FC236}">
              <a16:creationId xmlns:a16="http://schemas.microsoft.com/office/drawing/2014/main" id="{60D09806-ECE8-4106-9FB9-74311AD8C9F7}"/>
            </a:ext>
          </a:extLst>
        </xdr:cNvPr>
        <xdr:cNvCxnSpPr/>
      </xdr:nvCxnSpPr>
      <xdr:spPr>
        <a:xfrm flipH="1">
          <a:off x="1371600" y="6867525"/>
          <a:ext cx="295275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752475</xdr:colOff>
      <xdr:row>21</xdr:row>
      <xdr:rowOff>161925</xdr:rowOff>
    </xdr:from>
    <xdr:to>
      <xdr:col>1</xdr:col>
      <xdr:colOff>754673</xdr:colOff>
      <xdr:row>39</xdr:row>
      <xdr:rowOff>190500</xdr:rowOff>
    </xdr:to>
    <xdr:cxnSp macro="">
      <xdr:nvCxnSpPr>
        <xdr:cNvPr id="56" name="Gerader Verbinder 55">
          <a:extLst>
            <a:ext uri="{FF2B5EF4-FFF2-40B4-BE49-F238E27FC236}">
              <a16:creationId xmlns:a16="http://schemas.microsoft.com/office/drawing/2014/main" id="{CFAAE7A7-BBCD-4978-AE75-8E8217B57E01}"/>
            </a:ext>
          </a:extLst>
        </xdr:cNvPr>
        <xdr:cNvCxnSpPr/>
      </xdr:nvCxnSpPr>
      <xdr:spPr>
        <a:xfrm>
          <a:off x="1514475" y="6886575"/>
          <a:ext cx="2198" cy="81438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742950</xdr:colOff>
      <xdr:row>39</xdr:row>
      <xdr:rowOff>171450</xdr:rowOff>
    </xdr:from>
    <xdr:to>
      <xdr:col>12</xdr:col>
      <xdr:colOff>754673</xdr:colOff>
      <xdr:row>39</xdr:row>
      <xdr:rowOff>183173</xdr:rowOff>
    </xdr:to>
    <xdr:cxnSp macro="">
      <xdr:nvCxnSpPr>
        <xdr:cNvPr id="57" name="Gerader Verbinder 56">
          <a:extLst>
            <a:ext uri="{FF2B5EF4-FFF2-40B4-BE49-F238E27FC236}">
              <a16:creationId xmlns:a16="http://schemas.microsoft.com/office/drawing/2014/main" id="{2E79E505-BA6D-4B68-A56A-C511F4CB0E1F}"/>
            </a:ext>
          </a:extLst>
        </xdr:cNvPr>
        <xdr:cNvCxnSpPr/>
      </xdr:nvCxnSpPr>
      <xdr:spPr>
        <a:xfrm flipH="1" flipV="1">
          <a:off x="1504950" y="15011400"/>
          <a:ext cx="8393723" cy="11723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730250</xdr:colOff>
      <xdr:row>16</xdr:row>
      <xdr:rowOff>25400</xdr:rowOff>
    </xdr:from>
    <xdr:to>
      <xdr:col>13</xdr:col>
      <xdr:colOff>581025</xdr:colOff>
      <xdr:row>16</xdr:row>
      <xdr:rowOff>28575</xdr:rowOff>
    </xdr:to>
    <xdr:cxnSp macro="">
      <xdr:nvCxnSpPr>
        <xdr:cNvPr id="58" name="Gerader Verbinder 57">
          <a:extLst>
            <a:ext uri="{FF2B5EF4-FFF2-40B4-BE49-F238E27FC236}">
              <a16:creationId xmlns:a16="http://schemas.microsoft.com/office/drawing/2014/main" id="{A766100E-4872-42BF-8CF4-60FC998E164D}"/>
            </a:ext>
          </a:extLst>
        </xdr:cNvPr>
        <xdr:cNvCxnSpPr/>
      </xdr:nvCxnSpPr>
      <xdr:spPr>
        <a:xfrm flipH="1" flipV="1">
          <a:off x="7588250" y="4495800"/>
          <a:ext cx="2898775" cy="31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381000</xdr:colOff>
      <xdr:row>28</xdr:row>
      <xdr:rowOff>0</xdr:rowOff>
    </xdr:from>
    <xdr:to>
      <xdr:col>13</xdr:col>
      <xdr:colOff>571500</xdr:colOff>
      <xdr:row>28</xdr:row>
      <xdr:rowOff>6350</xdr:rowOff>
    </xdr:to>
    <xdr:cxnSp macro="">
      <xdr:nvCxnSpPr>
        <xdr:cNvPr id="59" name="Gerader Verbinder 58">
          <a:extLst>
            <a:ext uri="{FF2B5EF4-FFF2-40B4-BE49-F238E27FC236}">
              <a16:creationId xmlns:a16="http://schemas.microsoft.com/office/drawing/2014/main" id="{B4FA6F0B-8F45-4F32-94AC-EE6D7AFD8EC5}"/>
            </a:ext>
          </a:extLst>
        </xdr:cNvPr>
        <xdr:cNvCxnSpPr/>
      </xdr:nvCxnSpPr>
      <xdr:spPr>
        <a:xfrm flipH="1">
          <a:off x="9525000" y="9880600"/>
          <a:ext cx="952500" cy="63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726167</xdr:colOff>
      <xdr:row>15</xdr:row>
      <xdr:rowOff>291353</xdr:rowOff>
    </xdr:from>
    <xdr:to>
      <xdr:col>11</xdr:col>
      <xdr:colOff>67234</xdr:colOff>
      <xdr:row>16</xdr:row>
      <xdr:rowOff>87539</xdr:rowOff>
    </xdr:to>
    <xdr:sp macro="" textlink="">
      <xdr:nvSpPr>
        <xdr:cNvPr id="60" name="Ellipse 59">
          <a:extLst>
            <a:ext uri="{FF2B5EF4-FFF2-40B4-BE49-F238E27FC236}">
              <a16:creationId xmlns:a16="http://schemas.microsoft.com/office/drawing/2014/main" id="{A428FD05-3135-4BC2-B892-B9B09BBAABD7}"/>
            </a:ext>
          </a:extLst>
        </xdr:cNvPr>
        <xdr:cNvSpPr/>
      </xdr:nvSpPr>
      <xdr:spPr>
        <a:xfrm>
          <a:off x="8346167" y="4469653"/>
          <a:ext cx="103067" cy="88286"/>
        </a:xfrm>
        <a:prstGeom prst="ellipse">
          <a:avLst/>
        </a:prstGeom>
        <a:solidFill>
          <a:schemeClr val="tx1">
            <a:lumMod val="95000"/>
            <a:lumOff val="5000"/>
          </a:schemeClr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1</xdr:col>
      <xdr:colOff>439057</xdr:colOff>
      <xdr:row>20</xdr:row>
      <xdr:rowOff>12246</xdr:rowOff>
    </xdr:from>
    <xdr:to>
      <xdr:col>2</xdr:col>
      <xdr:colOff>296191</xdr:colOff>
      <xdr:row>20</xdr:row>
      <xdr:rowOff>18596</xdr:rowOff>
    </xdr:to>
    <xdr:cxnSp macro="">
      <xdr:nvCxnSpPr>
        <xdr:cNvPr id="61" name="Gerader Verbinder 60">
          <a:extLst>
            <a:ext uri="{FF2B5EF4-FFF2-40B4-BE49-F238E27FC236}">
              <a16:creationId xmlns:a16="http://schemas.microsoft.com/office/drawing/2014/main" id="{F8A387AE-ABA1-41C4-86A1-31E1E0BEC774}"/>
            </a:ext>
          </a:extLst>
        </xdr:cNvPr>
        <xdr:cNvCxnSpPr/>
      </xdr:nvCxnSpPr>
      <xdr:spPr>
        <a:xfrm flipH="1">
          <a:off x="1201057" y="6286046"/>
          <a:ext cx="619134" cy="63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754289</xdr:colOff>
      <xdr:row>20</xdr:row>
      <xdr:rowOff>65314</xdr:rowOff>
    </xdr:from>
    <xdr:to>
      <xdr:col>2</xdr:col>
      <xdr:colOff>0</xdr:colOff>
      <xdr:row>21</xdr:row>
      <xdr:rowOff>106589</xdr:rowOff>
    </xdr:to>
    <xdr:cxnSp macro="">
      <xdr:nvCxnSpPr>
        <xdr:cNvPr id="62" name="Gerader Verbinder 61">
          <a:extLst>
            <a:ext uri="{FF2B5EF4-FFF2-40B4-BE49-F238E27FC236}">
              <a16:creationId xmlns:a16="http://schemas.microsoft.com/office/drawing/2014/main" id="{4174B779-D95A-4FC6-8349-CC1650544B88}"/>
            </a:ext>
          </a:extLst>
        </xdr:cNvPr>
        <xdr:cNvCxnSpPr/>
      </xdr:nvCxnSpPr>
      <xdr:spPr>
        <a:xfrm flipH="1">
          <a:off x="1516289" y="6339114"/>
          <a:ext cx="7711" cy="492125"/>
        </a:xfrm>
        <a:prstGeom prst="line">
          <a:avLst/>
        </a:prstGeom>
        <a:ln>
          <a:prstDash val="sysDash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514649</xdr:colOff>
      <xdr:row>69</xdr:row>
      <xdr:rowOff>128186</xdr:rowOff>
    </xdr:from>
    <xdr:to>
      <xdr:col>13</xdr:col>
      <xdr:colOff>208415</xdr:colOff>
      <xdr:row>77</xdr:row>
      <xdr:rowOff>51831</xdr:rowOff>
    </xdr:to>
    <xdr:grpSp>
      <xdr:nvGrpSpPr>
        <xdr:cNvPr id="63" name="Gruppieren 62">
          <a:extLst>
            <a:ext uri="{FF2B5EF4-FFF2-40B4-BE49-F238E27FC236}">
              <a16:creationId xmlns:a16="http://schemas.microsoft.com/office/drawing/2014/main" id="{671BB7B3-6EF3-420C-9368-54C728C2A74B}"/>
            </a:ext>
          </a:extLst>
        </xdr:cNvPr>
        <xdr:cNvGrpSpPr/>
      </xdr:nvGrpSpPr>
      <xdr:grpSpPr>
        <a:xfrm>
          <a:off x="9658649" y="23154874"/>
          <a:ext cx="455766" cy="1923895"/>
          <a:chOff x="8934450" y="3785005"/>
          <a:chExt cx="459441" cy="1387868"/>
        </a:xfrm>
      </xdr:grpSpPr>
      <xdr:sp macro="" textlink="">
        <xdr:nvSpPr>
          <xdr:cNvPr id="64" name="Rechteck 63">
            <a:extLst>
              <a:ext uri="{FF2B5EF4-FFF2-40B4-BE49-F238E27FC236}">
                <a16:creationId xmlns:a16="http://schemas.microsoft.com/office/drawing/2014/main" id="{29B814FE-03C5-C3EE-48EA-D577CB90B6CC}"/>
              </a:ext>
            </a:extLst>
          </xdr:cNvPr>
          <xdr:cNvSpPr/>
        </xdr:nvSpPr>
        <xdr:spPr>
          <a:xfrm>
            <a:off x="8974482" y="3785005"/>
            <a:ext cx="371475" cy="1076325"/>
          </a:xfrm>
          <a:prstGeom prst="rect">
            <a:avLst/>
          </a:prstGeom>
          <a:noFill/>
          <a:ln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  <xdr:cxnSp macro="">
        <xdr:nvCxnSpPr>
          <xdr:cNvPr id="65" name="Gerader Verbinder 64">
            <a:extLst>
              <a:ext uri="{FF2B5EF4-FFF2-40B4-BE49-F238E27FC236}">
                <a16:creationId xmlns:a16="http://schemas.microsoft.com/office/drawing/2014/main" id="{A2BF0AA4-3761-1C7F-E27E-7955D7D138A2}"/>
              </a:ext>
            </a:extLst>
          </xdr:cNvPr>
          <xdr:cNvCxnSpPr>
            <a:stCxn id="64" idx="2"/>
            <a:endCxn id="111" idx="0"/>
          </xdr:cNvCxnSpPr>
        </xdr:nvCxnSpPr>
        <xdr:spPr>
          <a:xfrm>
            <a:off x="9160220" y="4861330"/>
            <a:ext cx="1213" cy="311543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66" name="Textfeld 65">
            <a:extLst>
              <a:ext uri="{FF2B5EF4-FFF2-40B4-BE49-F238E27FC236}">
                <a16:creationId xmlns:a16="http://schemas.microsoft.com/office/drawing/2014/main" id="{2485CA86-BDA1-12A5-AE71-3B611B08FC91}"/>
              </a:ext>
            </a:extLst>
          </xdr:cNvPr>
          <xdr:cNvSpPr txBox="1"/>
        </xdr:nvSpPr>
        <xdr:spPr>
          <a:xfrm>
            <a:off x="8934450" y="4010025"/>
            <a:ext cx="459441" cy="43482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de-CH" sz="2400"/>
              <a:t>R</a:t>
            </a:r>
            <a:r>
              <a:rPr lang="de-CH" sz="2400" baseline="-25000"/>
              <a:t>1</a:t>
            </a:r>
          </a:p>
        </xdr:txBody>
      </xdr:sp>
    </xdr:grpSp>
    <xdr:clientData/>
  </xdr:twoCellAnchor>
  <xdr:twoCellAnchor>
    <xdr:from>
      <xdr:col>12</xdr:col>
      <xdr:colOff>566414</xdr:colOff>
      <xdr:row>56</xdr:row>
      <xdr:rowOff>74756</xdr:rowOff>
    </xdr:from>
    <xdr:to>
      <xdr:col>13</xdr:col>
      <xdr:colOff>292556</xdr:colOff>
      <xdr:row>69</xdr:row>
      <xdr:rowOff>128186</xdr:rowOff>
    </xdr:to>
    <xdr:grpSp>
      <xdr:nvGrpSpPr>
        <xdr:cNvPr id="67" name="Gruppieren 66">
          <a:extLst>
            <a:ext uri="{FF2B5EF4-FFF2-40B4-BE49-F238E27FC236}">
              <a16:creationId xmlns:a16="http://schemas.microsoft.com/office/drawing/2014/main" id="{D6D1EB59-0962-4957-A756-6B6B6F3B75FE}"/>
            </a:ext>
          </a:extLst>
        </xdr:cNvPr>
        <xdr:cNvGrpSpPr/>
      </xdr:nvGrpSpPr>
      <xdr:grpSpPr>
        <a:xfrm>
          <a:off x="9710414" y="19005694"/>
          <a:ext cx="488142" cy="4149180"/>
          <a:chOff x="8959850" y="3254331"/>
          <a:chExt cx="481583" cy="2549202"/>
        </a:xfrm>
      </xdr:grpSpPr>
      <xdr:sp macro="" textlink="">
        <xdr:nvSpPr>
          <xdr:cNvPr id="68" name="Rechteck 67">
            <a:extLst>
              <a:ext uri="{FF2B5EF4-FFF2-40B4-BE49-F238E27FC236}">
                <a16:creationId xmlns:a16="http://schemas.microsoft.com/office/drawing/2014/main" id="{A00CBAEE-8781-A772-3FF1-55D92DCA3FA2}"/>
              </a:ext>
            </a:extLst>
          </xdr:cNvPr>
          <xdr:cNvSpPr/>
        </xdr:nvSpPr>
        <xdr:spPr>
          <a:xfrm>
            <a:off x="8959850" y="3778250"/>
            <a:ext cx="371475" cy="1076325"/>
          </a:xfrm>
          <a:prstGeom prst="rect">
            <a:avLst/>
          </a:prstGeom>
          <a:noFill/>
          <a:ln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  <xdr:cxnSp macro="">
        <xdr:nvCxnSpPr>
          <xdr:cNvPr id="69" name="Gerader Verbinder 68">
            <a:extLst>
              <a:ext uri="{FF2B5EF4-FFF2-40B4-BE49-F238E27FC236}">
                <a16:creationId xmlns:a16="http://schemas.microsoft.com/office/drawing/2014/main" id="{D6D79F49-CBC6-BBD0-82DB-15FBB2026441}"/>
              </a:ext>
            </a:extLst>
          </xdr:cNvPr>
          <xdr:cNvCxnSpPr>
            <a:endCxn id="68" idx="0"/>
          </xdr:cNvCxnSpPr>
        </xdr:nvCxnSpPr>
        <xdr:spPr>
          <a:xfrm flipH="1">
            <a:off x="9145588" y="3254331"/>
            <a:ext cx="1587" cy="523919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70" name="Gerader Verbinder 69">
            <a:extLst>
              <a:ext uri="{FF2B5EF4-FFF2-40B4-BE49-F238E27FC236}">
                <a16:creationId xmlns:a16="http://schemas.microsoft.com/office/drawing/2014/main" id="{B46F524E-1AF0-A507-D9D1-B85283F21267}"/>
              </a:ext>
            </a:extLst>
          </xdr:cNvPr>
          <xdr:cNvCxnSpPr>
            <a:stCxn id="68" idx="2"/>
            <a:endCxn id="64" idx="0"/>
          </xdr:cNvCxnSpPr>
        </xdr:nvCxnSpPr>
        <xdr:spPr>
          <a:xfrm flipH="1">
            <a:off x="9129735" y="4854575"/>
            <a:ext cx="15852" cy="948958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71" name="Textfeld 70">
            <a:extLst>
              <a:ext uri="{FF2B5EF4-FFF2-40B4-BE49-F238E27FC236}">
                <a16:creationId xmlns:a16="http://schemas.microsoft.com/office/drawing/2014/main" id="{A3701681-0887-D7A2-318E-07C879BE4C7A}"/>
              </a:ext>
            </a:extLst>
          </xdr:cNvPr>
          <xdr:cNvSpPr txBox="1"/>
        </xdr:nvSpPr>
        <xdr:spPr>
          <a:xfrm rot="5400000">
            <a:off x="8956766" y="3991364"/>
            <a:ext cx="507609" cy="46172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de-CH" sz="2400"/>
              <a:t>R</a:t>
            </a:r>
            <a:r>
              <a:rPr lang="de-CH" sz="2400" baseline="-25000"/>
              <a:t>23</a:t>
            </a:r>
          </a:p>
        </xdr:txBody>
      </xdr:sp>
    </xdr:grpSp>
    <xdr:clientData/>
  </xdr:twoCellAnchor>
  <xdr:twoCellAnchor>
    <xdr:from>
      <xdr:col>10</xdr:col>
      <xdr:colOff>577270</xdr:colOff>
      <xdr:row>56</xdr:row>
      <xdr:rowOff>52532</xdr:rowOff>
    </xdr:from>
    <xdr:to>
      <xdr:col>11</xdr:col>
      <xdr:colOff>283283</xdr:colOff>
      <xdr:row>77</xdr:row>
      <xdr:rowOff>150833</xdr:rowOff>
    </xdr:to>
    <xdr:grpSp>
      <xdr:nvGrpSpPr>
        <xdr:cNvPr id="72" name="Gruppieren 71">
          <a:extLst>
            <a:ext uri="{FF2B5EF4-FFF2-40B4-BE49-F238E27FC236}">
              <a16:creationId xmlns:a16="http://schemas.microsoft.com/office/drawing/2014/main" id="{8D9EBC6F-860C-4E8D-919C-D1F669C19972}"/>
            </a:ext>
          </a:extLst>
        </xdr:cNvPr>
        <xdr:cNvGrpSpPr/>
      </xdr:nvGrpSpPr>
      <xdr:grpSpPr>
        <a:xfrm>
          <a:off x="8197270" y="18983470"/>
          <a:ext cx="468013" cy="6194301"/>
          <a:chOff x="8957189" y="1108047"/>
          <a:chExt cx="467002" cy="4074160"/>
        </a:xfrm>
      </xdr:grpSpPr>
      <xdr:sp macro="" textlink="">
        <xdr:nvSpPr>
          <xdr:cNvPr id="73" name="Rechteck 72">
            <a:extLst>
              <a:ext uri="{FF2B5EF4-FFF2-40B4-BE49-F238E27FC236}">
                <a16:creationId xmlns:a16="http://schemas.microsoft.com/office/drawing/2014/main" id="{0AD57817-EA31-3393-0DE9-39D921B14073}"/>
              </a:ext>
            </a:extLst>
          </xdr:cNvPr>
          <xdr:cNvSpPr/>
        </xdr:nvSpPr>
        <xdr:spPr>
          <a:xfrm>
            <a:off x="8959850" y="3778250"/>
            <a:ext cx="371475" cy="1076325"/>
          </a:xfrm>
          <a:prstGeom prst="rect">
            <a:avLst/>
          </a:prstGeom>
          <a:noFill/>
          <a:ln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  <xdr:cxnSp macro="">
        <xdr:nvCxnSpPr>
          <xdr:cNvPr id="74" name="Gerader Verbinder 73">
            <a:extLst>
              <a:ext uri="{FF2B5EF4-FFF2-40B4-BE49-F238E27FC236}">
                <a16:creationId xmlns:a16="http://schemas.microsoft.com/office/drawing/2014/main" id="{2DEDAD78-7491-79F0-3710-9FC80DFE1F91}"/>
              </a:ext>
            </a:extLst>
          </xdr:cNvPr>
          <xdr:cNvCxnSpPr>
            <a:endCxn id="73" idx="0"/>
          </xdr:cNvCxnSpPr>
        </xdr:nvCxnSpPr>
        <xdr:spPr>
          <a:xfrm flipH="1">
            <a:off x="9145588" y="1108047"/>
            <a:ext cx="16987" cy="2670203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75" name="Gerader Verbinder 74">
            <a:extLst>
              <a:ext uri="{FF2B5EF4-FFF2-40B4-BE49-F238E27FC236}">
                <a16:creationId xmlns:a16="http://schemas.microsoft.com/office/drawing/2014/main" id="{A8E02D30-BAEE-5BB3-E781-9174658E7DDA}"/>
              </a:ext>
            </a:extLst>
          </xdr:cNvPr>
          <xdr:cNvCxnSpPr>
            <a:stCxn id="73" idx="2"/>
            <a:endCxn id="110" idx="4"/>
          </xdr:cNvCxnSpPr>
        </xdr:nvCxnSpPr>
        <xdr:spPr>
          <a:xfrm>
            <a:off x="9145588" y="4854575"/>
            <a:ext cx="663" cy="327632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76" name="Textfeld 75">
            <a:extLst>
              <a:ext uri="{FF2B5EF4-FFF2-40B4-BE49-F238E27FC236}">
                <a16:creationId xmlns:a16="http://schemas.microsoft.com/office/drawing/2014/main" id="{57EC0B70-5FB7-B673-F5FC-B13BE98B9067}"/>
              </a:ext>
            </a:extLst>
          </xdr:cNvPr>
          <xdr:cNvSpPr txBox="1"/>
        </xdr:nvSpPr>
        <xdr:spPr>
          <a:xfrm rot="5400000">
            <a:off x="8933428" y="3991616"/>
            <a:ext cx="514524" cy="46700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de-CH" sz="2400"/>
              <a:t>R</a:t>
            </a:r>
            <a:r>
              <a:rPr lang="de-CH" sz="2400" baseline="-25000"/>
              <a:t>45</a:t>
            </a:r>
          </a:p>
        </xdr:txBody>
      </xdr:sp>
    </xdr:grpSp>
    <xdr:clientData/>
  </xdr:twoCellAnchor>
  <xdr:twoCellAnchor>
    <xdr:from>
      <xdr:col>10</xdr:col>
      <xdr:colOff>565131</xdr:colOff>
      <xdr:row>46</xdr:row>
      <xdr:rowOff>21771</xdr:rowOff>
    </xdr:from>
    <xdr:to>
      <xdr:col>11</xdr:col>
      <xdr:colOff>258897</xdr:colOff>
      <xdr:row>58</xdr:row>
      <xdr:rowOff>9523</xdr:rowOff>
    </xdr:to>
    <xdr:grpSp>
      <xdr:nvGrpSpPr>
        <xdr:cNvPr id="77" name="Gruppieren 76">
          <a:extLst>
            <a:ext uri="{FF2B5EF4-FFF2-40B4-BE49-F238E27FC236}">
              <a16:creationId xmlns:a16="http://schemas.microsoft.com/office/drawing/2014/main" id="{25FA25EA-D22F-4AB5-9469-41E215694392}"/>
            </a:ext>
          </a:extLst>
        </xdr:cNvPr>
        <xdr:cNvGrpSpPr/>
      </xdr:nvGrpSpPr>
      <xdr:grpSpPr>
        <a:xfrm>
          <a:off x="8185131" y="16619084"/>
          <a:ext cx="455766" cy="2916689"/>
          <a:chOff x="8934450" y="3281431"/>
          <a:chExt cx="448997" cy="2170211"/>
        </a:xfrm>
      </xdr:grpSpPr>
      <xdr:sp macro="" textlink="">
        <xdr:nvSpPr>
          <xdr:cNvPr id="78" name="Rechteck 77">
            <a:extLst>
              <a:ext uri="{FF2B5EF4-FFF2-40B4-BE49-F238E27FC236}">
                <a16:creationId xmlns:a16="http://schemas.microsoft.com/office/drawing/2014/main" id="{6D88B886-129E-7A72-B8B3-12C919ECD18B}"/>
              </a:ext>
            </a:extLst>
          </xdr:cNvPr>
          <xdr:cNvSpPr/>
        </xdr:nvSpPr>
        <xdr:spPr>
          <a:xfrm>
            <a:off x="8956675" y="3778250"/>
            <a:ext cx="371475" cy="1076325"/>
          </a:xfrm>
          <a:prstGeom prst="rect">
            <a:avLst/>
          </a:prstGeom>
          <a:noFill/>
          <a:ln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  <xdr:cxnSp macro="">
        <xdr:nvCxnSpPr>
          <xdr:cNvPr id="79" name="Gerader Verbinder 78">
            <a:extLst>
              <a:ext uri="{FF2B5EF4-FFF2-40B4-BE49-F238E27FC236}">
                <a16:creationId xmlns:a16="http://schemas.microsoft.com/office/drawing/2014/main" id="{17185857-48D3-B6A1-CB80-9BB4B95D348A}"/>
              </a:ext>
            </a:extLst>
          </xdr:cNvPr>
          <xdr:cNvCxnSpPr>
            <a:endCxn id="78" idx="0"/>
          </xdr:cNvCxnSpPr>
        </xdr:nvCxnSpPr>
        <xdr:spPr>
          <a:xfrm>
            <a:off x="9136657" y="3281431"/>
            <a:ext cx="5756" cy="496819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80" name="Gerader Verbinder 79">
            <a:extLst>
              <a:ext uri="{FF2B5EF4-FFF2-40B4-BE49-F238E27FC236}">
                <a16:creationId xmlns:a16="http://schemas.microsoft.com/office/drawing/2014/main" id="{17701573-83E3-2776-75D5-0CD06589D5EA}"/>
              </a:ext>
            </a:extLst>
          </xdr:cNvPr>
          <xdr:cNvCxnSpPr>
            <a:stCxn id="78" idx="2"/>
          </xdr:cNvCxnSpPr>
        </xdr:nvCxnSpPr>
        <xdr:spPr>
          <a:xfrm>
            <a:off x="9142413" y="4854576"/>
            <a:ext cx="1587" cy="597066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81" name="Textfeld 80">
            <a:extLst>
              <a:ext uri="{FF2B5EF4-FFF2-40B4-BE49-F238E27FC236}">
                <a16:creationId xmlns:a16="http://schemas.microsoft.com/office/drawing/2014/main" id="{87824388-7788-FCFE-9AF0-77FA86D4F034}"/>
              </a:ext>
            </a:extLst>
          </xdr:cNvPr>
          <xdr:cNvSpPr txBox="1"/>
        </xdr:nvSpPr>
        <xdr:spPr>
          <a:xfrm>
            <a:off x="8934450" y="4010025"/>
            <a:ext cx="448997" cy="429263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de-CH" sz="2400"/>
              <a:t>R</a:t>
            </a:r>
            <a:r>
              <a:rPr lang="de-CH" sz="2400" baseline="-25000"/>
              <a:t>6</a:t>
            </a:r>
          </a:p>
        </xdr:txBody>
      </xdr:sp>
    </xdr:grpSp>
    <xdr:clientData/>
  </xdr:twoCellAnchor>
  <xdr:twoCellAnchor>
    <xdr:from>
      <xdr:col>4</xdr:col>
      <xdr:colOff>552450</xdr:colOff>
      <xdr:row>46</xdr:row>
      <xdr:rowOff>28575</xdr:rowOff>
    </xdr:from>
    <xdr:to>
      <xdr:col>5</xdr:col>
      <xdr:colOff>246216</xdr:colOff>
      <xdr:row>77</xdr:row>
      <xdr:rowOff>156277</xdr:rowOff>
    </xdr:to>
    <xdr:grpSp>
      <xdr:nvGrpSpPr>
        <xdr:cNvPr id="82" name="Gruppieren 81">
          <a:extLst>
            <a:ext uri="{FF2B5EF4-FFF2-40B4-BE49-F238E27FC236}">
              <a16:creationId xmlns:a16="http://schemas.microsoft.com/office/drawing/2014/main" id="{277A9878-5901-4F26-8422-1530571AF8DC}"/>
            </a:ext>
          </a:extLst>
        </xdr:cNvPr>
        <xdr:cNvGrpSpPr/>
      </xdr:nvGrpSpPr>
      <xdr:grpSpPr>
        <a:xfrm>
          <a:off x="3600450" y="16625888"/>
          <a:ext cx="455766" cy="8557327"/>
          <a:chOff x="8934450" y="1094414"/>
          <a:chExt cx="455766" cy="5820587"/>
        </a:xfrm>
      </xdr:grpSpPr>
      <xdr:sp macro="" textlink="">
        <xdr:nvSpPr>
          <xdr:cNvPr id="83" name="Rechteck 82">
            <a:extLst>
              <a:ext uri="{FF2B5EF4-FFF2-40B4-BE49-F238E27FC236}">
                <a16:creationId xmlns:a16="http://schemas.microsoft.com/office/drawing/2014/main" id="{D79B353C-355D-4E9D-A56F-6B0FC72E7658}"/>
              </a:ext>
            </a:extLst>
          </xdr:cNvPr>
          <xdr:cNvSpPr/>
        </xdr:nvSpPr>
        <xdr:spPr>
          <a:xfrm>
            <a:off x="8959850" y="3778250"/>
            <a:ext cx="371475" cy="1076325"/>
          </a:xfrm>
          <a:prstGeom prst="rect">
            <a:avLst/>
          </a:prstGeom>
          <a:noFill/>
          <a:ln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  <xdr:cxnSp macro="">
        <xdr:nvCxnSpPr>
          <xdr:cNvPr id="84" name="Gerader Verbinder 83">
            <a:extLst>
              <a:ext uri="{FF2B5EF4-FFF2-40B4-BE49-F238E27FC236}">
                <a16:creationId xmlns:a16="http://schemas.microsoft.com/office/drawing/2014/main" id="{B4F46515-C058-E2EF-E01B-5159D9A26AC3}"/>
              </a:ext>
            </a:extLst>
          </xdr:cNvPr>
          <xdr:cNvCxnSpPr>
            <a:endCxn id="83" idx="0"/>
          </xdr:cNvCxnSpPr>
        </xdr:nvCxnSpPr>
        <xdr:spPr>
          <a:xfrm flipH="1">
            <a:off x="9145588" y="1094414"/>
            <a:ext cx="7937" cy="2683836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85" name="Gerader Verbinder 84">
            <a:extLst>
              <a:ext uri="{FF2B5EF4-FFF2-40B4-BE49-F238E27FC236}">
                <a16:creationId xmlns:a16="http://schemas.microsoft.com/office/drawing/2014/main" id="{61FCA98C-00D7-3736-1E36-BC55263090D5}"/>
              </a:ext>
            </a:extLst>
          </xdr:cNvPr>
          <xdr:cNvCxnSpPr>
            <a:stCxn id="83" idx="2"/>
            <a:endCxn id="109" idx="4"/>
          </xdr:cNvCxnSpPr>
        </xdr:nvCxnSpPr>
        <xdr:spPr>
          <a:xfrm flipH="1">
            <a:off x="9145566" y="4854575"/>
            <a:ext cx="22" cy="2060426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86" name="Textfeld 85">
            <a:extLst>
              <a:ext uri="{FF2B5EF4-FFF2-40B4-BE49-F238E27FC236}">
                <a16:creationId xmlns:a16="http://schemas.microsoft.com/office/drawing/2014/main" id="{F6465533-49E5-0B0E-BF57-3CC82B568485}"/>
              </a:ext>
            </a:extLst>
          </xdr:cNvPr>
          <xdr:cNvSpPr txBox="1"/>
        </xdr:nvSpPr>
        <xdr:spPr>
          <a:xfrm>
            <a:off x="8934450" y="4010025"/>
            <a:ext cx="455766" cy="4294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de-CH" sz="2400"/>
              <a:t>R</a:t>
            </a:r>
            <a:r>
              <a:rPr lang="de-CH" sz="2400" baseline="-25000"/>
              <a:t>9</a:t>
            </a:r>
          </a:p>
        </xdr:txBody>
      </xdr:sp>
    </xdr:grpSp>
    <xdr:clientData/>
  </xdr:twoCellAnchor>
  <xdr:twoCellAnchor>
    <xdr:from>
      <xdr:col>5</xdr:col>
      <xdr:colOff>564688</xdr:colOff>
      <xdr:row>46</xdr:row>
      <xdr:rowOff>57150</xdr:rowOff>
    </xdr:from>
    <xdr:to>
      <xdr:col>6</xdr:col>
      <xdr:colOff>302669</xdr:colOff>
      <xdr:row>77</xdr:row>
      <xdr:rowOff>161721</xdr:rowOff>
    </xdr:to>
    <xdr:grpSp>
      <xdr:nvGrpSpPr>
        <xdr:cNvPr id="87" name="Gruppieren 86">
          <a:extLst>
            <a:ext uri="{FF2B5EF4-FFF2-40B4-BE49-F238E27FC236}">
              <a16:creationId xmlns:a16="http://schemas.microsoft.com/office/drawing/2014/main" id="{ACF3B7A0-BB39-4490-816A-A9539AC1935E}"/>
            </a:ext>
          </a:extLst>
        </xdr:cNvPr>
        <xdr:cNvGrpSpPr/>
      </xdr:nvGrpSpPr>
      <xdr:grpSpPr>
        <a:xfrm>
          <a:off x="4374688" y="16654463"/>
          <a:ext cx="499981" cy="8534196"/>
          <a:chOff x="8948330" y="1114406"/>
          <a:chExt cx="498901" cy="5842881"/>
        </a:xfrm>
      </xdr:grpSpPr>
      <xdr:sp macro="" textlink="">
        <xdr:nvSpPr>
          <xdr:cNvPr id="88" name="Rechteck 87">
            <a:extLst>
              <a:ext uri="{FF2B5EF4-FFF2-40B4-BE49-F238E27FC236}">
                <a16:creationId xmlns:a16="http://schemas.microsoft.com/office/drawing/2014/main" id="{5C58F711-8A3E-431E-1F80-A643D6F060D6}"/>
              </a:ext>
            </a:extLst>
          </xdr:cNvPr>
          <xdr:cNvSpPr/>
        </xdr:nvSpPr>
        <xdr:spPr>
          <a:xfrm>
            <a:off x="8948330" y="3847567"/>
            <a:ext cx="371475" cy="1076325"/>
          </a:xfrm>
          <a:prstGeom prst="rect">
            <a:avLst/>
          </a:prstGeom>
          <a:noFill/>
          <a:ln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  <xdr:cxnSp macro="">
        <xdr:nvCxnSpPr>
          <xdr:cNvPr id="89" name="Gerader Verbinder 88">
            <a:extLst>
              <a:ext uri="{FF2B5EF4-FFF2-40B4-BE49-F238E27FC236}">
                <a16:creationId xmlns:a16="http://schemas.microsoft.com/office/drawing/2014/main" id="{532D0B0D-B8B0-5071-E411-5014FEE4CE55}"/>
              </a:ext>
            </a:extLst>
          </xdr:cNvPr>
          <xdr:cNvCxnSpPr>
            <a:stCxn id="105" idx="4"/>
            <a:endCxn id="88" idx="0"/>
          </xdr:cNvCxnSpPr>
        </xdr:nvCxnSpPr>
        <xdr:spPr>
          <a:xfrm flipH="1">
            <a:off x="9134068" y="1114406"/>
            <a:ext cx="20652" cy="2733161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90" name="Gerader Verbinder 89">
            <a:extLst>
              <a:ext uri="{FF2B5EF4-FFF2-40B4-BE49-F238E27FC236}">
                <a16:creationId xmlns:a16="http://schemas.microsoft.com/office/drawing/2014/main" id="{958F3C6F-C475-27A4-BAC7-A8E313AF38A2}"/>
              </a:ext>
            </a:extLst>
          </xdr:cNvPr>
          <xdr:cNvCxnSpPr>
            <a:stCxn id="88" idx="2"/>
            <a:endCxn id="108" idx="4"/>
          </xdr:cNvCxnSpPr>
        </xdr:nvCxnSpPr>
        <xdr:spPr>
          <a:xfrm>
            <a:off x="9134068" y="4923892"/>
            <a:ext cx="29004" cy="2033395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91" name="Textfeld 90">
            <a:extLst>
              <a:ext uri="{FF2B5EF4-FFF2-40B4-BE49-F238E27FC236}">
                <a16:creationId xmlns:a16="http://schemas.microsoft.com/office/drawing/2014/main" id="{6CAD5607-7752-BD81-BBBD-1CAD15E4F8C8}"/>
              </a:ext>
            </a:extLst>
          </xdr:cNvPr>
          <xdr:cNvSpPr txBox="1"/>
        </xdr:nvSpPr>
        <xdr:spPr>
          <a:xfrm rot="5400000">
            <a:off x="8955007" y="3992838"/>
            <a:ext cx="517445" cy="46700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de-CH" sz="2400"/>
              <a:t>R</a:t>
            </a:r>
            <a:r>
              <a:rPr lang="de-CH" sz="2400" baseline="-25000"/>
              <a:t>78</a:t>
            </a:r>
          </a:p>
        </xdr:txBody>
      </xdr:sp>
    </xdr:grpSp>
    <xdr:clientData/>
  </xdr:twoCellAnchor>
  <xdr:twoCellAnchor>
    <xdr:from>
      <xdr:col>1</xdr:col>
      <xdr:colOff>508148</xdr:colOff>
      <xdr:row>46</xdr:row>
      <xdr:rowOff>6350</xdr:rowOff>
    </xdr:from>
    <xdr:to>
      <xdr:col>2</xdr:col>
      <xdr:colOff>305548</xdr:colOff>
      <xdr:row>62</xdr:row>
      <xdr:rowOff>21772</xdr:rowOff>
    </xdr:to>
    <xdr:grpSp>
      <xdr:nvGrpSpPr>
        <xdr:cNvPr id="92" name="Gruppieren 91">
          <a:extLst>
            <a:ext uri="{FF2B5EF4-FFF2-40B4-BE49-F238E27FC236}">
              <a16:creationId xmlns:a16="http://schemas.microsoft.com/office/drawing/2014/main" id="{90D416A8-829F-4392-BC62-DFA16CC4FCB3}"/>
            </a:ext>
          </a:extLst>
        </xdr:cNvPr>
        <xdr:cNvGrpSpPr/>
      </xdr:nvGrpSpPr>
      <xdr:grpSpPr>
        <a:xfrm>
          <a:off x="1270148" y="16603663"/>
          <a:ext cx="559400" cy="4349297"/>
          <a:chOff x="8879803" y="3254331"/>
          <a:chExt cx="563543" cy="3010540"/>
        </a:xfrm>
      </xdr:grpSpPr>
      <xdr:sp macro="" textlink="">
        <xdr:nvSpPr>
          <xdr:cNvPr id="93" name="Rechteck 92">
            <a:extLst>
              <a:ext uri="{FF2B5EF4-FFF2-40B4-BE49-F238E27FC236}">
                <a16:creationId xmlns:a16="http://schemas.microsoft.com/office/drawing/2014/main" id="{90AA85C8-A962-78AC-87A1-1E7A52F5C2F3}"/>
              </a:ext>
            </a:extLst>
          </xdr:cNvPr>
          <xdr:cNvSpPr/>
        </xdr:nvSpPr>
        <xdr:spPr>
          <a:xfrm>
            <a:off x="8959850" y="3778250"/>
            <a:ext cx="371475" cy="1076325"/>
          </a:xfrm>
          <a:prstGeom prst="rect">
            <a:avLst/>
          </a:prstGeom>
          <a:noFill/>
          <a:ln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  <xdr:cxnSp macro="">
        <xdr:nvCxnSpPr>
          <xdr:cNvPr id="94" name="Gerader Verbinder 93">
            <a:extLst>
              <a:ext uri="{FF2B5EF4-FFF2-40B4-BE49-F238E27FC236}">
                <a16:creationId xmlns:a16="http://schemas.microsoft.com/office/drawing/2014/main" id="{CAD22B0C-22B8-61D9-0428-E9A1F9EDF18F}"/>
              </a:ext>
            </a:extLst>
          </xdr:cNvPr>
          <xdr:cNvCxnSpPr>
            <a:endCxn id="93" idx="0"/>
          </xdr:cNvCxnSpPr>
        </xdr:nvCxnSpPr>
        <xdr:spPr>
          <a:xfrm flipH="1">
            <a:off x="9145588" y="3254331"/>
            <a:ext cx="1587" cy="523919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95" name="Gerader Verbinder 94">
            <a:extLst>
              <a:ext uri="{FF2B5EF4-FFF2-40B4-BE49-F238E27FC236}">
                <a16:creationId xmlns:a16="http://schemas.microsoft.com/office/drawing/2014/main" id="{318811CF-CACE-F5C1-E4CB-2C5D5F9D70B4}"/>
              </a:ext>
            </a:extLst>
          </xdr:cNvPr>
          <xdr:cNvCxnSpPr>
            <a:stCxn id="93" idx="2"/>
          </xdr:cNvCxnSpPr>
        </xdr:nvCxnSpPr>
        <xdr:spPr>
          <a:xfrm flipH="1">
            <a:off x="9134165" y="4854575"/>
            <a:ext cx="11423" cy="1410296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96" name="Textfeld 95">
            <a:extLst>
              <a:ext uri="{FF2B5EF4-FFF2-40B4-BE49-F238E27FC236}">
                <a16:creationId xmlns:a16="http://schemas.microsoft.com/office/drawing/2014/main" id="{B4936F89-63C0-1E5E-C36B-DD6B35B15B0D}"/>
              </a:ext>
            </a:extLst>
          </xdr:cNvPr>
          <xdr:cNvSpPr txBox="1"/>
        </xdr:nvSpPr>
        <xdr:spPr>
          <a:xfrm rot="5400000">
            <a:off x="8942990" y="3925579"/>
            <a:ext cx="437170" cy="563543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de-CH" sz="2400"/>
              <a:t>R</a:t>
            </a:r>
            <a:r>
              <a:rPr lang="de-CH" sz="2400" baseline="-25000"/>
              <a:t>10</a:t>
            </a:r>
          </a:p>
        </xdr:txBody>
      </xdr:sp>
    </xdr:grpSp>
    <xdr:clientData/>
  </xdr:twoCellAnchor>
  <xdr:twoCellAnchor>
    <xdr:from>
      <xdr:col>2</xdr:col>
      <xdr:colOff>9525</xdr:colOff>
      <xdr:row>46</xdr:row>
      <xdr:rowOff>9525</xdr:rowOff>
    </xdr:from>
    <xdr:to>
      <xdr:col>11</xdr:col>
      <xdr:colOff>6350</xdr:colOff>
      <xdr:row>46</xdr:row>
      <xdr:rowOff>19050</xdr:rowOff>
    </xdr:to>
    <xdr:cxnSp macro="">
      <xdr:nvCxnSpPr>
        <xdr:cNvPr id="97" name="Gerader Verbinder 96">
          <a:extLst>
            <a:ext uri="{FF2B5EF4-FFF2-40B4-BE49-F238E27FC236}">
              <a16:creationId xmlns:a16="http://schemas.microsoft.com/office/drawing/2014/main" id="{8759065F-4CA7-4828-B873-4C2EF9EF2CEC}"/>
            </a:ext>
          </a:extLst>
        </xdr:cNvPr>
        <xdr:cNvCxnSpPr/>
      </xdr:nvCxnSpPr>
      <xdr:spPr>
        <a:xfrm flipH="1" flipV="1">
          <a:off x="1533525" y="16551275"/>
          <a:ext cx="6854825" cy="952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409575</xdr:colOff>
      <xdr:row>63</xdr:row>
      <xdr:rowOff>102507</xdr:rowOff>
    </xdr:from>
    <xdr:to>
      <xdr:col>2</xdr:col>
      <xdr:colOff>263534</xdr:colOff>
      <xdr:row>63</xdr:row>
      <xdr:rowOff>102507</xdr:rowOff>
    </xdr:to>
    <xdr:cxnSp macro="">
      <xdr:nvCxnSpPr>
        <xdr:cNvPr id="98" name="Gerader Verbinder 97">
          <a:extLst>
            <a:ext uri="{FF2B5EF4-FFF2-40B4-BE49-F238E27FC236}">
              <a16:creationId xmlns:a16="http://schemas.microsoft.com/office/drawing/2014/main" id="{177F8A6A-2AF9-44E5-8A55-6C5724696ADE}"/>
            </a:ext>
          </a:extLst>
        </xdr:cNvPr>
        <xdr:cNvCxnSpPr/>
      </xdr:nvCxnSpPr>
      <xdr:spPr>
        <a:xfrm flipH="1">
          <a:off x="1171575" y="21273407"/>
          <a:ext cx="615959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600529</xdr:colOff>
      <xdr:row>62</xdr:row>
      <xdr:rowOff>58512</xdr:rowOff>
    </xdr:from>
    <xdr:to>
      <xdr:col>2</xdr:col>
      <xdr:colOff>130629</xdr:colOff>
      <xdr:row>62</xdr:row>
      <xdr:rowOff>58512</xdr:rowOff>
    </xdr:to>
    <xdr:cxnSp macro="">
      <xdr:nvCxnSpPr>
        <xdr:cNvPr id="99" name="Gerader Verbinder 98">
          <a:extLst>
            <a:ext uri="{FF2B5EF4-FFF2-40B4-BE49-F238E27FC236}">
              <a16:creationId xmlns:a16="http://schemas.microsoft.com/office/drawing/2014/main" id="{43BCD3DC-5B42-40CD-948C-263E3C87B5EC}"/>
            </a:ext>
          </a:extLst>
        </xdr:cNvPr>
        <xdr:cNvCxnSpPr/>
      </xdr:nvCxnSpPr>
      <xdr:spPr>
        <a:xfrm flipH="1">
          <a:off x="1362529" y="21032562"/>
          <a:ext cx="292100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609600</xdr:colOff>
      <xdr:row>63</xdr:row>
      <xdr:rowOff>139700</xdr:rowOff>
    </xdr:from>
    <xdr:to>
      <xdr:col>2</xdr:col>
      <xdr:colOff>139700</xdr:colOff>
      <xdr:row>63</xdr:row>
      <xdr:rowOff>139700</xdr:rowOff>
    </xdr:to>
    <xdr:cxnSp macro="">
      <xdr:nvCxnSpPr>
        <xdr:cNvPr id="100" name="Gerader Verbinder 99">
          <a:extLst>
            <a:ext uri="{FF2B5EF4-FFF2-40B4-BE49-F238E27FC236}">
              <a16:creationId xmlns:a16="http://schemas.microsoft.com/office/drawing/2014/main" id="{FAAD8759-E37C-4542-9A7F-5AA91FD829AE}"/>
            </a:ext>
          </a:extLst>
        </xdr:cNvPr>
        <xdr:cNvCxnSpPr/>
      </xdr:nvCxnSpPr>
      <xdr:spPr>
        <a:xfrm flipH="1">
          <a:off x="1371600" y="21310600"/>
          <a:ext cx="292100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752475</xdr:colOff>
      <xdr:row>63</xdr:row>
      <xdr:rowOff>161925</xdr:rowOff>
    </xdr:from>
    <xdr:to>
      <xdr:col>2</xdr:col>
      <xdr:colOff>0</xdr:colOff>
      <xdr:row>77</xdr:row>
      <xdr:rowOff>90714</xdr:rowOff>
    </xdr:to>
    <xdr:cxnSp macro="">
      <xdr:nvCxnSpPr>
        <xdr:cNvPr id="101" name="Gerader Verbinder 100">
          <a:extLst>
            <a:ext uri="{FF2B5EF4-FFF2-40B4-BE49-F238E27FC236}">
              <a16:creationId xmlns:a16="http://schemas.microsoft.com/office/drawing/2014/main" id="{E1A16A31-B294-4FE6-B8AE-7092A07EE9C2}"/>
            </a:ext>
          </a:extLst>
        </xdr:cNvPr>
        <xdr:cNvCxnSpPr/>
      </xdr:nvCxnSpPr>
      <xdr:spPr>
        <a:xfrm>
          <a:off x="1514475" y="21332825"/>
          <a:ext cx="9525" cy="3846739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754495</xdr:colOff>
      <xdr:row>77</xdr:row>
      <xdr:rowOff>90632</xdr:rowOff>
    </xdr:from>
    <xdr:to>
      <xdr:col>13</xdr:col>
      <xdr:colOff>11545</xdr:colOff>
      <xdr:row>77</xdr:row>
      <xdr:rowOff>115455</xdr:rowOff>
    </xdr:to>
    <xdr:cxnSp macro="">
      <xdr:nvCxnSpPr>
        <xdr:cNvPr id="102" name="Gerader Verbinder 101">
          <a:extLst>
            <a:ext uri="{FF2B5EF4-FFF2-40B4-BE49-F238E27FC236}">
              <a16:creationId xmlns:a16="http://schemas.microsoft.com/office/drawing/2014/main" id="{8BB16F5E-230F-42D1-8D17-7E17D8411B84}"/>
            </a:ext>
          </a:extLst>
        </xdr:cNvPr>
        <xdr:cNvCxnSpPr/>
      </xdr:nvCxnSpPr>
      <xdr:spPr>
        <a:xfrm flipH="1" flipV="1">
          <a:off x="1516495" y="25179482"/>
          <a:ext cx="8401050" cy="24823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10349</xdr:colOff>
      <xdr:row>56</xdr:row>
      <xdr:rowOff>34884</xdr:rowOff>
    </xdr:from>
    <xdr:to>
      <xdr:col>12</xdr:col>
      <xdr:colOff>757381</xdr:colOff>
      <xdr:row>56</xdr:row>
      <xdr:rowOff>54161</xdr:rowOff>
    </xdr:to>
    <xdr:cxnSp macro="">
      <xdr:nvCxnSpPr>
        <xdr:cNvPr id="103" name="Gerader Verbinder 102">
          <a:extLst>
            <a:ext uri="{FF2B5EF4-FFF2-40B4-BE49-F238E27FC236}">
              <a16:creationId xmlns:a16="http://schemas.microsoft.com/office/drawing/2014/main" id="{936A7350-97AE-41D4-B1D5-B1A9C8DEB34D}"/>
            </a:ext>
          </a:extLst>
        </xdr:cNvPr>
        <xdr:cNvCxnSpPr/>
      </xdr:nvCxnSpPr>
      <xdr:spPr>
        <a:xfrm flipH="1">
          <a:off x="8392349" y="18964234"/>
          <a:ext cx="1509032" cy="19277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714375</xdr:colOff>
      <xdr:row>45</xdr:row>
      <xdr:rowOff>139700</xdr:rowOff>
    </xdr:from>
    <xdr:to>
      <xdr:col>5</xdr:col>
      <xdr:colOff>47625</xdr:colOff>
      <xdr:row>46</xdr:row>
      <xdr:rowOff>66675</xdr:rowOff>
    </xdr:to>
    <xdr:sp macro="" textlink="">
      <xdr:nvSpPr>
        <xdr:cNvPr id="104" name="Ellipse 103">
          <a:extLst>
            <a:ext uri="{FF2B5EF4-FFF2-40B4-BE49-F238E27FC236}">
              <a16:creationId xmlns:a16="http://schemas.microsoft.com/office/drawing/2014/main" id="{84769D35-EABA-4C07-9F2A-0EEC406CCBE3}"/>
            </a:ext>
          </a:extLst>
        </xdr:cNvPr>
        <xdr:cNvSpPr/>
      </xdr:nvSpPr>
      <xdr:spPr>
        <a:xfrm>
          <a:off x="3762375" y="16484600"/>
          <a:ext cx="95250" cy="123825"/>
        </a:xfrm>
        <a:prstGeom prst="ellipse">
          <a:avLst/>
        </a:prstGeom>
        <a:solidFill>
          <a:schemeClr val="tx1">
            <a:lumMod val="95000"/>
            <a:lumOff val="5000"/>
          </a:schemeClr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5</xdr:col>
      <xdr:colOff>723900</xdr:colOff>
      <xdr:row>45</xdr:row>
      <xdr:rowOff>130175</xdr:rowOff>
    </xdr:from>
    <xdr:to>
      <xdr:col>6</xdr:col>
      <xdr:colOff>57150</xdr:colOff>
      <xdr:row>46</xdr:row>
      <xdr:rowOff>57150</xdr:rowOff>
    </xdr:to>
    <xdr:sp macro="" textlink="">
      <xdr:nvSpPr>
        <xdr:cNvPr id="105" name="Ellipse 104">
          <a:extLst>
            <a:ext uri="{FF2B5EF4-FFF2-40B4-BE49-F238E27FC236}">
              <a16:creationId xmlns:a16="http://schemas.microsoft.com/office/drawing/2014/main" id="{A5E38897-20B8-4DE4-BD13-CB0EB22069DC}"/>
            </a:ext>
          </a:extLst>
        </xdr:cNvPr>
        <xdr:cNvSpPr/>
      </xdr:nvSpPr>
      <xdr:spPr>
        <a:xfrm>
          <a:off x="4533900" y="16475075"/>
          <a:ext cx="95250" cy="123825"/>
        </a:xfrm>
        <a:prstGeom prst="ellipse">
          <a:avLst/>
        </a:prstGeom>
        <a:solidFill>
          <a:schemeClr val="tx1">
            <a:lumMod val="95000"/>
            <a:lumOff val="5000"/>
          </a:schemeClr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10</xdr:col>
      <xdr:colOff>727610</xdr:colOff>
      <xdr:row>56</xdr:row>
      <xdr:rowOff>13392</xdr:rowOff>
    </xdr:from>
    <xdr:to>
      <xdr:col>11</xdr:col>
      <xdr:colOff>59417</xdr:colOff>
      <xdr:row>56</xdr:row>
      <xdr:rowOff>87539</xdr:rowOff>
    </xdr:to>
    <xdr:sp macro="" textlink="">
      <xdr:nvSpPr>
        <xdr:cNvPr id="106" name="Ellipse 105">
          <a:extLst>
            <a:ext uri="{FF2B5EF4-FFF2-40B4-BE49-F238E27FC236}">
              <a16:creationId xmlns:a16="http://schemas.microsoft.com/office/drawing/2014/main" id="{4EB78FB9-D5B6-4357-9224-A1C46FA2E33B}"/>
            </a:ext>
          </a:extLst>
        </xdr:cNvPr>
        <xdr:cNvSpPr/>
      </xdr:nvSpPr>
      <xdr:spPr>
        <a:xfrm>
          <a:off x="8347610" y="18942742"/>
          <a:ext cx="93807" cy="74147"/>
        </a:xfrm>
        <a:prstGeom prst="ellipse">
          <a:avLst/>
        </a:prstGeom>
        <a:solidFill>
          <a:schemeClr val="tx1">
            <a:lumMod val="95000"/>
            <a:lumOff val="5000"/>
          </a:schemeClr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12</xdr:col>
      <xdr:colOff>704271</xdr:colOff>
      <xdr:row>56</xdr:row>
      <xdr:rowOff>0</xdr:rowOff>
    </xdr:from>
    <xdr:to>
      <xdr:col>13</xdr:col>
      <xdr:colOff>36078</xdr:colOff>
      <xdr:row>56</xdr:row>
      <xdr:rowOff>75046</xdr:rowOff>
    </xdr:to>
    <xdr:sp macro="" textlink="">
      <xdr:nvSpPr>
        <xdr:cNvPr id="107" name="Ellipse 106">
          <a:extLst>
            <a:ext uri="{FF2B5EF4-FFF2-40B4-BE49-F238E27FC236}">
              <a16:creationId xmlns:a16="http://schemas.microsoft.com/office/drawing/2014/main" id="{0B5AD2E7-E6DF-4578-BD87-9FD6494F49E2}"/>
            </a:ext>
          </a:extLst>
        </xdr:cNvPr>
        <xdr:cNvSpPr/>
      </xdr:nvSpPr>
      <xdr:spPr>
        <a:xfrm>
          <a:off x="9848271" y="18929350"/>
          <a:ext cx="93807" cy="75046"/>
        </a:xfrm>
        <a:prstGeom prst="ellipse">
          <a:avLst/>
        </a:prstGeom>
        <a:solidFill>
          <a:schemeClr val="tx1">
            <a:lumMod val="95000"/>
            <a:lumOff val="5000"/>
          </a:schemeClr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5</xdr:col>
      <xdr:colOff>732270</xdr:colOff>
      <xdr:row>77</xdr:row>
      <xdr:rowOff>44822</xdr:rowOff>
    </xdr:from>
    <xdr:to>
      <xdr:col>6</xdr:col>
      <xdr:colOff>65520</xdr:colOff>
      <xdr:row>77</xdr:row>
      <xdr:rowOff>161720</xdr:rowOff>
    </xdr:to>
    <xdr:sp macro="" textlink="">
      <xdr:nvSpPr>
        <xdr:cNvPr id="108" name="Ellipse 107">
          <a:extLst>
            <a:ext uri="{FF2B5EF4-FFF2-40B4-BE49-F238E27FC236}">
              <a16:creationId xmlns:a16="http://schemas.microsoft.com/office/drawing/2014/main" id="{207A1DDD-ACEF-4BF3-A268-4CF18E001F30}"/>
            </a:ext>
          </a:extLst>
        </xdr:cNvPr>
        <xdr:cNvSpPr/>
      </xdr:nvSpPr>
      <xdr:spPr>
        <a:xfrm>
          <a:off x="4542270" y="25133672"/>
          <a:ext cx="95250" cy="116898"/>
        </a:xfrm>
        <a:prstGeom prst="ellipse">
          <a:avLst/>
        </a:prstGeom>
        <a:solidFill>
          <a:schemeClr val="tx1">
            <a:lumMod val="95000"/>
            <a:lumOff val="5000"/>
          </a:schemeClr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4</xdr:col>
      <xdr:colOff>715941</xdr:colOff>
      <xdr:row>77</xdr:row>
      <xdr:rowOff>42554</xdr:rowOff>
    </xdr:from>
    <xdr:to>
      <xdr:col>5</xdr:col>
      <xdr:colOff>49191</xdr:colOff>
      <xdr:row>77</xdr:row>
      <xdr:rowOff>156277</xdr:rowOff>
    </xdr:to>
    <xdr:sp macro="" textlink="">
      <xdr:nvSpPr>
        <xdr:cNvPr id="109" name="Ellipse 108">
          <a:extLst>
            <a:ext uri="{FF2B5EF4-FFF2-40B4-BE49-F238E27FC236}">
              <a16:creationId xmlns:a16="http://schemas.microsoft.com/office/drawing/2014/main" id="{6374D1EC-7EBF-4D91-AC4D-F00F88C9A49E}"/>
            </a:ext>
          </a:extLst>
        </xdr:cNvPr>
        <xdr:cNvSpPr/>
      </xdr:nvSpPr>
      <xdr:spPr>
        <a:xfrm>
          <a:off x="3763941" y="25131404"/>
          <a:ext cx="95250" cy="113723"/>
        </a:xfrm>
        <a:prstGeom prst="ellipse">
          <a:avLst/>
        </a:prstGeom>
        <a:solidFill>
          <a:schemeClr val="tx1">
            <a:lumMod val="95000"/>
            <a:lumOff val="5000"/>
          </a:schemeClr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10</xdr:col>
      <xdr:colOff>719116</xdr:colOff>
      <xdr:row>77</xdr:row>
      <xdr:rowOff>43461</xdr:rowOff>
    </xdr:from>
    <xdr:to>
      <xdr:col>11</xdr:col>
      <xdr:colOff>52366</xdr:colOff>
      <xdr:row>77</xdr:row>
      <xdr:rowOff>150834</xdr:rowOff>
    </xdr:to>
    <xdr:sp macro="" textlink="">
      <xdr:nvSpPr>
        <xdr:cNvPr id="110" name="Ellipse 109">
          <a:extLst>
            <a:ext uri="{FF2B5EF4-FFF2-40B4-BE49-F238E27FC236}">
              <a16:creationId xmlns:a16="http://schemas.microsoft.com/office/drawing/2014/main" id="{45965942-1642-408F-B2B2-9BA86D429EB3}"/>
            </a:ext>
          </a:extLst>
        </xdr:cNvPr>
        <xdr:cNvSpPr/>
      </xdr:nvSpPr>
      <xdr:spPr>
        <a:xfrm>
          <a:off x="8339116" y="25132311"/>
          <a:ext cx="95250" cy="107373"/>
        </a:xfrm>
        <a:prstGeom prst="ellipse">
          <a:avLst/>
        </a:prstGeom>
        <a:solidFill>
          <a:schemeClr val="tx1">
            <a:lumMod val="95000"/>
            <a:lumOff val="5000"/>
          </a:schemeClr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12</xdr:col>
      <xdr:colOff>692191</xdr:colOff>
      <xdr:row>77</xdr:row>
      <xdr:rowOff>51831</xdr:rowOff>
    </xdr:from>
    <xdr:to>
      <xdr:col>13</xdr:col>
      <xdr:colOff>25441</xdr:colOff>
      <xdr:row>77</xdr:row>
      <xdr:rowOff>162379</xdr:rowOff>
    </xdr:to>
    <xdr:sp macro="" textlink="">
      <xdr:nvSpPr>
        <xdr:cNvPr id="111" name="Ellipse 110">
          <a:extLst>
            <a:ext uri="{FF2B5EF4-FFF2-40B4-BE49-F238E27FC236}">
              <a16:creationId xmlns:a16="http://schemas.microsoft.com/office/drawing/2014/main" id="{044FC9B7-A5FB-4E64-9179-377654B7902D}"/>
            </a:ext>
          </a:extLst>
        </xdr:cNvPr>
        <xdr:cNvSpPr/>
      </xdr:nvSpPr>
      <xdr:spPr>
        <a:xfrm>
          <a:off x="9836191" y="25140681"/>
          <a:ext cx="95250" cy="110548"/>
        </a:xfrm>
        <a:prstGeom prst="ellipse">
          <a:avLst/>
        </a:prstGeom>
        <a:solidFill>
          <a:schemeClr val="tx1">
            <a:lumMod val="95000"/>
            <a:lumOff val="5000"/>
          </a:schemeClr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1</xdr:col>
      <xdr:colOff>439057</xdr:colOff>
      <xdr:row>62</xdr:row>
      <xdr:rowOff>9071</xdr:rowOff>
    </xdr:from>
    <xdr:to>
      <xdr:col>2</xdr:col>
      <xdr:colOff>293016</xdr:colOff>
      <xdr:row>62</xdr:row>
      <xdr:rowOff>18596</xdr:rowOff>
    </xdr:to>
    <xdr:cxnSp macro="">
      <xdr:nvCxnSpPr>
        <xdr:cNvPr id="112" name="Gerader Verbinder 111">
          <a:extLst>
            <a:ext uri="{FF2B5EF4-FFF2-40B4-BE49-F238E27FC236}">
              <a16:creationId xmlns:a16="http://schemas.microsoft.com/office/drawing/2014/main" id="{6774A2CA-79EB-46FA-A117-DC04113828D9}"/>
            </a:ext>
          </a:extLst>
        </xdr:cNvPr>
        <xdr:cNvCxnSpPr/>
      </xdr:nvCxnSpPr>
      <xdr:spPr>
        <a:xfrm flipH="1">
          <a:off x="1201057" y="20983121"/>
          <a:ext cx="615959" cy="952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751114</xdr:colOff>
      <xdr:row>62</xdr:row>
      <xdr:rowOff>68489</xdr:rowOff>
    </xdr:from>
    <xdr:to>
      <xdr:col>2</xdr:col>
      <xdr:colOff>0</xdr:colOff>
      <xdr:row>63</xdr:row>
      <xdr:rowOff>103414</xdr:rowOff>
    </xdr:to>
    <xdr:cxnSp macro="">
      <xdr:nvCxnSpPr>
        <xdr:cNvPr id="113" name="Gerader Verbinder 112">
          <a:extLst>
            <a:ext uri="{FF2B5EF4-FFF2-40B4-BE49-F238E27FC236}">
              <a16:creationId xmlns:a16="http://schemas.microsoft.com/office/drawing/2014/main" id="{1E11F5CA-8B91-413D-8D4D-DEA15D576E90}"/>
            </a:ext>
          </a:extLst>
        </xdr:cNvPr>
        <xdr:cNvCxnSpPr/>
      </xdr:nvCxnSpPr>
      <xdr:spPr>
        <a:xfrm flipH="1">
          <a:off x="1513114" y="21042539"/>
          <a:ext cx="10886" cy="231775"/>
        </a:xfrm>
        <a:prstGeom prst="line">
          <a:avLst/>
        </a:prstGeom>
        <a:ln>
          <a:prstDash val="sysDash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707572</xdr:colOff>
      <xdr:row>45</xdr:row>
      <xdr:rowOff>143329</xdr:rowOff>
    </xdr:from>
    <xdr:to>
      <xdr:col>11</xdr:col>
      <xdr:colOff>40822</xdr:colOff>
      <xdr:row>46</xdr:row>
      <xdr:rowOff>73479</xdr:rowOff>
    </xdr:to>
    <xdr:sp macro="" textlink="">
      <xdr:nvSpPr>
        <xdr:cNvPr id="114" name="Ellipse 113">
          <a:extLst>
            <a:ext uri="{FF2B5EF4-FFF2-40B4-BE49-F238E27FC236}">
              <a16:creationId xmlns:a16="http://schemas.microsoft.com/office/drawing/2014/main" id="{9065E148-525A-4568-9AC0-1082F60AD576}"/>
            </a:ext>
          </a:extLst>
        </xdr:cNvPr>
        <xdr:cNvSpPr/>
      </xdr:nvSpPr>
      <xdr:spPr>
        <a:xfrm>
          <a:off x="8327572" y="16488229"/>
          <a:ext cx="95250" cy="127000"/>
        </a:xfrm>
        <a:prstGeom prst="ellipse">
          <a:avLst/>
        </a:prstGeom>
        <a:solidFill>
          <a:schemeClr val="tx1">
            <a:lumMod val="95000"/>
            <a:lumOff val="5000"/>
          </a:schemeClr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12</xdr:col>
      <xdr:colOff>487671</xdr:colOff>
      <xdr:row>101</xdr:row>
      <xdr:rowOff>452</xdr:rowOff>
    </xdr:from>
    <xdr:to>
      <xdr:col>13</xdr:col>
      <xdr:colOff>200034</xdr:colOff>
      <xdr:row>112</xdr:row>
      <xdr:rowOff>48298</xdr:rowOff>
    </xdr:to>
    <xdr:grpSp>
      <xdr:nvGrpSpPr>
        <xdr:cNvPr id="115" name="Gruppieren 114">
          <a:extLst>
            <a:ext uri="{FF2B5EF4-FFF2-40B4-BE49-F238E27FC236}">
              <a16:creationId xmlns:a16="http://schemas.microsoft.com/office/drawing/2014/main" id="{3D257713-98D5-4F3D-9881-58F319983281}"/>
            </a:ext>
          </a:extLst>
        </xdr:cNvPr>
        <xdr:cNvGrpSpPr/>
      </xdr:nvGrpSpPr>
      <xdr:grpSpPr>
        <a:xfrm>
          <a:off x="9631671" y="29789890"/>
          <a:ext cx="474363" cy="2381471"/>
          <a:chOff x="8920180" y="3499704"/>
          <a:chExt cx="480926" cy="1951938"/>
        </a:xfrm>
      </xdr:grpSpPr>
      <xdr:sp macro="" textlink="">
        <xdr:nvSpPr>
          <xdr:cNvPr id="116" name="Rechteck 115">
            <a:extLst>
              <a:ext uri="{FF2B5EF4-FFF2-40B4-BE49-F238E27FC236}">
                <a16:creationId xmlns:a16="http://schemas.microsoft.com/office/drawing/2014/main" id="{5B093C68-DC87-3F7D-3BD3-9677B2D8F861}"/>
              </a:ext>
            </a:extLst>
          </xdr:cNvPr>
          <xdr:cNvSpPr/>
        </xdr:nvSpPr>
        <xdr:spPr>
          <a:xfrm>
            <a:off x="8959842" y="3778250"/>
            <a:ext cx="371474" cy="1076325"/>
          </a:xfrm>
          <a:prstGeom prst="rect">
            <a:avLst/>
          </a:prstGeom>
          <a:noFill/>
          <a:ln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  <xdr:cxnSp macro="">
        <xdr:nvCxnSpPr>
          <xdr:cNvPr id="117" name="Gerader Verbinder 116">
            <a:extLst>
              <a:ext uri="{FF2B5EF4-FFF2-40B4-BE49-F238E27FC236}">
                <a16:creationId xmlns:a16="http://schemas.microsoft.com/office/drawing/2014/main" id="{447954C5-C1AB-8E09-2D7F-F22297973194}"/>
              </a:ext>
            </a:extLst>
          </xdr:cNvPr>
          <xdr:cNvCxnSpPr>
            <a:stCxn id="143" idx="0"/>
            <a:endCxn id="116" idx="0"/>
          </xdr:cNvCxnSpPr>
        </xdr:nvCxnSpPr>
        <xdr:spPr>
          <a:xfrm>
            <a:off x="9144272" y="3499704"/>
            <a:ext cx="1308" cy="278546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118" name="Gerader Verbinder 117">
            <a:extLst>
              <a:ext uri="{FF2B5EF4-FFF2-40B4-BE49-F238E27FC236}">
                <a16:creationId xmlns:a16="http://schemas.microsoft.com/office/drawing/2014/main" id="{CB780621-D4D3-4A11-A30B-1596A3960E44}"/>
              </a:ext>
            </a:extLst>
          </xdr:cNvPr>
          <xdr:cNvCxnSpPr>
            <a:stCxn id="116" idx="2"/>
          </xdr:cNvCxnSpPr>
        </xdr:nvCxnSpPr>
        <xdr:spPr>
          <a:xfrm>
            <a:off x="9145589" y="4854576"/>
            <a:ext cx="1587" cy="597066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119" name="Textfeld 118">
            <a:extLst>
              <a:ext uri="{FF2B5EF4-FFF2-40B4-BE49-F238E27FC236}">
                <a16:creationId xmlns:a16="http://schemas.microsoft.com/office/drawing/2014/main" id="{DB487276-2716-B2ED-5F2F-2ED32281B14F}"/>
              </a:ext>
            </a:extLst>
          </xdr:cNvPr>
          <xdr:cNvSpPr txBox="1"/>
        </xdr:nvSpPr>
        <xdr:spPr>
          <a:xfrm rot="5400000">
            <a:off x="8870650" y="3884124"/>
            <a:ext cx="579986" cy="48092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de-CH" sz="2400"/>
              <a:t>R</a:t>
            </a:r>
            <a:r>
              <a:rPr lang="de-CH" sz="2400" baseline="-25000"/>
              <a:t>123</a:t>
            </a:r>
          </a:p>
        </xdr:txBody>
      </xdr:sp>
    </xdr:grpSp>
    <xdr:clientData/>
  </xdr:twoCellAnchor>
  <xdr:twoCellAnchor>
    <xdr:from>
      <xdr:col>10</xdr:col>
      <xdr:colOff>521693</xdr:colOff>
      <xdr:row>101</xdr:row>
      <xdr:rowOff>908</xdr:rowOff>
    </xdr:from>
    <xdr:to>
      <xdr:col>11</xdr:col>
      <xdr:colOff>221356</xdr:colOff>
      <xdr:row>111</xdr:row>
      <xdr:rowOff>152619</xdr:rowOff>
    </xdr:to>
    <xdr:grpSp>
      <xdr:nvGrpSpPr>
        <xdr:cNvPr id="120" name="Gruppieren 119">
          <a:extLst>
            <a:ext uri="{FF2B5EF4-FFF2-40B4-BE49-F238E27FC236}">
              <a16:creationId xmlns:a16="http://schemas.microsoft.com/office/drawing/2014/main" id="{E6CD34E3-AB23-4855-A75B-6FD24B5D5FB4}"/>
            </a:ext>
          </a:extLst>
        </xdr:cNvPr>
        <xdr:cNvGrpSpPr/>
      </xdr:nvGrpSpPr>
      <xdr:grpSpPr>
        <a:xfrm>
          <a:off x="8141693" y="29790346"/>
          <a:ext cx="461663" cy="2294836"/>
          <a:chOff x="9527870" y="3599470"/>
          <a:chExt cx="467002" cy="1797691"/>
        </a:xfrm>
      </xdr:grpSpPr>
      <xdr:sp macro="" textlink="">
        <xdr:nvSpPr>
          <xdr:cNvPr id="121" name="Rechteck 120">
            <a:extLst>
              <a:ext uri="{FF2B5EF4-FFF2-40B4-BE49-F238E27FC236}">
                <a16:creationId xmlns:a16="http://schemas.microsoft.com/office/drawing/2014/main" id="{606CC454-D6DF-87FF-EC2F-1C97310D4016}"/>
              </a:ext>
            </a:extLst>
          </xdr:cNvPr>
          <xdr:cNvSpPr/>
        </xdr:nvSpPr>
        <xdr:spPr>
          <a:xfrm>
            <a:off x="9534648" y="3723771"/>
            <a:ext cx="371475" cy="1076325"/>
          </a:xfrm>
          <a:prstGeom prst="rect">
            <a:avLst/>
          </a:prstGeom>
          <a:noFill/>
          <a:ln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  <xdr:cxnSp macro="">
        <xdr:nvCxnSpPr>
          <xdr:cNvPr id="122" name="Gerader Verbinder 121">
            <a:extLst>
              <a:ext uri="{FF2B5EF4-FFF2-40B4-BE49-F238E27FC236}">
                <a16:creationId xmlns:a16="http://schemas.microsoft.com/office/drawing/2014/main" id="{B46DFA31-9D62-7C14-4FB5-57B965A93B34}"/>
              </a:ext>
            </a:extLst>
          </xdr:cNvPr>
          <xdr:cNvCxnSpPr>
            <a:stCxn id="142" idx="0"/>
            <a:endCxn id="121" idx="0"/>
          </xdr:cNvCxnSpPr>
        </xdr:nvCxnSpPr>
        <xdr:spPr>
          <a:xfrm flipH="1">
            <a:off x="9720386" y="3599470"/>
            <a:ext cx="16618" cy="124301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123" name="Gerader Verbinder 122">
            <a:extLst>
              <a:ext uri="{FF2B5EF4-FFF2-40B4-BE49-F238E27FC236}">
                <a16:creationId xmlns:a16="http://schemas.microsoft.com/office/drawing/2014/main" id="{4E80C3A6-22D4-4E41-E821-84B8B37DEE1F}"/>
              </a:ext>
            </a:extLst>
          </xdr:cNvPr>
          <xdr:cNvCxnSpPr>
            <a:stCxn id="121" idx="2"/>
          </xdr:cNvCxnSpPr>
        </xdr:nvCxnSpPr>
        <xdr:spPr>
          <a:xfrm>
            <a:off x="9720386" y="4800095"/>
            <a:ext cx="1587" cy="597066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124" name="Textfeld 123">
            <a:extLst>
              <a:ext uri="{FF2B5EF4-FFF2-40B4-BE49-F238E27FC236}">
                <a16:creationId xmlns:a16="http://schemas.microsoft.com/office/drawing/2014/main" id="{F1A51F4E-AA23-CF6A-3F06-D0C4A31B7587}"/>
              </a:ext>
            </a:extLst>
          </xdr:cNvPr>
          <xdr:cNvSpPr txBox="1"/>
        </xdr:nvSpPr>
        <xdr:spPr>
          <a:xfrm rot="5400000">
            <a:off x="9521244" y="3790501"/>
            <a:ext cx="480253" cy="46700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de-CH" sz="2400"/>
              <a:t>R</a:t>
            </a:r>
            <a:r>
              <a:rPr lang="de-CH" sz="2400" baseline="-25000"/>
              <a:t>45</a:t>
            </a:r>
          </a:p>
        </xdr:txBody>
      </xdr:sp>
    </xdr:grpSp>
    <xdr:clientData/>
  </xdr:twoCellAnchor>
  <xdr:twoCellAnchor>
    <xdr:from>
      <xdr:col>5</xdr:col>
      <xdr:colOff>719508</xdr:colOff>
      <xdr:row>88</xdr:row>
      <xdr:rowOff>176646</xdr:rowOff>
    </xdr:from>
    <xdr:to>
      <xdr:col>6</xdr:col>
      <xdr:colOff>425521</xdr:colOff>
      <xdr:row>111</xdr:row>
      <xdr:rowOff>128164</xdr:rowOff>
    </xdr:to>
    <xdr:grpSp>
      <xdr:nvGrpSpPr>
        <xdr:cNvPr id="125" name="Gruppieren 124">
          <a:extLst>
            <a:ext uri="{FF2B5EF4-FFF2-40B4-BE49-F238E27FC236}">
              <a16:creationId xmlns:a16="http://schemas.microsoft.com/office/drawing/2014/main" id="{48857F8A-1FF6-4EB2-A9EA-071E21D56E5F}"/>
            </a:ext>
          </a:extLst>
        </xdr:cNvPr>
        <xdr:cNvGrpSpPr/>
      </xdr:nvGrpSpPr>
      <xdr:grpSpPr>
        <a:xfrm>
          <a:off x="4529508" y="26727584"/>
          <a:ext cx="468013" cy="5333143"/>
          <a:chOff x="8941283" y="3264625"/>
          <a:chExt cx="469428" cy="4311071"/>
        </a:xfrm>
      </xdr:grpSpPr>
      <xdr:sp macro="" textlink="">
        <xdr:nvSpPr>
          <xdr:cNvPr id="126" name="Rechteck 125">
            <a:extLst>
              <a:ext uri="{FF2B5EF4-FFF2-40B4-BE49-F238E27FC236}">
                <a16:creationId xmlns:a16="http://schemas.microsoft.com/office/drawing/2014/main" id="{2D762F53-7A0A-25FC-0CED-4CE2860EFF01}"/>
              </a:ext>
            </a:extLst>
          </xdr:cNvPr>
          <xdr:cNvSpPr/>
        </xdr:nvSpPr>
        <xdr:spPr>
          <a:xfrm>
            <a:off x="8959850" y="3706023"/>
            <a:ext cx="371475" cy="1076325"/>
          </a:xfrm>
          <a:prstGeom prst="rect">
            <a:avLst/>
          </a:prstGeom>
          <a:noFill/>
          <a:ln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  <xdr:cxnSp macro="">
        <xdr:nvCxnSpPr>
          <xdr:cNvPr id="127" name="Gerader Verbinder 126">
            <a:extLst>
              <a:ext uri="{FF2B5EF4-FFF2-40B4-BE49-F238E27FC236}">
                <a16:creationId xmlns:a16="http://schemas.microsoft.com/office/drawing/2014/main" id="{92E10EDB-AA51-FDE3-5718-594FF667CE18}"/>
              </a:ext>
            </a:extLst>
          </xdr:cNvPr>
          <xdr:cNvCxnSpPr>
            <a:stCxn id="141" idx="4"/>
            <a:endCxn id="126" idx="0"/>
          </xdr:cNvCxnSpPr>
        </xdr:nvCxnSpPr>
        <xdr:spPr>
          <a:xfrm flipH="1">
            <a:off x="9145588" y="3264625"/>
            <a:ext cx="3910" cy="441398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128" name="Gerader Verbinder 127">
            <a:extLst>
              <a:ext uri="{FF2B5EF4-FFF2-40B4-BE49-F238E27FC236}">
                <a16:creationId xmlns:a16="http://schemas.microsoft.com/office/drawing/2014/main" id="{93E4DC11-962E-ABF7-700D-C0C759ED888E}"/>
              </a:ext>
            </a:extLst>
          </xdr:cNvPr>
          <xdr:cNvCxnSpPr>
            <a:stCxn id="126" idx="2"/>
            <a:endCxn id="280" idx="7"/>
          </xdr:cNvCxnSpPr>
        </xdr:nvCxnSpPr>
        <xdr:spPr>
          <a:xfrm flipH="1">
            <a:off x="9136444" y="4782348"/>
            <a:ext cx="9144" cy="2793348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129" name="Textfeld 128">
            <a:extLst>
              <a:ext uri="{FF2B5EF4-FFF2-40B4-BE49-F238E27FC236}">
                <a16:creationId xmlns:a16="http://schemas.microsoft.com/office/drawing/2014/main" id="{EE7F75BE-6357-1FD0-6727-532662E366BA}"/>
              </a:ext>
            </a:extLst>
          </xdr:cNvPr>
          <xdr:cNvSpPr txBox="1"/>
        </xdr:nvSpPr>
        <xdr:spPr>
          <a:xfrm rot="5400000">
            <a:off x="8880795" y="3904822"/>
            <a:ext cx="590404" cy="46942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de-CH" sz="2400"/>
              <a:t>R</a:t>
            </a:r>
            <a:r>
              <a:rPr lang="de-CH" sz="2400" baseline="-25000"/>
              <a:t>789</a:t>
            </a:r>
          </a:p>
        </xdr:txBody>
      </xdr:sp>
    </xdr:grpSp>
    <xdr:clientData/>
  </xdr:twoCellAnchor>
  <xdr:twoCellAnchor>
    <xdr:from>
      <xdr:col>1</xdr:col>
      <xdr:colOff>525997</xdr:colOff>
      <xdr:row>88</xdr:row>
      <xdr:rowOff>169857</xdr:rowOff>
    </xdr:from>
    <xdr:to>
      <xdr:col>2</xdr:col>
      <xdr:colOff>232011</xdr:colOff>
      <xdr:row>104</xdr:row>
      <xdr:rowOff>169404</xdr:rowOff>
    </xdr:to>
    <xdr:grpSp>
      <xdr:nvGrpSpPr>
        <xdr:cNvPr id="130" name="Gruppieren 129">
          <a:extLst>
            <a:ext uri="{FF2B5EF4-FFF2-40B4-BE49-F238E27FC236}">
              <a16:creationId xmlns:a16="http://schemas.microsoft.com/office/drawing/2014/main" id="{342E7F8E-8D49-46C5-AF95-907553D9F816}"/>
            </a:ext>
          </a:extLst>
        </xdr:cNvPr>
        <xdr:cNvGrpSpPr/>
      </xdr:nvGrpSpPr>
      <xdr:grpSpPr>
        <a:xfrm>
          <a:off x="1287997" y="26720795"/>
          <a:ext cx="468014" cy="4047672"/>
          <a:chOff x="8945774" y="3254331"/>
          <a:chExt cx="471479" cy="3010540"/>
        </a:xfrm>
      </xdr:grpSpPr>
      <xdr:sp macro="" textlink="">
        <xdr:nvSpPr>
          <xdr:cNvPr id="131" name="Rechteck 130">
            <a:extLst>
              <a:ext uri="{FF2B5EF4-FFF2-40B4-BE49-F238E27FC236}">
                <a16:creationId xmlns:a16="http://schemas.microsoft.com/office/drawing/2014/main" id="{4BE0FCF7-9D78-7836-299F-A44084153FC1}"/>
              </a:ext>
            </a:extLst>
          </xdr:cNvPr>
          <xdr:cNvSpPr/>
        </xdr:nvSpPr>
        <xdr:spPr>
          <a:xfrm>
            <a:off x="8959850" y="3778250"/>
            <a:ext cx="371475" cy="1076325"/>
          </a:xfrm>
          <a:prstGeom prst="rect">
            <a:avLst/>
          </a:prstGeom>
          <a:noFill/>
          <a:ln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  <xdr:cxnSp macro="">
        <xdr:nvCxnSpPr>
          <xdr:cNvPr id="132" name="Gerader Verbinder 131">
            <a:extLst>
              <a:ext uri="{FF2B5EF4-FFF2-40B4-BE49-F238E27FC236}">
                <a16:creationId xmlns:a16="http://schemas.microsoft.com/office/drawing/2014/main" id="{FFD157EC-42ED-CB55-9F5A-331A9D97CACA}"/>
              </a:ext>
            </a:extLst>
          </xdr:cNvPr>
          <xdr:cNvCxnSpPr>
            <a:endCxn id="131" idx="0"/>
          </xdr:cNvCxnSpPr>
        </xdr:nvCxnSpPr>
        <xdr:spPr>
          <a:xfrm flipH="1">
            <a:off x="9145588" y="3254331"/>
            <a:ext cx="1587" cy="523919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133" name="Gerader Verbinder 132">
            <a:extLst>
              <a:ext uri="{FF2B5EF4-FFF2-40B4-BE49-F238E27FC236}">
                <a16:creationId xmlns:a16="http://schemas.microsoft.com/office/drawing/2014/main" id="{F907AA1A-E01F-F870-C7F8-930ACC30B156}"/>
              </a:ext>
            </a:extLst>
          </xdr:cNvPr>
          <xdr:cNvCxnSpPr>
            <a:stCxn id="131" idx="2"/>
          </xdr:cNvCxnSpPr>
        </xdr:nvCxnSpPr>
        <xdr:spPr>
          <a:xfrm flipH="1">
            <a:off x="9134165" y="4854575"/>
            <a:ext cx="11423" cy="1410296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134" name="Textfeld 133">
            <a:extLst>
              <a:ext uri="{FF2B5EF4-FFF2-40B4-BE49-F238E27FC236}">
                <a16:creationId xmlns:a16="http://schemas.microsoft.com/office/drawing/2014/main" id="{827EC335-21B9-0F52-33AB-340AD76906BD}"/>
              </a:ext>
            </a:extLst>
          </xdr:cNvPr>
          <xdr:cNvSpPr txBox="1"/>
        </xdr:nvSpPr>
        <xdr:spPr>
          <a:xfrm rot="5400000">
            <a:off x="8942200" y="3826294"/>
            <a:ext cx="478628" cy="471479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de-CH" sz="2400"/>
              <a:t>R</a:t>
            </a:r>
            <a:r>
              <a:rPr lang="de-CH" sz="2400" baseline="-25000"/>
              <a:t>10</a:t>
            </a:r>
          </a:p>
        </xdr:txBody>
      </xdr:sp>
    </xdr:grpSp>
    <xdr:clientData/>
  </xdr:twoCellAnchor>
  <xdr:twoCellAnchor>
    <xdr:from>
      <xdr:col>1</xdr:col>
      <xdr:colOff>720725</xdr:colOff>
      <xdr:row>88</xdr:row>
      <xdr:rowOff>169857</xdr:rowOff>
    </xdr:from>
    <xdr:to>
      <xdr:col>10</xdr:col>
      <xdr:colOff>723900</xdr:colOff>
      <xdr:row>88</xdr:row>
      <xdr:rowOff>179382</xdr:rowOff>
    </xdr:to>
    <xdr:cxnSp macro="">
      <xdr:nvCxnSpPr>
        <xdr:cNvPr id="135" name="Gerader Verbinder 134">
          <a:extLst>
            <a:ext uri="{FF2B5EF4-FFF2-40B4-BE49-F238E27FC236}">
              <a16:creationId xmlns:a16="http://schemas.microsoft.com/office/drawing/2014/main" id="{3FD3ABB0-F18D-475C-83DE-E3AA5AAFF8FA}"/>
            </a:ext>
          </a:extLst>
        </xdr:cNvPr>
        <xdr:cNvCxnSpPr/>
      </xdr:nvCxnSpPr>
      <xdr:spPr>
        <a:xfrm flipH="1" flipV="1">
          <a:off x="1482725" y="26795407"/>
          <a:ext cx="6861175" cy="952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358775</xdr:colOff>
      <xdr:row>106</xdr:row>
      <xdr:rowOff>53289</xdr:rowOff>
    </xdr:from>
    <xdr:to>
      <xdr:col>2</xdr:col>
      <xdr:colOff>219084</xdr:colOff>
      <xdr:row>106</xdr:row>
      <xdr:rowOff>53289</xdr:rowOff>
    </xdr:to>
    <xdr:cxnSp macro="">
      <xdr:nvCxnSpPr>
        <xdr:cNvPr id="136" name="Gerader Verbinder 135">
          <a:extLst>
            <a:ext uri="{FF2B5EF4-FFF2-40B4-BE49-F238E27FC236}">
              <a16:creationId xmlns:a16="http://schemas.microsoft.com/office/drawing/2014/main" id="{98BE6AE7-9A3C-4666-BFD4-489DDEDA873F}"/>
            </a:ext>
          </a:extLst>
        </xdr:cNvPr>
        <xdr:cNvCxnSpPr/>
      </xdr:nvCxnSpPr>
      <xdr:spPr>
        <a:xfrm flipH="1">
          <a:off x="1120775" y="31155589"/>
          <a:ext cx="622309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549729</xdr:colOff>
      <xdr:row>105</xdr:row>
      <xdr:rowOff>34694</xdr:rowOff>
    </xdr:from>
    <xdr:to>
      <xdr:col>2</xdr:col>
      <xdr:colOff>86179</xdr:colOff>
      <xdr:row>105</xdr:row>
      <xdr:rowOff>34694</xdr:rowOff>
    </xdr:to>
    <xdr:cxnSp macro="">
      <xdr:nvCxnSpPr>
        <xdr:cNvPr id="137" name="Gerader Verbinder 136">
          <a:extLst>
            <a:ext uri="{FF2B5EF4-FFF2-40B4-BE49-F238E27FC236}">
              <a16:creationId xmlns:a16="http://schemas.microsoft.com/office/drawing/2014/main" id="{7EA85A26-802E-4F92-9BAA-9131944316A1}"/>
            </a:ext>
          </a:extLst>
        </xdr:cNvPr>
        <xdr:cNvCxnSpPr/>
      </xdr:nvCxnSpPr>
      <xdr:spPr>
        <a:xfrm flipH="1">
          <a:off x="1311729" y="30940144"/>
          <a:ext cx="298450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558800</xdr:colOff>
      <xdr:row>106</xdr:row>
      <xdr:rowOff>103182</xdr:rowOff>
    </xdr:from>
    <xdr:to>
      <xdr:col>2</xdr:col>
      <xdr:colOff>95250</xdr:colOff>
      <xdr:row>106</xdr:row>
      <xdr:rowOff>103182</xdr:rowOff>
    </xdr:to>
    <xdr:cxnSp macro="">
      <xdr:nvCxnSpPr>
        <xdr:cNvPr id="138" name="Gerader Verbinder 137">
          <a:extLst>
            <a:ext uri="{FF2B5EF4-FFF2-40B4-BE49-F238E27FC236}">
              <a16:creationId xmlns:a16="http://schemas.microsoft.com/office/drawing/2014/main" id="{BC4203C9-C5A5-417F-B6C3-9CE07EAAC622}"/>
            </a:ext>
          </a:extLst>
        </xdr:cNvPr>
        <xdr:cNvCxnSpPr/>
      </xdr:nvCxnSpPr>
      <xdr:spPr>
        <a:xfrm flipH="1">
          <a:off x="1320800" y="31205482"/>
          <a:ext cx="298450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701675</xdr:colOff>
      <xdr:row>106</xdr:row>
      <xdr:rowOff>131757</xdr:rowOff>
    </xdr:from>
    <xdr:to>
      <xdr:col>1</xdr:col>
      <xdr:colOff>714375</xdr:colOff>
      <xdr:row>111</xdr:row>
      <xdr:rowOff>174625</xdr:rowOff>
    </xdr:to>
    <xdr:cxnSp macro="">
      <xdr:nvCxnSpPr>
        <xdr:cNvPr id="139" name="Gerader Verbinder 138">
          <a:extLst>
            <a:ext uri="{FF2B5EF4-FFF2-40B4-BE49-F238E27FC236}">
              <a16:creationId xmlns:a16="http://schemas.microsoft.com/office/drawing/2014/main" id="{E56F80E9-52BF-4E26-B5DA-A3D4B1FE984C}"/>
            </a:ext>
          </a:extLst>
        </xdr:cNvPr>
        <xdr:cNvCxnSpPr/>
      </xdr:nvCxnSpPr>
      <xdr:spPr>
        <a:xfrm>
          <a:off x="1463675" y="31234057"/>
          <a:ext cx="12700" cy="1027118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726849</xdr:colOff>
      <xdr:row>100</xdr:row>
      <xdr:rowOff>258082</xdr:rowOff>
    </xdr:from>
    <xdr:to>
      <xdr:col>12</xdr:col>
      <xdr:colOff>674006</xdr:colOff>
      <xdr:row>100</xdr:row>
      <xdr:rowOff>273263</xdr:rowOff>
    </xdr:to>
    <xdr:cxnSp macro="">
      <xdr:nvCxnSpPr>
        <xdr:cNvPr id="140" name="Gerader Verbinder 139">
          <a:extLst>
            <a:ext uri="{FF2B5EF4-FFF2-40B4-BE49-F238E27FC236}">
              <a16:creationId xmlns:a16="http://schemas.microsoft.com/office/drawing/2014/main" id="{FE8A5F65-D8FC-4CF8-AFF6-E72B80E744D6}"/>
            </a:ext>
          </a:extLst>
        </xdr:cNvPr>
        <xdr:cNvCxnSpPr>
          <a:stCxn id="143" idx="2"/>
          <a:endCxn id="142" idx="0"/>
        </xdr:cNvCxnSpPr>
      </xdr:nvCxnSpPr>
      <xdr:spPr>
        <a:xfrm flipH="1" flipV="1">
          <a:off x="8346849" y="29798282"/>
          <a:ext cx="1471157" cy="15181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95250</xdr:colOff>
      <xdr:row>88</xdr:row>
      <xdr:rowOff>127000</xdr:rowOff>
    </xdr:from>
    <xdr:to>
      <xdr:col>6</xdr:col>
      <xdr:colOff>234950</xdr:colOff>
      <xdr:row>89</xdr:row>
      <xdr:rowOff>38100</xdr:rowOff>
    </xdr:to>
    <xdr:sp macro="" textlink="">
      <xdr:nvSpPr>
        <xdr:cNvPr id="141" name="Ellipse 140">
          <a:extLst>
            <a:ext uri="{FF2B5EF4-FFF2-40B4-BE49-F238E27FC236}">
              <a16:creationId xmlns:a16="http://schemas.microsoft.com/office/drawing/2014/main" id="{A0D53DA2-ACD2-4260-9E68-4B384053E04B}"/>
            </a:ext>
          </a:extLst>
        </xdr:cNvPr>
        <xdr:cNvSpPr/>
      </xdr:nvSpPr>
      <xdr:spPr>
        <a:xfrm>
          <a:off x="4667250" y="26752550"/>
          <a:ext cx="139700" cy="107950"/>
        </a:xfrm>
        <a:prstGeom prst="ellipse">
          <a:avLst/>
        </a:prstGeom>
        <a:solidFill>
          <a:schemeClr val="tx1">
            <a:lumMod val="95000"/>
            <a:lumOff val="5000"/>
          </a:schemeClr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10</xdr:col>
      <xdr:colOff>678543</xdr:colOff>
      <xdr:row>100</xdr:row>
      <xdr:rowOff>261257</xdr:rowOff>
    </xdr:from>
    <xdr:to>
      <xdr:col>11</xdr:col>
      <xdr:colOff>16329</xdr:colOff>
      <xdr:row>101</xdr:row>
      <xdr:rowOff>66896</xdr:rowOff>
    </xdr:to>
    <xdr:sp macro="" textlink="">
      <xdr:nvSpPr>
        <xdr:cNvPr id="142" name="Ellipse 141">
          <a:extLst>
            <a:ext uri="{FF2B5EF4-FFF2-40B4-BE49-F238E27FC236}">
              <a16:creationId xmlns:a16="http://schemas.microsoft.com/office/drawing/2014/main" id="{776E56FA-CE23-414D-9E25-B6C176500F8A}"/>
            </a:ext>
          </a:extLst>
        </xdr:cNvPr>
        <xdr:cNvSpPr/>
      </xdr:nvSpPr>
      <xdr:spPr>
        <a:xfrm>
          <a:off x="8298543" y="29801457"/>
          <a:ext cx="99786" cy="186639"/>
        </a:xfrm>
        <a:prstGeom prst="ellipse">
          <a:avLst/>
        </a:prstGeom>
        <a:solidFill>
          <a:schemeClr val="tx1">
            <a:lumMod val="95000"/>
            <a:lumOff val="5000"/>
          </a:schemeClr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12</xdr:col>
      <xdr:colOff>670831</xdr:colOff>
      <xdr:row>100</xdr:row>
      <xdr:rowOff>210002</xdr:rowOff>
    </xdr:from>
    <xdr:to>
      <xdr:col>12</xdr:col>
      <xdr:colOff>743403</xdr:colOff>
      <xdr:row>101</xdr:row>
      <xdr:rowOff>4303</xdr:rowOff>
    </xdr:to>
    <xdr:sp macro="" textlink="">
      <xdr:nvSpPr>
        <xdr:cNvPr id="143" name="Ellipse 142">
          <a:extLst>
            <a:ext uri="{FF2B5EF4-FFF2-40B4-BE49-F238E27FC236}">
              <a16:creationId xmlns:a16="http://schemas.microsoft.com/office/drawing/2014/main" id="{09C030D1-EA02-4C6A-BED6-8C7B57B84587}"/>
            </a:ext>
          </a:extLst>
        </xdr:cNvPr>
        <xdr:cNvSpPr/>
      </xdr:nvSpPr>
      <xdr:spPr>
        <a:xfrm>
          <a:off x="9814831" y="29750202"/>
          <a:ext cx="72572" cy="175301"/>
        </a:xfrm>
        <a:prstGeom prst="ellipse">
          <a:avLst/>
        </a:prstGeom>
        <a:solidFill>
          <a:schemeClr val="tx1">
            <a:lumMod val="95000"/>
            <a:lumOff val="5000"/>
          </a:schemeClr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1</xdr:col>
      <xdr:colOff>388257</xdr:colOff>
      <xdr:row>104</xdr:row>
      <xdr:rowOff>169403</xdr:rowOff>
    </xdr:from>
    <xdr:to>
      <xdr:col>2</xdr:col>
      <xdr:colOff>248566</xdr:colOff>
      <xdr:row>104</xdr:row>
      <xdr:rowOff>178928</xdr:rowOff>
    </xdr:to>
    <xdr:cxnSp macro="">
      <xdr:nvCxnSpPr>
        <xdr:cNvPr id="144" name="Gerader Verbinder 143">
          <a:extLst>
            <a:ext uri="{FF2B5EF4-FFF2-40B4-BE49-F238E27FC236}">
              <a16:creationId xmlns:a16="http://schemas.microsoft.com/office/drawing/2014/main" id="{AF77FD29-C4D7-485C-9C4A-9D1D196989D1}"/>
            </a:ext>
          </a:extLst>
        </xdr:cNvPr>
        <xdr:cNvCxnSpPr/>
      </xdr:nvCxnSpPr>
      <xdr:spPr>
        <a:xfrm flipH="1">
          <a:off x="1150257" y="30878003"/>
          <a:ext cx="622309" cy="952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706664</xdr:colOff>
      <xdr:row>105</xdr:row>
      <xdr:rowOff>25621</xdr:rowOff>
    </xdr:from>
    <xdr:to>
      <xdr:col>1</xdr:col>
      <xdr:colOff>711200</xdr:colOff>
      <xdr:row>106</xdr:row>
      <xdr:rowOff>73246</xdr:rowOff>
    </xdr:to>
    <xdr:cxnSp macro="">
      <xdr:nvCxnSpPr>
        <xdr:cNvPr id="145" name="Gerader Verbinder 144">
          <a:extLst>
            <a:ext uri="{FF2B5EF4-FFF2-40B4-BE49-F238E27FC236}">
              <a16:creationId xmlns:a16="http://schemas.microsoft.com/office/drawing/2014/main" id="{A52B9D9F-9B12-4B73-AE89-68180A49E236}"/>
            </a:ext>
          </a:extLst>
        </xdr:cNvPr>
        <xdr:cNvCxnSpPr/>
      </xdr:nvCxnSpPr>
      <xdr:spPr>
        <a:xfrm flipH="1">
          <a:off x="1468664" y="30931071"/>
          <a:ext cx="4536" cy="244475"/>
        </a:xfrm>
        <a:prstGeom prst="line">
          <a:avLst/>
        </a:prstGeom>
        <a:ln>
          <a:prstDash val="sysDash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656772</xdr:colOff>
      <xdr:row>88</xdr:row>
      <xdr:rowOff>97286</xdr:rowOff>
    </xdr:from>
    <xdr:to>
      <xdr:col>10</xdr:col>
      <xdr:colOff>752022</xdr:colOff>
      <xdr:row>89</xdr:row>
      <xdr:rowOff>52836</xdr:rowOff>
    </xdr:to>
    <xdr:sp macro="" textlink="">
      <xdr:nvSpPr>
        <xdr:cNvPr id="146" name="Ellipse 145">
          <a:extLst>
            <a:ext uri="{FF2B5EF4-FFF2-40B4-BE49-F238E27FC236}">
              <a16:creationId xmlns:a16="http://schemas.microsoft.com/office/drawing/2014/main" id="{F2440143-B2DF-475B-BEEB-27430F7B6A4C}"/>
            </a:ext>
          </a:extLst>
        </xdr:cNvPr>
        <xdr:cNvSpPr/>
      </xdr:nvSpPr>
      <xdr:spPr>
        <a:xfrm>
          <a:off x="8276772" y="26722836"/>
          <a:ext cx="95250" cy="152400"/>
        </a:xfrm>
        <a:prstGeom prst="ellipse">
          <a:avLst/>
        </a:prstGeom>
        <a:solidFill>
          <a:schemeClr val="tx1">
            <a:lumMod val="95000"/>
            <a:lumOff val="5000"/>
          </a:schemeClr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10</xdr:col>
      <xdr:colOff>520907</xdr:colOff>
      <xdr:row>89</xdr:row>
      <xdr:rowOff>27891</xdr:rowOff>
    </xdr:from>
    <xdr:to>
      <xdr:col>11</xdr:col>
      <xdr:colOff>214673</xdr:colOff>
      <xdr:row>101</xdr:row>
      <xdr:rowOff>42524</xdr:rowOff>
    </xdr:to>
    <xdr:grpSp>
      <xdr:nvGrpSpPr>
        <xdr:cNvPr id="147" name="Gruppieren 146">
          <a:extLst>
            <a:ext uri="{FF2B5EF4-FFF2-40B4-BE49-F238E27FC236}">
              <a16:creationId xmlns:a16="http://schemas.microsoft.com/office/drawing/2014/main" id="{FAD9E4D2-CDCD-4846-9C75-AB6DBB606442}"/>
            </a:ext>
          </a:extLst>
        </xdr:cNvPr>
        <xdr:cNvGrpSpPr/>
      </xdr:nvGrpSpPr>
      <xdr:grpSpPr>
        <a:xfrm>
          <a:off x="8140907" y="26769329"/>
          <a:ext cx="455766" cy="3062633"/>
          <a:chOff x="8934450" y="3237320"/>
          <a:chExt cx="448997" cy="2214322"/>
        </a:xfrm>
      </xdr:grpSpPr>
      <xdr:sp macro="" textlink="">
        <xdr:nvSpPr>
          <xdr:cNvPr id="148" name="Rechteck 147">
            <a:extLst>
              <a:ext uri="{FF2B5EF4-FFF2-40B4-BE49-F238E27FC236}">
                <a16:creationId xmlns:a16="http://schemas.microsoft.com/office/drawing/2014/main" id="{F6203CFB-6D26-52C6-8E20-99275003004F}"/>
              </a:ext>
            </a:extLst>
          </xdr:cNvPr>
          <xdr:cNvSpPr/>
        </xdr:nvSpPr>
        <xdr:spPr>
          <a:xfrm>
            <a:off x="8956675" y="3778250"/>
            <a:ext cx="371475" cy="1076325"/>
          </a:xfrm>
          <a:prstGeom prst="rect">
            <a:avLst/>
          </a:prstGeom>
          <a:noFill/>
          <a:ln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  <xdr:cxnSp macro="">
        <xdr:nvCxnSpPr>
          <xdr:cNvPr id="149" name="Gerader Verbinder 148">
            <a:extLst>
              <a:ext uri="{FF2B5EF4-FFF2-40B4-BE49-F238E27FC236}">
                <a16:creationId xmlns:a16="http://schemas.microsoft.com/office/drawing/2014/main" id="{FD75BFA8-A757-2C0D-4A7F-914BEBF8F97D}"/>
              </a:ext>
            </a:extLst>
          </xdr:cNvPr>
          <xdr:cNvCxnSpPr>
            <a:stCxn id="146" idx="4"/>
            <a:endCxn id="148" idx="0"/>
          </xdr:cNvCxnSpPr>
        </xdr:nvCxnSpPr>
        <xdr:spPr>
          <a:xfrm flipH="1">
            <a:off x="9142412" y="3237320"/>
            <a:ext cx="2725" cy="540930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150" name="Gerader Verbinder 149">
            <a:extLst>
              <a:ext uri="{FF2B5EF4-FFF2-40B4-BE49-F238E27FC236}">
                <a16:creationId xmlns:a16="http://schemas.microsoft.com/office/drawing/2014/main" id="{AA8A9AA1-E043-9527-2130-720B8FFDDB23}"/>
              </a:ext>
            </a:extLst>
          </xdr:cNvPr>
          <xdr:cNvCxnSpPr>
            <a:stCxn id="148" idx="2"/>
          </xdr:cNvCxnSpPr>
        </xdr:nvCxnSpPr>
        <xdr:spPr>
          <a:xfrm>
            <a:off x="9142413" y="4854576"/>
            <a:ext cx="1587" cy="597066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151" name="Textfeld 150">
            <a:extLst>
              <a:ext uri="{FF2B5EF4-FFF2-40B4-BE49-F238E27FC236}">
                <a16:creationId xmlns:a16="http://schemas.microsoft.com/office/drawing/2014/main" id="{B9D34097-38E0-01B5-B20D-767E849C9FBE}"/>
              </a:ext>
            </a:extLst>
          </xdr:cNvPr>
          <xdr:cNvSpPr txBox="1"/>
        </xdr:nvSpPr>
        <xdr:spPr>
          <a:xfrm>
            <a:off x="8934450" y="4010025"/>
            <a:ext cx="448997" cy="37585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de-CH" sz="2400"/>
              <a:t>R</a:t>
            </a:r>
            <a:r>
              <a:rPr lang="de-CH" sz="2400" baseline="-25000"/>
              <a:t>6</a:t>
            </a:r>
          </a:p>
        </xdr:txBody>
      </xdr:sp>
    </xdr:grpSp>
    <xdr:clientData/>
  </xdr:twoCellAnchor>
  <xdr:twoCellAnchor>
    <xdr:from>
      <xdr:col>11</xdr:col>
      <xdr:colOff>148640</xdr:colOff>
      <xdr:row>140</xdr:row>
      <xdr:rowOff>104215</xdr:rowOff>
    </xdr:from>
    <xdr:to>
      <xdr:col>11</xdr:col>
      <xdr:colOff>554072</xdr:colOff>
      <xdr:row>153</xdr:row>
      <xdr:rowOff>37645</xdr:rowOff>
    </xdr:to>
    <xdr:grpSp>
      <xdr:nvGrpSpPr>
        <xdr:cNvPr id="152" name="Gruppieren 151">
          <a:extLst>
            <a:ext uri="{FF2B5EF4-FFF2-40B4-BE49-F238E27FC236}">
              <a16:creationId xmlns:a16="http://schemas.microsoft.com/office/drawing/2014/main" id="{3AFC1D98-623D-4F6B-98BE-2C99B00FAF31}"/>
            </a:ext>
          </a:extLst>
        </xdr:cNvPr>
        <xdr:cNvGrpSpPr/>
      </xdr:nvGrpSpPr>
      <xdr:grpSpPr>
        <a:xfrm>
          <a:off x="8530640" y="36584965"/>
          <a:ext cx="405432" cy="3457680"/>
          <a:chOff x="8934017" y="3167408"/>
          <a:chExt cx="408386" cy="2284234"/>
        </a:xfrm>
      </xdr:grpSpPr>
      <xdr:sp macro="" textlink="">
        <xdr:nvSpPr>
          <xdr:cNvPr id="153" name="Rechteck 152">
            <a:extLst>
              <a:ext uri="{FF2B5EF4-FFF2-40B4-BE49-F238E27FC236}">
                <a16:creationId xmlns:a16="http://schemas.microsoft.com/office/drawing/2014/main" id="{57001FB1-14CF-9373-6D5E-6E99FE6052BB}"/>
              </a:ext>
            </a:extLst>
          </xdr:cNvPr>
          <xdr:cNvSpPr/>
        </xdr:nvSpPr>
        <xdr:spPr>
          <a:xfrm>
            <a:off x="8959850" y="3778250"/>
            <a:ext cx="371475" cy="1076325"/>
          </a:xfrm>
          <a:prstGeom prst="rect">
            <a:avLst/>
          </a:prstGeom>
          <a:noFill/>
          <a:ln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  <xdr:cxnSp macro="">
        <xdr:nvCxnSpPr>
          <xdr:cNvPr id="154" name="Gerader Verbinder 153">
            <a:extLst>
              <a:ext uri="{FF2B5EF4-FFF2-40B4-BE49-F238E27FC236}">
                <a16:creationId xmlns:a16="http://schemas.microsoft.com/office/drawing/2014/main" id="{EB35914C-D27B-1D28-F4D7-600472ACF417}"/>
              </a:ext>
            </a:extLst>
          </xdr:cNvPr>
          <xdr:cNvCxnSpPr>
            <a:stCxn id="180" idx="2"/>
            <a:endCxn id="153" idx="0"/>
          </xdr:cNvCxnSpPr>
        </xdr:nvCxnSpPr>
        <xdr:spPr>
          <a:xfrm>
            <a:off x="9137573" y="3167408"/>
            <a:ext cx="8014" cy="610842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155" name="Gerader Verbinder 154">
            <a:extLst>
              <a:ext uri="{FF2B5EF4-FFF2-40B4-BE49-F238E27FC236}">
                <a16:creationId xmlns:a16="http://schemas.microsoft.com/office/drawing/2014/main" id="{189E7658-12A2-5C77-BF46-E16A73AF1791}"/>
              </a:ext>
            </a:extLst>
          </xdr:cNvPr>
          <xdr:cNvCxnSpPr>
            <a:stCxn id="153" idx="2"/>
          </xdr:cNvCxnSpPr>
        </xdr:nvCxnSpPr>
        <xdr:spPr>
          <a:xfrm>
            <a:off x="9145588" y="4854576"/>
            <a:ext cx="1587" cy="597066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156" name="Textfeld 155">
            <a:extLst>
              <a:ext uri="{FF2B5EF4-FFF2-40B4-BE49-F238E27FC236}">
                <a16:creationId xmlns:a16="http://schemas.microsoft.com/office/drawing/2014/main" id="{39F8A9CD-2F91-0CAB-0F5A-BE4E97B21FE1}"/>
              </a:ext>
            </a:extLst>
          </xdr:cNvPr>
          <xdr:cNvSpPr txBox="1"/>
        </xdr:nvSpPr>
        <xdr:spPr>
          <a:xfrm rot="5400000">
            <a:off x="8796809" y="4010254"/>
            <a:ext cx="682801" cy="40838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de-CH" sz="2000"/>
              <a:t>R</a:t>
            </a:r>
            <a:r>
              <a:rPr lang="de-CH" sz="2000" baseline="-25000"/>
              <a:t>12345</a:t>
            </a:r>
          </a:p>
        </xdr:txBody>
      </xdr:sp>
    </xdr:grpSp>
    <xdr:clientData/>
  </xdr:twoCellAnchor>
  <xdr:twoCellAnchor>
    <xdr:from>
      <xdr:col>6</xdr:col>
      <xdr:colOff>163983</xdr:colOff>
      <xdr:row>131</xdr:row>
      <xdr:rowOff>102641</xdr:rowOff>
    </xdr:from>
    <xdr:to>
      <xdr:col>6</xdr:col>
      <xdr:colOff>563065</xdr:colOff>
      <xdr:row>153</xdr:row>
      <xdr:rowOff>117156</xdr:rowOff>
    </xdr:to>
    <xdr:grpSp>
      <xdr:nvGrpSpPr>
        <xdr:cNvPr id="157" name="Gruppieren 156">
          <a:extLst>
            <a:ext uri="{FF2B5EF4-FFF2-40B4-BE49-F238E27FC236}">
              <a16:creationId xmlns:a16="http://schemas.microsoft.com/office/drawing/2014/main" id="{437134A4-0CEE-4714-B9D7-3BF3611380A4}"/>
            </a:ext>
          </a:extLst>
        </xdr:cNvPr>
        <xdr:cNvGrpSpPr/>
      </xdr:nvGrpSpPr>
      <xdr:grpSpPr>
        <a:xfrm>
          <a:off x="4735983" y="33987829"/>
          <a:ext cx="399082" cy="6134327"/>
          <a:chOff x="8947344" y="3293238"/>
          <a:chExt cx="410723" cy="3638269"/>
        </a:xfrm>
      </xdr:grpSpPr>
      <xdr:sp macro="" textlink="">
        <xdr:nvSpPr>
          <xdr:cNvPr id="158" name="Rechteck 157">
            <a:extLst>
              <a:ext uri="{FF2B5EF4-FFF2-40B4-BE49-F238E27FC236}">
                <a16:creationId xmlns:a16="http://schemas.microsoft.com/office/drawing/2014/main" id="{D01DAB39-3693-5D3D-7D49-FDEEA64CD161}"/>
              </a:ext>
            </a:extLst>
          </xdr:cNvPr>
          <xdr:cNvSpPr/>
        </xdr:nvSpPr>
        <xdr:spPr>
          <a:xfrm>
            <a:off x="8959850" y="3778250"/>
            <a:ext cx="371475" cy="1076325"/>
          </a:xfrm>
          <a:prstGeom prst="rect">
            <a:avLst/>
          </a:prstGeom>
          <a:noFill/>
          <a:ln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  <xdr:cxnSp macro="">
        <xdr:nvCxnSpPr>
          <xdr:cNvPr id="159" name="Gerader Verbinder 158">
            <a:extLst>
              <a:ext uri="{FF2B5EF4-FFF2-40B4-BE49-F238E27FC236}">
                <a16:creationId xmlns:a16="http://schemas.microsoft.com/office/drawing/2014/main" id="{14147CF4-F094-2D14-A539-BA41F8C1B9F0}"/>
              </a:ext>
            </a:extLst>
          </xdr:cNvPr>
          <xdr:cNvCxnSpPr>
            <a:stCxn id="173" idx="4"/>
            <a:endCxn id="158" idx="0"/>
          </xdr:cNvCxnSpPr>
        </xdr:nvCxnSpPr>
        <xdr:spPr>
          <a:xfrm>
            <a:off x="9138015" y="3293238"/>
            <a:ext cx="7573" cy="485013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160" name="Gerader Verbinder 159">
            <a:extLst>
              <a:ext uri="{FF2B5EF4-FFF2-40B4-BE49-F238E27FC236}">
                <a16:creationId xmlns:a16="http://schemas.microsoft.com/office/drawing/2014/main" id="{660999F3-5C2D-D751-5480-708481C6D20C}"/>
              </a:ext>
            </a:extLst>
          </xdr:cNvPr>
          <xdr:cNvCxnSpPr>
            <a:stCxn id="158" idx="2"/>
            <a:endCxn id="174" idx="4"/>
          </xdr:cNvCxnSpPr>
        </xdr:nvCxnSpPr>
        <xdr:spPr>
          <a:xfrm>
            <a:off x="9145588" y="4854576"/>
            <a:ext cx="5498" cy="2076931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161" name="Textfeld 160">
            <a:extLst>
              <a:ext uri="{FF2B5EF4-FFF2-40B4-BE49-F238E27FC236}">
                <a16:creationId xmlns:a16="http://schemas.microsoft.com/office/drawing/2014/main" id="{AF1DF503-4789-5450-528E-688479731BF8}"/>
              </a:ext>
            </a:extLst>
          </xdr:cNvPr>
          <xdr:cNvSpPr txBox="1"/>
        </xdr:nvSpPr>
        <xdr:spPr>
          <a:xfrm rot="5400000">
            <a:off x="8886648" y="3924984"/>
            <a:ext cx="532116" cy="410723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de-CH" sz="2000"/>
              <a:t>R</a:t>
            </a:r>
            <a:r>
              <a:rPr lang="de-CH" sz="2000" baseline="-25000"/>
              <a:t>789</a:t>
            </a:r>
          </a:p>
        </xdr:txBody>
      </xdr:sp>
    </xdr:grpSp>
    <xdr:clientData/>
  </xdr:twoCellAnchor>
  <xdr:twoCellAnchor>
    <xdr:from>
      <xdr:col>2</xdr:col>
      <xdr:colOff>183832</xdr:colOff>
      <xdr:row>131</xdr:row>
      <xdr:rowOff>69396</xdr:rowOff>
    </xdr:from>
    <xdr:to>
      <xdr:col>2</xdr:col>
      <xdr:colOff>595008</xdr:colOff>
      <xdr:row>147</xdr:row>
      <xdr:rowOff>68943</xdr:rowOff>
    </xdr:to>
    <xdr:grpSp>
      <xdr:nvGrpSpPr>
        <xdr:cNvPr id="162" name="Gruppieren 161">
          <a:extLst>
            <a:ext uri="{FF2B5EF4-FFF2-40B4-BE49-F238E27FC236}">
              <a16:creationId xmlns:a16="http://schemas.microsoft.com/office/drawing/2014/main" id="{91465A1C-B7D8-4CA7-A582-CC5E9575D63C}"/>
            </a:ext>
          </a:extLst>
        </xdr:cNvPr>
        <xdr:cNvGrpSpPr/>
      </xdr:nvGrpSpPr>
      <xdr:grpSpPr>
        <a:xfrm>
          <a:off x="1707832" y="33954584"/>
          <a:ext cx="411176" cy="4976359"/>
          <a:chOff x="8959850" y="3254331"/>
          <a:chExt cx="416653" cy="3010540"/>
        </a:xfrm>
      </xdr:grpSpPr>
      <xdr:sp macro="" textlink="">
        <xdr:nvSpPr>
          <xdr:cNvPr id="163" name="Rechteck 162">
            <a:extLst>
              <a:ext uri="{FF2B5EF4-FFF2-40B4-BE49-F238E27FC236}">
                <a16:creationId xmlns:a16="http://schemas.microsoft.com/office/drawing/2014/main" id="{2A17A572-7079-F6A4-1B5A-FCB9812D411B}"/>
              </a:ext>
            </a:extLst>
          </xdr:cNvPr>
          <xdr:cNvSpPr/>
        </xdr:nvSpPr>
        <xdr:spPr>
          <a:xfrm>
            <a:off x="8959850" y="3778250"/>
            <a:ext cx="371475" cy="1076325"/>
          </a:xfrm>
          <a:prstGeom prst="rect">
            <a:avLst/>
          </a:prstGeom>
          <a:noFill/>
          <a:ln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  <xdr:cxnSp macro="">
        <xdr:nvCxnSpPr>
          <xdr:cNvPr id="164" name="Gerader Verbinder 163">
            <a:extLst>
              <a:ext uri="{FF2B5EF4-FFF2-40B4-BE49-F238E27FC236}">
                <a16:creationId xmlns:a16="http://schemas.microsoft.com/office/drawing/2014/main" id="{271B0E60-81B6-C9CA-5641-D72CADB06B82}"/>
              </a:ext>
            </a:extLst>
          </xdr:cNvPr>
          <xdr:cNvCxnSpPr>
            <a:endCxn id="163" idx="0"/>
          </xdr:cNvCxnSpPr>
        </xdr:nvCxnSpPr>
        <xdr:spPr>
          <a:xfrm flipH="1">
            <a:off x="9145588" y="3254331"/>
            <a:ext cx="1587" cy="523919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165" name="Gerader Verbinder 164">
            <a:extLst>
              <a:ext uri="{FF2B5EF4-FFF2-40B4-BE49-F238E27FC236}">
                <a16:creationId xmlns:a16="http://schemas.microsoft.com/office/drawing/2014/main" id="{946A9F84-8271-0518-0039-5936937C415A}"/>
              </a:ext>
            </a:extLst>
          </xdr:cNvPr>
          <xdr:cNvCxnSpPr>
            <a:stCxn id="163" idx="2"/>
          </xdr:cNvCxnSpPr>
        </xdr:nvCxnSpPr>
        <xdr:spPr>
          <a:xfrm flipH="1">
            <a:off x="9134165" y="4854575"/>
            <a:ext cx="11423" cy="1410296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166" name="Textfeld 165">
            <a:extLst>
              <a:ext uri="{FF2B5EF4-FFF2-40B4-BE49-F238E27FC236}">
                <a16:creationId xmlns:a16="http://schemas.microsoft.com/office/drawing/2014/main" id="{D6E32B9B-467B-6E49-7821-1198236E021A}"/>
              </a:ext>
            </a:extLst>
          </xdr:cNvPr>
          <xdr:cNvSpPr txBox="1"/>
        </xdr:nvSpPr>
        <xdr:spPr>
          <a:xfrm rot="5400000">
            <a:off x="8937147" y="3982563"/>
            <a:ext cx="467880" cy="410833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de-CH" sz="2000"/>
              <a:t>R</a:t>
            </a:r>
            <a:r>
              <a:rPr lang="de-CH" sz="2000" baseline="-25000"/>
              <a:t>10</a:t>
            </a:r>
          </a:p>
        </xdr:txBody>
      </xdr:sp>
    </xdr:grpSp>
    <xdr:clientData/>
  </xdr:twoCellAnchor>
  <xdr:twoCellAnchor>
    <xdr:from>
      <xdr:col>2</xdr:col>
      <xdr:colOff>361950</xdr:colOff>
      <xdr:row>131</xdr:row>
      <xdr:rowOff>72571</xdr:rowOff>
    </xdr:from>
    <xdr:to>
      <xdr:col>11</xdr:col>
      <xdr:colOff>365125</xdr:colOff>
      <xdr:row>131</xdr:row>
      <xdr:rowOff>88446</xdr:rowOff>
    </xdr:to>
    <xdr:cxnSp macro="">
      <xdr:nvCxnSpPr>
        <xdr:cNvPr id="167" name="Gerader Verbinder 166">
          <a:extLst>
            <a:ext uri="{FF2B5EF4-FFF2-40B4-BE49-F238E27FC236}">
              <a16:creationId xmlns:a16="http://schemas.microsoft.com/office/drawing/2014/main" id="{FA78A989-8061-4CF6-808B-8CE2867DC637}"/>
            </a:ext>
          </a:extLst>
        </xdr:cNvPr>
        <xdr:cNvCxnSpPr/>
      </xdr:nvCxnSpPr>
      <xdr:spPr>
        <a:xfrm flipH="1" flipV="1">
          <a:off x="1885950" y="34095871"/>
          <a:ext cx="6861175" cy="158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148</xdr:row>
      <xdr:rowOff>128947</xdr:rowOff>
    </xdr:from>
    <xdr:to>
      <xdr:col>2</xdr:col>
      <xdr:colOff>622309</xdr:colOff>
      <xdr:row>148</xdr:row>
      <xdr:rowOff>128947</xdr:rowOff>
    </xdr:to>
    <xdr:cxnSp macro="">
      <xdr:nvCxnSpPr>
        <xdr:cNvPr id="168" name="Gerader Verbinder 167">
          <a:extLst>
            <a:ext uri="{FF2B5EF4-FFF2-40B4-BE49-F238E27FC236}">
              <a16:creationId xmlns:a16="http://schemas.microsoft.com/office/drawing/2014/main" id="{A3462B73-A66F-422D-9C9A-B6E4923C905C}"/>
            </a:ext>
          </a:extLst>
        </xdr:cNvPr>
        <xdr:cNvCxnSpPr/>
      </xdr:nvCxnSpPr>
      <xdr:spPr>
        <a:xfrm flipH="1">
          <a:off x="1524000" y="39416397"/>
          <a:ext cx="622309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190954</xdr:colOff>
      <xdr:row>147</xdr:row>
      <xdr:rowOff>110352</xdr:rowOff>
    </xdr:from>
    <xdr:to>
      <xdr:col>2</xdr:col>
      <xdr:colOff>489404</xdr:colOff>
      <xdr:row>147</xdr:row>
      <xdr:rowOff>110352</xdr:rowOff>
    </xdr:to>
    <xdr:cxnSp macro="">
      <xdr:nvCxnSpPr>
        <xdr:cNvPr id="169" name="Gerader Verbinder 168">
          <a:extLst>
            <a:ext uri="{FF2B5EF4-FFF2-40B4-BE49-F238E27FC236}">
              <a16:creationId xmlns:a16="http://schemas.microsoft.com/office/drawing/2014/main" id="{D00415E7-9DDF-4DB8-8370-468B78714A4A}"/>
            </a:ext>
          </a:extLst>
        </xdr:cNvPr>
        <xdr:cNvCxnSpPr/>
      </xdr:nvCxnSpPr>
      <xdr:spPr>
        <a:xfrm flipH="1">
          <a:off x="1714954" y="39200952"/>
          <a:ext cx="298450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200025</xdr:colOff>
      <xdr:row>149</xdr:row>
      <xdr:rowOff>5896</xdr:rowOff>
    </xdr:from>
    <xdr:to>
      <xdr:col>2</xdr:col>
      <xdr:colOff>498475</xdr:colOff>
      <xdr:row>149</xdr:row>
      <xdr:rowOff>5896</xdr:rowOff>
    </xdr:to>
    <xdr:cxnSp macro="">
      <xdr:nvCxnSpPr>
        <xdr:cNvPr id="170" name="Gerader Verbinder 169">
          <a:extLst>
            <a:ext uri="{FF2B5EF4-FFF2-40B4-BE49-F238E27FC236}">
              <a16:creationId xmlns:a16="http://schemas.microsoft.com/office/drawing/2014/main" id="{BDAE797E-CC3F-4A99-9B7A-F8238833C6DB}"/>
            </a:ext>
          </a:extLst>
        </xdr:cNvPr>
        <xdr:cNvCxnSpPr/>
      </xdr:nvCxnSpPr>
      <xdr:spPr>
        <a:xfrm flipH="1">
          <a:off x="1724025" y="39490196"/>
          <a:ext cx="298450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333375</xdr:colOff>
      <xdr:row>149</xdr:row>
      <xdr:rowOff>31296</xdr:rowOff>
    </xdr:from>
    <xdr:to>
      <xdr:col>2</xdr:col>
      <xdr:colOff>342900</xdr:colOff>
      <xdr:row>153</xdr:row>
      <xdr:rowOff>76200</xdr:rowOff>
    </xdr:to>
    <xdr:cxnSp macro="">
      <xdr:nvCxnSpPr>
        <xdr:cNvPr id="171" name="Gerader Verbinder 170">
          <a:extLst>
            <a:ext uri="{FF2B5EF4-FFF2-40B4-BE49-F238E27FC236}">
              <a16:creationId xmlns:a16="http://schemas.microsoft.com/office/drawing/2014/main" id="{73D8817E-F4EA-42AA-B0CE-60CCBD0B13EE}"/>
            </a:ext>
          </a:extLst>
        </xdr:cNvPr>
        <xdr:cNvCxnSpPr/>
      </xdr:nvCxnSpPr>
      <xdr:spPr>
        <a:xfrm flipH="1">
          <a:off x="1857375" y="39515596"/>
          <a:ext cx="9525" cy="832304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342900</xdr:colOff>
      <xdr:row>153</xdr:row>
      <xdr:rowOff>50346</xdr:rowOff>
    </xdr:from>
    <xdr:to>
      <xdr:col>11</xdr:col>
      <xdr:colOff>402771</xdr:colOff>
      <xdr:row>153</xdr:row>
      <xdr:rowOff>65835</xdr:rowOff>
    </xdr:to>
    <xdr:cxnSp macro="">
      <xdr:nvCxnSpPr>
        <xdr:cNvPr id="172" name="Gerader Verbinder 171">
          <a:extLst>
            <a:ext uri="{FF2B5EF4-FFF2-40B4-BE49-F238E27FC236}">
              <a16:creationId xmlns:a16="http://schemas.microsoft.com/office/drawing/2014/main" id="{06202494-9E89-4C4A-B670-0F37F72E9652}"/>
            </a:ext>
          </a:extLst>
        </xdr:cNvPr>
        <xdr:cNvCxnSpPr>
          <a:stCxn id="175" idx="6"/>
        </xdr:cNvCxnSpPr>
      </xdr:nvCxnSpPr>
      <xdr:spPr>
        <a:xfrm flipH="1" flipV="1">
          <a:off x="1866900" y="40322046"/>
          <a:ext cx="6917871" cy="15489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314325</xdr:colOff>
      <xdr:row>131</xdr:row>
      <xdr:rowOff>5896</xdr:rowOff>
    </xdr:from>
    <xdr:to>
      <xdr:col>6</xdr:col>
      <xdr:colOff>409575</xdr:colOff>
      <xdr:row>131</xdr:row>
      <xdr:rowOff>108990</xdr:rowOff>
    </xdr:to>
    <xdr:sp macro="" textlink="">
      <xdr:nvSpPr>
        <xdr:cNvPr id="173" name="Ellipse 172">
          <a:extLst>
            <a:ext uri="{FF2B5EF4-FFF2-40B4-BE49-F238E27FC236}">
              <a16:creationId xmlns:a16="http://schemas.microsoft.com/office/drawing/2014/main" id="{2D8C6FB1-E7A6-46C6-8718-28B32FC3484F}"/>
            </a:ext>
          </a:extLst>
        </xdr:cNvPr>
        <xdr:cNvSpPr/>
      </xdr:nvSpPr>
      <xdr:spPr>
        <a:xfrm>
          <a:off x="4886325" y="34029196"/>
          <a:ext cx="95250" cy="103094"/>
        </a:xfrm>
        <a:prstGeom prst="ellipse">
          <a:avLst/>
        </a:prstGeom>
        <a:solidFill>
          <a:schemeClr val="tx1">
            <a:lumMod val="95000"/>
            <a:lumOff val="5000"/>
          </a:schemeClr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6</xdr:col>
      <xdr:colOff>323850</xdr:colOff>
      <xdr:row>153</xdr:row>
      <xdr:rowOff>26761</xdr:rowOff>
    </xdr:from>
    <xdr:to>
      <xdr:col>6</xdr:col>
      <xdr:colOff>419100</xdr:colOff>
      <xdr:row>153</xdr:row>
      <xdr:rowOff>117155</xdr:rowOff>
    </xdr:to>
    <xdr:sp macro="" textlink="">
      <xdr:nvSpPr>
        <xdr:cNvPr id="174" name="Ellipse 173">
          <a:extLst>
            <a:ext uri="{FF2B5EF4-FFF2-40B4-BE49-F238E27FC236}">
              <a16:creationId xmlns:a16="http://schemas.microsoft.com/office/drawing/2014/main" id="{6B2B26F0-0514-4D68-BC20-4AEC5128B805}"/>
            </a:ext>
          </a:extLst>
        </xdr:cNvPr>
        <xdr:cNvSpPr/>
      </xdr:nvSpPr>
      <xdr:spPr>
        <a:xfrm>
          <a:off x="4895850" y="40298461"/>
          <a:ext cx="95250" cy="90394"/>
        </a:xfrm>
        <a:prstGeom prst="ellipse">
          <a:avLst/>
        </a:prstGeom>
        <a:solidFill>
          <a:schemeClr val="tx1">
            <a:lumMod val="95000"/>
            <a:lumOff val="5000"/>
          </a:schemeClr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11</xdr:col>
      <xdr:colOff>304346</xdr:colOff>
      <xdr:row>153</xdr:row>
      <xdr:rowOff>19050</xdr:rowOff>
    </xdr:from>
    <xdr:to>
      <xdr:col>11</xdr:col>
      <xdr:colOff>399596</xdr:colOff>
      <xdr:row>153</xdr:row>
      <xdr:rowOff>106269</xdr:rowOff>
    </xdr:to>
    <xdr:sp macro="" textlink="">
      <xdr:nvSpPr>
        <xdr:cNvPr id="175" name="Ellipse 174">
          <a:extLst>
            <a:ext uri="{FF2B5EF4-FFF2-40B4-BE49-F238E27FC236}">
              <a16:creationId xmlns:a16="http://schemas.microsoft.com/office/drawing/2014/main" id="{A76AE270-011E-4B5E-8B0B-E0E3C92A40E8}"/>
            </a:ext>
          </a:extLst>
        </xdr:cNvPr>
        <xdr:cNvSpPr/>
      </xdr:nvSpPr>
      <xdr:spPr>
        <a:xfrm>
          <a:off x="8686346" y="40290750"/>
          <a:ext cx="95250" cy="87219"/>
        </a:xfrm>
        <a:prstGeom prst="ellipse">
          <a:avLst/>
        </a:prstGeom>
        <a:solidFill>
          <a:schemeClr val="tx1">
            <a:lumMod val="95000"/>
            <a:lumOff val="5000"/>
          </a:schemeClr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29308</xdr:colOff>
      <xdr:row>147</xdr:row>
      <xdr:rowOff>68942</xdr:rowOff>
    </xdr:from>
    <xdr:to>
      <xdr:col>2</xdr:col>
      <xdr:colOff>654966</xdr:colOff>
      <xdr:row>147</xdr:row>
      <xdr:rowOff>73269</xdr:rowOff>
    </xdr:to>
    <xdr:cxnSp macro="">
      <xdr:nvCxnSpPr>
        <xdr:cNvPr id="176" name="Gerader Verbinder 175">
          <a:extLst>
            <a:ext uri="{FF2B5EF4-FFF2-40B4-BE49-F238E27FC236}">
              <a16:creationId xmlns:a16="http://schemas.microsoft.com/office/drawing/2014/main" id="{278AC868-F5A0-4687-9230-24273C5BEEAC}"/>
            </a:ext>
          </a:extLst>
        </xdr:cNvPr>
        <xdr:cNvCxnSpPr/>
      </xdr:nvCxnSpPr>
      <xdr:spPr>
        <a:xfrm flipH="1">
          <a:off x="1553308" y="39159542"/>
          <a:ext cx="625658" cy="4327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347889</xdr:colOff>
      <xdr:row>147</xdr:row>
      <xdr:rowOff>107629</xdr:rowOff>
    </xdr:from>
    <xdr:to>
      <xdr:col>2</xdr:col>
      <xdr:colOff>352425</xdr:colOff>
      <xdr:row>148</xdr:row>
      <xdr:rowOff>155254</xdr:rowOff>
    </xdr:to>
    <xdr:cxnSp macro="">
      <xdr:nvCxnSpPr>
        <xdr:cNvPr id="177" name="Gerader Verbinder 176">
          <a:extLst>
            <a:ext uri="{FF2B5EF4-FFF2-40B4-BE49-F238E27FC236}">
              <a16:creationId xmlns:a16="http://schemas.microsoft.com/office/drawing/2014/main" id="{DD0EB5AF-659E-450A-86E3-A8D599D0ED0E}"/>
            </a:ext>
          </a:extLst>
        </xdr:cNvPr>
        <xdr:cNvCxnSpPr/>
      </xdr:nvCxnSpPr>
      <xdr:spPr>
        <a:xfrm flipH="1">
          <a:off x="1871889" y="39198229"/>
          <a:ext cx="4536" cy="244475"/>
        </a:xfrm>
        <a:prstGeom prst="line">
          <a:avLst/>
        </a:prstGeom>
        <a:ln>
          <a:prstDash val="sysDash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297997</xdr:colOff>
      <xdr:row>131</xdr:row>
      <xdr:rowOff>0</xdr:rowOff>
    </xdr:from>
    <xdr:to>
      <xdr:col>11</xdr:col>
      <xdr:colOff>393247</xdr:colOff>
      <xdr:row>131</xdr:row>
      <xdr:rowOff>128494</xdr:rowOff>
    </xdr:to>
    <xdr:sp macro="" textlink="">
      <xdr:nvSpPr>
        <xdr:cNvPr id="178" name="Ellipse 177">
          <a:extLst>
            <a:ext uri="{FF2B5EF4-FFF2-40B4-BE49-F238E27FC236}">
              <a16:creationId xmlns:a16="http://schemas.microsoft.com/office/drawing/2014/main" id="{B1A2D2D1-7B1B-47B0-AF85-178A9A6ED76B}"/>
            </a:ext>
          </a:extLst>
        </xdr:cNvPr>
        <xdr:cNvSpPr/>
      </xdr:nvSpPr>
      <xdr:spPr>
        <a:xfrm>
          <a:off x="8679997" y="34023300"/>
          <a:ext cx="95250" cy="128494"/>
        </a:xfrm>
        <a:prstGeom prst="ellipse">
          <a:avLst/>
        </a:prstGeom>
        <a:solidFill>
          <a:schemeClr val="tx1">
            <a:lumMod val="95000"/>
            <a:lumOff val="5000"/>
          </a:schemeClr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11</xdr:col>
      <xdr:colOff>127874</xdr:colOff>
      <xdr:row>131</xdr:row>
      <xdr:rowOff>131669</xdr:rowOff>
    </xdr:from>
    <xdr:to>
      <xdr:col>11</xdr:col>
      <xdr:colOff>534566</xdr:colOff>
      <xdr:row>140</xdr:row>
      <xdr:rowOff>101896</xdr:rowOff>
    </xdr:to>
    <xdr:grpSp>
      <xdr:nvGrpSpPr>
        <xdr:cNvPr id="179" name="Gruppieren 178">
          <a:extLst>
            <a:ext uri="{FF2B5EF4-FFF2-40B4-BE49-F238E27FC236}">
              <a16:creationId xmlns:a16="http://schemas.microsoft.com/office/drawing/2014/main" id="{C8FCC86A-6B4B-463F-988B-B3B5E5E439A8}"/>
            </a:ext>
          </a:extLst>
        </xdr:cNvPr>
        <xdr:cNvGrpSpPr/>
      </xdr:nvGrpSpPr>
      <xdr:grpSpPr>
        <a:xfrm>
          <a:off x="8509874" y="34016857"/>
          <a:ext cx="406692" cy="2565789"/>
          <a:chOff x="8924231" y="3237320"/>
          <a:chExt cx="403919" cy="1617255"/>
        </a:xfrm>
      </xdr:grpSpPr>
      <xdr:sp macro="" textlink="">
        <xdr:nvSpPr>
          <xdr:cNvPr id="180" name="Rechteck 179">
            <a:extLst>
              <a:ext uri="{FF2B5EF4-FFF2-40B4-BE49-F238E27FC236}">
                <a16:creationId xmlns:a16="http://schemas.microsoft.com/office/drawing/2014/main" id="{CD85D656-45FB-CF00-B656-9CE370075D99}"/>
              </a:ext>
            </a:extLst>
          </xdr:cNvPr>
          <xdr:cNvSpPr/>
        </xdr:nvSpPr>
        <xdr:spPr>
          <a:xfrm>
            <a:off x="8956675" y="3778250"/>
            <a:ext cx="371475" cy="1076325"/>
          </a:xfrm>
          <a:prstGeom prst="rect">
            <a:avLst/>
          </a:prstGeom>
          <a:noFill/>
          <a:ln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  <xdr:cxnSp macro="">
        <xdr:nvCxnSpPr>
          <xdr:cNvPr id="181" name="Gerader Verbinder 180">
            <a:extLst>
              <a:ext uri="{FF2B5EF4-FFF2-40B4-BE49-F238E27FC236}">
                <a16:creationId xmlns:a16="http://schemas.microsoft.com/office/drawing/2014/main" id="{46C7DF74-AD1D-42FC-6E78-B2CB458F6196}"/>
              </a:ext>
            </a:extLst>
          </xdr:cNvPr>
          <xdr:cNvCxnSpPr>
            <a:stCxn id="178" idx="4"/>
            <a:endCxn id="180" idx="0"/>
          </xdr:cNvCxnSpPr>
        </xdr:nvCxnSpPr>
        <xdr:spPr>
          <a:xfrm flipH="1">
            <a:off x="9142412" y="3237320"/>
            <a:ext cx="2725" cy="540930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182" name="Textfeld 181">
            <a:extLst>
              <a:ext uri="{FF2B5EF4-FFF2-40B4-BE49-F238E27FC236}">
                <a16:creationId xmlns:a16="http://schemas.microsoft.com/office/drawing/2014/main" id="{8347CB08-FCD4-A68B-0453-BD0D6CDBF977}"/>
              </a:ext>
            </a:extLst>
          </xdr:cNvPr>
          <xdr:cNvSpPr txBox="1"/>
        </xdr:nvSpPr>
        <xdr:spPr>
          <a:xfrm rot="5400000">
            <a:off x="8938018" y="3980913"/>
            <a:ext cx="375094" cy="4026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de-CH" sz="2000"/>
              <a:t>R</a:t>
            </a:r>
            <a:r>
              <a:rPr lang="de-CH" sz="2000" baseline="-25000"/>
              <a:t>6</a:t>
            </a:r>
          </a:p>
        </xdr:txBody>
      </xdr:sp>
    </xdr:grpSp>
    <xdr:clientData/>
  </xdr:twoCellAnchor>
  <xdr:twoCellAnchor>
    <xdr:from>
      <xdr:col>7</xdr:col>
      <xdr:colOff>614080</xdr:colOff>
      <xdr:row>171</xdr:row>
      <xdr:rowOff>105476</xdr:rowOff>
    </xdr:from>
    <xdr:to>
      <xdr:col>8</xdr:col>
      <xdr:colOff>328974</xdr:colOff>
      <xdr:row>191</xdr:row>
      <xdr:rowOff>120651</xdr:rowOff>
    </xdr:to>
    <xdr:grpSp>
      <xdr:nvGrpSpPr>
        <xdr:cNvPr id="183" name="Gruppieren 182">
          <a:extLst>
            <a:ext uri="{FF2B5EF4-FFF2-40B4-BE49-F238E27FC236}">
              <a16:creationId xmlns:a16="http://schemas.microsoft.com/office/drawing/2014/main" id="{4A037C9E-D85A-4780-9ACA-60D6FFCC768C}"/>
            </a:ext>
          </a:extLst>
        </xdr:cNvPr>
        <xdr:cNvGrpSpPr/>
      </xdr:nvGrpSpPr>
      <xdr:grpSpPr>
        <a:xfrm>
          <a:off x="5948080" y="41824976"/>
          <a:ext cx="476894" cy="5301550"/>
          <a:chOff x="8959850" y="3318320"/>
          <a:chExt cx="465916" cy="4346414"/>
        </a:xfrm>
      </xdr:grpSpPr>
      <xdr:sp macro="" textlink="">
        <xdr:nvSpPr>
          <xdr:cNvPr id="184" name="Rechteck 183">
            <a:extLst>
              <a:ext uri="{FF2B5EF4-FFF2-40B4-BE49-F238E27FC236}">
                <a16:creationId xmlns:a16="http://schemas.microsoft.com/office/drawing/2014/main" id="{F2C651FB-0B24-7EBE-35BD-722F65E77A91}"/>
              </a:ext>
            </a:extLst>
          </xdr:cNvPr>
          <xdr:cNvSpPr/>
        </xdr:nvSpPr>
        <xdr:spPr>
          <a:xfrm>
            <a:off x="8959850" y="3778250"/>
            <a:ext cx="371475" cy="1076325"/>
          </a:xfrm>
          <a:prstGeom prst="rect">
            <a:avLst/>
          </a:prstGeom>
          <a:noFill/>
          <a:ln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  <xdr:cxnSp macro="">
        <xdr:nvCxnSpPr>
          <xdr:cNvPr id="185" name="Gerader Verbinder 184">
            <a:extLst>
              <a:ext uri="{FF2B5EF4-FFF2-40B4-BE49-F238E27FC236}">
                <a16:creationId xmlns:a16="http://schemas.microsoft.com/office/drawing/2014/main" id="{84BC848B-742F-B2C3-C66B-665E60EF010A}"/>
              </a:ext>
            </a:extLst>
          </xdr:cNvPr>
          <xdr:cNvCxnSpPr>
            <a:stCxn id="208" idx="4"/>
            <a:endCxn id="184" idx="0"/>
          </xdr:cNvCxnSpPr>
        </xdr:nvCxnSpPr>
        <xdr:spPr>
          <a:xfrm flipH="1">
            <a:off x="9145588" y="3318320"/>
            <a:ext cx="809" cy="459930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186" name="Gerader Verbinder 185">
            <a:extLst>
              <a:ext uri="{FF2B5EF4-FFF2-40B4-BE49-F238E27FC236}">
                <a16:creationId xmlns:a16="http://schemas.microsoft.com/office/drawing/2014/main" id="{AEDDFE22-C4BA-9033-7B61-A71F2C00C6C1}"/>
              </a:ext>
            </a:extLst>
          </xdr:cNvPr>
          <xdr:cNvCxnSpPr>
            <a:stCxn id="184" idx="2"/>
          </xdr:cNvCxnSpPr>
        </xdr:nvCxnSpPr>
        <xdr:spPr>
          <a:xfrm flipH="1">
            <a:off x="9123021" y="4854574"/>
            <a:ext cx="22567" cy="2810160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187" name="Textfeld 186">
            <a:extLst>
              <a:ext uri="{FF2B5EF4-FFF2-40B4-BE49-F238E27FC236}">
                <a16:creationId xmlns:a16="http://schemas.microsoft.com/office/drawing/2014/main" id="{ACBAA779-506E-90AF-FA09-79BAFBA20373}"/>
              </a:ext>
            </a:extLst>
          </xdr:cNvPr>
          <xdr:cNvSpPr txBox="1"/>
        </xdr:nvSpPr>
        <xdr:spPr>
          <a:xfrm rot="5400000">
            <a:off x="8751998" y="4008615"/>
            <a:ext cx="884094" cy="463443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de-CH" sz="2400"/>
              <a:t>R</a:t>
            </a:r>
            <a:r>
              <a:rPr lang="de-CH" sz="2400" baseline="-25000"/>
              <a:t>123456</a:t>
            </a:r>
          </a:p>
        </xdr:txBody>
      </xdr:sp>
    </xdr:grpSp>
    <xdr:clientData/>
  </xdr:twoCellAnchor>
  <xdr:twoCellAnchor>
    <xdr:from>
      <xdr:col>6</xdr:col>
      <xdr:colOff>172893</xdr:colOff>
      <xdr:row>171</xdr:row>
      <xdr:rowOff>102639</xdr:rowOff>
    </xdr:from>
    <xdr:to>
      <xdr:col>6</xdr:col>
      <xdr:colOff>592945</xdr:colOff>
      <xdr:row>191</xdr:row>
      <xdr:rowOff>85726</xdr:rowOff>
    </xdr:to>
    <xdr:grpSp>
      <xdr:nvGrpSpPr>
        <xdr:cNvPr id="188" name="Gruppieren 187">
          <a:extLst>
            <a:ext uri="{FF2B5EF4-FFF2-40B4-BE49-F238E27FC236}">
              <a16:creationId xmlns:a16="http://schemas.microsoft.com/office/drawing/2014/main" id="{28F78CC0-FCA5-4AA7-BC20-EDE20120B4DF}"/>
            </a:ext>
          </a:extLst>
        </xdr:cNvPr>
        <xdr:cNvGrpSpPr/>
      </xdr:nvGrpSpPr>
      <xdr:grpSpPr>
        <a:xfrm>
          <a:off x="4744893" y="41822139"/>
          <a:ext cx="420052" cy="5269462"/>
          <a:chOff x="8962537" y="3292557"/>
          <a:chExt cx="411552" cy="3962878"/>
        </a:xfrm>
      </xdr:grpSpPr>
      <xdr:sp macro="" textlink="">
        <xdr:nvSpPr>
          <xdr:cNvPr id="189" name="Rechteck 188">
            <a:extLst>
              <a:ext uri="{FF2B5EF4-FFF2-40B4-BE49-F238E27FC236}">
                <a16:creationId xmlns:a16="http://schemas.microsoft.com/office/drawing/2014/main" id="{01D7E6F1-2061-3D21-FDDA-5A1C84FE1DE2}"/>
              </a:ext>
            </a:extLst>
          </xdr:cNvPr>
          <xdr:cNvSpPr/>
        </xdr:nvSpPr>
        <xdr:spPr>
          <a:xfrm>
            <a:off x="8962537" y="3779798"/>
            <a:ext cx="369068" cy="1075901"/>
          </a:xfrm>
          <a:prstGeom prst="rect">
            <a:avLst/>
          </a:prstGeom>
          <a:noFill/>
          <a:ln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  <xdr:cxnSp macro="">
        <xdr:nvCxnSpPr>
          <xdr:cNvPr id="190" name="Gerader Verbinder 189">
            <a:extLst>
              <a:ext uri="{FF2B5EF4-FFF2-40B4-BE49-F238E27FC236}">
                <a16:creationId xmlns:a16="http://schemas.microsoft.com/office/drawing/2014/main" id="{75964405-6FF5-A673-72A1-A2FDA6A8EF68}"/>
              </a:ext>
            </a:extLst>
          </xdr:cNvPr>
          <xdr:cNvCxnSpPr>
            <a:stCxn id="204" idx="4"/>
            <a:endCxn id="189" idx="0"/>
          </xdr:cNvCxnSpPr>
        </xdr:nvCxnSpPr>
        <xdr:spPr>
          <a:xfrm>
            <a:off x="9144658" y="3292557"/>
            <a:ext cx="2414" cy="487241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191" name="Gerader Verbinder 190">
            <a:extLst>
              <a:ext uri="{FF2B5EF4-FFF2-40B4-BE49-F238E27FC236}">
                <a16:creationId xmlns:a16="http://schemas.microsoft.com/office/drawing/2014/main" id="{55C2A37C-9982-594E-21DC-292E04AC1ED2}"/>
              </a:ext>
            </a:extLst>
          </xdr:cNvPr>
          <xdr:cNvCxnSpPr>
            <a:stCxn id="189" idx="2"/>
          </xdr:cNvCxnSpPr>
        </xdr:nvCxnSpPr>
        <xdr:spPr>
          <a:xfrm flipH="1">
            <a:off x="9129104" y="4855699"/>
            <a:ext cx="17968" cy="2399736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192" name="Textfeld 191">
            <a:extLst>
              <a:ext uri="{FF2B5EF4-FFF2-40B4-BE49-F238E27FC236}">
                <a16:creationId xmlns:a16="http://schemas.microsoft.com/office/drawing/2014/main" id="{24FBE744-AB48-ECDF-1947-9BE4CCF4AD6A}"/>
              </a:ext>
            </a:extLst>
          </xdr:cNvPr>
          <xdr:cNvSpPr txBox="1"/>
        </xdr:nvSpPr>
        <xdr:spPr>
          <a:xfrm rot="5400000">
            <a:off x="8935183" y="3943138"/>
            <a:ext cx="477994" cy="39981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de-CH" sz="2000"/>
              <a:t>R</a:t>
            </a:r>
            <a:r>
              <a:rPr lang="de-CH" sz="2000" baseline="-25000"/>
              <a:t>789</a:t>
            </a:r>
          </a:p>
        </xdr:txBody>
      </xdr:sp>
    </xdr:grpSp>
    <xdr:clientData/>
  </xdr:twoCellAnchor>
  <xdr:twoCellAnchor>
    <xdr:from>
      <xdr:col>2</xdr:col>
      <xdr:colOff>183822</xdr:colOff>
      <xdr:row>171</xdr:row>
      <xdr:rowOff>69396</xdr:rowOff>
    </xdr:from>
    <xdr:to>
      <xdr:col>2</xdr:col>
      <xdr:colOff>610530</xdr:colOff>
      <xdr:row>187</xdr:row>
      <xdr:rowOff>68943</xdr:rowOff>
    </xdr:to>
    <xdr:grpSp>
      <xdr:nvGrpSpPr>
        <xdr:cNvPr id="193" name="Gruppieren 192">
          <a:extLst>
            <a:ext uri="{FF2B5EF4-FFF2-40B4-BE49-F238E27FC236}">
              <a16:creationId xmlns:a16="http://schemas.microsoft.com/office/drawing/2014/main" id="{48BF3F16-44BF-43F3-AAC8-AF4BA1988782}"/>
            </a:ext>
          </a:extLst>
        </xdr:cNvPr>
        <xdr:cNvGrpSpPr/>
      </xdr:nvGrpSpPr>
      <xdr:grpSpPr>
        <a:xfrm>
          <a:off x="1707822" y="41788896"/>
          <a:ext cx="426708" cy="4381047"/>
          <a:chOff x="8959850" y="3254331"/>
          <a:chExt cx="439393" cy="3010540"/>
        </a:xfrm>
      </xdr:grpSpPr>
      <xdr:sp macro="" textlink="">
        <xdr:nvSpPr>
          <xdr:cNvPr id="194" name="Rechteck 193">
            <a:extLst>
              <a:ext uri="{FF2B5EF4-FFF2-40B4-BE49-F238E27FC236}">
                <a16:creationId xmlns:a16="http://schemas.microsoft.com/office/drawing/2014/main" id="{84F0754A-EDC9-A2D5-F92C-3C48445012CE}"/>
              </a:ext>
            </a:extLst>
          </xdr:cNvPr>
          <xdr:cNvSpPr/>
        </xdr:nvSpPr>
        <xdr:spPr>
          <a:xfrm>
            <a:off x="8959850" y="3778250"/>
            <a:ext cx="371475" cy="1076325"/>
          </a:xfrm>
          <a:prstGeom prst="rect">
            <a:avLst/>
          </a:prstGeom>
          <a:noFill/>
          <a:ln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  <xdr:cxnSp macro="">
        <xdr:nvCxnSpPr>
          <xdr:cNvPr id="195" name="Gerader Verbinder 194">
            <a:extLst>
              <a:ext uri="{FF2B5EF4-FFF2-40B4-BE49-F238E27FC236}">
                <a16:creationId xmlns:a16="http://schemas.microsoft.com/office/drawing/2014/main" id="{2BB4F6FC-65E3-E89A-A2EB-D73D7C312EFE}"/>
              </a:ext>
            </a:extLst>
          </xdr:cNvPr>
          <xdr:cNvCxnSpPr>
            <a:endCxn id="194" idx="0"/>
          </xdr:cNvCxnSpPr>
        </xdr:nvCxnSpPr>
        <xdr:spPr>
          <a:xfrm flipH="1">
            <a:off x="9145588" y="3254331"/>
            <a:ext cx="1587" cy="523919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196" name="Gerader Verbinder 195">
            <a:extLst>
              <a:ext uri="{FF2B5EF4-FFF2-40B4-BE49-F238E27FC236}">
                <a16:creationId xmlns:a16="http://schemas.microsoft.com/office/drawing/2014/main" id="{04E57CFE-4B36-0658-14D2-9FDBF6F962BB}"/>
              </a:ext>
            </a:extLst>
          </xdr:cNvPr>
          <xdr:cNvCxnSpPr>
            <a:stCxn id="194" idx="2"/>
          </xdr:cNvCxnSpPr>
        </xdr:nvCxnSpPr>
        <xdr:spPr>
          <a:xfrm flipH="1">
            <a:off x="9134165" y="4854575"/>
            <a:ext cx="11423" cy="1410296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197" name="Textfeld 196">
            <a:extLst>
              <a:ext uri="{FF2B5EF4-FFF2-40B4-BE49-F238E27FC236}">
                <a16:creationId xmlns:a16="http://schemas.microsoft.com/office/drawing/2014/main" id="{8D6CC58F-6B6C-F4A8-AA15-D560D8F1A14A}"/>
              </a:ext>
            </a:extLst>
          </xdr:cNvPr>
          <xdr:cNvSpPr txBox="1"/>
        </xdr:nvSpPr>
        <xdr:spPr>
          <a:xfrm rot="5400000">
            <a:off x="8969083" y="3981791"/>
            <a:ext cx="442835" cy="41748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de-CH" sz="2000"/>
              <a:t>R</a:t>
            </a:r>
            <a:r>
              <a:rPr lang="de-CH" sz="2000" baseline="-25000"/>
              <a:t>10</a:t>
            </a:r>
          </a:p>
        </xdr:txBody>
      </xdr:sp>
    </xdr:grpSp>
    <xdr:clientData/>
  </xdr:twoCellAnchor>
  <xdr:twoCellAnchor>
    <xdr:from>
      <xdr:col>2</xdr:col>
      <xdr:colOff>361950</xdr:colOff>
      <xdr:row>171</xdr:row>
      <xdr:rowOff>61377</xdr:rowOff>
    </xdr:from>
    <xdr:to>
      <xdr:col>8</xdr:col>
      <xdr:colOff>21375</xdr:colOff>
      <xdr:row>171</xdr:row>
      <xdr:rowOff>66221</xdr:rowOff>
    </xdr:to>
    <xdr:cxnSp macro="">
      <xdr:nvCxnSpPr>
        <xdr:cNvPr id="198" name="Gerader Verbinder 197">
          <a:extLst>
            <a:ext uri="{FF2B5EF4-FFF2-40B4-BE49-F238E27FC236}">
              <a16:creationId xmlns:a16="http://schemas.microsoft.com/office/drawing/2014/main" id="{1944C9E0-F4B1-4142-92C3-B9399866D310}"/>
            </a:ext>
          </a:extLst>
        </xdr:cNvPr>
        <xdr:cNvCxnSpPr>
          <a:stCxn id="208" idx="6"/>
        </xdr:cNvCxnSpPr>
      </xdr:nvCxnSpPr>
      <xdr:spPr>
        <a:xfrm flipH="1">
          <a:off x="1885950" y="42276177"/>
          <a:ext cx="4231425" cy="4844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188</xdr:row>
      <xdr:rowOff>122597</xdr:rowOff>
    </xdr:from>
    <xdr:to>
      <xdr:col>2</xdr:col>
      <xdr:colOff>615959</xdr:colOff>
      <xdr:row>188</xdr:row>
      <xdr:rowOff>122597</xdr:rowOff>
    </xdr:to>
    <xdr:cxnSp macro="">
      <xdr:nvCxnSpPr>
        <xdr:cNvPr id="199" name="Gerader Verbinder 198">
          <a:extLst>
            <a:ext uri="{FF2B5EF4-FFF2-40B4-BE49-F238E27FC236}">
              <a16:creationId xmlns:a16="http://schemas.microsoft.com/office/drawing/2014/main" id="{2979FB1E-3C62-4E5D-BF84-A0F4F8ABBB09}"/>
            </a:ext>
          </a:extLst>
        </xdr:cNvPr>
        <xdr:cNvCxnSpPr/>
      </xdr:nvCxnSpPr>
      <xdr:spPr>
        <a:xfrm flipH="1">
          <a:off x="1524000" y="47055447"/>
          <a:ext cx="615959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190954</xdr:colOff>
      <xdr:row>187</xdr:row>
      <xdr:rowOff>104002</xdr:rowOff>
    </xdr:from>
    <xdr:to>
      <xdr:col>2</xdr:col>
      <xdr:colOff>483054</xdr:colOff>
      <xdr:row>187</xdr:row>
      <xdr:rowOff>104002</xdr:rowOff>
    </xdr:to>
    <xdr:cxnSp macro="">
      <xdr:nvCxnSpPr>
        <xdr:cNvPr id="200" name="Gerader Verbinder 199">
          <a:extLst>
            <a:ext uri="{FF2B5EF4-FFF2-40B4-BE49-F238E27FC236}">
              <a16:creationId xmlns:a16="http://schemas.microsoft.com/office/drawing/2014/main" id="{FFE98438-EF7B-4DF2-8A0D-A28FDC83CF51}"/>
            </a:ext>
          </a:extLst>
        </xdr:cNvPr>
        <xdr:cNvCxnSpPr/>
      </xdr:nvCxnSpPr>
      <xdr:spPr>
        <a:xfrm flipH="1">
          <a:off x="1714954" y="46706652"/>
          <a:ext cx="292100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171450</xdr:colOff>
      <xdr:row>188</xdr:row>
      <xdr:rowOff>170996</xdr:rowOff>
    </xdr:from>
    <xdr:to>
      <xdr:col>2</xdr:col>
      <xdr:colOff>476250</xdr:colOff>
      <xdr:row>188</xdr:row>
      <xdr:rowOff>170996</xdr:rowOff>
    </xdr:to>
    <xdr:cxnSp macro="">
      <xdr:nvCxnSpPr>
        <xdr:cNvPr id="201" name="Gerader Verbinder 200">
          <a:extLst>
            <a:ext uri="{FF2B5EF4-FFF2-40B4-BE49-F238E27FC236}">
              <a16:creationId xmlns:a16="http://schemas.microsoft.com/office/drawing/2014/main" id="{410FF696-D40C-453C-A3AB-C9B8A9BD4EC2}"/>
            </a:ext>
          </a:extLst>
        </xdr:cNvPr>
        <xdr:cNvCxnSpPr/>
      </xdr:nvCxnSpPr>
      <xdr:spPr>
        <a:xfrm flipH="1">
          <a:off x="1695450" y="47103846"/>
          <a:ext cx="304800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352425</xdr:colOff>
      <xdr:row>188</xdr:row>
      <xdr:rowOff>190500</xdr:rowOff>
    </xdr:from>
    <xdr:to>
      <xdr:col>2</xdr:col>
      <xdr:colOff>354750</xdr:colOff>
      <xdr:row>191</xdr:row>
      <xdr:rowOff>95155</xdr:rowOff>
    </xdr:to>
    <xdr:cxnSp macro="">
      <xdr:nvCxnSpPr>
        <xdr:cNvPr id="202" name="Gerader Verbinder 201">
          <a:extLst>
            <a:ext uri="{FF2B5EF4-FFF2-40B4-BE49-F238E27FC236}">
              <a16:creationId xmlns:a16="http://schemas.microsoft.com/office/drawing/2014/main" id="{8E705A46-3AD0-4AC0-AA59-A248426F724D}"/>
            </a:ext>
          </a:extLst>
        </xdr:cNvPr>
        <xdr:cNvCxnSpPr>
          <a:endCxn id="210" idx="4"/>
        </xdr:cNvCxnSpPr>
      </xdr:nvCxnSpPr>
      <xdr:spPr>
        <a:xfrm>
          <a:off x="1876425" y="47123350"/>
          <a:ext cx="2325" cy="49520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333375</xdr:colOff>
      <xdr:row>191</xdr:row>
      <xdr:rowOff>69395</xdr:rowOff>
    </xdr:from>
    <xdr:to>
      <xdr:col>7</xdr:col>
      <xdr:colOff>715451</xdr:colOff>
      <xdr:row>191</xdr:row>
      <xdr:rowOff>106518</xdr:rowOff>
    </xdr:to>
    <xdr:cxnSp macro="">
      <xdr:nvCxnSpPr>
        <xdr:cNvPr id="203" name="Gerader Verbinder 202">
          <a:extLst>
            <a:ext uri="{FF2B5EF4-FFF2-40B4-BE49-F238E27FC236}">
              <a16:creationId xmlns:a16="http://schemas.microsoft.com/office/drawing/2014/main" id="{68199558-FFDD-4568-962B-C543D2861D39}"/>
            </a:ext>
          </a:extLst>
        </xdr:cNvPr>
        <xdr:cNvCxnSpPr>
          <a:cxnSpLocks/>
          <a:stCxn id="209" idx="5"/>
        </xdr:cNvCxnSpPr>
      </xdr:nvCxnSpPr>
      <xdr:spPr>
        <a:xfrm flipH="1" flipV="1">
          <a:off x="1857375" y="47592795"/>
          <a:ext cx="4192076" cy="37123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314325</xdr:colOff>
      <xdr:row>171</xdr:row>
      <xdr:rowOff>12246</xdr:rowOff>
    </xdr:from>
    <xdr:to>
      <xdr:col>6</xdr:col>
      <xdr:colOff>409575</xdr:colOff>
      <xdr:row>171</xdr:row>
      <xdr:rowOff>102640</xdr:rowOff>
    </xdr:to>
    <xdr:sp macro="" textlink="">
      <xdr:nvSpPr>
        <xdr:cNvPr id="204" name="Ellipse 203">
          <a:extLst>
            <a:ext uri="{FF2B5EF4-FFF2-40B4-BE49-F238E27FC236}">
              <a16:creationId xmlns:a16="http://schemas.microsoft.com/office/drawing/2014/main" id="{D61CE888-0E0E-4A85-B624-FC5D5227736F}"/>
            </a:ext>
          </a:extLst>
        </xdr:cNvPr>
        <xdr:cNvSpPr/>
      </xdr:nvSpPr>
      <xdr:spPr>
        <a:xfrm>
          <a:off x="4886325" y="42227046"/>
          <a:ext cx="95250" cy="90394"/>
        </a:xfrm>
        <a:prstGeom prst="ellipse">
          <a:avLst/>
        </a:prstGeom>
        <a:solidFill>
          <a:schemeClr val="tx1">
            <a:lumMod val="95000"/>
            <a:lumOff val="5000"/>
          </a:schemeClr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6</xdr:col>
      <xdr:colOff>314325</xdr:colOff>
      <xdr:row>191</xdr:row>
      <xdr:rowOff>45810</xdr:rowOff>
    </xdr:from>
    <xdr:to>
      <xdr:col>6</xdr:col>
      <xdr:colOff>409575</xdr:colOff>
      <xdr:row>191</xdr:row>
      <xdr:rowOff>136204</xdr:rowOff>
    </xdr:to>
    <xdr:sp macro="" textlink="">
      <xdr:nvSpPr>
        <xdr:cNvPr id="205" name="Ellipse 204">
          <a:extLst>
            <a:ext uri="{FF2B5EF4-FFF2-40B4-BE49-F238E27FC236}">
              <a16:creationId xmlns:a16="http://schemas.microsoft.com/office/drawing/2014/main" id="{3BD646D1-1590-4164-B365-3BD6DD5FA255}"/>
            </a:ext>
          </a:extLst>
        </xdr:cNvPr>
        <xdr:cNvSpPr/>
      </xdr:nvSpPr>
      <xdr:spPr>
        <a:xfrm>
          <a:off x="4886325" y="47569210"/>
          <a:ext cx="95250" cy="90394"/>
        </a:xfrm>
        <a:prstGeom prst="ellipse">
          <a:avLst/>
        </a:prstGeom>
        <a:solidFill>
          <a:schemeClr val="tx1">
            <a:lumMod val="95000"/>
            <a:lumOff val="5000"/>
          </a:schemeClr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73269</xdr:colOff>
      <xdr:row>187</xdr:row>
      <xdr:rowOff>65943</xdr:rowOff>
    </xdr:from>
    <xdr:to>
      <xdr:col>2</xdr:col>
      <xdr:colOff>654966</xdr:colOff>
      <xdr:row>187</xdr:row>
      <xdr:rowOff>68942</xdr:rowOff>
    </xdr:to>
    <xdr:cxnSp macro="">
      <xdr:nvCxnSpPr>
        <xdr:cNvPr id="206" name="Gerader Verbinder 205">
          <a:extLst>
            <a:ext uri="{FF2B5EF4-FFF2-40B4-BE49-F238E27FC236}">
              <a16:creationId xmlns:a16="http://schemas.microsoft.com/office/drawing/2014/main" id="{3C90A4AF-756D-498E-87E8-7A4DDB7C3C91}"/>
            </a:ext>
          </a:extLst>
        </xdr:cNvPr>
        <xdr:cNvCxnSpPr/>
      </xdr:nvCxnSpPr>
      <xdr:spPr>
        <a:xfrm flipH="1" flipV="1">
          <a:off x="1597269" y="46668593"/>
          <a:ext cx="581697" cy="2999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351064</xdr:colOff>
      <xdr:row>187</xdr:row>
      <xdr:rowOff>104454</xdr:rowOff>
    </xdr:from>
    <xdr:to>
      <xdr:col>2</xdr:col>
      <xdr:colOff>352425</xdr:colOff>
      <xdr:row>188</xdr:row>
      <xdr:rowOff>123825</xdr:rowOff>
    </xdr:to>
    <xdr:cxnSp macro="">
      <xdr:nvCxnSpPr>
        <xdr:cNvPr id="207" name="Gerader Verbinder 206">
          <a:extLst>
            <a:ext uri="{FF2B5EF4-FFF2-40B4-BE49-F238E27FC236}">
              <a16:creationId xmlns:a16="http://schemas.microsoft.com/office/drawing/2014/main" id="{F680BE61-C0AA-4C29-86D7-09EC3CD12A9A}"/>
            </a:ext>
          </a:extLst>
        </xdr:cNvPr>
        <xdr:cNvCxnSpPr/>
      </xdr:nvCxnSpPr>
      <xdr:spPr>
        <a:xfrm>
          <a:off x="1875064" y="46707104"/>
          <a:ext cx="1361" cy="349571"/>
        </a:xfrm>
        <a:prstGeom prst="line">
          <a:avLst/>
        </a:prstGeom>
        <a:ln>
          <a:prstDash val="sysDash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688125</xdr:colOff>
      <xdr:row>171</xdr:row>
      <xdr:rowOff>17279</xdr:rowOff>
    </xdr:from>
    <xdr:to>
      <xdr:col>8</xdr:col>
      <xdr:colOff>21375</xdr:colOff>
      <xdr:row>171</xdr:row>
      <xdr:rowOff>102300</xdr:rowOff>
    </xdr:to>
    <xdr:sp macro="" textlink="">
      <xdr:nvSpPr>
        <xdr:cNvPr id="208" name="Ellipse 207">
          <a:extLst>
            <a:ext uri="{FF2B5EF4-FFF2-40B4-BE49-F238E27FC236}">
              <a16:creationId xmlns:a16="http://schemas.microsoft.com/office/drawing/2014/main" id="{484B70D1-A5DF-4664-9E3C-5470D4561ADA}"/>
            </a:ext>
          </a:extLst>
        </xdr:cNvPr>
        <xdr:cNvSpPr/>
      </xdr:nvSpPr>
      <xdr:spPr>
        <a:xfrm>
          <a:off x="6022125" y="42232079"/>
          <a:ext cx="95250" cy="85021"/>
        </a:xfrm>
        <a:prstGeom prst="ellipse">
          <a:avLst/>
        </a:prstGeom>
        <a:solidFill>
          <a:schemeClr val="tx1">
            <a:lumMod val="95000"/>
            <a:lumOff val="5000"/>
          </a:schemeClr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7</xdr:col>
      <xdr:colOff>637325</xdr:colOff>
      <xdr:row>191</xdr:row>
      <xdr:rowOff>18073</xdr:rowOff>
    </xdr:from>
    <xdr:to>
      <xdr:col>7</xdr:col>
      <xdr:colOff>732575</xdr:colOff>
      <xdr:row>191</xdr:row>
      <xdr:rowOff>122144</xdr:rowOff>
    </xdr:to>
    <xdr:sp macro="" textlink="">
      <xdr:nvSpPr>
        <xdr:cNvPr id="209" name="Ellipse 208">
          <a:extLst>
            <a:ext uri="{FF2B5EF4-FFF2-40B4-BE49-F238E27FC236}">
              <a16:creationId xmlns:a16="http://schemas.microsoft.com/office/drawing/2014/main" id="{C3B655DE-54A9-49B6-88A6-F802FDB9E86C}"/>
            </a:ext>
          </a:extLst>
        </xdr:cNvPr>
        <xdr:cNvSpPr/>
      </xdr:nvSpPr>
      <xdr:spPr>
        <a:xfrm>
          <a:off x="5971325" y="47541473"/>
          <a:ext cx="95250" cy="104071"/>
        </a:xfrm>
        <a:prstGeom prst="ellipse">
          <a:avLst/>
        </a:prstGeom>
        <a:solidFill>
          <a:schemeClr val="tx1">
            <a:lumMod val="95000"/>
            <a:lumOff val="5000"/>
          </a:schemeClr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307125</xdr:colOff>
      <xdr:row>190</xdr:row>
      <xdr:rowOff>381609</xdr:rowOff>
    </xdr:from>
    <xdr:to>
      <xdr:col>2</xdr:col>
      <xdr:colOff>402375</xdr:colOff>
      <xdr:row>191</xdr:row>
      <xdr:rowOff>95155</xdr:rowOff>
    </xdr:to>
    <xdr:sp macro="" textlink="">
      <xdr:nvSpPr>
        <xdr:cNvPr id="210" name="Ellipse 209">
          <a:extLst>
            <a:ext uri="{FF2B5EF4-FFF2-40B4-BE49-F238E27FC236}">
              <a16:creationId xmlns:a16="http://schemas.microsoft.com/office/drawing/2014/main" id="{5428695A-CAEB-42A7-9FB0-307FF76D299D}"/>
            </a:ext>
          </a:extLst>
        </xdr:cNvPr>
        <xdr:cNvSpPr/>
      </xdr:nvSpPr>
      <xdr:spPr>
        <a:xfrm>
          <a:off x="1831125" y="47524009"/>
          <a:ext cx="95250" cy="94546"/>
        </a:xfrm>
        <a:prstGeom prst="ellipse">
          <a:avLst/>
        </a:prstGeom>
        <a:solidFill>
          <a:schemeClr val="tx1">
            <a:lumMod val="95000"/>
            <a:lumOff val="5000"/>
          </a:schemeClr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7</xdr:col>
      <xdr:colOff>541573</xdr:colOff>
      <xdr:row>214</xdr:row>
      <xdr:rowOff>83704</xdr:rowOff>
    </xdr:from>
    <xdr:to>
      <xdr:col>8</xdr:col>
      <xdr:colOff>266550</xdr:colOff>
      <xdr:row>237</xdr:row>
      <xdr:rowOff>0</xdr:rowOff>
    </xdr:to>
    <xdr:grpSp>
      <xdr:nvGrpSpPr>
        <xdr:cNvPr id="211" name="Gruppieren 210">
          <a:extLst>
            <a:ext uri="{FF2B5EF4-FFF2-40B4-BE49-F238E27FC236}">
              <a16:creationId xmlns:a16="http://schemas.microsoft.com/office/drawing/2014/main" id="{4304C7A7-A79B-4E82-989A-A58B8B227335}"/>
            </a:ext>
          </a:extLst>
        </xdr:cNvPr>
        <xdr:cNvGrpSpPr/>
      </xdr:nvGrpSpPr>
      <xdr:grpSpPr>
        <a:xfrm>
          <a:off x="5875573" y="50280454"/>
          <a:ext cx="486977" cy="5583671"/>
          <a:chOff x="8959850" y="2289804"/>
          <a:chExt cx="495429" cy="5374930"/>
        </a:xfrm>
      </xdr:grpSpPr>
      <xdr:sp macro="" textlink="">
        <xdr:nvSpPr>
          <xdr:cNvPr id="212" name="Rechteck 211">
            <a:extLst>
              <a:ext uri="{FF2B5EF4-FFF2-40B4-BE49-F238E27FC236}">
                <a16:creationId xmlns:a16="http://schemas.microsoft.com/office/drawing/2014/main" id="{C264CAC7-1286-6759-F101-B5E417221927}"/>
              </a:ext>
            </a:extLst>
          </xdr:cNvPr>
          <xdr:cNvSpPr/>
        </xdr:nvSpPr>
        <xdr:spPr>
          <a:xfrm>
            <a:off x="8959850" y="3778250"/>
            <a:ext cx="396148" cy="1420372"/>
          </a:xfrm>
          <a:prstGeom prst="rect">
            <a:avLst/>
          </a:prstGeom>
          <a:noFill/>
          <a:ln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  <xdr:cxnSp macro="">
        <xdr:nvCxnSpPr>
          <xdr:cNvPr id="213" name="Gerader Verbinder 212">
            <a:extLst>
              <a:ext uri="{FF2B5EF4-FFF2-40B4-BE49-F238E27FC236}">
                <a16:creationId xmlns:a16="http://schemas.microsoft.com/office/drawing/2014/main" id="{765B2529-8273-91E8-415B-C18054C3B75A}"/>
              </a:ext>
            </a:extLst>
          </xdr:cNvPr>
          <xdr:cNvCxnSpPr>
            <a:stCxn id="229" idx="4"/>
            <a:endCxn id="212" idx="0"/>
          </xdr:cNvCxnSpPr>
        </xdr:nvCxnSpPr>
        <xdr:spPr>
          <a:xfrm>
            <a:off x="9154515" y="2289804"/>
            <a:ext cx="3409" cy="1488446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214" name="Gerader Verbinder 213">
            <a:extLst>
              <a:ext uri="{FF2B5EF4-FFF2-40B4-BE49-F238E27FC236}">
                <a16:creationId xmlns:a16="http://schemas.microsoft.com/office/drawing/2014/main" id="{3A83F0AC-BCE2-D18C-46BE-E8792C93A4EB}"/>
              </a:ext>
            </a:extLst>
          </xdr:cNvPr>
          <xdr:cNvCxnSpPr>
            <a:stCxn id="212" idx="2"/>
          </xdr:cNvCxnSpPr>
        </xdr:nvCxnSpPr>
        <xdr:spPr>
          <a:xfrm flipH="1">
            <a:off x="9123021" y="5198622"/>
            <a:ext cx="34903" cy="2466112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215" name="Textfeld 214">
            <a:extLst>
              <a:ext uri="{FF2B5EF4-FFF2-40B4-BE49-F238E27FC236}">
                <a16:creationId xmlns:a16="http://schemas.microsoft.com/office/drawing/2014/main" id="{F85BFFE0-065E-62D4-3483-D7BF2C646DEB}"/>
              </a:ext>
            </a:extLst>
          </xdr:cNvPr>
          <xdr:cNvSpPr txBox="1"/>
        </xdr:nvSpPr>
        <xdr:spPr>
          <a:xfrm rot="5400000">
            <a:off x="8365960" y="4423745"/>
            <a:ext cx="1705171" cy="473467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de-CH" sz="2400"/>
              <a:t>R</a:t>
            </a:r>
            <a:r>
              <a:rPr lang="de-CH" sz="2400" baseline="-25000"/>
              <a:t>123456789</a:t>
            </a:r>
          </a:p>
        </xdr:txBody>
      </xdr:sp>
    </xdr:grpSp>
    <xdr:clientData/>
  </xdr:twoCellAnchor>
  <xdr:twoCellAnchor>
    <xdr:from>
      <xdr:col>2</xdr:col>
      <xdr:colOff>164181</xdr:colOff>
      <xdr:row>214</xdr:row>
      <xdr:rowOff>53975</xdr:rowOff>
    </xdr:from>
    <xdr:to>
      <xdr:col>2</xdr:col>
      <xdr:colOff>637920</xdr:colOff>
      <xdr:row>230</xdr:row>
      <xdr:rowOff>50347</xdr:rowOff>
    </xdr:to>
    <xdr:grpSp>
      <xdr:nvGrpSpPr>
        <xdr:cNvPr id="216" name="Gruppieren 215">
          <a:extLst>
            <a:ext uri="{FF2B5EF4-FFF2-40B4-BE49-F238E27FC236}">
              <a16:creationId xmlns:a16="http://schemas.microsoft.com/office/drawing/2014/main" id="{580B9708-8A7D-4F82-8EB5-760F73C174A6}"/>
            </a:ext>
          </a:extLst>
        </xdr:cNvPr>
        <xdr:cNvGrpSpPr/>
      </xdr:nvGrpSpPr>
      <xdr:grpSpPr>
        <a:xfrm>
          <a:off x="1688181" y="50250725"/>
          <a:ext cx="473739" cy="4092122"/>
          <a:chOff x="8939955" y="3254331"/>
          <a:chExt cx="487058" cy="3010540"/>
        </a:xfrm>
      </xdr:grpSpPr>
      <xdr:sp macro="" textlink="">
        <xdr:nvSpPr>
          <xdr:cNvPr id="217" name="Rechteck 216">
            <a:extLst>
              <a:ext uri="{FF2B5EF4-FFF2-40B4-BE49-F238E27FC236}">
                <a16:creationId xmlns:a16="http://schemas.microsoft.com/office/drawing/2014/main" id="{CB3BBDE5-2A4B-A535-382D-42EBE7F71127}"/>
              </a:ext>
            </a:extLst>
          </xdr:cNvPr>
          <xdr:cNvSpPr/>
        </xdr:nvSpPr>
        <xdr:spPr>
          <a:xfrm>
            <a:off x="8959850" y="3778250"/>
            <a:ext cx="371475" cy="1076325"/>
          </a:xfrm>
          <a:prstGeom prst="rect">
            <a:avLst/>
          </a:prstGeom>
          <a:noFill/>
          <a:ln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  <xdr:cxnSp macro="">
        <xdr:nvCxnSpPr>
          <xdr:cNvPr id="218" name="Gerader Verbinder 217">
            <a:extLst>
              <a:ext uri="{FF2B5EF4-FFF2-40B4-BE49-F238E27FC236}">
                <a16:creationId xmlns:a16="http://schemas.microsoft.com/office/drawing/2014/main" id="{7861FAA3-271D-BF1A-7D87-F513DC0E4474}"/>
              </a:ext>
            </a:extLst>
          </xdr:cNvPr>
          <xdr:cNvCxnSpPr>
            <a:endCxn id="217" idx="0"/>
          </xdr:cNvCxnSpPr>
        </xdr:nvCxnSpPr>
        <xdr:spPr>
          <a:xfrm flipH="1">
            <a:off x="9145588" y="3254331"/>
            <a:ext cx="1587" cy="523919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219" name="Gerader Verbinder 218">
            <a:extLst>
              <a:ext uri="{FF2B5EF4-FFF2-40B4-BE49-F238E27FC236}">
                <a16:creationId xmlns:a16="http://schemas.microsoft.com/office/drawing/2014/main" id="{C1762107-65DC-53ED-6928-A93859BCF292}"/>
              </a:ext>
            </a:extLst>
          </xdr:cNvPr>
          <xdr:cNvCxnSpPr>
            <a:stCxn id="217" idx="2"/>
          </xdr:cNvCxnSpPr>
        </xdr:nvCxnSpPr>
        <xdr:spPr>
          <a:xfrm flipH="1">
            <a:off x="9134165" y="4854575"/>
            <a:ext cx="11423" cy="1410296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220" name="Textfeld 219">
            <a:extLst>
              <a:ext uri="{FF2B5EF4-FFF2-40B4-BE49-F238E27FC236}">
                <a16:creationId xmlns:a16="http://schemas.microsoft.com/office/drawing/2014/main" id="{58BD2623-66C6-5413-609F-323BD804EC79}"/>
              </a:ext>
            </a:extLst>
          </xdr:cNvPr>
          <xdr:cNvSpPr txBox="1"/>
        </xdr:nvSpPr>
        <xdr:spPr>
          <a:xfrm rot="5400000">
            <a:off x="8968748" y="3866702"/>
            <a:ext cx="429471" cy="48705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de-CH" sz="2400"/>
              <a:t>R</a:t>
            </a:r>
            <a:r>
              <a:rPr lang="de-CH" sz="2400" baseline="-25000"/>
              <a:t>10</a:t>
            </a:r>
          </a:p>
        </xdr:txBody>
      </xdr:sp>
    </xdr:grpSp>
    <xdr:clientData/>
  </xdr:twoCellAnchor>
  <xdr:twoCellAnchor>
    <xdr:from>
      <xdr:col>2</xdr:col>
      <xdr:colOff>361950</xdr:colOff>
      <xdr:row>214</xdr:row>
      <xdr:rowOff>55481</xdr:rowOff>
    </xdr:from>
    <xdr:to>
      <xdr:col>8</xdr:col>
      <xdr:colOff>21375</xdr:colOff>
      <xdr:row>214</xdr:row>
      <xdr:rowOff>55481</xdr:rowOff>
    </xdr:to>
    <xdr:cxnSp macro="">
      <xdr:nvCxnSpPr>
        <xdr:cNvPr id="221" name="Gerader Verbinder 220">
          <a:extLst>
            <a:ext uri="{FF2B5EF4-FFF2-40B4-BE49-F238E27FC236}">
              <a16:creationId xmlns:a16="http://schemas.microsoft.com/office/drawing/2014/main" id="{64D9F6EF-CB5E-410A-AC75-2E3794A38DF9}"/>
            </a:ext>
          </a:extLst>
        </xdr:cNvPr>
        <xdr:cNvCxnSpPr>
          <a:stCxn id="229" idx="6"/>
        </xdr:cNvCxnSpPr>
      </xdr:nvCxnSpPr>
      <xdr:spPr>
        <a:xfrm flipH="1">
          <a:off x="1885950" y="50906281"/>
          <a:ext cx="4231425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231</xdr:row>
      <xdr:rowOff>110351</xdr:rowOff>
    </xdr:from>
    <xdr:to>
      <xdr:col>2</xdr:col>
      <xdr:colOff>615959</xdr:colOff>
      <xdr:row>231</xdr:row>
      <xdr:rowOff>110351</xdr:rowOff>
    </xdr:to>
    <xdr:cxnSp macro="">
      <xdr:nvCxnSpPr>
        <xdr:cNvPr id="222" name="Gerader Verbinder 221">
          <a:extLst>
            <a:ext uri="{FF2B5EF4-FFF2-40B4-BE49-F238E27FC236}">
              <a16:creationId xmlns:a16="http://schemas.microsoft.com/office/drawing/2014/main" id="{F201A006-DB1D-41CF-B4C8-2770392DC57E}"/>
            </a:ext>
          </a:extLst>
        </xdr:cNvPr>
        <xdr:cNvCxnSpPr/>
      </xdr:nvCxnSpPr>
      <xdr:spPr>
        <a:xfrm flipH="1">
          <a:off x="1524000" y="55317251"/>
          <a:ext cx="615959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190954</xdr:colOff>
      <xdr:row>230</xdr:row>
      <xdr:rowOff>91756</xdr:rowOff>
    </xdr:from>
    <xdr:to>
      <xdr:col>2</xdr:col>
      <xdr:colOff>483054</xdr:colOff>
      <xdr:row>230</xdr:row>
      <xdr:rowOff>91756</xdr:rowOff>
    </xdr:to>
    <xdr:cxnSp macro="">
      <xdr:nvCxnSpPr>
        <xdr:cNvPr id="223" name="Gerader Verbinder 222">
          <a:extLst>
            <a:ext uri="{FF2B5EF4-FFF2-40B4-BE49-F238E27FC236}">
              <a16:creationId xmlns:a16="http://schemas.microsoft.com/office/drawing/2014/main" id="{4B4C9223-C6B9-40A7-9B58-179FFE4F3AA2}"/>
            </a:ext>
          </a:extLst>
        </xdr:cNvPr>
        <xdr:cNvCxnSpPr/>
      </xdr:nvCxnSpPr>
      <xdr:spPr>
        <a:xfrm flipH="1">
          <a:off x="1714954" y="55095456"/>
          <a:ext cx="292100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200025</xdr:colOff>
      <xdr:row>232</xdr:row>
      <xdr:rowOff>0</xdr:rowOff>
    </xdr:from>
    <xdr:to>
      <xdr:col>2</xdr:col>
      <xdr:colOff>504825</xdr:colOff>
      <xdr:row>232</xdr:row>
      <xdr:rowOff>0</xdr:rowOff>
    </xdr:to>
    <xdr:cxnSp macro="">
      <xdr:nvCxnSpPr>
        <xdr:cNvPr id="224" name="Gerader Verbinder 223">
          <a:extLst>
            <a:ext uri="{FF2B5EF4-FFF2-40B4-BE49-F238E27FC236}">
              <a16:creationId xmlns:a16="http://schemas.microsoft.com/office/drawing/2014/main" id="{90440322-514B-4FFF-A6E5-8C04CA21FC26}"/>
            </a:ext>
          </a:extLst>
        </xdr:cNvPr>
        <xdr:cNvCxnSpPr/>
      </xdr:nvCxnSpPr>
      <xdr:spPr>
        <a:xfrm flipH="1">
          <a:off x="1724025" y="55594250"/>
          <a:ext cx="304800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333375</xdr:colOff>
      <xdr:row>232</xdr:row>
      <xdr:rowOff>15875</xdr:rowOff>
    </xdr:from>
    <xdr:to>
      <xdr:col>2</xdr:col>
      <xdr:colOff>342900</xdr:colOff>
      <xdr:row>236</xdr:row>
      <xdr:rowOff>180975</xdr:rowOff>
    </xdr:to>
    <xdr:cxnSp macro="">
      <xdr:nvCxnSpPr>
        <xdr:cNvPr id="225" name="Gerader Verbinder 224">
          <a:extLst>
            <a:ext uri="{FF2B5EF4-FFF2-40B4-BE49-F238E27FC236}">
              <a16:creationId xmlns:a16="http://schemas.microsoft.com/office/drawing/2014/main" id="{F4A59D43-E3DD-43D7-85DF-1516CE04AAE1}"/>
            </a:ext>
          </a:extLst>
        </xdr:cNvPr>
        <xdr:cNvCxnSpPr/>
      </xdr:nvCxnSpPr>
      <xdr:spPr>
        <a:xfrm flipH="1">
          <a:off x="1857375" y="55610125"/>
          <a:ext cx="9525" cy="95250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333375</xdr:colOff>
      <xdr:row>236</xdr:row>
      <xdr:rowOff>155574</xdr:rowOff>
    </xdr:from>
    <xdr:to>
      <xdr:col>7</xdr:col>
      <xdr:colOff>715451</xdr:colOff>
      <xdr:row>236</xdr:row>
      <xdr:rowOff>192697</xdr:rowOff>
    </xdr:to>
    <xdr:cxnSp macro="">
      <xdr:nvCxnSpPr>
        <xdr:cNvPr id="226" name="Gerader Verbinder 225">
          <a:extLst>
            <a:ext uri="{FF2B5EF4-FFF2-40B4-BE49-F238E27FC236}">
              <a16:creationId xmlns:a16="http://schemas.microsoft.com/office/drawing/2014/main" id="{60A513B6-832A-4F64-9764-BBA35913D50D}"/>
            </a:ext>
          </a:extLst>
        </xdr:cNvPr>
        <xdr:cNvCxnSpPr>
          <a:cxnSpLocks/>
        </xdr:cNvCxnSpPr>
      </xdr:nvCxnSpPr>
      <xdr:spPr>
        <a:xfrm flipH="1" flipV="1">
          <a:off x="1857375" y="56537224"/>
          <a:ext cx="4192076" cy="37123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51288</xdr:colOff>
      <xdr:row>230</xdr:row>
      <xdr:rowOff>50346</xdr:rowOff>
    </xdr:from>
    <xdr:to>
      <xdr:col>2</xdr:col>
      <xdr:colOff>654966</xdr:colOff>
      <xdr:row>230</xdr:row>
      <xdr:rowOff>51289</xdr:rowOff>
    </xdr:to>
    <xdr:cxnSp macro="">
      <xdr:nvCxnSpPr>
        <xdr:cNvPr id="227" name="Gerader Verbinder 226">
          <a:extLst>
            <a:ext uri="{FF2B5EF4-FFF2-40B4-BE49-F238E27FC236}">
              <a16:creationId xmlns:a16="http://schemas.microsoft.com/office/drawing/2014/main" id="{2B5EEAFE-A5A2-4CD4-A08A-8F71185490B2}"/>
            </a:ext>
          </a:extLst>
        </xdr:cNvPr>
        <xdr:cNvCxnSpPr/>
      </xdr:nvCxnSpPr>
      <xdr:spPr>
        <a:xfrm flipH="1">
          <a:off x="1575288" y="55054046"/>
          <a:ext cx="603678" cy="943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354239</xdr:colOff>
      <xdr:row>230</xdr:row>
      <xdr:rowOff>95383</xdr:rowOff>
    </xdr:from>
    <xdr:to>
      <xdr:col>2</xdr:col>
      <xdr:colOff>354239</xdr:colOff>
      <xdr:row>231</xdr:row>
      <xdr:rowOff>143008</xdr:rowOff>
    </xdr:to>
    <xdr:cxnSp macro="">
      <xdr:nvCxnSpPr>
        <xdr:cNvPr id="228" name="Gerader Verbinder 227">
          <a:extLst>
            <a:ext uri="{FF2B5EF4-FFF2-40B4-BE49-F238E27FC236}">
              <a16:creationId xmlns:a16="http://schemas.microsoft.com/office/drawing/2014/main" id="{879532BD-3E38-471E-BCD7-2003B99AB794}"/>
            </a:ext>
          </a:extLst>
        </xdr:cNvPr>
        <xdr:cNvCxnSpPr/>
      </xdr:nvCxnSpPr>
      <xdr:spPr>
        <a:xfrm flipH="1">
          <a:off x="1878239" y="55099083"/>
          <a:ext cx="0" cy="250825"/>
        </a:xfrm>
        <a:prstGeom prst="line">
          <a:avLst/>
        </a:prstGeom>
        <a:ln>
          <a:prstDash val="sysDash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688125</xdr:colOff>
      <xdr:row>214</xdr:row>
      <xdr:rowOff>5033</xdr:rowOff>
    </xdr:from>
    <xdr:to>
      <xdr:col>8</xdr:col>
      <xdr:colOff>21375</xdr:colOff>
      <xdr:row>214</xdr:row>
      <xdr:rowOff>90054</xdr:rowOff>
    </xdr:to>
    <xdr:sp macro="" textlink="">
      <xdr:nvSpPr>
        <xdr:cNvPr id="229" name="Ellipse 228">
          <a:extLst>
            <a:ext uri="{FF2B5EF4-FFF2-40B4-BE49-F238E27FC236}">
              <a16:creationId xmlns:a16="http://schemas.microsoft.com/office/drawing/2014/main" id="{4A2E53BB-5D74-4AB2-A8D9-461FBB0AD644}"/>
            </a:ext>
          </a:extLst>
        </xdr:cNvPr>
        <xdr:cNvSpPr/>
      </xdr:nvSpPr>
      <xdr:spPr>
        <a:xfrm>
          <a:off x="6022125" y="50855833"/>
          <a:ext cx="95250" cy="85021"/>
        </a:xfrm>
        <a:prstGeom prst="ellipse">
          <a:avLst/>
        </a:prstGeom>
        <a:solidFill>
          <a:schemeClr val="tx1">
            <a:lumMod val="95000"/>
            <a:lumOff val="5000"/>
          </a:schemeClr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7</xdr:col>
      <xdr:colOff>656375</xdr:colOff>
      <xdr:row>236</xdr:row>
      <xdr:rowOff>113777</xdr:rowOff>
    </xdr:from>
    <xdr:to>
      <xdr:col>7</xdr:col>
      <xdr:colOff>751625</xdr:colOff>
      <xdr:row>237</xdr:row>
      <xdr:rowOff>17823</xdr:rowOff>
    </xdr:to>
    <xdr:sp macro="" textlink="">
      <xdr:nvSpPr>
        <xdr:cNvPr id="230" name="Ellipse 229">
          <a:extLst>
            <a:ext uri="{FF2B5EF4-FFF2-40B4-BE49-F238E27FC236}">
              <a16:creationId xmlns:a16="http://schemas.microsoft.com/office/drawing/2014/main" id="{747A741B-8F64-4878-9EB3-DE8CF9F2E0A8}"/>
            </a:ext>
          </a:extLst>
        </xdr:cNvPr>
        <xdr:cNvSpPr/>
      </xdr:nvSpPr>
      <xdr:spPr>
        <a:xfrm>
          <a:off x="5990375" y="56495427"/>
          <a:ext cx="95250" cy="100896"/>
        </a:xfrm>
        <a:prstGeom prst="ellipse">
          <a:avLst/>
        </a:prstGeom>
        <a:solidFill>
          <a:schemeClr val="tx1">
            <a:lumMod val="95000"/>
            <a:lumOff val="5000"/>
          </a:schemeClr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297600</xdr:colOff>
      <xdr:row>236</xdr:row>
      <xdr:rowOff>86788</xdr:rowOff>
    </xdr:from>
    <xdr:to>
      <xdr:col>2</xdr:col>
      <xdr:colOff>392850</xdr:colOff>
      <xdr:row>236</xdr:row>
      <xdr:rowOff>190859</xdr:rowOff>
    </xdr:to>
    <xdr:sp macro="" textlink="">
      <xdr:nvSpPr>
        <xdr:cNvPr id="231" name="Ellipse 230">
          <a:extLst>
            <a:ext uri="{FF2B5EF4-FFF2-40B4-BE49-F238E27FC236}">
              <a16:creationId xmlns:a16="http://schemas.microsoft.com/office/drawing/2014/main" id="{B0FA00AA-226E-474B-BD01-C6D72182CCDC}"/>
            </a:ext>
          </a:extLst>
        </xdr:cNvPr>
        <xdr:cNvSpPr/>
      </xdr:nvSpPr>
      <xdr:spPr>
        <a:xfrm>
          <a:off x="1821600" y="56468438"/>
          <a:ext cx="95250" cy="104071"/>
        </a:xfrm>
        <a:prstGeom prst="ellipse">
          <a:avLst/>
        </a:prstGeom>
        <a:solidFill>
          <a:schemeClr val="tx1">
            <a:lumMod val="95000"/>
            <a:lumOff val="5000"/>
          </a:schemeClr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7</xdr:col>
      <xdr:colOff>542357</xdr:colOff>
      <xdr:row>265</xdr:row>
      <xdr:rowOff>66676</xdr:rowOff>
    </xdr:from>
    <xdr:to>
      <xdr:col>8</xdr:col>
      <xdr:colOff>254720</xdr:colOff>
      <xdr:row>279</xdr:row>
      <xdr:rowOff>177801</xdr:rowOff>
    </xdr:to>
    <xdr:grpSp>
      <xdr:nvGrpSpPr>
        <xdr:cNvPr id="232" name="Gruppieren 231">
          <a:extLst>
            <a:ext uri="{FF2B5EF4-FFF2-40B4-BE49-F238E27FC236}">
              <a16:creationId xmlns:a16="http://schemas.microsoft.com/office/drawing/2014/main" id="{0D7EC2A5-24DD-4413-8DAD-829B39D17A04}"/>
            </a:ext>
          </a:extLst>
        </xdr:cNvPr>
        <xdr:cNvGrpSpPr/>
      </xdr:nvGrpSpPr>
      <xdr:grpSpPr>
        <a:xfrm>
          <a:off x="5876357" y="58097739"/>
          <a:ext cx="474363" cy="3159125"/>
          <a:chOff x="8959665" y="2585803"/>
          <a:chExt cx="463443" cy="3651126"/>
        </a:xfrm>
      </xdr:grpSpPr>
      <xdr:sp macro="" textlink="">
        <xdr:nvSpPr>
          <xdr:cNvPr id="233" name="Rechteck 232">
            <a:extLst>
              <a:ext uri="{FF2B5EF4-FFF2-40B4-BE49-F238E27FC236}">
                <a16:creationId xmlns:a16="http://schemas.microsoft.com/office/drawing/2014/main" id="{FA6C45C3-34CA-2AA2-249B-EFA2E81B4730}"/>
              </a:ext>
            </a:extLst>
          </xdr:cNvPr>
          <xdr:cNvSpPr/>
        </xdr:nvSpPr>
        <xdr:spPr>
          <a:xfrm>
            <a:off x="8959850" y="3778250"/>
            <a:ext cx="371475" cy="1076325"/>
          </a:xfrm>
          <a:prstGeom prst="rect">
            <a:avLst/>
          </a:prstGeom>
          <a:noFill/>
          <a:ln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  <xdr:cxnSp macro="">
        <xdr:nvCxnSpPr>
          <xdr:cNvPr id="234" name="Gerader Verbinder 233">
            <a:extLst>
              <a:ext uri="{FF2B5EF4-FFF2-40B4-BE49-F238E27FC236}">
                <a16:creationId xmlns:a16="http://schemas.microsoft.com/office/drawing/2014/main" id="{02A326DF-2BF9-3B0A-8C7E-8C3DF7738FE3}"/>
              </a:ext>
            </a:extLst>
          </xdr:cNvPr>
          <xdr:cNvCxnSpPr>
            <a:endCxn id="233" idx="0"/>
          </xdr:cNvCxnSpPr>
        </xdr:nvCxnSpPr>
        <xdr:spPr>
          <a:xfrm flipH="1">
            <a:off x="9145587" y="2585803"/>
            <a:ext cx="10053" cy="1192447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235" name="Gerader Verbinder 234">
            <a:extLst>
              <a:ext uri="{FF2B5EF4-FFF2-40B4-BE49-F238E27FC236}">
                <a16:creationId xmlns:a16="http://schemas.microsoft.com/office/drawing/2014/main" id="{EC454394-B150-3C49-EAA1-AD7B1E7B50F3}"/>
              </a:ext>
            </a:extLst>
          </xdr:cNvPr>
          <xdr:cNvCxnSpPr>
            <a:stCxn id="233" idx="2"/>
          </xdr:cNvCxnSpPr>
        </xdr:nvCxnSpPr>
        <xdr:spPr>
          <a:xfrm flipH="1">
            <a:off x="9133927" y="4854576"/>
            <a:ext cx="11660" cy="1382353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236" name="Textfeld 235">
            <a:extLst>
              <a:ext uri="{FF2B5EF4-FFF2-40B4-BE49-F238E27FC236}">
                <a16:creationId xmlns:a16="http://schemas.microsoft.com/office/drawing/2014/main" id="{8E4D59BC-1ABC-631E-2F0F-3F5ED3A43792}"/>
              </a:ext>
            </a:extLst>
          </xdr:cNvPr>
          <xdr:cNvSpPr txBox="1"/>
        </xdr:nvSpPr>
        <xdr:spPr>
          <a:xfrm rot="5400000">
            <a:off x="8927696" y="4017507"/>
            <a:ext cx="527381" cy="463443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de-CH" sz="2400"/>
              <a:t>R</a:t>
            </a:r>
            <a:r>
              <a:rPr lang="de-CH" sz="2400" baseline="-25000"/>
              <a:t>Tot</a:t>
            </a:r>
          </a:p>
        </xdr:txBody>
      </xdr:sp>
    </xdr:grpSp>
    <xdr:clientData/>
  </xdr:twoCellAnchor>
  <xdr:twoCellAnchor>
    <xdr:from>
      <xdr:col>2</xdr:col>
      <xdr:colOff>353493</xdr:colOff>
      <xdr:row>265</xdr:row>
      <xdr:rowOff>66675</xdr:rowOff>
    </xdr:from>
    <xdr:to>
      <xdr:col>2</xdr:col>
      <xdr:colOff>400050</xdr:colOff>
      <xdr:row>274</xdr:row>
      <xdr:rowOff>35790</xdr:rowOff>
    </xdr:to>
    <xdr:cxnSp macro="">
      <xdr:nvCxnSpPr>
        <xdr:cNvPr id="237" name="Gerader Verbinder 236">
          <a:extLst>
            <a:ext uri="{FF2B5EF4-FFF2-40B4-BE49-F238E27FC236}">
              <a16:creationId xmlns:a16="http://schemas.microsoft.com/office/drawing/2014/main" id="{8DF735A5-A02E-40CC-AACF-E410DE5635ED}"/>
            </a:ext>
          </a:extLst>
        </xdr:cNvPr>
        <xdr:cNvCxnSpPr>
          <a:cxnSpLocks/>
        </xdr:cNvCxnSpPr>
      </xdr:nvCxnSpPr>
      <xdr:spPr>
        <a:xfrm flipH="1">
          <a:off x="1877493" y="58912125"/>
          <a:ext cx="46557" cy="210906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323850</xdr:colOff>
      <xdr:row>265</xdr:row>
      <xdr:rowOff>50448</xdr:rowOff>
    </xdr:from>
    <xdr:to>
      <xdr:col>7</xdr:col>
      <xdr:colOff>745275</xdr:colOff>
      <xdr:row>265</xdr:row>
      <xdr:rowOff>50448</xdr:rowOff>
    </xdr:to>
    <xdr:cxnSp macro="">
      <xdr:nvCxnSpPr>
        <xdr:cNvPr id="238" name="Gerader Verbinder 237">
          <a:extLst>
            <a:ext uri="{FF2B5EF4-FFF2-40B4-BE49-F238E27FC236}">
              <a16:creationId xmlns:a16="http://schemas.microsoft.com/office/drawing/2014/main" id="{63135489-57D4-4DFE-8D25-565CBDB533DC}"/>
            </a:ext>
          </a:extLst>
        </xdr:cNvPr>
        <xdr:cNvCxnSpPr/>
      </xdr:nvCxnSpPr>
      <xdr:spPr>
        <a:xfrm flipH="1">
          <a:off x="1847850" y="58895898"/>
          <a:ext cx="4231425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275</xdr:row>
      <xdr:rowOff>92618</xdr:rowOff>
    </xdr:from>
    <xdr:to>
      <xdr:col>2</xdr:col>
      <xdr:colOff>615959</xdr:colOff>
      <xdr:row>275</xdr:row>
      <xdr:rowOff>92618</xdr:rowOff>
    </xdr:to>
    <xdr:cxnSp macro="">
      <xdr:nvCxnSpPr>
        <xdr:cNvPr id="239" name="Gerader Verbinder 238">
          <a:extLst>
            <a:ext uri="{FF2B5EF4-FFF2-40B4-BE49-F238E27FC236}">
              <a16:creationId xmlns:a16="http://schemas.microsoft.com/office/drawing/2014/main" id="{D2026D81-0329-48C2-A7FF-5160F2B1A555}"/>
            </a:ext>
          </a:extLst>
        </xdr:cNvPr>
        <xdr:cNvCxnSpPr/>
      </xdr:nvCxnSpPr>
      <xdr:spPr>
        <a:xfrm flipH="1">
          <a:off x="1524000" y="61274868"/>
          <a:ext cx="615959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190954</xdr:colOff>
      <xdr:row>274</xdr:row>
      <xdr:rowOff>74023</xdr:rowOff>
    </xdr:from>
    <xdr:to>
      <xdr:col>2</xdr:col>
      <xdr:colOff>483054</xdr:colOff>
      <xdr:row>274</xdr:row>
      <xdr:rowOff>74023</xdr:rowOff>
    </xdr:to>
    <xdr:cxnSp macro="">
      <xdr:nvCxnSpPr>
        <xdr:cNvPr id="240" name="Gerader Verbinder 239">
          <a:extLst>
            <a:ext uri="{FF2B5EF4-FFF2-40B4-BE49-F238E27FC236}">
              <a16:creationId xmlns:a16="http://schemas.microsoft.com/office/drawing/2014/main" id="{63BEBE56-4B99-4D39-B055-FFA14C6699C5}"/>
            </a:ext>
          </a:extLst>
        </xdr:cNvPr>
        <xdr:cNvCxnSpPr/>
      </xdr:nvCxnSpPr>
      <xdr:spPr>
        <a:xfrm flipH="1">
          <a:off x="1714954" y="61059423"/>
          <a:ext cx="292100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200025</xdr:colOff>
      <xdr:row>275</xdr:row>
      <xdr:rowOff>179117</xdr:rowOff>
    </xdr:from>
    <xdr:to>
      <xdr:col>2</xdr:col>
      <xdr:colOff>504825</xdr:colOff>
      <xdr:row>275</xdr:row>
      <xdr:rowOff>179117</xdr:rowOff>
    </xdr:to>
    <xdr:cxnSp macro="">
      <xdr:nvCxnSpPr>
        <xdr:cNvPr id="241" name="Gerader Verbinder 240">
          <a:extLst>
            <a:ext uri="{FF2B5EF4-FFF2-40B4-BE49-F238E27FC236}">
              <a16:creationId xmlns:a16="http://schemas.microsoft.com/office/drawing/2014/main" id="{56ED149C-A701-463A-A38A-7E6CCC49CD89}"/>
            </a:ext>
          </a:extLst>
        </xdr:cNvPr>
        <xdr:cNvCxnSpPr/>
      </xdr:nvCxnSpPr>
      <xdr:spPr>
        <a:xfrm flipH="1">
          <a:off x="1724025" y="61361367"/>
          <a:ext cx="304800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333375</xdr:colOff>
      <xdr:row>276</xdr:row>
      <xdr:rowOff>7667</xdr:rowOff>
    </xdr:from>
    <xdr:to>
      <xdr:col>2</xdr:col>
      <xdr:colOff>342900</xdr:colOff>
      <xdr:row>279</xdr:row>
      <xdr:rowOff>133350</xdr:rowOff>
    </xdr:to>
    <xdr:cxnSp macro="">
      <xdr:nvCxnSpPr>
        <xdr:cNvPr id="242" name="Gerader Verbinder 241">
          <a:extLst>
            <a:ext uri="{FF2B5EF4-FFF2-40B4-BE49-F238E27FC236}">
              <a16:creationId xmlns:a16="http://schemas.microsoft.com/office/drawing/2014/main" id="{0A84971E-F452-438D-891F-D93F8E6107EA}"/>
            </a:ext>
          </a:extLst>
        </xdr:cNvPr>
        <xdr:cNvCxnSpPr/>
      </xdr:nvCxnSpPr>
      <xdr:spPr>
        <a:xfrm flipH="1">
          <a:off x="1857375" y="61386767"/>
          <a:ext cx="9525" cy="716233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346982</xdr:colOff>
      <xdr:row>279</xdr:row>
      <xdr:rowOff>106998</xdr:rowOff>
    </xdr:from>
    <xdr:to>
      <xdr:col>7</xdr:col>
      <xdr:colOff>729058</xdr:colOff>
      <xdr:row>279</xdr:row>
      <xdr:rowOff>157728</xdr:rowOff>
    </xdr:to>
    <xdr:cxnSp macro="">
      <xdr:nvCxnSpPr>
        <xdr:cNvPr id="243" name="Gerader Verbinder 242">
          <a:extLst>
            <a:ext uri="{FF2B5EF4-FFF2-40B4-BE49-F238E27FC236}">
              <a16:creationId xmlns:a16="http://schemas.microsoft.com/office/drawing/2014/main" id="{3FEF0455-C0CC-4FE3-A4E9-3FF614F1D058}"/>
            </a:ext>
          </a:extLst>
        </xdr:cNvPr>
        <xdr:cNvCxnSpPr>
          <a:cxnSpLocks/>
        </xdr:cNvCxnSpPr>
      </xdr:nvCxnSpPr>
      <xdr:spPr>
        <a:xfrm flipH="1" flipV="1">
          <a:off x="1870982" y="62076648"/>
          <a:ext cx="4192076" cy="5073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44938</xdr:colOff>
      <xdr:row>274</xdr:row>
      <xdr:rowOff>38963</xdr:rowOff>
    </xdr:from>
    <xdr:to>
      <xdr:col>2</xdr:col>
      <xdr:colOff>654966</xdr:colOff>
      <xdr:row>274</xdr:row>
      <xdr:rowOff>38963</xdr:rowOff>
    </xdr:to>
    <xdr:cxnSp macro="">
      <xdr:nvCxnSpPr>
        <xdr:cNvPr id="244" name="Gerader Verbinder 243">
          <a:extLst>
            <a:ext uri="{FF2B5EF4-FFF2-40B4-BE49-F238E27FC236}">
              <a16:creationId xmlns:a16="http://schemas.microsoft.com/office/drawing/2014/main" id="{D515E6B6-CD7F-4698-9B5B-3241ADC41E2C}"/>
            </a:ext>
          </a:extLst>
        </xdr:cNvPr>
        <xdr:cNvCxnSpPr/>
      </xdr:nvCxnSpPr>
      <xdr:spPr>
        <a:xfrm flipH="1">
          <a:off x="1568938" y="61024363"/>
          <a:ext cx="610028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354239</xdr:colOff>
      <xdr:row>274</xdr:row>
      <xdr:rowOff>84000</xdr:rowOff>
    </xdr:from>
    <xdr:to>
      <xdr:col>2</xdr:col>
      <xdr:colOff>354239</xdr:colOff>
      <xdr:row>275</xdr:row>
      <xdr:rowOff>131625</xdr:rowOff>
    </xdr:to>
    <xdr:cxnSp macro="">
      <xdr:nvCxnSpPr>
        <xdr:cNvPr id="245" name="Gerader Verbinder 244">
          <a:extLst>
            <a:ext uri="{FF2B5EF4-FFF2-40B4-BE49-F238E27FC236}">
              <a16:creationId xmlns:a16="http://schemas.microsoft.com/office/drawing/2014/main" id="{4D5A26D5-7A12-45F5-889C-2C0347EB4276}"/>
            </a:ext>
          </a:extLst>
        </xdr:cNvPr>
        <xdr:cNvCxnSpPr/>
      </xdr:nvCxnSpPr>
      <xdr:spPr>
        <a:xfrm flipH="1">
          <a:off x="1878239" y="61069400"/>
          <a:ext cx="0" cy="244475"/>
        </a:xfrm>
        <a:prstGeom prst="line">
          <a:avLst/>
        </a:prstGeom>
        <a:ln>
          <a:prstDash val="sysDash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697650</xdr:colOff>
      <xdr:row>265</xdr:row>
      <xdr:rowOff>19050</xdr:rowOff>
    </xdr:from>
    <xdr:to>
      <xdr:col>8</xdr:col>
      <xdr:colOff>30900</xdr:colOff>
      <xdr:row>265</xdr:row>
      <xdr:rowOff>85021</xdr:rowOff>
    </xdr:to>
    <xdr:sp macro="" textlink="">
      <xdr:nvSpPr>
        <xdr:cNvPr id="246" name="Ellipse 245">
          <a:extLst>
            <a:ext uri="{FF2B5EF4-FFF2-40B4-BE49-F238E27FC236}">
              <a16:creationId xmlns:a16="http://schemas.microsoft.com/office/drawing/2014/main" id="{75AB15B9-5A28-44EF-8585-9E40633BF288}"/>
            </a:ext>
          </a:extLst>
        </xdr:cNvPr>
        <xdr:cNvSpPr/>
      </xdr:nvSpPr>
      <xdr:spPr>
        <a:xfrm>
          <a:off x="6031650" y="58864500"/>
          <a:ext cx="95250" cy="65971"/>
        </a:xfrm>
        <a:prstGeom prst="ellipse">
          <a:avLst/>
        </a:prstGeom>
        <a:solidFill>
          <a:schemeClr val="tx1">
            <a:lumMod val="95000"/>
            <a:lumOff val="5000"/>
          </a:schemeClr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7</xdr:col>
      <xdr:colOff>665900</xdr:colOff>
      <xdr:row>279</xdr:row>
      <xdr:rowOff>105569</xdr:rowOff>
    </xdr:from>
    <xdr:to>
      <xdr:col>7</xdr:col>
      <xdr:colOff>761150</xdr:colOff>
      <xdr:row>280</xdr:row>
      <xdr:rowOff>9615</xdr:rowOff>
    </xdr:to>
    <xdr:sp macro="" textlink="">
      <xdr:nvSpPr>
        <xdr:cNvPr id="247" name="Ellipse 246">
          <a:extLst>
            <a:ext uri="{FF2B5EF4-FFF2-40B4-BE49-F238E27FC236}">
              <a16:creationId xmlns:a16="http://schemas.microsoft.com/office/drawing/2014/main" id="{2D98DDC0-4B93-414F-AA1A-5AE98EE8949E}"/>
            </a:ext>
          </a:extLst>
        </xdr:cNvPr>
        <xdr:cNvSpPr/>
      </xdr:nvSpPr>
      <xdr:spPr>
        <a:xfrm>
          <a:off x="5999900" y="62075219"/>
          <a:ext cx="95250" cy="100896"/>
        </a:xfrm>
        <a:prstGeom prst="ellipse">
          <a:avLst/>
        </a:prstGeom>
        <a:solidFill>
          <a:schemeClr val="tx1">
            <a:lumMod val="95000"/>
            <a:lumOff val="5000"/>
          </a:schemeClr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292954</xdr:colOff>
      <xdr:row>279</xdr:row>
      <xdr:rowOff>48069</xdr:rowOff>
    </xdr:from>
    <xdr:to>
      <xdr:col>2</xdr:col>
      <xdr:colOff>388204</xdr:colOff>
      <xdr:row>279</xdr:row>
      <xdr:rowOff>152140</xdr:rowOff>
    </xdr:to>
    <xdr:sp macro="" textlink="">
      <xdr:nvSpPr>
        <xdr:cNvPr id="248" name="Ellipse 247">
          <a:extLst>
            <a:ext uri="{FF2B5EF4-FFF2-40B4-BE49-F238E27FC236}">
              <a16:creationId xmlns:a16="http://schemas.microsoft.com/office/drawing/2014/main" id="{4FC45F61-642B-4324-9F17-3A77B3D48C5B}"/>
            </a:ext>
          </a:extLst>
        </xdr:cNvPr>
        <xdr:cNvSpPr/>
      </xdr:nvSpPr>
      <xdr:spPr>
        <a:xfrm>
          <a:off x="1816954" y="62017719"/>
          <a:ext cx="95250" cy="104071"/>
        </a:xfrm>
        <a:prstGeom prst="ellipse">
          <a:avLst/>
        </a:prstGeom>
        <a:solidFill>
          <a:schemeClr val="tx1">
            <a:lumMod val="95000"/>
            <a:lumOff val="5000"/>
          </a:schemeClr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345457</xdr:colOff>
      <xdr:row>265</xdr:row>
      <xdr:rowOff>17114</xdr:rowOff>
    </xdr:from>
    <xdr:to>
      <xdr:col>2</xdr:col>
      <xdr:colOff>440707</xdr:colOff>
      <xdr:row>265</xdr:row>
      <xdr:rowOff>76735</xdr:rowOff>
    </xdr:to>
    <xdr:sp macro="" textlink="">
      <xdr:nvSpPr>
        <xdr:cNvPr id="249" name="Ellipse 248">
          <a:extLst>
            <a:ext uri="{FF2B5EF4-FFF2-40B4-BE49-F238E27FC236}">
              <a16:creationId xmlns:a16="http://schemas.microsoft.com/office/drawing/2014/main" id="{59C1B7ED-0F2B-44DB-9CBC-6FAF7F3A59A1}"/>
            </a:ext>
          </a:extLst>
        </xdr:cNvPr>
        <xdr:cNvSpPr/>
      </xdr:nvSpPr>
      <xdr:spPr>
        <a:xfrm>
          <a:off x="1869457" y="58862564"/>
          <a:ext cx="95250" cy="59621"/>
        </a:xfrm>
        <a:prstGeom prst="ellipse">
          <a:avLst/>
        </a:prstGeom>
        <a:solidFill>
          <a:schemeClr val="tx1">
            <a:lumMod val="95000"/>
            <a:lumOff val="5000"/>
          </a:schemeClr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0</xdr:col>
      <xdr:colOff>470647</xdr:colOff>
      <xdr:row>1</xdr:row>
      <xdr:rowOff>67236</xdr:rowOff>
    </xdr:from>
    <xdr:to>
      <xdr:col>1</xdr:col>
      <xdr:colOff>440204</xdr:colOff>
      <xdr:row>3</xdr:row>
      <xdr:rowOff>145676</xdr:rowOff>
    </xdr:to>
    <xdr:sp macro="" textlink="">
      <xdr:nvSpPr>
        <xdr:cNvPr id="250" name="Pfeil: nach rechts 24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288A6BA-6AA3-4857-970D-20627D097E06}"/>
            </a:ext>
          </a:extLst>
        </xdr:cNvPr>
        <xdr:cNvSpPr/>
      </xdr:nvSpPr>
      <xdr:spPr>
        <a:xfrm rot="10800000">
          <a:off x="470647" y="264086"/>
          <a:ext cx="731557" cy="60549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1</xdr:col>
      <xdr:colOff>161636</xdr:colOff>
      <xdr:row>18</xdr:row>
      <xdr:rowOff>103909</xdr:rowOff>
    </xdr:from>
    <xdr:to>
      <xdr:col>1</xdr:col>
      <xdr:colOff>161636</xdr:colOff>
      <xdr:row>24</xdr:row>
      <xdr:rowOff>11546</xdr:rowOff>
    </xdr:to>
    <xdr:cxnSp macro="">
      <xdr:nvCxnSpPr>
        <xdr:cNvPr id="251" name="Gerade Verbindung mit Pfeil 250">
          <a:extLst>
            <a:ext uri="{FF2B5EF4-FFF2-40B4-BE49-F238E27FC236}">
              <a16:creationId xmlns:a16="http://schemas.microsoft.com/office/drawing/2014/main" id="{F55185AA-96AC-48F3-A923-5C2398F50D9E}"/>
            </a:ext>
          </a:extLst>
        </xdr:cNvPr>
        <xdr:cNvCxnSpPr/>
      </xdr:nvCxnSpPr>
      <xdr:spPr>
        <a:xfrm>
          <a:off x="923636" y="5476009"/>
          <a:ext cx="0" cy="2612737"/>
        </a:xfrm>
        <a:prstGeom prst="straightConnector1">
          <a:avLst/>
        </a:prstGeom>
        <a:ln w="12700">
          <a:solidFill>
            <a:srgbClr val="00B0F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181444</xdr:colOff>
      <xdr:row>18</xdr:row>
      <xdr:rowOff>217355</xdr:rowOff>
    </xdr:from>
    <xdr:to>
      <xdr:col>1</xdr:col>
      <xdr:colOff>135032</xdr:colOff>
      <xdr:row>21</xdr:row>
      <xdr:rowOff>161635</xdr:rowOff>
    </xdr:to>
    <xdr:sp macro="" textlink="">
      <xdr:nvSpPr>
        <xdr:cNvPr id="252" name="Textfeld 251">
          <a:extLst>
            <a:ext uri="{FF2B5EF4-FFF2-40B4-BE49-F238E27FC236}">
              <a16:creationId xmlns:a16="http://schemas.microsoft.com/office/drawing/2014/main" id="{0A74737B-38FA-4D78-8963-C33DFE94BA0C}"/>
            </a:ext>
          </a:extLst>
        </xdr:cNvPr>
        <xdr:cNvSpPr txBox="1"/>
      </xdr:nvSpPr>
      <xdr:spPr>
        <a:xfrm>
          <a:off x="181444" y="5589455"/>
          <a:ext cx="715588" cy="129683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CH" sz="2400">
              <a:solidFill>
                <a:srgbClr val="00B0F0"/>
              </a:solidFill>
            </a:rPr>
            <a:t>U</a:t>
          </a:r>
          <a:r>
            <a:rPr lang="de-CH" sz="2400" baseline="-25000">
              <a:solidFill>
                <a:srgbClr val="00B0F0"/>
              </a:solidFill>
            </a:rPr>
            <a:t>Tot</a:t>
          </a:r>
        </a:p>
      </xdr:txBody>
    </xdr:sp>
    <xdr:clientData/>
  </xdr:twoCellAnchor>
  <xdr:twoCellAnchor>
    <xdr:from>
      <xdr:col>1</xdr:col>
      <xdr:colOff>684696</xdr:colOff>
      <xdr:row>16</xdr:row>
      <xdr:rowOff>11043</xdr:rowOff>
    </xdr:from>
    <xdr:to>
      <xdr:col>2</xdr:col>
      <xdr:colOff>77304</xdr:colOff>
      <xdr:row>17</xdr:row>
      <xdr:rowOff>16565</xdr:rowOff>
    </xdr:to>
    <xdr:sp macro="" textlink="">
      <xdr:nvSpPr>
        <xdr:cNvPr id="253" name="Pfeil: nach oben 252">
          <a:extLst>
            <a:ext uri="{FF2B5EF4-FFF2-40B4-BE49-F238E27FC236}">
              <a16:creationId xmlns:a16="http://schemas.microsoft.com/office/drawing/2014/main" id="{B9C1E0EE-1E62-499F-B011-60B979F90C93}"/>
            </a:ext>
          </a:extLst>
        </xdr:cNvPr>
        <xdr:cNvSpPr/>
      </xdr:nvSpPr>
      <xdr:spPr>
        <a:xfrm>
          <a:off x="1446696" y="4481443"/>
          <a:ext cx="154608" cy="456372"/>
        </a:xfrm>
        <a:prstGeom prst="upArrow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1</xdr:col>
      <xdr:colOff>219365</xdr:colOff>
      <xdr:row>15</xdr:row>
      <xdr:rowOff>127001</xdr:rowOff>
    </xdr:from>
    <xdr:to>
      <xdr:col>1</xdr:col>
      <xdr:colOff>712305</xdr:colOff>
      <xdr:row>17</xdr:row>
      <xdr:rowOff>104914</xdr:rowOff>
    </xdr:to>
    <xdr:sp macro="" textlink="">
      <xdr:nvSpPr>
        <xdr:cNvPr id="254" name="Textfeld 253">
          <a:extLst>
            <a:ext uri="{FF2B5EF4-FFF2-40B4-BE49-F238E27FC236}">
              <a16:creationId xmlns:a16="http://schemas.microsoft.com/office/drawing/2014/main" id="{76EB4725-7C10-4162-A6E6-2CB9162985ED}"/>
            </a:ext>
          </a:extLst>
        </xdr:cNvPr>
        <xdr:cNvSpPr txBox="1"/>
      </xdr:nvSpPr>
      <xdr:spPr>
        <a:xfrm>
          <a:off x="981365" y="4400551"/>
          <a:ext cx="492940" cy="62561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CH" sz="1800" baseline="0">
              <a:solidFill>
                <a:srgbClr val="FF0000"/>
              </a:solidFill>
            </a:rPr>
            <a:t>I</a:t>
          </a:r>
          <a:r>
            <a:rPr lang="de-CH" sz="1800" baseline="-25000">
              <a:solidFill>
                <a:srgbClr val="FF0000"/>
              </a:solidFill>
            </a:rPr>
            <a:t>Tot</a:t>
          </a:r>
        </a:p>
      </xdr:txBody>
    </xdr:sp>
    <xdr:clientData/>
  </xdr:twoCellAnchor>
  <xdr:twoCellAnchor>
    <xdr:from>
      <xdr:col>1</xdr:col>
      <xdr:colOff>171946</xdr:colOff>
      <xdr:row>60</xdr:row>
      <xdr:rowOff>43170</xdr:rowOff>
    </xdr:from>
    <xdr:to>
      <xdr:col>1</xdr:col>
      <xdr:colOff>171946</xdr:colOff>
      <xdr:row>65</xdr:row>
      <xdr:rowOff>160633</xdr:rowOff>
    </xdr:to>
    <xdr:cxnSp macro="">
      <xdr:nvCxnSpPr>
        <xdr:cNvPr id="255" name="Gerade Verbindung mit Pfeil 254">
          <a:extLst>
            <a:ext uri="{FF2B5EF4-FFF2-40B4-BE49-F238E27FC236}">
              <a16:creationId xmlns:a16="http://schemas.microsoft.com/office/drawing/2014/main" id="{6EDC038C-9CEF-40F8-A0DE-E1F28AF633E7}"/>
            </a:ext>
          </a:extLst>
        </xdr:cNvPr>
        <xdr:cNvCxnSpPr/>
      </xdr:nvCxnSpPr>
      <xdr:spPr>
        <a:xfrm>
          <a:off x="933946" y="20191720"/>
          <a:ext cx="0" cy="1901813"/>
        </a:xfrm>
        <a:prstGeom prst="straightConnector1">
          <a:avLst/>
        </a:prstGeom>
        <a:ln w="12700">
          <a:solidFill>
            <a:srgbClr val="00B0F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480391</xdr:colOff>
      <xdr:row>62</xdr:row>
      <xdr:rowOff>11043</xdr:rowOff>
    </xdr:from>
    <xdr:to>
      <xdr:col>1</xdr:col>
      <xdr:colOff>433979</xdr:colOff>
      <xdr:row>64</xdr:row>
      <xdr:rowOff>108857</xdr:rowOff>
    </xdr:to>
    <xdr:sp macro="" textlink="">
      <xdr:nvSpPr>
        <xdr:cNvPr id="256" name="Textfeld 255">
          <a:extLst>
            <a:ext uri="{FF2B5EF4-FFF2-40B4-BE49-F238E27FC236}">
              <a16:creationId xmlns:a16="http://schemas.microsoft.com/office/drawing/2014/main" id="{166A3F14-60CF-4071-9BB3-5F638437A769}"/>
            </a:ext>
          </a:extLst>
        </xdr:cNvPr>
        <xdr:cNvSpPr txBox="1"/>
      </xdr:nvSpPr>
      <xdr:spPr>
        <a:xfrm>
          <a:off x="480391" y="20985093"/>
          <a:ext cx="715588" cy="6756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CH" sz="1800">
              <a:solidFill>
                <a:srgbClr val="00B0F0"/>
              </a:solidFill>
            </a:rPr>
            <a:t>U</a:t>
          </a:r>
          <a:r>
            <a:rPr lang="de-CH" sz="1800" baseline="-25000">
              <a:solidFill>
                <a:srgbClr val="00B0F0"/>
              </a:solidFill>
            </a:rPr>
            <a:t>Tot</a:t>
          </a:r>
        </a:p>
      </xdr:txBody>
    </xdr:sp>
    <xdr:clientData/>
  </xdr:twoCellAnchor>
  <xdr:twoCellAnchor>
    <xdr:from>
      <xdr:col>1</xdr:col>
      <xdr:colOff>695006</xdr:colOff>
      <xdr:row>57</xdr:row>
      <xdr:rowOff>77304</xdr:rowOff>
    </xdr:from>
    <xdr:to>
      <xdr:col>2</xdr:col>
      <xdr:colOff>87614</xdr:colOff>
      <xdr:row>58</xdr:row>
      <xdr:rowOff>110435</xdr:rowOff>
    </xdr:to>
    <xdr:sp macro="" textlink="">
      <xdr:nvSpPr>
        <xdr:cNvPr id="257" name="Pfeil: nach oben 256">
          <a:extLst>
            <a:ext uri="{FF2B5EF4-FFF2-40B4-BE49-F238E27FC236}">
              <a16:creationId xmlns:a16="http://schemas.microsoft.com/office/drawing/2014/main" id="{1F93C272-4D71-47F6-9649-F4D100B72970}"/>
            </a:ext>
          </a:extLst>
        </xdr:cNvPr>
        <xdr:cNvSpPr/>
      </xdr:nvSpPr>
      <xdr:spPr>
        <a:xfrm>
          <a:off x="1457006" y="19203504"/>
          <a:ext cx="154608" cy="445881"/>
        </a:xfrm>
        <a:prstGeom prst="upArrow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1</xdr:col>
      <xdr:colOff>172357</xdr:colOff>
      <xdr:row>57</xdr:row>
      <xdr:rowOff>71783</xdr:rowOff>
    </xdr:from>
    <xdr:to>
      <xdr:col>1</xdr:col>
      <xdr:colOff>722614</xdr:colOff>
      <xdr:row>58</xdr:row>
      <xdr:rowOff>281215</xdr:rowOff>
    </xdr:to>
    <xdr:sp macro="" textlink="">
      <xdr:nvSpPr>
        <xdr:cNvPr id="258" name="Textfeld 257">
          <a:extLst>
            <a:ext uri="{FF2B5EF4-FFF2-40B4-BE49-F238E27FC236}">
              <a16:creationId xmlns:a16="http://schemas.microsoft.com/office/drawing/2014/main" id="{0CDEF944-5471-4576-A815-050AA0218754}"/>
            </a:ext>
          </a:extLst>
        </xdr:cNvPr>
        <xdr:cNvSpPr txBox="1"/>
      </xdr:nvSpPr>
      <xdr:spPr>
        <a:xfrm>
          <a:off x="934357" y="19197983"/>
          <a:ext cx="550257" cy="62218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CH" sz="1800" baseline="0">
              <a:solidFill>
                <a:srgbClr val="FF0000"/>
              </a:solidFill>
            </a:rPr>
            <a:t>I</a:t>
          </a:r>
          <a:r>
            <a:rPr lang="de-CH" sz="1800" baseline="-25000">
              <a:solidFill>
                <a:srgbClr val="FF0000"/>
              </a:solidFill>
            </a:rPr>
            <a:t>Tot</a:t>
          </a:r>
        </a:p>
      </xdr:txBody>
    </xdr:sp>
    <xdr:clientData/>
  </xdr:twoCellAnchor>
  <xdr:twoCellAnchor>
    <xdr:from>
      <xdr:col>1</xdr:col>
      <xdr:colOff>122250</xdr:colOff>
      <xdr:row>103</xdr:row>
      <xdr:rowOff>15561</xdr:rowOff>
    </xdr:from>
    <xdr:to>
      <xdr:col>1</xdr:col>
      <xdr:colOff>122250</xdr:colOff>
      <xdr:row>108</xdr:row>
      <xdr:rowOff>133024</xdr:rowOff>
    </xdr:to>
    <xdr:cxnSp macro="">
      <xdr:nvCxnSpPr>
        <xdr:cNvPr id="259" name="Gerade Verbindung mit Pfeil 258">
          <a:extLst>
            <a:ext uri="{FF2B5EF4-FFF2-40B4-BE49-F238E27FC236}">
              <a16:creationId xmlns:a16="http://schemas.microsoft.com/office/drawing/2014/main" id="{FF03A1C2-649C-4AB9-892D-06431B6E1000}"/>
            </a:ext>
          </a:extLst>
        </xdr:cNvPr>
        <xdr:cNvCxnSpPr/>
      </xdr:nvCxnSpPr>
      <xdr:spPr>
        <a:xfrm>
          <a:off x="884250" y="30336811"/>
          <a:ext cx="0" cy="1292213"/>
        </a:xfrm>
        <a:prstGeom prst="straightConnector1">
          <a:avLst/>
        </a:prstGeom>
        <a:ln w="12700">
          <a:solidFill>
            <a:srgbClr val="00B0F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381000</xdr:colOff>
      <xdr:row>103</xdr:row>
      <xdr:rowOff>115454</xdr:rowOff>
    </xdr:from>
    <xdr:to>
      <xdr:col>1</xdr:col>
      <xdr:colOff>384283</xdr:colOff>
      <xdr:row>106</xdr:row>
      <xdr:rowOff>145071</xdr:rowOff>
    </xdr:to>
    <xdr:sp macro="" textlink="">
      <xdr:nvSpPr>
        <xdr:cNvPr id="260" name="Textfeld 259">
          <a:extLst>
            <a:ext uri="{FF2B5EF4-FFF2-40B4-BE49-F238E27FC236}">
              <a16:creationId xmlns:a16="http://schemas.microsoft.com/office/drawing/2014/main" id="{999C0374-51D6-4AF9-93A7-A4035BEF2E06}"/>
            </a:ext>
          </a:extLst>
        </xdr:cNvPr>
        <xdr:cNvSpPr txBox="1"/>
      </xdr:nvSpPr>
      <xdr:spPr>
        <a:xfrm>
          <a:off x="381000" y="30436704"/>
          <a:ext cx="765283" cy="81066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CH" sz="1800">
              <a:solidFill>
                <a:srgbClr val="00B0F0"/>
              </a:solidFill>
            </a:rPr>
            <a:t>U</a:t>
          </a:r>
          <a:r>
            <a:rPr lang="de-CH" sz="1800" baseline="-25000">
              <a:solidFill>
                <a:srgbClr val="00B0F0"/>
              </a:solidFill>
            </a:rPr>
            <a:t>Tot</a:t>
          </a:r>
        </a:p>
      </xdr:txBody>
    </xdr:sp>
    <xdr:clientData/>
  </xdr:twoCellAnchor>
  <xdr:twoCellAnchor>
    <xdr:from>
      <xdr:col>1</xdr:col>
      <xdr:colOff>645310</xdr:colOff>
      <xdr:row>100</xdr:row>
      <xdr:rowOff>49695</xdr:rowOff>
    </xdr:from>
    <xdr:to>
      <xdr:col>2</xdr:col>
      <xdr:colOff>37918</xdr:colOff>
      <xdr:row>101</xdr:row>
      <xdr:rowOff>82826</xdr:rowOff>
    </xdr:to>
    <xdr:sp macro="" textlink="">
      <xdr:nvSpPr>
        <xdr:cNvPr id="261" name="Pfeil: nach oben 260">
          <a:extLst>
            <a:ext uri="{FF2B5EF4-FFF2-40B4-BE49-F238E27FC236}">
              <a16:creationId xmlns:a16="http://schemas.microsoft.com/office/drawing/2014/main" id="{7ED3E512-E09E-44CA-AA51-5C77CC32D120}"/>
            </a:ext>
          </a:extLst>
        </xdr:cNvPr>
        <xdr:cNvSpPr/>
      </xdr:nvSpPr>
      <xdr:spPr>
        <a:xfrm>
          <a:off x="1407310" y="29589895"/>
          <a:ext cx="154608" cy="414131"/>
        </a:xfrm>
        <a:prstGeom prst="upArrow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1</xdr:col>
      <xdr:colOff>196273</xdr:colOff>
      <xdr:row>98</xdr:row>
      <xdr:rowOff>311727</xdr:rowOff>
    </xdr:from>
    <xdr:to>
      <xdr:col>1</xdr:col>
      <xdr:colOff>672918</xdr:colOff>
      <xdr:row>101</xdr:row>
      <xdr:rowOff>171174</xdr:rowOff>
    </xdr:to>
    <xdr:sp macro="" textlink="">
      <xdr:nvSpPr>
        <xdr:cNvPr id="262" name="Textfeld 261">
          <a:extLst>
            <a:ext uri="{FF2B5EF4-FFF2-40B4-BE49-F238E27FC236}">
              <a16:creationId xmlns:a16="http://schemas.microsoft.com/office/drawing/2014/main" id="{9FBB3374-D0BE-491F-AA61-2B514FB6E5F3}"/>
            </a:ext>
          </a:extLst>
        </xdr:cNvPr>
        <xdr:cNvSpPr txBox="1"/>
      </xdr:nvSpPr>
      <xdr:spPr>
        <a:xfrm>
          <a:off x="958273" y="29159777"/>
          <a:ext cx="476645" cy="93259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CH" sz="1800" baseline="0">
              <a:solidFill>
                <a:srgbClr val="FF0000"/>
              </a:solidFill>
            </a:rPr>
            <a:t>I</a:t>
          </a:r>
          <a:r>
            <a:rPr lang="de-CH" sz="1800" baseline="-25000">
              <a:solidFill>
                <a:srgbClr val="FF0000"/>
              </a:solidFill>
            </a:rPr>
            <a:t>Tot</a:t>
          </a:r>
        </a:p>
      </xdr:txBody>
    </xdr:sp>
    <xdr:clientData/>
  </xdr:twoCellAnchor>
  <xdr:twoCellAnchor>
    <xdr:from>
      <xdr:col>1</xdr:col>
      <xdr:colOff>525338</xdr:colOff>
      <xdr:row>145</xdr:row>
      <xdr:rowOff>54212</xdr:rowOff>
    </xdr:from>
    <xdr:to>
      <xdr:col>1</xdr:col>
      <xdr:colOff>525338</xdr:colOff>
      <xdr:row>150</xdr:row>
      <xdr:rowOff>171675</xdr:rowOff>
    </xdr:to>
    <xdr:cxnSp macro="">
      <xdr:nvCxnSpPr>
        <xdr:cNvPr id="263" name="Gerade Verbindung mit Pfeil 262">
          <a:extLst>
            <a:ext uri="{FF2B5EF4-FFF2-40B4-BE49-F238E27FC236}">
              <a16:creationId xmlns:a16="http://schemas.microsoft.com/office/drawing/2014/main" id="{6A125E10-7FE6-4909-BF26-9D5891AC2998}"/>
            </a:ext>
          </a:extLst>
        </xdr:cNvPr>
        <xdr:cNvCxnSpPr/>
      </xdr:nvCxnSpPr>
      <xdr:spPr>
        <a:xfrm>
          <a:off x="1287338" y="38528862"/>
          <a:ext cx="0" cy="1323963"/>
        </a:xfrm>
        <a:prstGeom prst="straightConnector1">
          <a:avLst/>
        </a:prstGeom>
        <a:ln w="12700">
          <a:solidFill>
            <a:srgbClr val="00B0F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14179</xdr:colOff>
      <xdr:row>146</xdr:row>
      <xdr:rowOff>171763</xdr:rowOff>
    </xdr:from>
    <xdr:to>
      <xdr:col>1</xdr:col>
      <xdr:colOff>736117</xdr:colOff>
      <xdr:row>148</xdr:row>
      <xdr:rowOff>151182</xdr:rowOff>
    </xdr:to>
    <xdr:sp macro="" textlink="">
      <xdr:nvSpPr>
        <xdr:cNvPr id="264" name="Textfeld 263">
          <a:extLst>
            <a:ext uri="{FF2B5EF4-FFF2-40B4-BE49-F238E27FC236}">
              <a16:creationId xmlns:a16="http://schemas.microsoft.com/office/drawing/2014/main" id="{328D1882-43D5-4896-9298-ED367262472A}"/>
            </a:ext>
          </a:extLst>
        </xdr:cNvPr>
        <xdr:cNvSpPr txBox="1"/>
      </xdr:nvSpPr>
      <xdr:spPr>
        <a:xfrm>
          <a:off x="776179" y="39065513"/>
          <a:ext cx="721938" cy="37311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CH" sz="1800">
              <a:solidFill>
                <a:srgbClr val="00B0F0"/>
              </a:solidFill>
            </a:rPr>
            <a:t>U</a:t>
          </a:r>
          <a:r>
            <a:rPr lang="de-CH" sz="1800" baseline="-25000">
              <a:solidFill>
                <a:srgbClr val="00B0F0"/>
              </a:solidFill>
            </a:rPr>
            <a:t>Tot</a:t>
          </a:r>
        </a:p>
      </xdr:txBody>
    </xdr:sp>
    <xdr:clientData/>
  </xdr:twoCellAnchor>
  <xdr:twoCellAnchor>
    <xdr:from>
      <xdr:col>2</xdr:col>
      <xdr:colOff>286398</xdr:colOff>
      <xdr:row>142</xdr:row>
      <xdr:rowOff>88346</xdr:rowOff>
    </xdr:from>
    <xdr:to>
      <xdr:col>2</xdr:col>
      <xdr:colOff>441006</xdr:colOff>
      <xdr:row>143</xdr:row>
      <xdr:rowOff>121477</xdr:rowOff>
    </xdr:to>
    <xdr:sp macro="" textlink="">
      <xdr:nvSpPr>
        <xdr:cNvPr id="265" name="Pfeil: nach oben 264">
          <a:extLst>
            <a:ext uri="{FF2B5EF4-FFF2-40B4-BE49-F238E27FC236}">
              <a16:creationId xmlns:a16="http://schemas.microsoft.com/office/drawing/2014/main" id="{D5836D4E-FBD3-46FD-BD2F-C196F3D16503}"/>
            </a:ext>
          </a:extLst>
        </xdr:cNvPr>
        <xdr:cNvSpPr/>
      </xdr:nvSpPr>
      <xdr:spPr>
        <a:xfrm>
          <a:off x="1810398" y="37369196"/>
          <a:ext cx="154608" cy="445881"/>
        </a:xfrm>
        <a:prstGeom prst="upArrow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1</xdr:col>
      <xdr:colOff>503464</xdr:colOff>
      <xdr:row>141</xdr:row>
      <xdr:rowOff>149678</xdr:rowOff>
    </xdr:from>
    <xdr:to>
      <xdr:col>2</xdr:col>
      <xdr:colOff>317181</xdr:colOff>
      <xdr:row>144</xdr:row>
      <xdr:rowOff>30782</xdr:rowOff>
    </xdr:to>
    <xdr:sp macro="" textlink="">
      <xdr:nvSpPr>
        <xdr:cNvPr id="266" name="Textfeld 265">
          <a:extLst>
            <a:ext uri="{FF2B5EF4-FFF2-40B4-BE49-F238E27FC236}">
              <a16:creationId xmlns:a16="http://schemas.microsoft.com/office/drawing/2014/main" id="{944E8CE0-073C-441A-B1A0-D6436A36D1EE}"/>
            </a:ext>
          </a:extLst>
        </xdr:cNvPr>
        <xdr:cNvSpPr txBox="1"/>
      </xdr:nvSpPr>
      <xdr:spPr>
        <a:xfrm>
          <a:off x="1265464" y="37233678"/>
          <a:ext cx="575717" cy="90345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CH" sz="1800" baseline="0">
              <a:solidFill>
                <a:srgbClr val="FF0000"/>
              </a:solidFill>
            </a:rPr>
            <a:t>I</a:t>
          </a:r>
          <a:r>
            <a:rPr lang="de-CH" sz="1800" baseline="-25000">
              <a:solidFill>
                <a:srgbClr val="FF0000"/>
              </a:solidFill>
            </a:rPr>
            <a:t>Tot</a:t>
          </a:r>
        </a:p>
      </xdr:txBody>
    </xdr:sp>
    <xdr:clientData/>
  </xdr:twoCellAnchor>
  <xdr:twoCellAnchor>
    <xdr:from>
      <xdr:col>1</xdr:col>
      <xdr:colOff>525338</xdr:colOff>
      <xdr:row>185</xdr:row>
      <xdr:rowOff>37647</xdr:rowOff>
    </xdr:from>
    <xdr:to>
      <xdr:col>1</xdr:col>
      <xdr:colOff>525338</xdr:colOff>
      <xdr:row>190</xdr:row>
      <xdr:rowOff>155110</xdr:rowOff>
    </xdr:to>
    <xdr:cxnSp macro="">
      <xdr:nvCxnSpPr>
        <xdr:cNvPr id="267" name="Gerade Verbindung mit Pfeil 266">
          <a:extLst>
            <a:ext uri="{FF2B5EF4-FFF2-40B4-BE49-F238E27FC236}">
              <a16:creationId xmlns:a16="http://schemas.microsoft.com/office/drawing/2014/main" id="{9CA28309-5B57-43F2-8510-785471486193}"/>
            </a:ext>
          </a:extLst>
        </xdr:cNvPr>
        <xdr:cNvCxnSpPr/>
      </xdr:nvCxnSpPr>
      <xdr:spPr>
        <a:xfrm>
          <a:off x="1287338" y="45922747"/>
          <a:ext cx="0" cy="1558913"/>
        </a:xfrm>
        <a:prstGeom prst="straightConnector1">
          <a:avLst/>
        </a:prstGeom>
        <a:ln w="12700">
          <a:solidFill>
            <a:srgbClr val="00B0F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27787</xdr:colOff>
      <xdr:row>186</xdr:row>
      <xdr:rowOff>144766</xdr:rowOff>
    </xdr:from>
    <xdr:to>
      <xdr:col>1</xdr:col>
      <xdr:colOff>749725</xdr:colOff>
      <xdr:row>188</xdr:row>
      <xdr:rowOff>82339</xdr:rowOff>
    </xdr:to>
    <xdr:sp macro="" textlink="">
      <xdr:nvSpPr>
        <xdr:cNvPr id="268" name="Textfeld 267">
          <a:extLst>
            <a:ext uri="{FF2B5EF4-FFF2-40B4-BE49-F238E27FC236}">
              <a16:creationId xmlns:a16="http://schemas.microsoft.com/office/drawing/2014/main" id="{10806E74-4D3B-4594-82F2-38D261F72589}"/>
            </a:ext>
          </a:extLst>
        </xdr:cNvPr>
        <xdr:cNvSpPr txBox="1"/>
      </xdr:nvSpPr>
      <xdr:spPr>
        <a:xfrm>
          <a:off x="789787" y="46417216"/>
          <a:ext cx="721938" cy="5979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CH" sz="1800">
              <a:solidFill>
                <a:srgbClr val="00B0F0"/>
              </a:solidFill>
            </a:rPr>
            <a:t>U</a:t>
          </a:r>
          <a:r>
            <a:rPr lang="de-CH" sz="1800" baseline="-25000">
              <a:solidFill>
                <a:srgbClr val="00B0F0"/>
              </a:solidFill>
            </a:rPr>
            <a:t>Tot</a:t>
          </a:r>
        </a:p>
      </xdr:txBody>
    </xdr:sp>
    <xdr:clientData/>
  </xdr:twoCellAnchor>
  <xdr:twoCellAnchor>
    <xdr:from>
      <xdr:col>2</xdr:col>
      <xdr:colOff>286398</xdr:colOff>
      <xdr:row>182</xdr:row>
      <xdr:rowOff>71781</xdr:rowOff>
    </xdr:from>
    <xdr:to>
      <xdr:col>2</xdr:col>
      <xdr:colOff>441006</xdr:colOff>
      <xdr:row>183</xdr:row>
      <xdr:rowOff>104912</xdr:rowOff>
    </xdr:to>
    <xdr:sp macro="" textlink="">
      <xdr:nvSpPr>
        <xdr:cNvPr id="269" name="Pfeil: nach oben 268">
          <a:extLst>
            <a:ext uri="{FF2B5EF4-FFF2-40B4-BE49-F238E27FC236}">
              <a16:creationId xmlns:a16="http://schemas.microsoft.com/office/drawing/2014/main" id="{E80FF9F2-9921-4066-83C7-32376549DDF5}"/>
            </a:ext>
          </a:extLst>
        </xdr:cNvPr>
        <xdr:cNvSpPr/>
      </xdr:nvSpPr>
      <xdr:spPr>
        <a:xfrm>
          <a:off x="1810398" y="45175831"/>
          <a:ext cx="154608" cy="414131"/>
        </a:xfrm>
        <a:prstGeom prst="upArrow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1</xdr:col>
      <xdr:colOff>503464</xdr:colOff>
      <xdr:row>181</xdr:row>
      <xdr:rowOff>190500</xdr:rowOff>
    </xdr:from>
    <xdr:to>
      <xdr:col>2</xdr:col>
      <xdr:colOff>317181</xdr:colOff>
      <xdr:row>184</xdr:row>
      <xdr:rowOff>7868</xdr:rowOff>
    </xdr:to>
    <xdr:sp macro="" textlink="">
      <xdr:nvSpPr>
        <xdr:cNvPr id="270" name="Textfeld 269">
          <a:extLst>
            <a:ext uri="{FF2B5EF4-FFF2-40B4-BE49-F238E27FC236}">
              <a16:creationId xmlns:a16="http://schemas.microsoft.com/office/drawing/2014/main" id="{5FF12ADD-5425-4C8C-84A3-7BF37227E43C}"/>
            </a:ext>
          </a:extLst>
        </xdr:cNvPr>
        <xdr:cNvSpPr txBox="1"/>
      </xdr:nvSpPr>
      <xdr:spPr>
        <a:xfrm>
          <a:off x="1265464" y="44913550"/>
          <a:ext cx="575717" cy="77621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CH" sz="1800" baseline="0">
              <a:solidFill>
                <a:srgbClr val="FF0000"/>
              </a:solidFill>
            </a:rPr>
            <a:t>I</a:t>
          </a:r>
          <a:r>
            <a:rPr lang="de-CH" sz="1800" baseline="-25000">
              <a:solidFill>
                <a:srgbClr val="FF0000"/>
              </a:solidFill>
            </a:rPr>
            <a:t>Tot</a:t>
          </a:r>
        </a:p>
      </xdr:txBody>
    </xdr:sp>
    <xdr:clientData/>
  </xdr:twoCellAnchor>
  <xdr:twoCellAnchor>
    <xdr:from>
      <xdr:col>1</xdr:col>
      <xdr:colOff>530860</xdr:colOff>
      <xdr:row>228</xdr:row>
      <xdr:rowOff>70778</xdr:rowOff>
    </xdr:from>
    <xdr:to>
      <xdr:col>1</xdr:col>
      <xdr:colOff>530860</xdr:colOff>
      <xdr:row>234</xdr:row>
      <xdr:rowOff>6024</xdr:rowOff>
    </xdr:to>
    <xdr:cxnSp macro="">
      <xdr:nvCxnSpPr>
        <xdr:cNvPr id="271" name="Gerade Verbindung mit Pfeil 270">
          <a:extLst>
            <a:ext uri="{FF2B5EF4-FFF2-40B4-BE49-F238E27FC236}">
              <a16:creationId xmlns:a16="http://schemas.microsoft.com/office/drawing/2014/main" id="{C4BC860A-0925-4CDB-8244-88E02868F4E9}"/>
            </a:ext>
          </a:extLst>
        </xdr:cNvPr>
        <xdr:cNvCxnSpPr/>
      </xdr:nvCxnSpPr>
      <xdr:spPr>
        <a:xfrm>
          <a:off x="1292860" y="54363278"/>
          <a:ext cx="0" cy="1630696"/>
        </a:xfrm>
        <a:prstGeom prst="straightConnector1">
          <a:avLst/>
        </a:prstGeom>
        <a:ln w="12700">
          <a:solidFill>
            <a:srgbClr val="00B0F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36484</xdr:colOff>
      <xdr:row>229</xdr:row>
      <xdr:rowOff>188330</xdr:rowOff>
    </xdr:from>
    <xdr:to>
      <xdr:col>1</xdr:col>
      <xdr:colOff>748897</xdr:colOff>
      <xdr:row>231</xdr:row>
      <xdr:rowOff>167749</xdr:rowOff>
    </xdr:to>
    <xdr:sp macro="" textlink="">
      <xdr:nvSpPr>
        <xdr:cNvPr id="272" name="Textfeld 271">
          <a:extLst>
            <a:ext uri="{FF2B5EF4-FFF2-40B4-BE49-F238E27FC236}">
              <a16:creationId xmlns:a16="http://schemas.microsoft.com/office/drawing/2014/main" id="{93417CD5-C7B1-470E-92C0-C918A43500FC}"/>
            </a:ext>
          </a:extLst>
        </xdr:cNvPr>
        <xdr:cNvSpPr txBox="1"/>
      </xdr:nvSpPr>
      <xdr:spPr>
        <a:xfrm>
          <a:off x="798484" y="54861830"/>
          <a:ext cx="712413" cy="51281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CH" sz="1800">
              <a:solidFill>
                <a:srgbClr val="00B0F0"/>
              </a:solidFill>
            </a:rPr>
            <a:t>U</a:t>
          </a:r>
          <a:r>
            <a:rPr lang="de-CH" sz="1800" baseline="-25000">
              <a:solidFill>
                <a:srgbClr val="00B0F0"/>
              </a:solidFill>
            </a:rPr>
            <a:t>Tot</a:t>
          </a:r>
        </a:p>
      </xdr:txBody>
    </xdr:sp>
    <xdr:clientData/>
  </xdr:twoCellAnchor>
  <xdr:twoCellAnchor>
    <xdr:from>
      <xdr:col>2</xdr:col>
      <xdr:colOff>291920</xdr:colOff>
      <xdr:row>225</xdr:row>
      <xdr:rowOff>104913</xdr:rowOff>
    </xdr:from>
    <xdr:to>
      <xdr:col>2</xdr:col>
      <xdr:colOff>446528</xdr:colOff>
      <xdr:row>226</xdr:row>
      <xdr:rowOff>138043</xdr:rowOff>
    </xdr:to>
    <xdr:sp macro="" textlink="">
      <xdr:nvSpPr>
        <xdr:cNvPr id="273" name="Pfeil: nach oben 272">
          <a:extLst>
            <a:ext uri="{FF2B5EF4-FFF2-40B4-BE49-F238E27FC236}">
              <a16:creationId xmlns:a16="http://schemas.microsoft.com/office/drawing/2014/main" id="{4550657A-A2D1-4B66-89A0-AE79C211DFEC}"/>
            </a:ext>
          </a:extLst>
        </xdr:cNvPr>
        <xdr:cNvSpPr/>
      </xdr:nvSpPr>
      <xdr:spPr>
        <a:xfrm>
          <a:off x="1815920" y="53305213"/>
          <a:ext cx="154608" cy="414130"/>
        </a:xfrm>
        <a:prstGeom prst="upArrow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1</xdr:col>
      <xdr:colOff>544286</xdr:colOff>
      <xdr:row>225</xdr:row>
      <xdr:rowOff>13607</xdr:rowOff>
    </xdr:from>
    <xdr:to>
      <xdr:col>2</xdr:col>
      <xdr:colOff>316353</xdr:colOff>
      <xdr:row>227</xdr:row>
      <xdr:rowOff>47349</xdr:rowOff>
    </xdr:to>
    <xdr:sp macro="" textlink="">
      <xdr:nvSpPr>
        <xdr:cNvPr id="274" name="Textfeld 273">
          <a:extLst>
            <a:ext uri="{FF2B5EF4-FFF2-40B4-BE49-F238E27FC236}">
              <a16:creationId xmlns:a16="http://schemas.microsoft.com/office/drawing/2014/main" id="{5AF0AEC1-051D-4B08-93EA-BBD27C9F7AD8}"/>
            </a:ext>
          </a:extLst>
        </xdr:cNvPr>
        <xdr:cNvSpPr txBox="1"/>
      </xdr:nvSpPr>
      <xdr:spPr>
        <a:xfrm>
          <a:off x="1306286" y="53213907"/>
          <a:ext cx="534067" cy="7449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CH" sz="1800" baseline="0">
              <a:solidFill>
                <a:srgbClr val="FF0000"/>
              </a:solidFill>
            </a:rPr>
            <a:t>I</a:t>
          </a:r>
          <a:r>
            <a:rPr lang="de-CH" sz="1800" baseline="-25000">
              <a:solidFill>
                <a:srgbClr val="FF0000"/>
              </a:solidFill>
            </a:rPr>
            <a:t>Tot</a:t>
          </a:r>
        </a:p>
      </xdr:txBody>
    </xdr:sp>
    <xdr:clientData/>
  </xdr:twoCellAnchor>
  <xdr:twoCellAnchor>
    <xdr:from>
      <xdr:col>1</xdr:col>
      <xdr:colOff>508773</xdr:colOff>
      <xdr:row>271</xdr:row>
      <xdr:rowOff>148083</xdr:rowOff>
    </xdr:from>
    <xdr:to>
      <xdr:col>1</xdr:col>
      <xdr:colOff>508773</xdr:colOff>
      <xdr:row>277</xdr:row>
      <xdr:rowOff>83328</xdr:rowOff>
    </xdr:to>
    <xdr:cxnSp macro="">
      <xdr:nvCxnSpPr>
        <xdr:cNvPr id="275" name="Gerade Verbindung mit Pfeil 274">
          <a:extLst>
            <a:ext uri="{FF2B5EF4-FFF2-40B4-BE49-F238E27FC236}">
              <a16:creationId xmlns:a16="http://schemas.microsoft.com/office/drawing/2014/main" id="{B0C31531-82B7-4C90-A9EB-ABF47B60334F}"/>
            </a:ext>
          </a:extLst>
        </xdr:cNvPr>
        <xdr:cNvCxnSpPr/>
      </xdr:nvCxnSpPr>
      <xdr:spPr>
        <a:xfrm>
          <a:off x="1270773" y="60174633"/>
          <a:ext cx="0" cy="1484645"/>
        </a:xfrm>
        <a:prstGeom prst="straightConnector1">
          <a:avLst/>
        </a:prstGeom>
        <a:ln w="12700">
          <a:solidFill>
            <a:srgbClr val="00B0F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789</xdr:colOff>
      <xdr:row>273</xdr:row>
      <xdr:rowOff>102349</xdr:rowOff>
    </xdr:from>
    <xdr:to>
      <xdr:col>1</xdr:col>
      <xdr:colOff>719552</xdr:colOff>
      <xdr:row>275</xdr:row>
      <xdr:rowOff>81768</xdr:rowOff>
    </xdr:to>
    <xdr:sp macro="" textlink="">
      <xdr:nvSpPr>
        <xdr:cNvPr id="276" name="Textfeld 275">
          <a:extLst>
            <a:ext uri="{FF2B5EF4-FFF2-40B4-BE49-F238E27FC236}">
              <a16:creationId xmlns:a16="http://schemas.microsoft.com/office/drawing/2014/main" id="{64358763-B98D-4A17-A57F-32511A2E20C5}"/>
            </a:ext>
          </a:extLst>
        </xdr:cNvPr>
        <xdr:cNvSpPr txBox="1"/>
      </xdr:nvSpPr>
      <xdr:spPr>
        <a:xfrm>
          <a:off x="762789" y="60890899"/>
          <a:ext cx="718763" cy="37311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CH" sz="1600">
              <a:solidFill>
                <a:srgbClr val="00B0F0"/>
              </a:solidFill>
            </a:rPr>
            <a:t>U</a:t>
          </a:r>
          <a:r>
            <a:rPr lang="de-CH" sz="1600" baseline="-25000">
              <a:solidFill>
                <a:srgbClr val="00B0F0"/>
              </a:solidFill>
            </a:rPr>
            <a:t>Tot</a:t>
          </a:r>
        </a:p>
      </xdr:txBody>
    </xdr:sp>
    <xdr:clientData/>
  </xdr:twoCellAnchor>
  <xdr:twoCellAnchor>
    <xdr:from>
      <xdr:col>2</xdr:col>
      <xdr:colOff>269833</xdr:colOff>
      <xdr:row>268</xdr:row>
      <xdr:rowOff>182217</xdr:rowOff>
    </xdr:from>
    <xdr:to>
      <xdr:col>2</xdr:col>
      <xdr:colOff>424441</xdr:colOff>
      <xdr:row>270</xdr:row>
      <xdr:rowOff>33130</xdr:rowOff>
    </xdr:to>
    <xdr:sp macro="" textlink="">
      <xdr:nvSpPr>
        <xdr:cNvPr id="277" name="Pfeil: nach oben 276">
          <a:extLst>
            <a:ext uri="{FF2B5EF4-FFF2-40B4-BE49-F238E27FC236}">
              <a16:creationId xmlns:a16="http://schemas.microsoft.com/office/drawing/2014/main" id="{CD842404-8731-4E79-B0FB-F450EAB6DFA8}"/>
            </a:ext>
          </a:extLst>
        </xdr:cNvPr>
        <xdr:cNvSpPr/>
      </xdr:nvSpPr>
      <xdr:spPr>
        <a:xfrm>
          <a:off x="1793833" y="59618217"/>
          <a:ext cx="154608" cy="244613"/>
        </a:xfrm>
        <a:prstGeom prst="upArrow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1</xdr:col>
      <xdr:colOff>462643</xdr:colOff>
      <xdr:row>268</xdr:row>
      <xdr:rowOff>81643</xdr:rowOff>
    </xdr:from>
    <xdr:to>
      <xdr:col>2</xdr:col>
      <xdr:colOff>294266</xdr:colOff>
      <xdr:row>270</xdr:row>
      <xdr:rowOff>124653</xdr:rowOff>
    </xdr:to>
    <xdr:sp macro="" textlink="">
      <xdr:nvSpPr>
        <xdr:cNvPr id="278" name="Textfeld 277">
          <a:extLst>
            <a:ext uri="{FF2B5EF4-FFF2-40B4-BE49-F238E27FC236}">
              <a16:creationId xmlns:a16="http://schemas.microsoft.com/office/drawing/2014/main" id="{9E536692-6E64-4604-81A8-62B39E5FB468}"/>
            </a:ext>
          </a:extLst>
        </xdr:cNvPr>
        <xdr:cNvSpPr txBox="1"/>
      </xdr:nvSpPr>
      <xdr:spPr>
        <a:xfrm>
          <a:off x="1224643" y="59517643"/>
          <a:ext cx="593623" cy="4367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CH" sz="1600" baseline="0">
              <a:solidFill>
                <a:srgbClr val="FF0000"/>
              </a:solidFill>
            </a:rPr>
            <a:t>I</a:t>
          </a:r>
          <a:r>
            <a:rPr lang="de-CH" sz="1600" baseline="-25000">
              <a:solidFill>
                <a:srgbClr val="FF0000"/>
              </a:solidFill>
            </a:rPr>
            <a:t>Tot</a:t>
          </a:r>
        </a:p>
      </xdr:txBody>
    </xdr:sp>
    <xdr:clientData/>
  </xdr:twoCellAnchor>
  <xdr:twoCellAnchor>
    <xdr:from>
      <xdr:col>1</xdr:col>
      <xdr:colOff>692150</xdr:colOff>
      <xdr:row>111</xdr:row>
      <xdr:rowOff>153982</xdr:rowOff>
    </xdr:from>
    <xdr:to>
      <xdr:col>12</xdr:col>
      <xdr:colOff>711200</xdr:colOff>
      <xdr:row>112</xdr:row>
      <xdr:rowOff>1582</xdr:rowOff>
    </xdr:to>
    <xdr:cxnSp macro="">
      <xdr:nvCxnSpPr>
        <xdr:cNvPr id="279" name="Gerader Verbinder 278">
          <a:extLst>
            <a:ext uri="{FF2B5EF4-FFF2-40B4-BE49-F238E27FC236}">
              <a16:creationId xmlns:a16="http://schemas.microsoft.com/office/drawing/2014/main" id="{BEF703F0-CAF9-4030-9F3F-C3E8BD04FDEB}"/>
            </a:ext>
          </a:extLst>
        </xdr:cNvPr>
        <xdr:cNvCxnSpPr/>
      </xdr:nvCxnSpPr>
      <xdr:spPr>
        <a:xfrm flipH="1" flipV="1">
          <a:off x="1454150" y="32240532"/>
          <a:ext cx="8401050" cy="444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76200</xdr:colOff>
      <xdr:row>111</xdr:row>
      <xdr:rowOff>114300</xdr:rowOff>
    </xdr:from>
    <xdr:to>
      <xdr:col>6</xdr:col>
      <xdr:colOff>165100</xdr:colOff>
      <xdr:row>112</xdr:row>
      <xdr:rowOff>12701</xdr:rowOff>
    </xdr:to>
    <xdr:sp macro="" textlink="">
      <xdr:nvSpPr>
        <xdr:cNvPr id="280" name="Ellipse 279">
          <a:extLst>
            <a:ext uri="{FF2B5EF4-FFF2-40B4-BE49-F238E27FC236}">
              <a16:creationId xmlns:a16="http://schemas.microsoft.com/office/drawing/2014/main" id="{2674E4B5-B66A-4698-9E3E-2A6C839F2756}"/>
            </a:ext>
          </a:extLst>
        </xdr:cNvPr>
        <xdr:cNvSpPr/>
      </xdr:nvSpPr>
      <xdr:spPr>
        <a:xfrm>
          <a:off x="4648200" y="32200850"/>
          <a:ext cx="88900" cy="95251"/>
        </a:xfrm>
        <a:prstGeom prst="ellipse">
          <a:avLst/>
        </a:prstGeom>
        <a:solidFill>
          <a:schemeClr val="tx1">
            <a:lumMod val="95000"/>
            <a:lumOff val="5000"/>
          </a:schemeClr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10</xdr:col>
      <xdr:colOff>660400</xdr:colOff>
      <xdr:row>111</xdr:row>
      <xdr:rowOff>119743</xdr:rowOff>
    </xdr:from>
    <xdr:to>
      <xdr:col>10</xdr:col>
      <xdr:colOff>749300</xdr:colOff>
      <xdr:row>112</xdr:row>
      <xdr:rowOff>18144</xdr:rowOff>
    </xdr:to>
    <xdr:sp macro="" textlink="">
      <xdr:nvSpPr>
        <xdr:cNvPr id="281" name="Ellipse 280">
          <a:extLst>
            <a:ext uri="{FF2B5EF4-FFF2-40B4-BE49-F238E27FC236}">
              <a16:creationId xmlns:a16="http://schemas.microsoft.com/office/drawing/2014/main" id="{C5589CC8-3DD6-46C7-B987-0CEAA1239826}"/>
            </a:ext>
          </a:extLst>
        </xdr:cNvPr>
        <xdr:cNvSpPr/>
      </xdr:nvSpPr>
      <xdr:spPr>
        <a:xfrm>
          <a:off x="8280400" y="32206293"/>
          <a:ext cx="88900" cy="95251"/>
        </a:xfrm>
        <a:prstGeom prst="ellipse">
          <a:avLst/>
        </a:prstGeom>
        <a:solidFill>
          <a:schemeClr val="tx1">
            <a:lumMod val="95000"/>
            <a:lumOff val="5000"/>
          </a:schemeClr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12</xdr:col>
      <xdr:colOff>656771</xdr:colOff>
      <xdr:row>111</xdr:row>
      <xdr:rowOff>152400</xdr:rowOff>
    </xdr:from>
    <xdr:to>
      <xdr:col>12</xdr:col>
      <xdr:colOff>745671</xdr:colOff>
      <xdr:row>112</xdr:row>
      <xdr:rowOff>50801</xdr:rowOff>
    </xdr:to>
    <xdr:sp macro="" textlink="">
      <xdr:nvSpPr>
        <xdr:cNvPr id="282" name="Ellipse 281">
          <a:extLst>
            <a:ext uri="{FF2B5EF4-FFF2-40B4-BE49-F238E27FC236}">
              <a16:creationId xmlns:a16="http://schemas.microsoft.com/office/drawing/2014/main" id="{8F455379-9D43-4C97-A3AB-77E2F5E89CAD}"/>
            </a:ext>
          </a:extLst>
        </xdr:cNvPr>
        <xdr:cNvSpPr/>
      </xdr:nvSpPr>
      <xdr:spPr>
        <a:xfrm>
          <a:off x="9800771" y="32238950"/>
          <a:ext cx="88900" cy="95251"/>
        </a:xfrm>
        <a:prstGeom prst="ellipse">
          <a:avLst/>
        </a:prstGeom>
        <a:solidFill>
          <a:schemeClr val="tx1">
            <a:lumMod val="95000"/>
            <a:lumOff val="5000"/>
          </a:schemeClr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12</xdr:col>
      <xdr:colOff>330128</xdr:colOff>
      <xdr:row>15</xdr:row>
      <xdr:rowOff>284501</xdr:rowOff>
    </xdr:from>
    <xdr:to>
      <xdr:col>12</xdr:col>
      <xdr:colOff>430020</xdr:colOff>
      <xdr:row>16</xdr:row>
      <xdr:rowOff>74337</xdr:rowOff>
    </xdr:to>
    <xdr:sp macro="" textlink="">
      <xdr:nvSpPr>
        <xdr:cNvPr id="283" name="Ellipse 282">
          <a:extLst>
            <a:ext uri="{FF2B5EF4-FFF2-40B4-BE49-F238E27FC236}">
              <a16:creationId xmlns:a16="http://schemas.microsoft.com/office/drawing/2014/main" id="{F9A7326E-FC0F-4317-A81C-41351BD68BFC}"/>
            </a:ext>
          </a:extLst>
        </xdr:cNvPr>
        <xdr:cNvSpPr/>
      </xdr:nvSpPr>
      <xdr:spPr>
        <a:xfrm>
          <a:off x="9474128" y="4469151"/>
          <a:ext cx="99892" cy="75586"/>
        </a:xfrm>
        <a:prstGeom prst="ellipse">
          <a:avLst/>
        </a:prstGeom>
        <a:solidFill>
          <a:schemeClr val="tx1">
            <a:lumMod val="95000"/>
            <a:lumOff val="5000"/>
          </a:schemeClr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13</xdr:col>
      <xdr:colOff>518790</xdr:colOff>
      <xdr:row>15</xdr:row>
      <xdr:rowOff>289515</xdr:rowOff>
    </xdr:from>
    <xdr:to>
      <xdr:col>13</xdr:col>
      <xdr:colOff>612332</xdr:colOff>
      <xdr:row>16</xdr:row>
      <xdr:rowOff>79351</xdr:rowOff>
    </xdr:to>
    <xdr:sp macro="" textlink="">
      <xdr:nvSpPr>
        <xdr:cNvPr id="284" name="Ellipse 283">
          <a:extLst>
            <a:ext uri="{FF2B5EF4-FFF2-40B4-BE49-F238E27FC236}">
              <a16:creationId xmlns:a16="http://schemas.microsoft.com/office/drawing/2014/main" id="{F5D86754-A8ED-46AF-936C-412F638EA662}"/>
            </a:ext>
          </a:extLst>
        </xdr:cNvPr>
        <xdr:cNvSpPr/>
      </xdr:nvSpPr>
      <xdr:spPr>
        <a:xfrm>
          <a:off x="10424790" y="4467815"/>
          <a:ext cx="93542" cy="81936"/>
        </a:xfrm>
        <a:prstGeom prst="ellipse">
          <a:avLst/>
        </a:prstGeom>
        <a:solidFill>
          <a:schemeClr val="tx1">
            <a:lumMod val="95000"/>
            <a:lumOff val="5000"/>
          </a:schemeClr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5</xdr:col>
      <xdr:colOff>727441</xdr:colOff>
      <xdr:row>3</xdr:row>
      <xdr:rowOff>172829</xdr:rowOff>
    </xdr:from>
    <xdr:to>
      <xdr:col>6</xdr:col>
      <xdr:colOff>58983</xdr:colOff>
      <xdr:row>4</xdr:row>
      <xdr:rowOff>67768</xdr:rowOff>
    </xdr:to>
    <xdr:sp macro="" textlink="">
      <xdr:nvSpPr>
        <xdr:cNvPr id="285" name="Ellipse 284">
          <a:extLst>
            <a:ext uri="{FF2B5EF4-FFF2-40B4-BE49-F238E27FC236}">
              <a16:creationId xmlns:a16="http://schemas.microsoft.com/office/drawing/2014/main" id="{117AD0EA-EC79-4D29-9E14-3A3AD0508ED8}"/>
            </a:ext>
          </a:extLst>
        </xdr:cNvPr>
        <xdr:cNvSpPr/>
      </xdr:nvSpPr>
      <xdr:spPr>
        <a:xfrm>
          <a:off x="4537441" y="896729"/>
          <a:ext cx="93542" cy="91789"/>
        </a:xfrm>
        <a:prstGeom prst="ellipse">
          <a:avLst/>
        </a:prstGeom>
        <a:solidFill>
          <a:schemeClr val="tx1">
            <a:lumMod val="95000"/>
            <a:lumOff val="5000"/>
          </a:schemeClr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4</xdr:col>
      <xdr:colOff>730616</xdr:colOff>
      <xdr:row>3</xdr:row>
      <xdr:rowOff>159691</xdr:rowOff>
    </xdr:from>
    <xdr:to>
      <xdr:col>5</xdr:col>
      <xdr:colOff>58983</xdr:colOff>
      <xdr:row>4</xdr:row>
      <xdr:rowOff>51455</xdr:rowOff>
    </xdr:to>
    <xdr:sp macro="" textlink="">
      <xdr:nvSpPr>
        <xdr:cNvPr id="286" name="Ellipse 285">
          <a:extLst>
            <a:ext uri="{FF2B5EF4-FFF2-40B4-BE49-F238E27FC236}">
              <a16:creationId xmlns:a16="http://schemas.microsoft.com/office/drawing/2014/main" id="{1F247C41-9EB3-44F0-BDAC-7E6050774ED8}"/>
            </a:ext>
          </a:extLst>
        </xdr:cNvPr>
        <xdr:cNvSpPr/>
      </xdr:nvSpPr>
      <xdr:spPr>
        <a:xfrm>
          <a:off x="3778616" y="883591"/>
          <a:ext cx="90367" cy="88614"/>
        </a:xfrm>
        <a:prstGeom prst="ellipse">
          <a:avLst/>
        </a:prstGeom>
        <a:solidFill>
          <a:schemeClr val="tx1">
            <a:lumMod val="95000"/>
            <a:lumOff val="5000"/>
          </a:schemeClr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9</xdr:col>
      <xdr:colOff>742854</xdr:colOff>
      <xdr:row>15</xdr:row>
      <xdr:rowOff>190499</xdr:rowOff>
    </xdr:from>
    <xdr:to>
      <xdr:col>10</xdr:col>
      <xdr:colOff>92075</xdr:colOff>
      <xdr:row>16</xdr:row>
      <xdr:rowOff>62877</xdr:rowOff>
    </xdr:to>
    <xdr:sp macro="" textlink="">
      <xdr:nvSpPr>
        <xdr:cNvPr id="287" name="Ellipse 286">
          <a:extLst>
            <a:ext uri="{FF2B5EF4-FFF2-40B4-BE49-F238E27FC236}">
              <a16:creationId xmlns:a16="http://schemas.microsoft.com/office/drawing/2014/main" id="{B8C14369-8139-412D-97D2-F71C0BE1BD90}"/>
            </a:ext>
          </a:extLst>
        </xdr:cNvPr>
        <xdr:cNvSpPr/>
      </xdr:nvSpPr>
      <xdr:spPr>
        <a:xfrm>
          <a:off x="7600854" y="4464049"/>
          <a:ext cx="111221" cy="69228"/>
        </a:xfrm>
        <a:prstGeom prst="ellipse">
          <a:avLst/>
        </a:prstGeom>
        <a:solidFill>
          <a:schemeClr val="tx1">
            <a:lumMod val="95000"/>
            <a:lumOff val="5000"/>
          </a:schemeClr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10</xdr:col>
      <xdr:colOff>709394</xdr:colOff>
      <xdr:row>3</xdr:row>
      <xdr:rowOff>190500</xdr:rowOff>
    </xdr:from>
    <xdr:to>
      <xdr:col>11</xdr:col>
      <xdr:colOff>55440</xdr:colOff>
      <xdr:row>4</xdr:row>
      <xdr:rowOff>66053</xdr:rowOff>
    </xdr:to>
    <xdr:sp macro="" textlink="">
      <xdr:nvSpPr>
        <xdr:cNvPr id="288" name="Ellipse 287">
          <a:extLst>
            <a:ext uri="{FF2B5EF4-FFF2-40B4-BE49-F238E27FC236}">
              <a16:creationId xmlns:a16="http://schemas.microsoft.com/office/drawing/2014/main" id="{73A5D1C5-E045-4983-B83D-301E9A3E0988}"/>
            </a:ext>
          </a:extLst>
        </xdr:cNvPr>
        <xdr:cNvSpPr/>
      </xdr:nvSpPr>
      <xdr:spPr>
        <a:xfrm>
          <a:off x="8329394" y="914400"/>
          <a:ext cx="108046" cy="72403"/>
        </a:xfrm>
        <a:prstGeom prst="ellipse">
          <a:avLst/>
        </a:prstGeom>
        <a:solidFill>
          <a:schemeClr val="tx1">
            <a:lumMod val="95000"/>
            <a:lumOff val="5000"/>
          </a:schemeClr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12</xdr:col>
      <xdr:colOff>718039</xdr:colOff>
      <xdr:row>27</xdr:row>
      <xdr:rowOff>417635</xdr:rowOff>
    </xdr:from>
    <xdr:to>
      <xdr:col>13</xdr:col>
      <xdr:colOff>62281</xdr:colOff>
      <xdr:row>28</xdr:row>
      <xdr:rowOff>53606</xdr:rowOff>
    </xdr:to>
    <xdr:sp macro="" textlink="">
      <xdr:nvSpPr>
        <xdr:cNvPr id="289" name="Ellipse 288">
          <a:extLst>
            <a:ext uri="{FF2B5EF4-FFF2-40B4-BE49-F238E27FC236}">
              <a16:creationId xmlns:a16="http://schemas.microsoft.com/office/drawing/2014/main" id="{2AA33470-B725-483D-BD8B-8B9551EB2C56}"/>
            </a:ext>
          </a:extLst>
        </xdr:cNvPr>
        <xdr:cNvSpPr/>
      </xdr:nvSpPr>
      <xdr:spPr>
        <a:xfrm>
          <a:off x="9862039" y="9847385"/>
          <a:ext cx="106242" cy="86821"/>
        </a:xfrm>
        <a:prstGeom prst="ellipse">
          <a:avLst/>
        </a:prstGeom>
        <a:solidFill>
          <a:schemeClr val="tx1">
            <a:lumMod val="95000"/>
            <a:lumOff val="5000"/>
          </a:schemeClr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4</xdr:col>
      <xdr:colOff>703385</xdr:colOff>
      <xdr:row>39</xdr:row>
      <xdr:rowOff>131885</xdr:rowOff>
    </xdr:from>
    <xdr:to>
      <xdr:col>5</xdr:col>
      <xdr:colOff>47627</xdr:colOff>
      <xdr:row>39</xdr:row>
      <xdr:rowOff>214798</xdr:rowOff>
    </xdr:to>
    <xdr:sp macro="" textlink="">
      <xdr:nvSpPr>
        <xdr:cNvPr id="290" name="Ellipse 289">
          <a:extLst>
            <a:ext uri="{FF2B5EF4-FFF2-40B4-BE49-F238E27FC236}">
              <a16:creationId xmlns:a16="http://schemas.microsoft.com/office/drawing/2014/main" id="{5BFC12C0-FE7D-4551-8678-EEFD5B3E7DCA}"/>
            </a:ext>
          </a:extLst>
        </xdr:cNvPr>
        <xdr:cNvSpPr/>
      </xdr:nvSpPr>
      <xdr:spPr>
        <a:xfrm>
          <a:off x="3751385" y="14971835"/>
          <a:ext cx="106242" cy="82913"/>
        </a:xfrm>
        <a:prstGeom prst="ellipse">
          <a:avLst/>
        </a:prstGeom>
        <a:solidFill>
          <a:schemeClr val="tx1">
            <a:lumMod val="95000"/>
            <a:lumOff val="5000"/>
          </a:schemeClr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12</xdr:col>
      <xdr:colOff>692884</xdr:colOff>
      <xdr:row>39</xdr:row>
      <xdr:rowOff>139212</xdr:rowOff>
    </xdr:from>
    <xdr:to>
      <xdr:col>13</xdr:col>
      <xdr:colOff>43476</xdr:colOff>
      <xdr:row>39</xdr:row>
      <xdr:rowOff>218950</xdr:rowOff>
    </xdr:to>
    <xdr:sp macro="" textlink="">
      <xdr:nvSpPr>
        <xdr:cNvPr id="291" name="Ellipse 290">
          <a:extLst>
            <a:ext uri="{FF2B5EF4-FFF2-40B4-BE49-F238E27FC236}">
              <a16:creationId xmlns:a16="http://schemas.microsoft.com/office/drawing/2014/main" id="{D02E9D41-CEAF-44B0-9230-79F6AD843916}"/>
            </a:ext>
          </a:extLst>
        </xdr:cNvPr>
        <xdr:cNvSpPr/>
      </xdr:nvSpPr>
      <xdr:spPr>
        <a:xfrm>
          <a:off x="9836884" y="14979162"/>
          <a:ext cx="112592" cy="79738"/>
        </a:xfrm>
        <a:prstGeom prst="ellipse">
          <a:avLst/>
        </a:prstGeom>
        <a:solidFill>
          <a:schemeClr val="tx1">
            <a:lumMod val="95000"/>
            <a:lumOff val="5000"/>
          </a:schemeClr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10</xdr:col>
      <xdr:colOff>696058</xdr:colOff>
      <xdr:row>39</xdr:row>
      <xdr:rowOff>117231</xdr:rowOff>
    </xdr:from>
    <xdr:to>
      <xdr:col>11</xdr:col>
      <xdr:colOff>43475</xdr:colOff>
      <xdr:row>39</xdr:row>
      <xdr:rowOff>203319</xdr:rowOff>
    </xdr:to>
    <xdr:sp macro="" textlink="">
      <xdr:nvSpPr>
        <xdr:cNvPr id="292" name="Ellipse 291">
          <a:extLst>
            <a:ext uri="{FF2B5EF4-FFF2-40B4-BE49-F238E27FC236}">
              <a16:creationId xmlns:a16="http://schemas.microsoft.com/office/drawing/2014/main" id="{0FB4EFD0-6FD7-4EFA-ABFA-CD271A811407}"/>
            </a:ext>
          </a:extLst>
        </xdr:cNvPr>
        <xdr:cNvSpPr/>
      </xdr:nvSpPr>
      <xdr:spPr>
        <a:xfrm>
          <a:off x="8316058" y="14957181"/>
          <a:ext cx="109417" cy="86088"/>
        </a:xfrm>
        <a:prstGeom prst="ellipse">
          <a:avLst/>
        </a:prstGeom>
        <a:solidFill>
          <a:schemeClr val="tx1">
            <a:lumMod val="95000"/>
            <a:lumOff val="5000"/>
          </a:schemeClr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9</xdr:col>
      <xdr:colOff>732693</xdr:colOff>
      <xdr:row>39</xdr:row>
      <xdr:rowOff>109904</xdr:rowOff>
    </xdr:from>
    <xdr:to>
      <xdr:col>10</xdr:col>
      <xdr:colOff>80110</xdr:colOff>
      <xdr:row>39</xdr:row>
      <xdr:rowOff>195992</xdr:rowOff>
    </xdr:to>
    <xdr:sp macro="" textlink="">
      <xdr:nvSpPr>
        <xdr:cNvPr id="293" name="Ellipse 292">
          <a:extLst>
            <a:ext uri="{FF2B5EF4-FFF2-40B4-BE49-F238E27FC236}">
              <a16:creationId xmlns:a16="http://schemas.microsoft.com/office/drawing/2014/main" id="{78A6349B-95D0-4B62-B815-AD9BD18C1DA7}"/>
            </a:ext>
          </a:extLst>
        </xdr:cNvPr>
        <xdr:cNvSpPr/>
      </xdr:nvSpPr>
      <xdr:spPr>
        <a:xfrm>
          <a:off x="7590693" y="14949854"/>
          <a:ext cx="109417" cy="86088"/>
        </a:xfrm>
        <a:prstGeom prst="ellipse">
          <a:avLst/>
        </a:prstGeom>
        <a:solidFill>
          <a:schemeClr val="tx1">
            <a:lumMod val="95000"/>
            <a:lumOff val="5000"/>
          </a:schemeClr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5</xdr:col>
      <xdr:colOff>718039</xdr:colOff>
      <xdr:row>39</xdr:row>
      <xdr:rowOff>117231</xdr:rowOff>
    </xdr:from>
    <xdr:to>
      <xdr:col>6</xdr:col>
      <xdr:colOff>65456</xdr:colOff>
      <xdr:row>39</xdr:row>
      <xdr:rowOff>203319</xdr:rowOff>
    </xdr:to>
    <xdr:sp macro="" textlink="">
      <xdr:nvSpPr>
        <xdr:cNvPr id="294" name="Ellipse 293">
          <a:extLst>
            <a:ext uri="{FF2B5EF4-FFF2-40B4-BE49-F238E27FC236}">
              <a16:creationId xmlns:a16="http://schemas.microsoft.com/office/drawing/2014/main" id="{D9F312F0-E1F5-447C-8588-7346C0432CB4}"/>
            </a:ext>
          </a:extLst>
        </xdr:cNvPr>
        <xdr:cNvSpPr/>
      </xdr:nvSpPr>
      <xdr:spPr>
        <a:xfrm>
          <a:off x="4528039" y="14957181"/>
          <a:ext cx="109417" cy="86088"/>
        </a:xfrm>
        <a:prstGeom prst="ellipse">
          <a:avLst/>
        </a:prstGeom>
        <a:solidFill>
          <a:schemeClr val="tx1">
            <a:lumMod val="95000"/>
            <a:lumOff val="5000"/>
          </a:schemeClr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558800</xdr:colOff>
      <xdr:row>0</xdr:row>
      <xdr:rowOff>95250</xdr:rowOff>
    </xdr:from>
    <xdr:to>
      <xdr:col>1</xdr:col>
      <xdr:colOff>533400</xdr:colOff>
      <xdr:row>2</xdr:row>
      <xdr:rowOff>179631</xdr:rowOff>
    </xdr:to>
    <xdr:sp macro="" textlink="">
      <xdr:nvSpPr>
        <xdr:cNvPr id="2" name="Pfeil: nach recht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E187914-85E4-4623-957A-1312C3472F1F}"/>
            </a:ext>
          </a:extLst>
        </xdr:cNvPr>
        <xdr:cNvSpPr/>
      </xdr:nvSpPr>
      <xdr:spPr>
        <a:xfrm rot="10800000">
          <a:off x="558800" y="95250"/>
          <a:ext cx="736600" cy="566981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593436</xdr:colOff>
      <xdr:row>5</xdr:row>
      <xdr:rowOff>3160</xdr:rowOff>
    </xdr:from>
    <xdr:to>
      <xdr:col>6</xdr:col>
      <xdr:colOff>362085</xdr:colOff>
      <xdr:row>21</xdr:row>
      <xdr:rowOff>17319</xdr:rowOff>
    </xdr:to>
    <xdr:grpSp>
      <xdr:nvGrpSpPr>
        <xdr:cNvPr id="3" name="Gruppieren 2">
          <a:extLst>
            <a:ext uri="{FF2B5EF4-FFF2-40B4-BE49-F238E27FC236}">
              <a16:creationId xmlns:a16="http://schemas.microsoft.com/office/drawing/2014/main" id="{8AF6DB47-CE7B-47C7-B394-70D78F8486ED}"/>
            </a:ext>
          </a:extLst>
        </xdr:cNvPr>
        <xdr:cNvGrpSpPr/>
      </xdr:nvGrpSpPr>
      <xdr:grpSpPr>
        <a:xfrm>
          <a:off x="2117436" y="1058237"/>
          <a:ext cx="2933880" cy="3465140"/>
          <a:chOff x="2241838" y="1392092"/>
          <a:chExt cx="2816649" cy="2955048"/>
        </a:xfrm>
      </xdr:grpSpPr>
      <xdr:grpSp>
        <xdr:nvGrpSpPr>
          <xdr:cNvPr id="4" name="Gruppieren 3">
            <a:extLst>
              <a:ext uri="{FF2B5EF4-FFF2-40B4-BE49-F238E27FC236}">
                <a16:creationId xmlns:a16="http://schemas.microsoft.com/office/drawing/2014/main" id="{32F63FAB-BB33-8D3F-14C2-0B0CA8A46B38}"/>
              </a:ext>
            </a:extLst>
          </xdr:cNvPr>
          <xdr:cNvGrpSpPr/>
        </xdr:nvGrpSpPr>
        <xdr:grpSpPr>
          <a:xfrm>
            <a:off x="2407516" y="1392092"/>
            <a:ext cx="2650971" cy="2955048"/>
            <a:chOff x="2140047" y="10266032"/>
            <a:chExt cx="2650971" cy="2914527"/>
          </a:xfrm>
        </xdr:grpSpPr>
        <xdr:cxnSp macro="">
          <xdr:nvCxnSpPr>
            <xdr:cNvPr id="9" name="Gerader Verbinder 8">
              <a:extLst>
                <a:ext uri="{FF2B5EF4-FFF2-40B4-BE49-F238E27FC236}">
                  <a16:creationId xmlns:a16="http://schemas.microsoft.com/office/drawing/2014/main" id="{25C4EA90-85F0-8C29-7892-65D4971E4118}"/>
                </a:ext>
              </a:extLst>
            </xdr:cNvPr>
            <xdr:cNvCxnSpPr>
              <a:cxnSpLocks/>
              <a:endCxn id="10" idx="1"/>
            </xdr:cNvCxnSpPr>
          </xdr:nvCxnSpPr>
          <xdr:spPr>
            <a:xfrm flipH="1">
              <a:off x="3674714" y="10266032"/>
              <a:ext cx="2033" cy="387038"/>
            </a:xfrm>
            <a:prstGeom prst="line">
              <a:avLst/>
            </a:prstGeom>
            <a:ln w="19050">
              <a:solidFill>
                <a:schemeClr val="tx1">
                  <a:lumMod val="95000"/>
                  <a:lumOff val="5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0" name="Textfeld 9">
              <a:extLst>
                <a:ext uri="{FF2B5EF4-FFF2-40B4-BE49-F238E27FC236}">
                  <a16:creationId xmlns:a16="http://schemas.microsoft.com/office/drawing/2014/main" id="{5C5586A2-4B48-5CB9-18F3-03273E741467}"/>
                </a:ext>
              </a:extLst>
            </xdr:cNvPr>
            <xdr:cNvSpPr txBox="1"/>
          </xdr:nvSpPr>
          <xdr:spPr>
            <a:xfrm rot="5400000" flipV="1">
              <a:off x="3326677" y="10868925"/>
              <a:ext cx="696073" cy="264365"/>
            </a:xfrm>
            <a:prstGeom prst="rect">
              <a:avLst/>
            </a:prstGeom>
            <a:solidFill>
              <a:schemeClr val="lt1"/>
            </a:solidFill>
            <a:ln w="12700" cmpd="sng">
              <a:solidFill>
                <a:schemeClr val="tx1">
                  <a:lumMod val="95000"/>
                  <a:lumOff val="5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de-CH" sz="900"/>
                <a:t>R</a:t>
              </a:r>
              <a:r>
                <a:rPr lang="de-CH" sz="900" baseline="-25000"/>
                <a:t>1</a:t>
              </a:r>
            </a:p>
          </xdr:txBody>
        </xdr:sp>
        <xdr:cxnSp macro="">
          <xdr:nvCxnSpPr>
            <xdr:cNvPr id="11" name="Gerader Verbinder 10">
              <a:extLst>
                <a:ext uri="{FF2B5EF4-FFF2-40B4-BE49-F238E27FC236}">
                  <a16:creationId xmlns:a16="http://schemas.microsoft.com/office/drawing/2014/main" id="{879475CA-7283-8803-ECC6-99C4B638D894}"/>
                </a:ext>
              </a:extLst>
            </xdr:cNvPr>
            <xdr:cNvCxnSpPr>
              <a:cxnSpLocks/>
              <a:endCxn id="10" idx="3"/>
            </xdr:cNvCxnSpPr>
          </xdr:nvCxnSpPr>
          <xdr:spPr>
            <a:xfrm flipV="1">
              <a:off x="3672417" y="11349144"/>
              <a:ext cx="2297" cy="390100"/>
            </a:xfrm>
            <a:prstGeom prst="line">
              <a:avLst/>
            </a:prstGeom>
            <a:ln w="19050">
              <a:solidFill>
                <a:schemeClr val="tx1">
                  <a:lumMod val="95000"/>
                  <a:lumOff val="5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54" name="Gerader Verbinder 53">
              <a:extLst>
                <a:ext uri="{FF2B5EF4-FFF2-40B4-BE49-F238E27FC236}">
                  <a16:creationId xmlns:a16="http://schemas.microsoft.com/office/drawing/2014/main" id="{E1B60450-ADC0-939D-CE25-AE4D2DABF83D}"/>
                </a:ext>
              </a:extLst>
            </xdr:cNvPr>
            <xdr:cNvCxnSpPr>
              <a:cxnSpLocks/>
            </xdr:cNvCxnSpPr>
          </xdr:nvCxnSpPr>
          <xdr:spPr>
            <a:xfrm flipH="1">
              <a:off x="3666933" y="11710868"/>
              <a:ext cx="1124085" cy="8043"/>
            </a:xfrm>
            <a:prstGeom prst="line">
              <a:avLst/>
            </a:prstGeom>
            <a:ln w="19050">
              <a:solidFill>
                <a:schemeClr val="tx1">
                  <a:lumMod val="95000"/>
                  <a:lumOff val="5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57" name="Gerader Verbinder 56">
              <a:extLst>
                <a:ext uri="{FF2B5EF4-FFF2-40B4-BE49-F238E27FC236}">
                  <a16:creationId xmlns:a16="http://schemas.microsoft.com/office/drawing/2014/main" id="{62E9AC64-1D92-9FCD-644B-F676EA504348}"/>
                </a:ext>
              </a:extLst>
            </xdr:cNvPr>
            <xdr:cNvCxnSpPr>
              <a:cxnSpLocks/>
            </xdr:cNvCxnSpPr>
          </xdr:nvCxnSpPr>
          <xdr:spPr>
            <a:xfrm flipH="1">
              <a:off x="2140047" y="10274262"/>
              <a:ext cx="1538431" cy="8497"/>
            </a:xfrm>
            <a:prstGeom prst="line">
              <a:avLst/>
            </a:prstGeom>
            <a:ln w="19050">
              <a:solidFill>
                <a:schemeClr val="tx1">
                  <a:lumMod val="95000"/>
                  <a:lumOff val="5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58" name="Gerader Verbinder 57">
              <a:extLst>
                <a:ext uri="{FF2B5EF4-FFF2-40B4-BE49-F238E27FC236}">
                  <a16:creationId xmlns:a16="http://schemas.microsoft.com/office/drawing/2014/main" id="{A450DFDB-4924-A1E0-F20A-70F82CB01346}"/>
                </a:ext>
              </a:extLst>
            </xdr:cNvPr>
            <xdr:cNvCxnSpPr>
              <a:cxnSpLocks/>
            </xdr:cNvCxnSpPr>
          </xdr:nvCxnSpPr>
          <xdr:spPr>
            <a:xfrm flipH="1" flipV="1">
              <a:off x="2140047" y="13172062"/>
              <a:ext cx="2643907" cy="8497"/>
            </a:xfrm>
            <a:prstGeom prst="line">
              <a:avLst/>
            </a:prstGeom>
            <a:ln w="19050">
              <a:solidFill>
                <a:schemeClr val="tx1">
                  <a:lumMod val="95000"/>
                  <a:lumOff val="5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cxnSp macro="">
        <xdr:nvCxnSpPr>
          <xdr:cNvPr id="5" name="Gerader Verbinder 4">
            <a:extLst>
              <a:ext uri="{FF2B5EF4-FFF2-40B4-BE49-F238E27FC236}">
                <a16:creationId xmlns:a16="http://schemas.microsoft.com/office/drawing/2014/main" id="{20B84350-3FFD-FD8D-0CE9-4F9BE493FCBE}"/>
              </a:ext>
            </a:extLst>
          </xdr:cNvPr>
          <xdr:cNvCxnSpPr>
            <a:cxnSpLocks/>
          </xdr:cNvCxnSpPr>
        </xdr:nvCxnSpPr>
        <xdr:spPr>
          <a:xfrm flipH="1">
            <a:off x="3743902" y="1719230"/>
            <a:ext cx="2886" cy="910435"/>
          </a:xfrm>
          <a:prstGeom prst="line">
            <a:avLst/>
          </a:prstGeom>
          <a:ln w="19050">
            <a:solidFill>
              <a:srgbClr val="00B0F0"/>
            </a:solidFill>
            <a:headEnd type="non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6" name="Textfeld 5">
            <a:extLst>
              <a:ext uri="{FF2B5EF4-FFF2-40B4-BE49-F238E27FC236}">
                <a16:creationId xmlns:a16="http://schemas.microsoft.com/office/drawing/2014/main" id="{9AA6912A-BAB2-BDD1-9271-152B6D068939}"/>
              </a:ext>
            </a:extLst>
          </xdr:cNvPr>
          <xdr:cNvSpPr txBox="1"/>
        </xdr:nvSpPr>
        <xdr:spPr>
          <a:xfrm>
            <a:off x="3421783" y="1964725"/>
            <a:ext cx="327891" cy="26039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de-CH" sz="1100">
                <a:solidFill>
                  <a:srgbClr val="00B0F0"/>
                </a:solidFill>
              </a:rPr>
              <a:t>U</a:t>
            </a:r>
            <a:r>
              <a:rPr lang="de-CH" sz="1100" baseline="-25000">
                <a:solidFill>
                  <a:srgbClr val="00B0F0"/>
                </a:solidFill>
              </a:rPr>
              <a:t>1</a:t>
            </a:r>
            <a:endParaRPr lang="de-CH" sz="1100">
              <a:solidFill>
                <a:srgbClr val="00B0F0"/>
              </a:solidFill>
            </a:endParaRPr>
          </a:p>
        </xdr:txBody>
      </xdr:sp>
      <xdr:cxnSp macro="">
        <xdr:nvCxnSpPr>
          <xdr:cNvPr id="7" name="Gerade Verbindung mit Pfeil 6">
            <a:extLst>
              <a:ext uri="{FF2B5EF4-FFF2-40B4-BE49-F238E27FC236}">
                <a16:creationId xmlns:a16="http://schemas.microsoft.com/office/drawing/2014/main" id="{42C91B53-60A4-514C-CC8C-5011D51D4C0E}"/>
              </a:ext>
            </a:extLst>
          </xdr:cNvPr>
          <xdr:cNvCxnSpPr/>
        </xdr:nvCxnSpPr>
        <xdr:spPr>
          <a:xfrm>
            <a:off x="3939188" y="1523918"/>
            <a:ext cx="6760" cy="94792"/>
          </a:xfrm>
          <a:prstGeom prst="straightConnector1">
            <a:avLst/>
          </a:prstGeom>
          <a:ln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8" name="Textfeld 7">
            <a:extLst>
              <a:ext uri="{FF2B5EF4-FFF2-40B4-BE49-F238E27FC236}">
                <a16:creationId xmlns:a16="http://schemas.microsoft.com/office/drawing/2014/main" id="{E89557A5-3255-CCD4-B50F-E5D91BBB5053}"/>
              </a:ext>
            </a:extLst>
          </xdr:cNvPr>
          <xdr:cNvSpPr txBox="1"/>
        </xdr:nvSpPr>
        <xdr:spPr>
          <a:xfrm>
            <a:off x="3998630" y="1422154"/>
            <a:ext cx="392971" cy="27163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de-CH" sz="1100">
                <a:solidFill>
                  <a:srgbClr val="FF0000"/>
                </a:solidFill>
              </a:rPr>
              <a:t>I</a:t>
            </a:r>
            <a:r>
              <a:rPr lang="de-CH" sz="1100" baseline="-25000">
                <a:solidFill>
                  <a:srgbClr val="FF0000"/>
                </a:solidFill>
              </a:rPr>
              <a:t>Total</a:t>
            </a:r>
            <a:endParaRPr lang="de-CH" sz="1100">
              <a:solidFill>
                <a:srgbClr val="FF0000"/>
              </a:solidFill>
            </a:endParaRPr>
          </a:p>
        </xdr:txBody>
      </xdr:sp>
      <xdr:cxnSp macro="">
        <xdr:nvCxnSpPr>
          <xdr:cNvPr id="61" name="Gerader Verbinder 60">
            <a:extLst>
              <a:ext uri="{FF2B5EF4-FFF2-40B4-BE49-F238E27FC236}">
                <a16:creationId xmlns:a16="http://schemas.microsoft.com/office/drawing/2014/main" id="{714B2490-4203-FF0B-3199-AF629B7449B3}"/>
              </a:ext>
            </a:extLst>
          </xdr:cNvPr>
          <xdr:cNvCxnSpPr>
            <a:cxnSpLocks/>
          </xdr:cNvCxnSpPr>
        </xdr:nvCxnSpPr>
        <xdr:spPr>
          <a:xfrm flipH="1">
            <a:off x="2626302" y="1836983"/>
            <a:ext cx="6350" cy="2188637"/>
          </a:xfrm>
          <a:prstGeom prst="line">
            <a:avLst/>
          </a:prstGeom>
          <a:ln w="19050">
            <a:solidFill>
              <a:srgbClr val="00B0F0"/>
            </a:solidFill>
            <a:headEnd type="non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63" name="Textfeld 62">
            <a:extLst>
              <a:ext uri="{FF2B5EF4-FFF2-40B4-BE49-F238E27FC236}">
                <a16:creationId xmlns:a16="http://schemas.microsoft.com/office/drawing/2014/main" id="{B249301F-52E2-F8A1-698C-2D0A9B9A024A}"/>
              </a:ext>
            </a:extLst>
          </xdr:cNvPr>
          <xdr:cNvSpPr txBox="1"/>
        </xdr:nvSpPr>
        <xdr:spPr>
          <a:xfrm>
            <a:off x="2241838" y="2982205"/>
            <a:ext cx="327891" cy="26039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de-CH" sz="1100">
                <a:solidFill>
                  <a:srgbClr val="00B0F0"/>
                </a:solidFill>
              </a:rPr>
              <a:t>U</a:t>
            </a:r>
            <a:r>
              <a:rPr lang="de-CH" sz="1100" baseline="-25000">
                <a:solidFill>
                  <a:srgbClr val="00B0F0"/>
                </a:solidFill>
              </a:rPr>
              <a:t>IN</a:t>
            </a:r>
            <a:endParaRPr lang="de-CH" sz="1100">
              <a:solidFill>
                <a:srgbClr val="00B0F0"/>
              </a:solidFill>
            </a:endParaRPr>
          </a:p>
        </xdr:txBody>
      </xdr:sp>
    </xdr:grpSp>
    <xdr:clientData/>
  </xdr:twoCellAnchor>
  <xdr:twoCellAnchor>
    <xdr:from>
      <xdr:col>4</xdr:col>
      <xdr:colOff>189833</xdr:colOff>
      <xdr:row>13</xdr:row>
      <xdr:rowOff>9509</xdr:rowOff>
    </xdr:from>
    <xdr:to>
      <xdr:col>5</xdr:col>
      <xdr:colOff>305288</xdr:colOff>
      <xdr:row>21</xdr:row>
      <xdr:rowOff>26489</xdr:rowOff>
    </xdr:to>
    <xdr:grpSp>
      <xdr:nvGrpSpPr>
        <xdr:cNvPr id="12" name="Gruppieren 11">
          <a:extLst>
            <a:ext uri="{FF2B5EF4-FFF2-40B4-BE49-F238E27FC236}">
              <a16:creationId xmlns:a16="http://schemas.microsoft.com/office/drawing/2014/main" id="{AA2B10C3-E94F-DD79-294B-FDA94231965C}"/>
            </a:ext>
          </a:extLst>
        </xdr:cNvPr>
        <xdr:cNvGrpSpPr/>
      </xdr:nvGrpSpPr>
      <xdr:grpSpPr>
        <a:xfrm>
          <a:off x="3355064" y="2845028"/>
          <a:ext cx="877455" cy="1687519"/>
          <a:chOff x="3416011" y="1392091"/>
          <a:chExt cx="871105" cy="1493694"/>
        </a:xfrm>
      </xdr:grpSpPr>
      <xdr:grpSp>
        <xdr:nvGrpSpPr>
          <xdr:cNvPr id="13" name="Gruppieren 12">
            <a:extLst>
              <a:ext uri="{FF2B5EF4-FFF2-40B4-BE49-F238E27FC236}">
                <a16:creationId xmlns:a16="http://schemas.microsoft.com/office/drawing/2014/main" id="{9E9FB659-A8D3-A6B5-85DD-A63337254789}"/>
              </a:ext>
            </a:extLst>
          </xdr:cNvPr>
          <xdr:cNvGrpSpPr/>
        </xdr:nvGrpSpPr>
        <xdr:grpSpPr>
          <a:xfrm>
            <a:off x="3810000" y="1392091"/>
            <a:ext cx="264365" cy="1493694"/>
            <a:chOff x="3542531" y="10266032"/>
            <a:chExt cx="264365" cy="1473212"/>
          </a:xfrm>
        </xdr:grpSpPr>
        <xdr:cxnSp macro="">
          <xdr:nvCxnSpPr>
            <xdr:cNvPr id="18" name="Gerader Verbinder 17">
              <a:extLst>
                <a:ext uri="{FF2B5EF4-FFF2-40B4-BE49-F238E27FC236}">
                  <a16:creationId xmlns:a16="http://schemas.microsoft.com/office/drawing/2014/main" id="{84AAD715-C42E-8BF7-4CA9-B5B91FC3135C}"/>
                </a:ext>
              </a:extLst>
            </xdr:cNvPr>
            <xdr:cNvCxnSpPr>
              <a:cxnSpLocks/>
              <a:endCxn id="19" idx="1"/>
            </xdr:cNvCxnSpPr>
          </xdr:nvCxnSpPr>
          <xdr:spPr>
            <a:xfrm flipH="1">
              <a:off x="3674714" y="10266032"/>
              <a:ext cx="2033" cy="387038"/>
            </a:xfrm>
            <a:prstGeom prst="line">
              <a:avLst/>
            </a:prstGeom>
            <a:ln w="19050">
              <a:solidFill>
                <a:schemeClr val="tx1">
                  <a:lumMod val="95000"/>
                  <a:lumOff val="5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9" name="Textfeld 18">
              <a:extLst>
                <a:ext uri="{FF2B5EF4-FFF2-40B4-BE49-F238E27FC236}">
                  <a16:creationId xmlns:a16="http://schemas.microsoft.com/office/drawing/2014/main" id="{3F747EAB-0EC7-9342-5CEE-850B441F882A}"/>
                </a:ext>
              </a:extLst>
            </xdr:cNvPr>
            <xdr:cNvSpPr txBox="1"/>
          </xdr:nvSpPr>
          <xdr:spPr>
            <a:xfrm rot="5400000" flipV="1">
              <a:off x="3326677" y="10868925"/>
              <a:ext cx="696073" cy="264365"/>
            </a:xfrm>
            <a:prstGeom prst="rect">
              <a:avLst/>
            </a:prstGeom>
            <a:solidFill>
              <a:schemeClr val="lt1"/>
            </a:solidFill>
            <a:ln w="12700" cmpd="sng">
              <a:solidFill>
                <a:schemeClr val="tx1">
                  <a:lumMod val="95000"/>
                  <a:lumOff val="5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de-CH" sz="900"/>
                <a:t>R</a:t>
              </a:r>
              <a:r>
                <a:rPr lang="de-CH" sz="900" baseline="-25000"/>
                <a:t>2</a:t>
              </a:r>
            </a:p>
          </xdr:txBody>
        </xdr:sp>
        <xdr:cxnSp macro="">
          <xdr:nvCxnSpPr>
            <xdr:cNvPr id="20" name="Gerader Verbinder 19">
              <a:extLst>
                <a:ext uri="{FF2B5EF4-FFF2-40B4-BE49-F238E27FC236}">
                  <a16:creationId xmlns:a16="http://schemas.microsoft.com/office/drawing/2014/main" id="{16B32DD5-289F-B133-F0D7-F80BD8D7E602}"/>
                </a:ext>
              </a:extLst>
            </xdr:cNvPr>
            <xdr:cNvCxnSpPr>
              <a:cxnSpLocks/>
              <a:endCxn id="19" idx="3"/>
            </xdr:cNvCxnSpPr>
          </xdr:nvCxnSpPr>
          <xdr:spPr>
            <a:xfrm flipV="1">
              <a:off x="3672417" y="11349144"/>
              <a:ext cx="2297" cy="390100"/>
            </a:xfrm>
            <a:prstGeom prst="line">
              <a:avLst/>
            </a:prstGeom>
            <a:ln w="19050">
              <a:solidFill>
                <a:schemeClr val="tx1">
                  <a:lumMod val="95000"/>
                  <a:lumOff val="5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cxnSp macro="">
        <xdr:nvCxnSpPr>
          <xdr:cNvPr id="14" name="Gerader Verbinder 13">
            <a:extLst>
              <a:ext uri="{FF2B5EF4-FFF2-40B4-BE49-F238E27FC236}">
                <a16:creationId xmlns:a16="http://schemas.microsoft.com/office/drawing/2014/main" id="{FDB8CC80-535F-CB78-9F3D-C436EFFF1962}"/>
              </a:ext>
            </a:extLst>
          </xdr:cNvPr>
          <xdr:cNvCxnSpPr>
            <a:cxnSpLocks/>
          </xdr:cNvCxnSpPr>
        </xdr:nvCxnSpPr>
        <xdr:spPr>
          <a:xfrm>
            <a:off x="3727161" y="1753121"/>
            <a:ext cx="0" cy="786936"/>
          </a:xfrm>
          <a:prstGeom prst="line">
            <a:avLst/>
          </a:prstGeom>
          <a:ln w="19050">
            <a:solidFill>
              <a:srgbClr val="00B0F0"/>
            </a:solidFill>
            <a:headEnd type="non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5" name="Textfeld 14">
            <a:extLst>
              <a:ext uri="{FF2B5EF4-FFF2-40B4-BE49-F238E27FC236}">
                <a16:creationId xmlns:a16="http://schemas.microsoft.com/office/drawing/2014/main" id="{03902AEE-ED06-54C4-C269-08AABD815823}"/>
              </a:ext>
            </a:extLst>
          </xdr:cNvPr>
          <xdr:cNvSpPr txBox="1"/>
        </xdr:nvSpPr>
        <xdr:spPr>
          <a:xfrm>
            <a:off x="3416011" y="1973341"/>
            <a:ext cx="296719" cy="26039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de-CH" sz="1100">
                <a:solidFill>
                  <a:srgbClr val="00B0F0"/>
                </a:solidFill>
              </a:rPr>
              <a:t>U</a:t>
            </a:r>
            <a:r>
              <a:rPr lang="de-CH" sz="1100" baseline="-25000">
                <a:solidFill>
                  <a:srgbClr val="00B0F0"/>
                </a:solidFill>
              </a:rPr>
              <a:t>2</a:t>
            </a:r>
            <a:endParaRPr lang="de-CH" sz="1100">
              <a:solidFill>
                <a:srgbClr val="00B0F0"/>
              </a:solidFill>
            </a:endParaRPr>
          </a:p>
        </xdr:txBody>
      </xdr:sp>
      <xdr:cxnSp macro="">
        <xdr:nvCxnSpPr>
          <xdr:cNvPr id="16" name="Gerade Verbindung mit Pfeil 15">
            <a:extLst>
              <a:ext uri="{FF2B5EF4-FFF2-40B4-BE49-F238E27FC236}">
                <a16:creationId xmlns:a16="http://schemas.microsoft.com/office/drawing/2014/main" id="{1FCF48E1-F031-E07C-6E9A-F16020020992}"/>
              </a:ext>
            </a:extLst>
          </xdr:cNvPr>
          <xdr:cNvCxnSpPr/>
        </xdr:nvCxnSpPr>
        <xdr:spPr>
          <a:xfrm>
            <a:off x="3944961" y="1518174"/>
            <a:ext cx="1564" cy="79857"/>
          </a:xfrm>
          <a:prstGeom prst="straightConnector1">
            <a:avLst/>
          </a:prstGeom>
          <a:ln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7" name="Textfeld 16">
            <a:extLst>
              <a:ext uri="{FF2B5EF4-FFF2-40B4-BE49-F238E27FC236}">
                <a16:creationId xmlns:a16="http://schemas.microsoft.com/office/drawing/2014/main" id="{31001B81-990C-35E9-0E81-CA79B02F0A60}"/>
              </a:ext>
            </a:extLst>
          </xdr:cNvPr>
          <xdr:cNvSpPr txBox="1"/>
        </xdr:nvSpPr>
        <xdr:spPr>
          <a:xfrm>
            <a:off x="3998631" y="1422154"/>
            <a:ext cx="288485" cy="27163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de-CH" sz="1100">
                <a:solidFill>
                  <a:srgbClr val="FF0000"/>
                </a:solidFill>
              </a:rPr>
              <a:t>I</a:t>
            </a:r>
            <a:r>
              <a:rPr lang="de-CH" sz="1100" baseline="-25000">
                <a:solidFill>
                  <a:srgbClr val="FF0000"/>
                </a:solidFill>
              </a:rPr>
              <a:t>2</a:t>
            </a:r>
            <a:endParaRPr lang="de-CH" sz="1100">
              <a:solidFill>
                <a:srgbClr val="FF0000"/>
              </a:solidFill>
            </a:endParaRPr>
          </a:p>
        </xdr:txBody>
      </xdr:sp>
    </xdr:grpSp>
    <xdr:clientData/>
  </xdr:twoCellAnchor>
  <xdr:twoCellAnchor>
    <xdr:from>
      <xdr:col>5</xdr:col>
      <xdr:colOff>587774</xdr:colOff>
      <xdr:row>12</xdr:row>
      <xdr:rowOff>154609</xdr:rowOff>
    </xdr:from>
    <xdr:to>
      <xdr:col>6</xdr:col>
      <xdr:colOff>703229</xdr:colOff>
      <xdr:row>21</xdr:row>
      <xdr:rowOff>27352</xdr:rowOff>
    </xdr:to>
    <xdr:grpSp>
      <xdr:nvGrpSpPr>
        <xdr:cNvPr id="43" name="Gruppieren 42">
          <a:extLst>
            <a:ext uri="{FF2B5EF4-FFF2-40B4-BE49-F238E27FC236}">
              <a16:creationId xmlns:a16="http://schemas.microsoft.com/office/drawing/2014/main" id="{43A20452-A11A-8E72-C05E-098D156DB7DC}"/>
            </a:ext>
          </a:extLst>
        </xdr:cNvPr>
        <xdr:cNvGrpSpPr/>
      </xdr:nvGrpSpPr>
      <xdr:grpSpPr>
        <a:xfrm>
          <a:off x="4515005" y="2762994"/>
          <a:ext cx="877455" cy="1770416"/>
          <a:chOff x="3416011" y="1359881"/>
          <a:chExt cx="871105" cy="1525899"/>
        </a:xfrm>
      </xdr:grpSpPr>
      <xdr:grpSp>
        <xdr:nvGrpSpPr>
          <xdr:cNvPr id="44" name="Gruppieren 43">
            <a:extLst>
              <a:ext uri="{FF2B5EF4-FFF2-40B4-BE49-F238E27FC236}">
                <a16:creationId xmlns:a16="http://schemas.microsoft.com/office/drawing/2014/main" id="{6419C350-7D47-F44C-CBB9-0D0384CE3E72}"/>
              </a:ext>
            </a:extLst>
          </xdr:cNvPr>
          <xdr:cNvGrpSpPr/>
        </xdr:nvGrpSpPr>
        <xdr:grpSpPr>
          <a:xfrm>
            <a:off x="3810000" y="1359881"/>
            <a:ext cx="264365" cy="1525899"/>
            <a:chOff x="3542531" y="10234268"/>
            <a:chExt cx="264365" cy="1504976"/>
          </a:xfrm>
        </xdr:grpSpPr>
        <xdr:cxnSp macro="">
          <xdr:nvCxnSpPr>
            <xdr:cNvPr id="49" name="Gerader Verbinder 48">
              <a:extLst>
                <a:ext uri="{FF2B5EF4-FFF2-40B4-BE49-F238E27FC236}">
                  <a16:creationId xmlns:a16="http://schemas.microsoft.com/office/drawing/2014/main" id="{421D9430-9E08-BE57-9D78-5B3A67287A53}"/>
                </a:ext>
              </a:extLst>
            </xdr:cNvPr>
            <xdr:cNvCxnSpPr>
              <a:cxnSpLocks/>
              <a:endCxn id="50" idx="1"/>
            </xdr:cNvCxnSpPr>
          </xdr:nvCxnSpPr>
          <xdr:spPr>
            <a:xfrm>
              <a:off x="3669268" y="10234268"/>
              <a:ext cx="5446" cy="418803"/>
            </a:xfrm>
            <a:prstGeom prst="line">
              <a:avLst/>
            </a:prstGeom>
            <a:ln w="19050">
              <a:solidFill>
                <a:schemeClr val="tx1">
                  <a:lumMod val="95000"/>
                  <a:lumOff val="5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50" name="Textfeld 49">
              <a:extLst>
                <a:ext uri="{FF2B5EF4-FFF2-40B4-BE49-F238E27FC236}">
                  <a16:creationId xmlns:a16="http://schemas.microsoft.com/office/drawing/2014/main" id="{893BBC12-A5D2-4F59-9434-D024F9E1D507}"/>
                </a:ext>
              </a:extLst>
            </xdr:cNvPr>
            <xdr:cNvSpPr txBox="1"/>
          </xdr:nvSpPr>
          <xdr:spPr>
            <a:xfrm rot="5400000" flipV="1">
              <a:off x="3326677" y="10868925"/>
              <a:ext cx="696073" cy="264365"/>
            </a:xfrm>
            <a:prstGeom prst="rect">
              <a:avLst/>
            </a:prstGeom>
            <a:solidFill>
              <a:schemeClr val="lt1"/>
            </a:solidFill>
            <a:ln w="12700" cmpd="sng">
              <a:solidFill>
                <a:schemeClr val="tx1">
                  <a:lumMod val="95000"/>
                  <a:lumOff val="5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de-CH" sz="900"/>
                <a:t>R</a:t>
              </a:r>
              <a:r>
                <a:rPr lang="de-CH" sz="900" baseline="-25000"/>
                <a:t>L</a:t>
              </a:r>
            </a:p>
          </xdr:txBody>
        </xdr:sp>
        <xdr:cxnSp macro="">
          <xdr:nvCxnSpPr>
            <xdr:cNvPr id="51" name="Gerader Verbinder 50">
              <a:extLst>
                <a:ext uri="{FF2B5EF4-FFF2-40B4-BE49-F238E27FC236}">
                  <a16:creationId xmlns:a16="http://schemas.microsoft.com/office/drawing/2014/main" id="{539F5BD0-5876-77FF-AF60-5C3A3D02017F}"/>
                </a:ext>
              </a:extLst>
            </xdr:cNvPr>
            <xdr:cNvCxnSpPr>
              <a:cxnSpLocks/>
              <a:endCxn id="50" idx="3"/>
            </xdr:cNvCxnSpPr>
          </xdr:nvCxnSpPr>
          <xdr:spPr>
            <a:xfrm flipV="1">
              <a:off x="3672417" y="11349144"/>
              <a:ext cx="2297" cy="390100"/>
            </a:xfrm>
            <a:prstGeom prst="line">
              <a:avLst/>
            </a:prstGeom>
            <a:ln w="19050">
              <a:solidFill>
                <a:schemeClr val="tx1">
                  <a:lumMod val="95000"/>
                  <a:lumOff val="5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cxnSp macro="">
        <xdr:nvCxnSpPr>
          <xdr:cNvPr id="45" name="Gerader Verbinder 44">
            <a:extLst>
              <a:ext uri="{FF2B5EF4-FFF2-40B4-BE49-F238E27FC236}">
                <a16:creationId xmlns:a16="http://schemas.microsoft.com/office/drawing/2014/main" id="{35211C2F-A426-5882-56EF-2502C414092B}"/>
              </a:ext>
            </a:extLst>
          </xdr:cNvPr>
          <xdr:cNvCxnSpPr>
            <a:cxnSpLocks/>
          </xdr:cNvCxnSpPr>
        </xdr:nvCxnSpPr>
        <xdr:spPr>
          <a:xfrm>
            <a:off x="3727161" y="1753121"/>
            <a:ext cx="0" cy="786936"/>
          </a:xfrm>
          <a:prstGeom prst="line">
            <a:avLst/>
          </a:prstGeom>
          <a:ln w="19050">
            <a:solidFill>
              <a:srgbClr val="00B0F0"/>
            </a:solidFill>
            <a:headEnd type="non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6" name="Textfeld 45">
            <a:extLst>
              <a:ext uri="{FF2B5EF4-FFF2-40B4-BE49-F238E27FC236}">
                <a16:creationId xmlns:a16="http://schemas.microsoft.com/office/drawing/2014/main" id="{DC252E91-ECD3-7237-9057-CAE1CFD2F4BE}"/>
              </a:ext>
            </a:extLst>
          </xdr:cNvPr>
          <xdr:cNvSpPr txBox="1"/>
        </xdr:nvSpPr>
        <xdr:spPr>
          <a:xfrm>
            <a:off x="3416011" y="1973341"/>
            <a:ext cx="296719" cy="26039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de-CH" sz="1100">
                <a:solidFill>
                  <a:srgbClr val="00B0F0"/>
                </a:solidFill>
              </a:rPr>
              <a:t>U</a:t>
            </a:r>
            <a:r>
              <a:rPr lang="de-CH" sz="1100" baseline="-25000">
                <a:solidFill>
                  <a:srgbClr val="00B0F0"/>
                </a:solidFill>
              </a:rPr>
              <a:t>L</a:t>
            </a:r>
            <a:endParaRPr lang="de-CH" sz="1100">
              <a:solidFill>
                <a:srgbClr val="00B0F0"/>
              </a:solidFill>
            </a:endParaRPr>
          </a:p>
        </xdr:txBody>
      </xdr:sp>
      <xdr:cxnSp macro="">
        <xdr:nvCxnSpPr>
          <xdr:cNvPr id="47" name="Gerade Verbindung mit Pfeil 46">
            <a:extLst>
              <a:ext uri="{FF2B5EF4-FFF2-40B4-BE49-F238E27FC236}">
                <a16:creationId xmlns:a16="http://schemas.microsoft.com/office/drawing/2014/main" id="{96707AD2-0D8A-D542-B673-459A06026B1F}"/>
              </a:ext>
            </a:extLst>
          </xdr:cNvPr>
          <xdr:cNvCxnSpPr/>
        </xdr:nvCxnSpPr>
        <xdr:spPr>
          <a:xfrm>
            <a:off x="3944961" y="1518174"/>
            <a:ext cx="1564" cy="79857"/>
          </a:xfrm>
          <a:prstGeom prst="straightConnector1">
            <a:avLst/>
          </a:prstGeom>
          <a:ln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8" name="Textfeld 47">
            <a:extLst>
              <a:ext uri="{FF2B5EF4-FFF2-40B4-BE49-F238E27FC236}">
                <a16:creationId xmlns:a16="http://schemas.microsoft.com/office/drawing/2014/main" id="{476EEF5E-EE36-E109-5DB4-667002C7B888}"/>
              </a:ext>
            </a:extLst>
          </xdr:cNvPr>
          <xdr:cNvSpPr txBox="1"/>
        </xdr:nvSpPr>
        <xdr:spPr>
          <a:xfrm>
            <a:off x="3998631" y="1422154"/>
            <a:ext cx="288485" cy="27163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de-CH" sz="1100">
                <a:solidFill>
                  <a:srgbClr val="FF0000"/>
                </a:solidFill>
              </a:rPr>
              <a:t>I</a:t>
            </a:r>
            <a:r>
              <a:rPr lang="de-CH" sz="1100" baseline="-25000">
                <a:solidFill>
                  <a:srgbClr val="FF0000"/>
                </a:solidFill>
              </a:rPr>
              <a:t>L</a:t>
            </a:r>
            <a:endParaRPr lang="de-CH" sz="1100">
              <a:solidFill>
                <a:srgbClr val="FF0000"/>
              </a:solidFill>
            </a:endParaRPr>
          </a:p>
        </xdr:txBody>
      </xdr:sp>
    </xdr:grpSp>
    <xdr:clientData/>
  </xdr:twoCellAnchor>
  <xdr:twoCellAnchor>
    <xdr:from>
      <xdr:col>4</xdr:col>
      <xdr:colOff>651219</xdr:colOff>
      <xdr:row>20</xdr:row>
      <xdr:rowOff>126438</xdr:rowOff>
    </xdr:from>
    <xdr:to>
      <xdr:col>5</xdr:col>
      <xdr:colOff>19168</xdr:colOff>
      <xdr:row>21</xdr:row>
      <xdr:rowOff>83163</xdr:rowOff>
    </xdr:to>
    <xdr:sp macro="" textlink="">
      <xdr:nvSpPr>
        <xdr:cNvPr id="449" name="Ellipse 448">
          <a:extLst>
            <a:ext uri="{FF2B5EF4-FFF2-40B4-BE49-F238E27FC236}">
              <a16:creationId xmlns:a16="http://schemas.microsoft.com/office/drawing/2014/main" id="{1CC0F4F4-7D8C-4EA2-871E-5C608E146EA7}"/>
            </a:ext>
          </a:extLst>
        </xdr:cNvPr>
        <xdr:cNvSpPr/>
      </xdr:nvSpPr>
      <xdr:spPr>
        <a:xfrm>
          <a:off x="3853084" y="4222188"/>
          <a:ext cx="129949" cy="139898"/>
        </a:xfrm>
        <a:prstGeom prst="ellipse">
          <a:avLst/>
        </a:prstGeom>
        <a:solidFill>
          <a:schemeClr val="tx1">
            <a:lumMod val="95000"/>
            <a:lumOff val="5000"/>
          </a:schemeClr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4</xdr:col>
      <xdr:colOff>663501</xdr:colOff>
      <xdr:row>12</xdr:row>
      <xdr:rowOff>75194</xdr:rowOff>
    </xdr:from>
    <xdr:to>
      <xdr:col>5</xdr:col>
      <xdr:colOff>31450</xdr:colOff>
      <xdr:row>13</xdr:row>
      <xdr:rowOff>31919</xdr:rowOff>
    </xdr:to>
    <xdr:sp macro="" textlink="">
      <xdr:nvSpPr>
        <xdr:cNvPr id="450" name="Ellipse 449">
          <a:extLst>
            <a:ext uri="{FF2B5EF4-FFF2-40B4-BE49-F238E27FC236}">
              <a16:creationId xmlns:a16="http://schemas.microsoft.com/office/drawing/2014/main" id="{60C37C0C-C017-22EB-54D0-B4C2C4DE7518}"/>
            </a:ext>
          </a:extLst>
        </xdr:cNvPr>
        <xdr:cNvSpPr/>
      </xdr:nvSpPr>
      <xdr:spPr>
        <a:xfrm>
          <a:off x="3866110" y="2543411"/>
          <a:ext cx="129949" cy="138943"/>
        </a:xfrm>
        <a:prstGeom prst="ellipse">
          <a:avLst/>
        </a:prstGeom>
        <a:solidFill>
          <a:schemeClr val="tx1">
            <a:lumMod val="95000"/>
            <a:lumOff val="5000"/>
          </a:schemeClr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3</xdr:col>
      <xdr:colOff>595574</xdr:colOff>
      <xdr:row>35</xdr:row>
      <xdr:rowOff>137398</xdr:rowOff>
    </xdr:from>
    <xdr:to>
      <xdr:col>20</xdr:col>
      <xdr:colOff>0</xdr:colOff>
      <xdr:row>56</xdr:row>
      <xdr:rowOff>163286</xdr:rowOff>
    </xdr:to>
    <xdr:graphicFrame macro="">
      <xdr:nvGraphicFramePr>
        <xdr:cNvPr id="477" name="Diagramm 476">
          <a:extLst>
            <a:ext uri="{FF2B5EF4-FFF2-40B4-BE49-F238E27FC236}">
              <a16:creationId xmlns:a16="http://schemas.microsoft.com/office/drawing/2014/main" id="{ADB562CD-3418-61AD-F40F-9CFA36FF3A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0</xdr:col>
      <xdr:colOff>618637</xdr:colOff>
      <xdr:row>59</xdr:row>
      <xdr:rowOff>26133</xdr:rowOff>
    </xdr:from>
    <xdr:ext cx="4637942" cy="5775812"/>
    <xdr:sp macro="" textlink="">
      <xdr:nvSpPr>
        <xdr:cNvPr id="21" name="Textfeld 20">
          <a:extLst>
            <a:ext uri="{FF2B5EF4-FFF2-40B4-BE49-F238E27FC236}">
              <a16:creationId xmlns:a16="http://schemas.microsoft.com/office/drawing/2014/main" id="{82D3890B-2A6F-94BE-114C-162C56712072}"/>
            </a:ext>
          </a:extLst>
        </xdr:cNvPr>
        <xdr:cNvSpPr txBox="1"/>
      </xdr:nvSpPr>
      <xdr:spPr>
        <a:xfrm>
          <a:off x="618637" y="11529402"/>
          <a:ext cx="4637942" cy="5775812"/>
        </a:xfrm>
        <a:prstGeom prst="rect">
          <a:avLst/>
        </a:prstGeom>
        <a:solidFill>
          <a:srgbClr val="FFC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Gegeben:</a:t>
          </a:r>
          <a:b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Eingangsspannung U</a:t>
          </a:r>
          <a:r>
            <a:rPr lang="en-US" sz="1100" baseline="-25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</a:t>
          </a:r>
          <a:b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unbelastete Ausgangsspannung U</a:t>
          </a:r>
          <a:r>
            <a:rPr lang="en-US" sz="1100" baseline="-25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L∞</a:t>
          </a:r>
          <a:b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belastete Ausgangsspannung U</a:t>
          </a:r>
          <a:r>
            <a:rPr lang="en-US" sz="1100" baseline="-25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RL</a:t>
          </a:r>
          <a:b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Lastwiderstand R</a:t>
          </a:r>
          <a:r>
            <a:rPr lang="en-US" sz="1100" baseline="-25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L</a:t>
          </a:r>
          <a:b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</a:br>
          <a:b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Gesucht:</a:t>
          </a:r>
          <a:b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R</a:t>
          </a:r>
          <a:r>
            <a:rPr lang="en-US" sz="1100" baseline="-25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</a:t>
          </a:r>
          <a:b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R</a:t>
          </a:r>
          <a:r>
            <a:rPr lang="en-US" sz="1100" baseline="-25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</a:t>
          </a:r>
          <a:b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</a:br>
          <a:b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1. Leerlaufmessung</a:t>
          </a:r>
          <a:b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U</a:t>
          </a:r>
          <a:r>
            <a:rPr lang="en-US" sz="1100" baseline="-25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L∞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= U</a:t>
          </a:r>
          <a:r>
            <a:rPr lang="en-US" sz="1100" baseline="-25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* R</a:t>
          </a:r>
          <a:r>
            <a:rPr lang="en-US" sz="1100" baseline="-25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/ (R</a:t>
          </a:r>
          <a:r>
            <a:rPr lang="en-US" sz="1100" baseline="-25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+ R</a:t>
          </a:r>
          <a:r>
            <a:rPr lang="en-US" sz="1100" baseline="-25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)</a:t>
          </a:r>
          <a:b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</a:br>
          <a:b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Mit a = U</a:t>
          </a:r>
          <a:r>
            <a:rPr lang="en-US" sz="1100" baseline="-25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L∞ 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/U</a:t>
          </a:r>
          <a:r>
            <a:rPr lang="en-US" sz="1100" baseline="-25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folgt:</a:t>
          </a:r>
          <a:b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</a:br>
          <a:b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</a:t>
          </a:r>
          <a:r>
            <a:rPr lang="en-US" sz="1100" baseline="-25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= ((1 - a) / a) * R</a:t>
          </a:r>
          <a:r>
            <a:rPr lang="en-US" sz="1100" baseline="-25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</a:t>
          </a:r>
          <a:b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</a:br>
          <a:b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2. Lastmessung</a:t>
          </a:r>
          <a:b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</a:t>
          </a:r>
          <a:r>
            <a:rPr lang="en-US" sz="1100" baseline="-25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L2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= (R</a:t>
          </a:r>
          <a:r>
            <a:rPr lang="en-US" sz="1100" baseline="-25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* R</a:t>
          </a:r>
          <a:r>
            <a:rPr lang="en-US" sz="1100" baseline="-25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L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) / (R</a:t>
          </a:r>
          <a:r>
            <a:rPr lang="en-US" sz="1100" baseline="-25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+ R</a:t>
          </a:r>
          <a:r>
            <a:rPr lang="en-US" sz="1100" baseline="-25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L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)</a:t>
          </a:r>
          <a:b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</a:br>
          <a:b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U</a:t>
          </a:r>
          <a:r>
            <a:rPr lang="en-US" sz="1100" baseline="-25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RL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= U</a:t>
          </a:r>
          <a:r>
            <a:rPr lang="en-US" sz="1100" baseline="-25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* R</a:t>
          </a:r>
          <a:r>
            <a:rPr lang="en-US" sz="1100" baseline="-25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L2 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/ (R</a:t>
          </a:r>
          <a:r>
            <a:rPr lang="en-US" sz="1100" baseline="-25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+ R</a:t>
          </a:r>
          <a:r>
            <a:rPr lang="en-US" sz="1100" baseline="-25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L2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)</a:t>
          </a:r>
          <a:b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</a:br>
          <a:b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Mit b = U</a:t>
          </a:r>
          <a:r>
            <a:rPr lang="en-US" sz="1100" baseline="-25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RL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/ U</a:t>
          </a:r>
          <a:r>
            <a:rPr lang="en-US" sz="1100" baseline="-25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  <a:b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</a:br>
          <a:b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3. Ergebnis</a:t>
          </a:r>
          <a:b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</a:t>
          </a:r>
          <a:r>
            <a:rPr lang="en-US" sz="1100" baseline="-25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= R</a:t>
          </a:r>
          <a:r>
            <a:rPr lang="en-US" sz="1100" baseline="-25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L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* (U</a:t>
          </a:r>
          <a:r>
            <a:rPr lang="en-US" sz="1100" baseline="-25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L∞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U</a:t>
          </a:r>
          <a:r>
            <a:rPr lang="en-US" sz="1100" baseline="-25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RL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) / (U</a:t>
          </a:r>
          <a:r>
            <a:rPr lang="en-US" sz="1100" baseline="-25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RL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* (U</a:t>
          </a:r>
          <a:r>
            <a:rPr lang="en-US" sz="1100" baseline="-25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- U</a:t>
          </a:r>
          <a:r>
            <a:rPr lang="en-US" sz="1100" baseline="-25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L∞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))</a:t>
          </a:r>
          <a:b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</a:br>
          <a:b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</a:t>
          </a:r>
          <a:r>
            <a:rPr lang="en-US" sz="1100" baseline="-25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= R</a:t>
          </a:r>
          <a:r>
            <a:rPr lang="en-US" sz="1100" baseline="-25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L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* U</a:t>
          </a:r>
          <a:r>
            <a:rPr lang="en-US" sz="1100" baseline="-25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* (U</a:t>
          </a:r>
          <a:r>
            <a:rPr lang="en-US" sz="1100" baseline="-25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L∞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U</a:t>
          </a:r>
          <a:r>
            <a:rPr lang="en-US" sz="1100" baseline="-25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RL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) / (U</a:t>
          </a:r>
          <a:r>
            <a:rPr lang="en-US" sz="1100" baseline="-25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L∞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* U</a:t>
          </a:r>
          <a:r>
            <a:rPr lang="en-US" sz="1100" baseline="-25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RL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)</a:t>
          </a:r>
          <a:b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</a:br>
          <a:b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Endformeln:</a:t>
          </a:r>
          <a:b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</a:t>
          </a:r>
          <a:r>
            <a:rPr lang="en-US" sz="1100" baseline="-25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= R</a:t>
          </a:r>
          <a:r>
            <a:rPr lang="en-US" sz="1100" baseline="-25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L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* U</a:t>
          </a:r>
          <a:r>
            <a:rPr lang="en-US" sz="1100" baseline="-25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* (U</a:t>
          </a:r>
          <a:r>
            <a:rPr lang="en-US" sz="1100" baseline="-25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L∞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U</a:t>
          </a:r>
          <a:r>
            <a:rPr lang="en-US" sz="1100" baseline="-25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RL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) / (U</a:t>
          </a:r>
          <a:r>
            <a:rPr lang="en-US" sz="1100" baseline="-25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L∞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* U</a:t>
          </a:r>
          <a:r>
            <a:rPr lang="en-US" sz="1100" baseline="-25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RL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)</a:t>
          </a:r>
          <a:b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</a:br>
          <a:b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</a:t>
          </a:r>
          <a:r>
            <a:rPr lang="en-US" sz="1100" baseline="-25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= R</a:t>
          </a:r>
          <a:r>
            <a:rPr lang="en-US" sz="1100" baseline="-25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L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* (U</a:t>
          </a:r>
          <a:r>
            <a:rPr lang="en-US" sz="1100" baseline="-25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L∞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U</a:t>
          </a:r>
          <a:r>
            <a:rPr lang="en-US" sz="1100" baseline="-25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RL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) / (U</a:t>
          </a:r>
          <a:r>
            <a:rPr lang="en-US" sz="1100" baseline="-25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RL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* (U</a:t>
          </a:r>
          <a:r>
            <a:rPr lang="en-US" sz="1100" baseline="-25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- U</a:t>
          </a:r>
          <a:r>
            <a:rPr lang="en-US" sz="1100" baseline="-25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L∞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))</a:t>
          </a:r>
          <a:endParaRPr lang="de-CH" sz="1100"/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558800</xdr:colOff>
      <xdr:row>0</xdr:row>
      <xdr:rowOff>95250</xdr:rowOff>
    </xdr:from>
    <xdr:to>
      <xdr:col>1</xdr:col>
      <xdr:colOff>533400</xdr:colOff>
      <xdr:row>2</xdr:row>
      <xdr:rowOff>179631</xdr:rowOff>
    </xdr:to>
    <xdr:sp macro="" textlink="">
      <xdr:nvSpPr>
        <xdr:cNvPr id="2" name="Pfeil: nach recht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46737B9-4C72-4BBD-8926-9EF27B792EC9}"/>
            </a:ext>
          </a:extLst>
        </xdr:cNvPr>
        <xdr:cNvSpPr/>
      </xdr:nvSpPr>
      <xdr:spPr>
        <a:xfrm rot="10800000">
          <a:off x="558800" y="95250"/>
          <a:ext cx="736600" cy="566981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 editAs="oneCell">
    <xdr:from>
      <xdr:col>13</xdr:col>
      <xdr:colOff>394320</xdr:colOff>
      <xdr:row>8</xdr:row>
      <xdr:rowOff>68860</xdr:rowOff>
    </xdr:from>
    <xdr:to>
      <xdr:col>13</xdr:col>
      <xdr:colOff>394680</xdr:colOff>
      <xdr:row>8</xdr:row>
      <xdr:rowOff>69220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80" name="Freihand 79">
              <a:extLst>
                <a:ext uri="{FF2B5EF4-FFF2-40B4-BE49-F238E27FC236}">
                  <a16:creationId xmlns:a16="http://schemas.microsoft.com/office/drawing/2014/main" id="{7F1D529B-C890-AC4F-E450-28AC5283F765}"/>
                </a:ext>
              </a:extLst>
            </xdr14:cNvPr>
            <xdr14:cNvContentPartPr/>
          </xdr14:nvContentPartPr>
          <xdr14:nvPr macro=""/>
          <xdr14:xfrm>
            <a:off x="10300320" y="1656360"/>
            <a:ext cx="360" cy="360"/>
          </xdr14:xfrm>
        </xdr:contentPart>
      </mc:Choice>
      <mc:Fallback xmlns="">
        <xdr:pic>
          <xdr:nvPicPr>
            <xdr:cNvPr id="80" name="Freihand 79">
              <a:extLst>
                <a:ext uri="{FF2B5EF4-FFF2-40B4-BE49-F238E27FC236}">
                  <a16:creationId xmlns:a16="http://schemas.microsoft.com/office/drawing/2014/main" id="{7F1D529B-C890-AC4F-E450-28AC5283F765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10291680" y="164772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393720</xdr:colOff>
      <xdr:row>12</xdr:row>
      <xdr:rowOff>36060</xdr:rowOff>
    </xdr:from>
    <xdr:to>
      <xdr:col>14</xdr:col>
      <xdr:colOff>394080</xdr:colOff>
      <xdr:row>12</xdr:row>
      <xdr:rowOff>36420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113" name="Freihand 112">
              <a:extLst>
                <a:ext uri="{FF2B5EF4-FFF2-40B4-BE49-F238E27FC236}">
                  <a16:creationId xmlns:a16="http://schemas.microsoft.com/office/drawing/2014/main" id="{8C8CACDA-A305-EB57-221C-D245CADF9D73}"/>
                </a:ext>
              </a:extLst>
            </xdr14:cNvPr>
            <xdr14:cNvContentPartPr/>
          </xdr14:nvContentPartPr>
          <xdr14:nvPr macro=""/>
          <xdr14:xfrm>
            <a:off x="11061720" y="2360160"/>
            <a:ext cx="360" cy="360"/>
          </xdr14:xfrm>
        </xdr:contentPart>
      </mc:Choice>
      <mc:Fallback xmlns="">
        <xdr:pic>
          <xdr:nvPicPr>
            <xdr:cNvPr id="113" name="Freihand 112">
              <a:extLst>
                <a:ext uri="{FF2B5EF4-FFF2-40B4-BE49-F238E27FC236}">
                  <a16:creationId xmlns:a16="http://schemas.microsoft.com/office/drawing/2014/main" id="{8C8CACDA-A305-EB57-221C-D245CADF9D73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11052720" y="23511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552450</xdr:colOff>
      <xdr:row>0</xdr:row>
      <xdr:rowOff>171450</xdr:rowOff>
    </xdr:from>
    <xdr:to>
      <xdr:col>1</xdr:col>
      <xdr:colOff>393700</xdr:colOff>
      <xdr:row>2</xdr:row>
      <xdr:rowOff>141531</xdr:rowOff>
    </xdr:to>
    <xdr:sp macro="" textlink="">
      <xdr:nvSpPr>
        <xdr:cNvPr id="3" name="Pfeil: nach recht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BFD94BB-70AD-4531-9273-5A6F3DDBDCE0}"/>
            </a:ext>
          </a:extLst>
        </xdr:cNvPr>
        <xdr:cNvSpPr/>
      </xdr:nvSpPr>
      <xdr:spPr>
        <a:xfrm rot="10800000">
          <a:off x="552450" y="171450"/>
          <a:ext cx="736600" cy="452681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238125</xdr:colOff>
      <xdr:row>7</xdr:row>
      <xdr:rowOff>171449</xdr:rowOff>
    </xdr:from>
    <xdr:to>
      <xdr:col>3</xdr:col>
      <xdr:colOff>1219200</xdr:colOff>
      <xdr:row>7</xdr:row>
      <xdr:rowOff>1003299</xdr:rowOff>
    </xdr:to>
    <xdr:sp macro="" textlink="">
      <xdr:nvSpPr>
        <xdr:cNvPr id="2" name="Rechteck 1">
          <a:extLst>
            <a:ext uri="{FF2B5EF4-FFF2-40B4-BE49-F238E27FC236}">
              <a16:creationId xmlns:a16="http://schemas.microsoft.com/office/drawing/2014/main" id="{D86B70D0-0730-1ECD-5D4E-265BFE8E3E2F}"/>
            </a:ext>
          </a:extLst>
        </xdr:cNvPr>
        <xdr:cNvSpPr/>
      </xdr:nvSpPr>
      <xdr:spPr>
        <a:xfrm>
          <a:off x="3181350" y="1438274"/>
          <a:ext cx="981075" cy="831850"/>
        </a:xfrm>
        <a:prstGeom prst="rect">
          <a:avLst/>
        </a:prstGeom>
        <a:noFill/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4</xdr:col>
      <xdr:colOff>82551</xdr:colOff>
      <xdr:row>7</xdr:row>
      <xdr:rowOff>171449</xdr:rowOff>
    </xdr:from>
    <xdr:to>
      <xdr:col>4</xdr:col>
      <xdr:colOff>1238251</xdr:colOff>
      <xdr:row>7</xdr:row>
      <xdr:rowOff>1000124</xdr:rowOff>
    </xdr:to>
    <xdr:sp macro="" textlink="">
      <xdr:nvSpPr>
        <xdr:cNvPr id="3" name="Rechteck 2">
          <a:extLst>
            <a:ext uri="{FF2B5EF4-FFF2-40B4-BE49-F238E27FC236}">
              <a16:creationId xmlns:a16="http://schemas.microsoft.com/office/drawing/2014/main" id="{26814EAA-F6F7-F7AF-334D-A1D0DFD3C9B6}"/>
            </a:ext>
          </a:extLst>
        </xdr:cNvPr>
        <xdr:cNvSpPr/>
      </xdr:nvSpPr>
      <xdr:spPr>
        <a:xfrm>
          <a:off x="4330701" y="1438274"/>
          <a:ext cx="1155700" cy="828675"/>
        </a:xfrm>
        <a:prstGeom prst="rect">
          <a:avLst/>
        </a:prstGeom>
        <a:noFill/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4</xdr:col>
      <xdr:colOff>661989</xdr:colOff>
      <xdr:row>7</xdr:row>
      <xdr:rowOff>171449</xdr:rowOff>
    </xdr:from>
    <xdr:to>
      <xdr:col>4</xdr:col>
      <xdr:colOff>661989</xdr:colOff>
      <xdr:row>7</xdr:row>
      <xdr:rowOff>1003299</xdr:rowOff>
    </xdr:to>
    <xdr:cxnSp macro="">
      <xdr:nvCxnSpPr>
        <xdr:cNvPr id="5" name="Gerader Verbinder 4">
          <a:extLst>
            <a:ext uri="{FF2B5EF4-FFF2-40B4-BE49-F238E27FC236}">
              <a16:creationId xmlns:a16="http://schemas.microsoft.com/office/drawing/2014/main" id="{54C65564-2700-C38B-3BAF-D3916BA5F153}"/>
            </a:ext>
          </a:extLst>
        </xdr:cNvPr>
        <xdr:cNvCxnSpPr>
          <a:stCxn id="3" idx="0"/>
          <a:endCxn id="3" idx="2"/>
        </xdr:cNvCxnSpPr>
      </xdr:nvCxnSpPr>
      <xdr:spPr>
        <a:xfrm>
          <a:off x="5024439" y="1438274"/>
          <a:ext cx="0" cy="831850"/>
        </a:xfrm>
        <a:prstGeom prst="line">
          <a:avLst/>
        </a:prstGeom>
        <a:ln>
          <a:solidFill>
            <a:schemeClr val="tx1">
              <a:lumMod val="95000"/>
              <a:lumOff val="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171451</xdr:colOff>
      <xdr:row>7</xdr:row>
      <xdr:rowOff>165100</xdr:rowOff>
    </xdr:from>
    <xdr:to>
      <xdr:col>5</xdr:col>
      <xdr:colOff>1304925</xdr:colOff>
      <xdr:row>7</xdr:row>
      <xdr:rowOff>619126</xdr:rowOff>
    </xdr:to>
    <xdr:sp macro="" textlink="">
      <xdr:nvSpPr>
        <xdr:cNvPr id="7" name="Rechteck 6">
          <a:extLst>
            <a:ext uri="{FF2B5EF4-FFF2-40B4-BE49-F238E27FC236}">
              <a16:creationId xmlns:a16="http://schemas.microsoft.com/office/drawing/2014/main" id="{52B770D5-EC23-38A1-1024-F037A0521AFA}"/>
            </a:ext>
          </a:extLst>
        </xdr:cNvPr>
        <xdr:cNvSpPr/>
      </xdr:nvSpPr>
      <xdr:spPr>
        <a:xfrm>
          <a:off x="5953126" y="1431925"/>
          <a:ext cx="1133474" cy="454026"/>
        </a:xfrm>
        <a:prstGeom prst="rect">
          <a:avLst/>
        </a:prstGeom>
        <a:noFill/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5</xdr:col>
      <xdr:colOff>736601</xdr:colOff>
      <xdr:row>7</xdr:row>
      <xdr:rowOff>161925</xdr:rowOff>
    </xdr:from>
    <xdr:to>
      <xdr:col>5</xdr:col>
      <xdr:colOff>736601</xdr:colOff>
      <xdr:row>7</xdr:row>
      <xdr:rowOff>615951</xdr:rowOff>
    </xdr:to>
    <xdr:cxnSp macro="">
      <xdr:nvCxnSpPr>
        <xdr:cNvPr id="8" name="Gerader Verbinder 7">
          <a:extLst>
            <a:ext uri="{FF2B5EF4-FFF2-40B4-BE49-F238E27FC236}">
              <a16:creationId xmlns:a16="http://schemas.microsoft.com/office/drawing/2014/main" id="{AD0E0B78-DE06-DEC6-4127-35258D8E4337}"/>
            </a:ext>
          </a:extLst>
        </xdr:cNvPr>
        <xdr:cNvCxnSpPr>
          <a:stCxn id="7" idx="0"/>
          <a:endCxn id="7" idx="2"/>
        </xdr:cNvCxnSpPr>
      </xdr:nvCxnSpPr>
      <xdr:spPr>
        <a:xfrm>
          <a:off x="6518276" y="1428750"/>
          <a:ext cx="0" cy="454026"/>
        </a:xfrm>
        <a:prstGeom prst="line">
          <a:avLst/>
        </a:prstGeom>
        <a:ln>
          <a:solidFill>
            <a:schemeClr val="tx1">
              <a:lumMod val="95000"/>
              <a:lumOff val="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676275</xdr:colOff>
      <xdr:row>8</xdr:row>
      <xdr:rowOff>723900</xdr:rowOff>
    </xdr:from>
    <xdr:to>
      <xdr:col>3</xdr:col>
      <xdr:colOff>781050</xdr:colOff>
      <xdr:row>8</xdr:row>
      <xdr:rowOff>819150</xdr:rowOff>
    </xdr:to>
    <xdr:sp macro="" textlink="">
      <xdr:nvSpPr>
        <xdr:cNvPr id="9" name="Ellipse 8">
          <a:extLst>
            <a:ext uri="{FF2B5EF4-FFF2-40B4-BE49-F238E27FC236}">
              <a16:creationId xmlns:a16="http://schemas.microsoft.com/office/drawing/2014/main" id="{D940CE7D-5495-56E6-8205-539921357BEF}"/>
            </a:ext>
          </a:extLst>
        </xdr:cNvPr>
        <xdr:cNvSpPr/>
      </xdr:nvSpPr>
      <xdr:spPr>
        <a:xfrm>
          <a:off x="3619500" y="3143250"/>
          <a:ext cx="104775" cy="9525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3</xdr:col>
      <xdr:colOff>425450</xdr:colOff>
      <xdr:row>8</xdr:row>
      <xdr:rowOff>542925</xdr:rowOff>
    </xdr:from>
    <xdr:to>
      <xdr:col>3</xdr:col>
      <xdr:colOff>533400</xdr:colOff>
      <xdr:row>8</xdr:row>
      <xdr:rowOff>638175</xdr:rowOff>
    </xdr:to>
    <xdr:sp macro="" textlink="">
      <xdr:nvSpPr>
        <xdr:cNvPr id="10" name="Ellipse 9">
          <a:extLst>
            <a:ext uri="{FF2B5EF4-FFF2-40B4-BE49-F238E27FC236}">
              <a16:creationId xmlns:a16="http://schemas.microsoft.com/office/drawing/2014/main" id="{2EFEACB6-EDCF-087F-3BF3-29B20F2414D7}"/>
            </a:ext>
          </a:extLst>
        </xdr:cNvPr>
        <xdr:cNvSpPr/>
      </xdr:nvSpPr>
      <xdr:spPr>
        <a:xfrm>
          <a:off x="3368675" y="2962275"/>
          <a:ext cx="107950" cy="9525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3</xdr:col>
      <xdr:colOff>923925</xdr:colOff>
      <xdr:row>8</xdr:row>
      <xdr:rowOff>549275</xdr:rowOff>
    </xdr:from>
    <xdr:to>
      <xdr:col>3</xdr:col>
      <xdr:colOff>1028700</xdr:colOff>
      <xdr:row>8</xdr:row>
      <xdr:rowOff>644525</xdr:rowOff>
    </xdr:to>
    <xdr:sp macro="" textlink="">
      <xdr:nvSpPr>
        <xdr:cNvPr id="11" name="Ellipse 10">
          <a:extLst>
            <a:ext uri="{FF2B5EF4-FFF2-40B4-BE49-F238E27FC236}">
              <a16:creationId xmlns:a16="http://schemas.microsoft.com/office/drawing/2014/main" id="{03D15E13-E716-D111-7E53-B42D4F336E37}"/>
            </a:ext>
          </a:extLst>
        </xdr:cNvPr>
        <xdr:cNvSpPr/>
      </xdr:nvSpPr>
      <xdr:spPr>
        <a:xfrm>
          <a:off x="3867150" y="2968625"/>
          <a:ext cx="104775" cy="9525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4</xdr:col>
      <xdr:colOff>663575</xdr:colOff>
      <xdr:row>8</xdr:row>
      <xdr:rowOff>409575</xdr:rowOff>
    </xdr:from>
    <xdr:to>
      <xdr:col>4</xdr:col>
      <xdr:colOff>771525</xdr:colOff>
      <xdr:row>8</xdr:row>
      <xdr:rowOff>504825</xdr:rowOff>
    </xdr:to>
    <xdr:sp macro="" textlink="">
      <xdr:nvSpPr>
        <xdr:cNvPr id="12" name="Ellipse 11">
          <a:extLst>
            <a:ext uri="{FF2B5EF4-FFF2-40B4-BE49-F238E27FC236}">
              <a16:creationId xmlns:a16="http://schemas.microsoft.com/office/drawing/2014/main" id="{AD5CEF0C-38E5-63BB-7B7A-E8FF8776C20B}"/>
            </a:ext>
          </a:extLst>
        </xdr:cNvPr>
        <xdr:cNvSpPr/>
      </xdr:nvSpPr>
      <xdr:spPr>
        <a:xfrm>
          <a:off x="5026025" y="2828925"/>
          <a:ext cx="107950" cy="9525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4</xdr:col>
      <xdr:colOff>419100</xdr:colOff>
      <xdr:row>8</xdr:row>
      <xdr:rowOff>225425</xdr:rowOff>
    </xdr:from>
    <xdr:to>
      <xdr:col>4</xdr:col>
      <xdr:colOff>523875</xdr:colOff>
      <xdr:row>8</xdr:row>
      <xdr:rowOff>320675</xdr:rowOff>
    </xdr:to>
    <xdr:sp macro="" textlink="">
      <xdr:nvSpPr>
        <xdr:cNvPr id="13" name="Ellipse 12">
          <a:extLst>
            <a:ext uri="{FF2B5EF4-FFF2-40B4-BE49-F238E27FC236}">
              <a16:creationId xmlns:a16="http://schemas.microsoft.com/office/drawing/2014/main" id="{11F8D1BB-C4DC-A5B8-C5C7-5C9EDED47EE1}"/>
            </a:ext>
          </a:extLst>
        </xdr:cNvPr>
        <xdr:cNvSpPr/>
      </xdr:nvSpPr>
      <xdr:spPr>
        <a:xfrm>
          <a:off x="4781550" y="2644775"/>
          <a:ext cx="104775" cy="9525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4</xdr:col>
      <xdr:colOff>911225</xdr:colOff>
      <xdr:row>8</xdr:row>
      <xdr:rowOff>234950</xdr:rowOff>
    </xdr:from>
    <xdr:to>
      <xdr:col>4</xdr:col>
      <xdr:colOff>1019175</xdr:colOff>
      <xdr:row>8</xdr:row>
      <xdr:rowOff>330200</xdr:rowOff>
    </xdr:to>
    <xdr:sp macro="" textlink="">
      <xdr:nvSpPr>
        <xdr:cNvPr id="14" name="Ellipse 13">
          <a:extLst>
            <a:ext uri="{FF2B5EF4-FFF2-40B4-BE49-F238E27FC236}">
              <a16:creationId xmlns:a16="http://schemas.microsoft.com/office/drawing/2014/main" id="{66909E8A-33FE-13B3-6C83-1794D047B044}"/>
            </a:ext>
          </a:extLst>
        </xdr:cNvPr>
        <xdr:cNvSpPr/>
      </xdr:nvSpPr>
      <xdr:spPr>
        <a:xfrm>
          <a:off x="5273675" y="2654300"/>
          <a:ext cx="107950" cy="9525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4</xdr:col>
      <xdr:colOff>663575</xdr:colOff>
      <xdr:row>8</xdr:row>
      <xdr:rowOff>930275</xdr:rowOff>
    </xdr:from>
    <xdr:to>
      <xdr:col>4</xdr:col>
      <xdr:colOff>768350</xdr:colOff>
      <xdr:row>8</xdr:row>
      <xdr:rowOff>1025525</xdr:rowOff>
    </xdr:to>
    <xdr:sp macro="" textlink="">
      <xdr:nvSpPr>
        <xdr:cNvPr id="15" name="Ellipse 14">
          <a:extLst>
            <a:ext uri="{FF2B5EF4-FFF2-40B4-BE49-F238E27FC236}">
              <a16:creationId xmlns:a16="http://schemas.microsoft.com/office/drawing/2014/main" id="{39888435-8BE6-EFC2-1D5A-9DF2EE366F2A}"/>
            </a:ext>
          </a:extLst>
        </xdr:cNvPr>
        <xdr:cNvSpPr/>
      </xdr:nvSpPr>
      <xdr:spPr>
        <a:xfrm>
          <a:off x="5026025" y="3349625"/>
          <a:ext cx="104775" cy="9525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4</xdr:col>
      <xdr:colOff>419100</xdr:colOff>
      <xdr:row>8</xdr:row>
      <xdr:rowOff>749300</xdr:rowOff>
    </xdr:from>
    <xdr:to>
      <xdr:col>4</xdr:col>
      <xdr:colOff>520700</xdr:colOff>
      <xdr:row>8</xdr:row>
      <xdr:rowOff>844550</xdr:rowOff>
    </xdr:to>
    <xdr:sp macro="" textlink="">
      <xdr:nvSpPr>
        <xdr:cNvPr id="16" name="Ellipse 15">
          <a:extLst>
            <a:ext uri="{FF2B5EF4-FFF2-40B4-BE49-F238E27FC236}">
              <a16:creationId xmlns:a16="http://schemas.microsoft.com/office/drawing/2014/main" id="{089C4D51-B027-1F83-BA07-E870580A63C7}"/>
            </a:ext>
          </a:extLst>
        </xdr:cNvPr>
        <xdr:cNvSpPr/>
      </xdr:nvSpPr>
      <xdr:spPr>
        <a:xfrm>
          <a:off x="4781550" y="3168650"/>
          <a:ext cx="101600" cy="9525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4</xdr:col>
      <xdr:colOff>911225</xdr:colOff>
      <xdr:row>8</xdr:row>
      <xdr:rowOff>762000</xdr:rowOff>
    </xdr:from>
    <xdr:to>
      <xdr:col>4</xdr:col>
      <xdr:colOff>1016000</xdr:colOff>
      <xdr:row>8</xdr:row>
      <xdr:rowOff>857250</xdr:rowOff>
    </xdr:to>
    <xdr:sp macro="" textlink="">
      <xdr:nvSpPr>
        <xdr:cNvPr id="17" name="Ellipse 16">
          <a:extLst>
            <a:ext uri="{FF2B5EF4-FFF2-40B4-BE49-F238E27FC236}">
              <a16:creationId xmlns:a16="http://schemas.microsoft.com/office/drawing/2014/main" id="{E63BF7FF-4447-7EC8-EE8F-ADB45780B278}"/>
            </a:ext>
          </a:extLst>
        </xdr:cNvPr>
        <xdr:cNvSpPr/>
      </xdr:nvSpPr>
      <xdr:spPr>
        <a:xfrm>
          <a:off x="5273675" y="3181350"/>
          <a:ext cx="104775" cy="9525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5</xdr:col>
      <xdr:colOff>457200</xdr:colOff>
      <xdr:row>8</xdr:row>
      <xdr:rowOff>190500</xdr:rowOff>
    </xdr:from>
    <xdr:to>
      <xdr:col>5</xdr:col>
      <xdr:colOff>1054100</xdr:colOff>
      <xdr:row>8</xdr:row>
      <xdr:rowOff>466725</xdr:rowOff>
    </xdr:to>
    <xdr:grpSp>
      <xdr:nvGrpSpPr>
        <xdr:cNvPr id="30" name="Gruppieren 29">
          <a:extLst>
            <a:ext uri="{FF2B5EF4-FFF2-40B4-BE49-F238E27FC236}">
              <a16:creationId xmlns:a16="http://schemas.microsoft.com/office/drawing/2014/main" id="{5F4341E3-F659-1EF8-56D6-8D1D749A2419}"/>
            </a:ext>
          </a:extLst>
        </xdr:cNvPr>
        <xdr:cNvGrpSpPr/>
      </xdr:nvGrpSpPr>
      <xdr:grpSpPr>
        <a:xfrm>
          <a:off x="6031396" y="2667000"/>
          <a:ext cx="596900" cy="276225"/>
          <a:chOff x="6238875" y="2609850"/>
          <a:chExt cx="596900" cy="276225"/>
        </a:xfrm>
      </xdr:grpSpPr>
      <xdr:sp macro="" textlink="">
        <xdr:nvSpPr>
          <xdr:cNvPr id="18" name="Ellipse 17">
            <a:extLst>
              <a:ext uri="{FF2B5EF4-FFF2-40B4-BE49-F238E27FC236}">
                <a16:creationId xmlns:a16="http://schemas.microsoft.com/office/drawing/2014/main" id="{7A4C8011-4E4C-2391-84A8-FC164EF262A9}"/>
              </a:ext>
            </a:extLst>
          </xdr:cNvPr>
          <xdr:cNvSpPr/>
        </xdr:nvSpPr>
        <xdr:spPr>
          <a:xfrm>
            <a:off x="6483350" y="2790825"/>
            <a:ext cx="104775" cy="95250"/>
          </a:xfrm>
          <a:prstGeom prst="ellips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  <xdr:sp macro="" textlink="">
        <xdr:nvSpPr>
          <xdr:cNvPr id="19" name="Ellipse 18">
            <a:extLst>
              <a:ext uri="{FF2B5EF4-FFF2-40B4-BE49-F238E27FC236}">
                <a16:creationId xmlns:a16="http://schemas.microsoft.com/office/drawing/2014/main" id="{F0043146-02A3-0DF5-2556-AE486B6CBB2B}"/>
              </a:ext>
            </a:extLst>
          </xdr:cNvPr>
          <xdr:cNvSpPr/>
        </xdr:nvSpPr>
        <xdr:spPr>
          <a:xfrm>
            <a:off x="6238875" y="2609850"/>
            <a:ext cx="101600" cy="95250"/>
          </a:xfrm>
          <a:prstGeom prst="ellips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  <xdr:sp macro="" textlink="">
        <xdr:nvSpPr>
          <xdr:cNvPr id="20" name="Ellipse 19">
            <a:extLst>
              <a:ext uri="{FF2B5EF4-FFF2-40B4-BE49-F238E27FC236}">
                <a16:creationId xmlns:a16="http://schemas.microsoft.com/office/drawing/2014/main" id="{C23E945B-4115-B773-97A7-94022FC6522F}"/>
              </a:ext>
            </a:extLst>
          </xdr:cNvPr>
          <xdr:cNvSpPr/>
        </xdr:nvSpPr>
        <xdr:spPr>
          <a:xfrm>
            <a:off x="6731000" y="2616200"/>
            <a:ext cx="104775" cy="95250"/>
          </a:xfrm>
          <a:prstGeom prst="ellips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</xdr:grpSp>
    <xdr:clientData/>
  </xdr:twoCellAnchor>
  <xdr:twoCellAnchor>
    <xdr:from>
      <xdr:col>5</xdr:col>
      <xdr:colOff>923925</xdr:colOff>
      <xdr:row>8</xdr:row>
      <xdr:rowOff>406400</xdr:rowOff>
    </xdr:from>
    <xdr:to>
      <xdr:col>5</xdr:col>
      <xdr:colOff>1200150</xdr:colOff>
      <xdr:row>8</xdr:row>
      <xdr:rowOff>1009650</xdr:rowOff>
    </xdr:to>
    <xdr:grpSp>
      <xdr:nvGrpSpPr>
        <xdr:cNvPr id="24" name="Gruppieren 23">
          <a:extLst>
            <a:ext uri="{FF2B5EF4-FFF2-40B4-BE49-F238E27FC236}">
              <a16:creationId xmlns:a16="http://schemas.microsoft.com/office/drawing/2014/main" id="{67351CD9-BD62-B81E-7AA3-737FA7C0AA7A}"/>
            </a:ext>
          </a:extLst>
        </xdr:cNvPr>
        <xdr:cNvGrpSpPr/>
      </xdr:nvGrpSpPr>
      <xdr:grpSpPr>
        <a:xfrm rot="7823849">
          <a:off x="6334609" y="3046412"/>
          <a:ext cx="603250" cy="276225"/>
          <a:chOff x="6734175" y="3581400"/>
          <a:chExt cx="596900" cy="276225"/>
        </a:xfrm>
      </xdr:grpSpPr>
      <xdr:sp macro="" textlink="">
        <xdr:nvSpPr>
          <xdr:cNvPr id="21" name="Ellipse 20">
            <a:extLst>
              <a:ext uri="{FF2B5EF4-FFF2-40B4-BE49-F238E27FC236}">
                <a16:creationId xmlns:a16="http://schemas.microsoft.com/office/drawing/2014/main" id="{6E4BD11A-3EE0-7E66-98AF-5BF16BC2B431}"/>
              </a:ext>
            </a:extLst>
          </xdr:cNvPr>
          <xdr:cNvSpPr/>
        </xdr:nvSpPr>
        <xdr:spPr>
          <a:xfrm>
            <a:off x="6978650" y="3762375"/>
            <a:ext cx="104775" cy="95250"/>
          </a:xfrm>
          <a:prstGeom prst="ellips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  <xdr:sp macro="" textlink="">
        <xdr:nvSpPr>
          <xdr:cNvPr id="22" name="Ellipse 21">
            <a:extLst>
              <a:ext uri="{FF2B5EF4-FFF2-40B4-BE49-F238E27FC236}">
                <a16:creationId xmlns:a16="http://schemas.microsoft.com/office/drawing/2014/main" id="{DC5055F5-9E36-7C38-6536-0382F63B6C7E}"/>
              </a:ext>
            </a:extLst>
          </xdr:cNvPr>
          <xdr:cNvSpPr/>
        </xdr:nvSpPr>
        <xdr:spPr>
          <a:xfrm>
            <a:off x="6734175" y="3581400"/>
            <a:ext cx="101600" cy="95250"/>
          </a:xfrm>
          <a:prstGeom prst="ellips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  <xdr:sp macro="" textlink="">
        <xdr:nvSpPr>
          <xdr:cNvPr id="23" name="Ellipse 22">
            <a:extLst>
              <a:ext uri="{FF2B5EF4-FFF2-40B4-BE49-F238E27FC236}">
                <a16:creationId xmlns:a16="http://schemas.microsoft.com/office/drawing/2014/main" id="{E0212C94-23E3-C1B3-3DDF-595D4D2E833A}"/>
              </a:ext>
            </a:extLst>
          </xdr:cNvPr>
          <xdr:cNvSpPr/>
        </xdr:nvSpPr>
        <xdr:spPr>
          <a:xfrm>
            <a:off x="7226300" y="3587750"/>
            <a:ext cx="104775" cy="95250"/>
          </a:xfrm>
          <a:prstGeom prst="ellips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</xdr:grpSp>
    <xdr:clientData/>
  </xdr:twoCellAnchor>
  <xdr:twoCellAnchor>
    <xdr:from>
      <xdr:col>5</xdr:col>
      <xdr:colOff>87312</xdr:colOff>
      <xdr:row>8</xdr:row>
      <xdr:rowOff>582612</xdr:rowOff>
    </xdr:from>
    <xdr:to>
      <xdr:col>5</xdr:col>
      <xdr:colOff>687387</xdr:colOff>
      <xdr:row>8</xdr:row>
      <xdr:rowOff>865187</xdr:rowOff>
    </xdr:to>
    <xdr:grpSp>
      <xdr:nvGrpSpPr>
        <xdr:cNvPr id="25" name="Gruppieren 24">
          <a:extLst>
            <a:ext uri="{FF2B5EF4-FFF2-40B4-BE49-F238E27FC236}">
              <a16:creationId xmlns:a16="http://schemas.microsoft.com/office/drawing/2014/main" id="{84416C61-73DE-E957-DBE0-6A1E25402401}"/>
            </a:ext>
          </a:extLst>
        </xdr:cNvPr>
        <xdr:cNvGrpSpPr/>
      </xdr:nvGrpSpPr>
      <xdr:grpSpPr>
        <a:xfrm rot="13412045">
          <a:off x="5661508" y="3059112"/>
          <a:ext cx="600075" cy="282575"/>
          <a:chOff x="6734175" y="3581400"/>
          <a:chExt cx="596900" cy="276225"/>
        </a:xfrm>
      </xdr:grpSpPr>
      <xdr:sp macro="" textlink="">
        <xdr:nvSpPr>
          <xdr:cNvPr id="26" name="Ellipse 25">
            <a:extLst>
              <a:ext uri="{FF2B5EF4-FFF2-40B4-BE49-F238E27FC236}">
                <a16:creationId xmlns:a16="http://schemas.microsoft.com/office/drawing/2014/main" id="{FB69D678-98B4-68F0-0613-351C72160E1B}"/>
              </a:ext>
            </a:extLst>
          </xdr:cNvPr>
          <xdr:cNvSpPr/>
        </xdr:nvSpPr>
        <xdr:spPr>
          <a:xfrm>
            <a:off x="6978650" y="3762375"/>
            <a:ext cx="104775" cy="95250"/>
          </a:xfrm>
          <a:prstGeom prst="ellips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  <xdr:sp macro="" textlink="">
        <xdr:nvSpPr>
          <xdr:cNvPr id="27" name="Ellipse 26">
            <a:extLst>
              <a:ext uri="{FF2B5EF4-FFF2-40B4-BE49-F238E27FC236}">
                <a16:creationId xmlns:a16="http://schemas.microsoft.com/office/drawing/2014/main" id="{401F6C4E-38EF-B45F-E7D3-50BF658FD703}"/>
              </a:ext>
            </a:extLst>
          </xdr:cNvPr>
          <xdr:cNvSpPr/>
        </xdr:nvSpPr>
        <xdr:spPr>
          <a:xfrm>
            <a:off x="6734175" y="3581400"/>
            <a:ext cx="101600" cy="95250"/>
          </a:xfrm>
          <a:prstGeom prst="ellips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  <xdr:sp macro="" textlink="">
        <xdr:nvSpPr>
          <xdr:cNvPr id="28" name="Ellipse 27">
            <a:extLst>
              <a:ext uri="{FF2B5EF4-FFF2-40B4-BE49-F238E27FC236}">
                <a16:creationId xmlns:a16="http://schemas.microsoft.com/office/drawing/2014/main" id="{A573C459-CC99-A481-E470-A78E55CF4D37}"/>
              </a:ext>
            </a:extLst>
          </xdr:cNvPr>
          <xdr:cNvSpPr/>
        </xdr:nvSpPr>
        <xdr:spPr>
          <a:xfrm>
            <a:off x="7226300" y="3587750"/>
            <a:ext cx="104775" cy="95250"/>
          </a:xfrm>
          <a:prstGeom prst="ellips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</xdr:grpSp>
    <xdr:clientData/>
  </xdr:twoCellAnchor>
  <xdr:twoCellAnchor>
    <xdr:from>
      <xdr:col>6</xdr:col>
      <xdr:colOff>219075</xdr:colOff>
      <xdr:row>7</xdr:row>
      <xdr:rowOff>171449</xdr:rowOff>
    </xdr:from>
    <xdr:to>
      <xdr:col>6</xdr:col>
      <xdr:colOff>1200150</xdr:colOff>
      <xdr:row>7</xdr:row>
      <xdr:rowOff>581025</xdr:rowOff>
    </xdr:to>
    <xdr:sp macro="" textlink="">
      <xdr:nvSpPr>
        <xdr:cNvPr id="29" name="Rechteck 28">
          <a:extLst>
            <a:ext uri="{FF2B5EF4-FFF2-40B4-BE49-F238E27FC236}">
              <a16:creationId xmlns:a16="http://schemas.microsoft.com/office/drawing/2014/main" id="{68704385-8775-57FD-52CE-DAD4BA9E421C}"/>
            </a:ext>
          </a:extLst>
        </xdr:cNvPr>
        <xdr:cNvSpPr/>
      </xdr:nvSpPr>
      <xdr:spPr>
        <a:xfrm>
          <a:off x="7419975" y="1438274"/>
          <a:ext cx="981075" cy="409576"/>
        </a:xfrm>
        <a:prstGeom prst="rect">
          <a:avLst/>
        </a:prstGeom>
        <a:noFill/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5</xdr:col>
      <xdr:colOff>457200</xdr:colOff>
      <xdr:row>7</xdr:row>
      <xdr:rowOff>771525</xdr:rowOff>
    </xdr:from>
    <xdr:to>
      <xdr:col>5</xdr:col>
      <xdr:colOff>1057275</xdr:colOff>
      <xdr:row>7</xdr:row>
      <xdr:rowOff>1044575</xdr:rowOff>
    </xdr:to>
    <xdr:grpSp>
      <xdr:nvGrpSpPr>
        <xdr:cNvPr id="31" name="Gruppieren 30">
          <a:extLst>
            <a:ext uri="{FF2B5EF4-FFF2-40B4-BE49-F238E27FC236}">
              <a16:creationId xmlns:a16="http://schemas.microsoft.com/office/drawing/2014/main" id="{418539B4-2A8D-B570-F85A-5910F3F4ECE0}"/>
            </a:ext>
          </a:extLst>
        </xdr:cNvPr>
        <xdr:cNvGrpSpPr/>
      </xdr:nvGrpSpPr>
      <xdr:grpSpPr>
        <a:xfrm>
          <a:off x="6031396" y="2105025"/>
          <a:ext cx="600075" cy="273050"/>
          <a:chOff x="6238875" y="2609850"/>
          <a:chExt cx="596900" cy="276225"/>
        </a:xfrm>
      </xdr:grpSpPr>
      <xdr:sp macro="" textlink="">
        <xdr:nvSpPr>
          <xdr:cNvPr id="32" name="Ellipse 31">
            <a:extLst>
              <a:ext uri="{FF2B5EF4-FFF2-40B4-BE49-F238E27FC236}">
                <a16:creationId xmlns:a16="http://schemas.microsoft.com/office/drawing/2014/main" id="{FB9968FE-711E-A282-F39C-67A42C948D1A}"/>
              </a:ext>
            </a:extLst>
          </xdr:cNvPr>
          <xdr:cNvSpPr/>
        </xdr:nvSpPr>
        <xdr:spPr>
          <a:xfrm>
            <a:off x="6483350" y="2790825"/>
            <a:ext cx="104775" cy="95250"/>
          </a:xfrm>
          <a:prstGeom prst="ellips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  <xdr:sp macro="" textlink="">
        <xdr:nvSpPr>
          <xdr:cNvPr id="33" name="Ellipse 32">
            <a:extLst>
              <a:ext uri="{FF2B5EF4-FFF2-40B4-BE49-F238E27FC236}">
                <a16:creationId xmlns:a16="http://schemas.microsoft.com/office/drawing/2014/main" id="{2E280F0F-B0E3-F5B7-F80D-478C93A2537E}"/>
              </a:ext>
            </a:extLst>
          </xdr:cNvPr>
          <xdr:cNvSpPr/>
        </xdr:nvSpPr>
        <xdr:spPr>
          <a:xfrm>
            <a:off x="6238875" y="2609850"/>
            <a:ext cx="101600" cy="95250"/>
          </a:xfrm>
          <a:prstGeom prst="ellips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  <xdr:sp macro="" textlink="">
        <xdr:nvSpPr>
          <xdr:cNvPr id="34" name="Ellipse 33">
            <a:extLst>
              <a:ext uri="{FF2B5EF4-FFF2-40B4-BE49-F238E27FC236}">
                <a16:creationId xmlns:a16="http://schemas.microsoft.com/office/drawing/2014/main" id="{375CCEB7-D56B-C57C-649E-2EFC9ECE69AF}"/>
              </a:ext>
            </a:extLst>
          </xdr:cNvPr>
          <xdr:cNvSpPr/>
        </xdr:nvSpPr>
        <xdr:spPr>
          <a:xfrm>
            <a:off x="6731000" y="2616200"/>
            <a:ext cx="104775" cy="95250"/>
          </a:xfrm>
          <a:prstGeom prst="ellips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</xdr:grpSp>
    <xdr:clientData/>
  </xdr:twoCellAnchor>
  <xdr:twoCellAnchor>
    <xdr:from>
      <xdr:col>6</xdr:col>
      <xdr:colOff>409575</xdr:colOff>
      <xdr:row>7</xdr:row>
      <xdr:rowOff>777875</xdr:rowOff>
    </xdr:from>
    <xdr:to>
      <xdr:col>6</xdr:col>
      <xdr:colOff>1006475</xdr:colOff>
      <xdr:row>7</xdr:row>
      <xdr:rowOff>1054100</xdr:rowOff>
    </xdr:to>
    <xdr:grpSp>
      <xdr:nvGrpSpPr>
        <xdr:cNvPr id="35" name="Gruppieren 34">
          <a:extLst>
            <a:ext uri="{FF2B5EF4-FFF2-40B4-BE49-F238E27FC236}">
              <a16:creationId xmlns:a16="http://schemas.microsoft.com/office/drawing/2014/main" id="{31572044-4E09-BB5B-F5F5-C67246BDBF53}"/>
            </a:ext>
          </a:extLst>
        </xdr:cNvPr>
        <xdr:cNvGrpSpPr/>
      </xdr:nvGrpSpPr>
      <xdr:grpSpPr>
        <a:xfrm>
          <a:off x="7333836" y="2111375"/>
          <a:ext cx="596900" cy="276225"/>
          <a:chOff x="6238875" y="2609850"/>
          <a:chExt cx="596900" cy="276225"/>
        </a:xfrm>
      </xdr:grpSpPr>
      <xdr:sp macro="" textlink="">
        <xdr:nvSpPr>
          <xdr:cNvPr id="36" name="Ellipse 35">
            <a:extLst>
              <a:ext uri="{FF2B5EF4-FFF2-40B4-BE49-F238E27FC236}">
                <a16:creationId xmlns:a16="http://schemas.microsoft.com/office/drawing/2014/main" id="{2681E868-A56D-29E9-25C3-0C8EC8A820C4}"/>
              </a:ext>
            </a:extLst>
          </xdr:cNvPr>
          <xdr:cNvSpPr/>
        </xdr:nvSpPr>
        <xdr:spPr>
          <a:xfrm>
            <a:off x="6483350" y="2790825"/>
            <a:ext cx="104775" cy="95250"/>
          </a:xfrm>
          <a:prstGeom prst="ellips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  <xdr:sp macro="" textlink="">
        <xdr:nvSpPr>
          <xdr:cNvPr id="37" name="Ellipse 36">
            <a:extLst>
              <a:ext uri="{FF2B5EF4-FFF2-40B4-BE49-F238E27FC236}">
                <a16:creationId xmlns:a16="http://schemas.microsoft.com/office/drawing/2014/main" id="{F84D63C6-2A86-43BA-1396-53142A10BF25}"/>
              </a:ext>
            </a:extLst>
          </xdr:cNvPr>
          <xdr:cNvSpPr/>
        </xdr:nvSpPr>
        <xdr:spPr>
          <a:xfrm>
            <a:off x="6238875" y="2609850"/>
            <a:ext cx="101600" cy="95250"/>
          </a:xfrm>
          <a:prstGeom prst="ellips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  <xdr:sp macro="" textlink="">
        <xdr:nvSpPr>
          <xdr:cNvPr id="38" name="Ellipse 37">
            <a:extLst>
              <a:ext uri="{FF2B5EF4-FFF2-40B4-BE49-F238E27FC236}">
                <a16:creationId xmlns:a16="http://schemas.microsoft.com/office/drawing/2014/main" id="{E642EB43-BD48-41D8-1BDD-E425911E984E}"/>
              </a:ext>
            </a:extLst>
          </xdr:cNvPr>
          <xdr:cNvSpPr/>
        </xdr:nvSpPr>
        <xdr:spPr>
          <a:xfrm>
            <a:off x="6731000" y="2616200"/>
            <a:ext cx="104775" cy="95250"/>
          </a:xfrm>
          <a:prstGeom prst="ellips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</xdr:grpSp>
    <xdr:clientData/>
  </xdr:twoCellAnchor>
  <xdr:twoCellAnchor>
    <xdr:from>
      <xdr:col>2</xdr:col>
      <xdr:colOff>219075</xdr:colOff>
      <xdr:row>12</xdr:row>
      <xdr:rowOff>171449</xdr:rowOff>
    </xdr:from>
    <xdr:to>
      <xdr:col>2</xdr:col>
      <xdr:colOff>1200150</xdr:colOff>
      <xdr:row>12</xdr:row>
      <xdr:rowOff>581025</xdr:rowOff>
    </xdr:to>
    <xdr:sp macro="" textlink="">
      <xdr:nvSpPr>
        <xdr:cNvPr id="39" name="Rechteck 38">
          <a:extLst>
            <a:ext uri="{FF2B5EF4-FFF2-40B4-BE49-F238E27FC236}">
              <a16:creationId xmlns:a16="http://schemas.microsoft.com/office/drawing/2014/main" id="{1CEFC80E-2E24-4583-A468-8BC9B396726C}"/>
            </a:ext>
          </a:extLst>
        </xdr:cNvPr>
        <xdr:cNvSpPr/>
      </xdr:nvSpPr>
      <xdr:spPr>
        <a:xfrm>
          <a:off x="7416800" y="1438274"/>
          <a:ext cx="984250" cy="406401"/>
        </a:xfrm>
        <a:prstGeom prst="rect">
          <a:avLst/>
        </a:prstGeom>
        <a:noFill/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406400</xdr:colOff>
      <xdr:row>12</xdr:row>
      <xdr:rowOff>777875</xdr:rowOff>
    </xdr:from>
    <xdr:to>
      <xdr:col>2</xdr:col>
      <xdr:colOff>1006475</xdr:colOff>
      <xdr:row>12</xdr:row>
      <xdr:rowOff>1057275</xdr:rowOff>
    </xdr:to>
    <xdr:grpSp>
      <xdr:nvGrpSpPr>
        <xdr:cNvPr id="40" name="Gruppieren 39">
          <a:extLst>
            <a:ext uri="{FF2B5EF4-FFF2-40B4-BE49-F238E27FC236}">
              <a16:creationId xmlns:a16="http://schemas.microsoft.com/office/drawing/2014/main" id="{400C1E83-E5F3-452A-A52F-7AD16501458C}"/>
            </a:ext>
          </a:extLst>
        </xdr:cNvPr>
        <xdr:cNvGrpSpPr/>
      </xdr:nvGrpSpPr>
      <xdr:grpSpPr>
        <a:xfrm>
          <a:off x="1930400" y="6078745"/>
          <a:ext cx="600075" cy="279400"/>
          <a:chOff x="6238875" y="2609850"/>
          <a:chExt cx="596900" cy="276225"/>
        </a:xfrm>
      </xdr:grpSpPr>
      <xdr:sp macro="" textlink="">
        <xdr:nvSpPr>
          <xdr:cNvPr id="41" name="Ellipse 40">
            <a:extLst>
              <a:ext uri="{FF2B5EF4-FFF2-40B4-BE49-F238E27FC236}">
                <a16:creationId xmlns:a16="http://schemas.microsoft.com/office/drawing/2014/main" id="{4D5DAC7C-D2BE-1D70-62AB-C37E09405F38}"/>
              </a:ext>
            </a:extLst>
          </xdr:cNvPr>
          <xdr:cNvSpPr/>
        </xdr:nvSpPr>
        <xdr:spPr>
          <a:xfrm>
            <a:off x="6483350" y="2790825"/>
            <a:ext cx="104775" cy="95250"/>
          </a:xfrm>
          <a:prstGeom prst="ellips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  <xdr:sp macro="" textlink="">
        <xdr:nvSpPr>
          <xdr:cNvPr id="42" name="Ellipse 41">
            <a:extLst>
              <a:ext uri="{FF2B5EF4-FFF2-40B4-BE49-F238E27FC236}">
                <a16:creationId xmlns:a16="http://schemas.microsoft.com/office/drawing/2014/main" id="{2F0FA1AA-2A80-1A7E-EBF7-4B12814FA5AA}"/>
              </a:ext>
            </a:extLst>
          </xdr:cNvPr>
          <xdr:cNvSpPr/>
        </xdr:nvSpPr>
        <xdr:spPr>
          <a:xfrm>
            <a:off x="6238875" y="2609850"/>
            <a:ext cx="101600" cy="95250"/>
          </a:xfrm>
          <a:prstGeom prst="ellips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  <xdr:sp macro="" textlink="">
        <xdr:nvSpPr>
          <xdr:cNvPr id="43" name="Ellipse 42">
            <a:extLst>
              <a:ext uri="{FF2B5EF4-FFF2-40B4-BE49-F238E27FC236}">
                <a16:creationId xmlns:a16="http://schemas.microsoft.com/office/drawing/2014/main" id="{FB84D0AD-E790-2AF1-FDB0-0ADD505573D9}"/>
              </a:ext>
            </a:extLst>
          </xdr:cNvPr>
          <xdr:cNvSpPr/>
        </xdr:nvSpPr>
        <xdr:spPr>
          <a:xfrm>
            <a:off x="6731000" y="2616200"/>
            <a:ext cx="104775" cy="95250"/>
          </a:xfrm>
          <a:prstGeom prst="ellips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</xdr:grpSp>
    <xdr:clientData/>
  </xdr:twoCellAnchor>
  <xdr:oneCellAnchor>
    <xdr:from>
      <xdr:col>2</xdr:col>
      <xdr:colOff>533400</xdr:colOff>
      <xdr:row>12</xdr:row>
      <xdr:rowOff>161925</xdr:rowOff>
    </xdr:from>
    <xdr:ext cx="407740" cy="374141"/>
    <xdr:sp macro="" textlink="">
      <xdr:nvSpPr>
        <xdr:cNvPr id="44" name="Textfeld 43">
          <a:extLst>
            <a:ext uri="{FF2B5EF4-FFF2-40B4-BE49-F238E27FC236}">
              <a16:creationId xmlns:a16="http://schemas.microsoft.com/office/drawing/2014/main" id="{C33FF686-F2A2-A845-696F-7951A34FAF32}"/>
            </a:ext>
          </a:extLst>
        </xdr:cNvPr>
        <xdr:cNvSpPr txBox="1"/>
      </xdr:nvSpPr>
      <xdr:spPr>
        <a:xfrm>
          <a:off x="2057400" y="6038850"/>
          <a:ext cx="407740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de-CH" sz="1800"/>
            <a:t>S3</a:t>
          </a:r>
        </a:p>
      </xdr:txBody>
    </xdr:sp>
    <xdr:clientData/>
  </xdr:oneCellAnchor>
  <xdr:twoCellAnchor>
    <xdr:from>
      <xdr:col>6</xdr:col>
      <xdr:colOff>457200</xdr:colOff>
      <xdr:row>8</xdr:row>
      <xdr:rowOff>190500</xdr:rowOff>
    </xdr:from>
    <xdr:to>
      <xdr:col>6</xdr:col>
      <xdr:colOff>1057275</xdr:colOff>
      <xdr:row>8</xdr:row>
      <xdr:rowOff>463550</xdr:rowOff>
    </xdr:to>
    <xdr:grpSp>
      <xdr:nvGrpSpPr>
        <xdr:cNvPr id="45" name="Gruppieren 44">
          <a:extLst>
            <a:ext uri="{FF2B5EF4-FFF2-40B4-BE49-F238E27FC236}">
              <a16:creationId xmlns:a16="http://schemas.microsoft.com/office/drawing/2014/main" id="{6EB986EF-9175-4AEE-AC91-69BA40FD673B}"/>
            </a:ext>
          </a:extLst>
        </xdr:cNvPr>
        <xdr:cNvGrpSpPr/>
      </xdr:nvGrpSpPr>
      <xdr:grpSpPr>
        <a:xfrm>
          <a:off x="7381461" y="2667000"/>
          <a:ext cx="600075" cy="273050"/>
          <a:chOff x="6238875" y="2609850"/>
          <a:chExt cx="596900" cy="276225"/>
        </a:xfrm>
      </xdr:grpSpPr>
      <xdr:sp macro="" textlink="">
        <xdr:nvSpPr>
          <xdr:cNvPr id="46" name="Ellipse 45">
            <a:extLst>
              <a:ext uri="{FF2B5EF4-FFF2-40B4-BE49-F238E27FC236}">
                <a16:creationId xmlns:a16="http://schemas.microsoft.com/office/drawing/2014/main" id="{553CD867-07AE-D67A-A87E-A7D969451087}"/>
              </a:ext>
            </a:extLst>
          </xdr:cNvPr>
          <xdr:cNvSpPr/>
        </xdr:nvSpPr>
        <xdr:spPr>
          <a:xfrm>
            <a:off x="6483350" y="2790825"/>
            <a:ext cx="104775" cy="95250"/>
          </a:xfrm>
          <a:prstGeom prst="ellips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  <xdr:sp macro="" textlink="">
        <xdr:nvSpPr>
          <xdr:cNvPr id="47" name="Ellipse 46">
            <a:extLst>
              <a:ext uri="{FF2B5EF4-FFF2-40B4-BE49-F238E27FC236}">
                <a16:creationId xmlns:a16="http://schemas.microsoft.com/office/drawing/2014/main" id="{78C56036-8A1A-3FEB-9AD4-5C243E8A4926}"/>
              </a:ext>
            </a:extLst>
          </xdr:cNvPr>
          <xdr:cNvSpPr/>
        </xdr:nvSpPr>
        <xdr:spPr>
          <a:xfrm>
            <a:off x="6238875" y="2609850"/>
            <a:ext cx="101600" cy="95250"/>
          </a:xfrm>
          <a:prstGeom prst="ellips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  <xdr:sp macro="" textlink="">
        <xdr:nvSpPr>
          <xdr:cNvPr id="48" name="Ellipse 47">
            <a:extLst>
              <a:ext uri="{FF2B5EF4-FFF2-40B4-BE49-F238E27FC236}">
                <a16:creationId xmlns:a16="http://schemas.microsoft.com/office/drawing/2014/main" id="{6AABA76A-D0B3-E34E-16BA-F4EB7DC9B6BE}"/>
              </a:ext>
            </a:extLst>
          </xdr:cNvPr>
          <xdr:cNvSpPr/>
        </xdr:nvSpPr>
        <xdr:spPr>
          <a:xfrm>
            <a:off x="6731000" y="2616200"/>
            <a:ext cx="104775" cy="95250"/>
          </a:xfrm>
          <a:prstGeom prst="ellips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</xdr:grpSp>
    <xdr:clientData/>
  </xdr:twoCellAnchor>
  <xdr:twoCellAnchor>
    <xdr:from>
      <xdr:col>6</xdr:col>
      <xdr:colOff>920750</xdr:colOff>
      <xdr:row>8</xdr:row>
      <xdr:rowOff>409575</xdr:rowOff>
    </xdr:from>
    <xdr:to>
      <xdr:col>6</xdr:col>
      <xdr:colOff>1200150</xdr:colOff>
      <xdr:row>8</xdr:row>
      <xdr:rowOff>1009650</xdr:rowOff>
    </xdr:to>
    <xdr:grpSp>
      <xdr:nvGrpSpPr>
        <xdr:cNvPr id="49" name="Gruppieren 48">
          <a:extLst>
            <a:ext uri="{FF2B5EF4-FFF2-40B4-BE49-F238E27FC236}">
              <a16:creationId xmlns:a16="http://schemas.microsoft.com/office/drawing/2014/main" id="{F86D01B3-AFF4-463F-BB5A-1F09531695C9}"/>
            </a:ext>
          </a:extLst>
        </xdr:cNvPr>
        <xdr:cNvGrpSpPr/>
      </xdr:nvGrpSpPr>
      <xdr:grpSpPr>
        <a:xfrm rot="7823849">
          <a:off x="7684673" y="3046413"/>
          <a:ext cx="600075" cy="279400"/>
          <a:chOff x="6734175" y="3581400"/>
          <a:chExt cx="596900" cy="276225"/>
        </a:xfrm>
      </xdr:grpSpPr>
      <xdr:sp macro="" textlink="">
        <xdr:nvSpPr>
          <xdr:cNvPr id="50" name="Ellipse 49">
            <a:extLst>
              <a:ext uri="{FF2B5EF4-FFF2-40B4-BE49-F238E27FC236}">
                <a16:creationId xmlns:a16="http://schemas.microsoft.com/office/drawing/2014/main" id="{92B0E9D1-D190-1599-607A-4A262B58801E}"/>
              </a:ext>
            </a:extLst>
          </xdr:cNvPr>
          <xdr:cNvSpPr/>
        </xdr:nvSpPr>
        <xdr:spPr>
          <a:xfrm>
            <a:off x="6978650" y="3762375"/>
            <a:ext cx="104775" cy="95250"/>
          </a:xfrm>
          <a:prstGeom prst="ellips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  <xdr:sp macro="" textlink="">
        <xdr:nvSpPr>
          <xdr:cNvPr id="51" name="Ellipse 50">
            <a:extLst>
              <a:ext uri="{FF2B5EF4-FFF2-40B4-BE49-F238E27FC236}">
                <a16:creationId xmlns:a16="http://schemas.microsoft.com/office/drawing/2014/main" id="{0AB70C31-1C9F-C42C-9D33-9D70A7DA8BCA}"/>
              </a:ext>
            </a:extLst>
          </xdr:cNvPr>
          <xdr:cNvSpPr/>
        </xdr:nvSpPr>
        <xdr:spPr>
          <a:xfrm>
            <a:off x="6734175" y="3581400"/>
            <a:ext cx="101600" cy="95250"/>
          </a:xfrm>
          <a:prstGeom prst="ellips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  <xdr:sp macro="" textlink="">
        <xdr:nvSpPr>
          <xdr:cNvPr id="52" name="Ellipse 51">
            <a:extLst>
              <a:ext uri="{FF2B5EF4-FFF2-40B4-BE49-F238E27FC236}">
                <a16:creationId xmlns:a16="http://schemas.microsoft.com/office/drawing/2014/main" id="{BB8A55C3-806E-BB87-4CF6-24289B00B5A2}"/>
              </a:ext>
            </a:extLst>
          </xdr:cNvPr>
          <xdr:cNvSpPr/>
        </xdr:nvSpPr>
        <xdr:spPr>
          <a:xfrm>
            <a:off x="7226300" y="3587750"/>
            <a:ext cx="104775" cy="95250"/>
          </a:xfrm>
          <a:prstGeom prst="ellips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</xdr:grpSp>
    <xdr:clientData/>
  </xdr:twoCellAnchor>
  <xdr:twoCellAnchor>
    <xdr:from>
      <xdr:col>6</xdr:col>
      <xdr:colOff>84137</xdr:colOff>
      <xdr:row>8</xdr:row>
      <xdr:rowOff>579437</xdr:rowOff>
    </xdr:from>
    <xdr:to>
      <xdr:col>6</xdr:col>
      <xdr:colOff>687387</xdr:colOff>
      <xdr:row>8</xdr:row>
      <xdr:rowOff>868362</xdr:rowOff>
    </xdr:to>
    <xdr:grpSp>
      <xdr:nvGrpSpPr>
        <xdr:cNvPr id="53" name="Gruppieren 52">
          <a:extLst>
            <a:ext uri="{FF2B5EF4-FFF2-40B4-BE49-F238E27FC236}">
              <a16:creationId xmlns:a16="http://schemas.microsoft.com/office/drawing/2014/main" id="{CA26969F-8AC0-4E57-9F16-AFE27E424E1C}"/>
            </a:ext>
          </a:extLst>
        </xdr:cNvPr>
        <xdr:cNvGrpSpPr/>
      </xdr:nvGrpSpPr>
      <xdr:grpSpPr>
        <a:xfrm rot="13412045">
          <a:off x="7008398" y="3055937"/>
          <a:ext cx="603250" cy="288925"/>
          <a:chOff x="6734175" y="3581400"/>
          <a:chExt cx="596900" cy="276225"/>
        </a:xfrm>
      </xdr:grpSpPr>
      <xdr:sp macro="" textlink="">
        <xdr:nvSpPr>
          <xdr:cNvPr id="54" name="Ellipse 53">
            <a:extLst>
              <a:ext uri="{FF2B5EF4-FFF2-40B4-BE49-F238E27FC236}">
                <a16:creationId xmlns:a16="http://schemas.microsoft.com/office/drawing/2014/main" id="{1C09DD68-08B7-2C28-9B70-A84EBEC6DFE8}"/>
              </a:ext>
            </a:extLst>
          </xdr:cNvPr>
          <xdr:cNvSpPr/>
        </xdr:nvSpPr>
        <xdr:spPr>
          <a:xfrm>
            <a:off x="6978650" y="3762375"/>
            <a:ext cx="104775" cy="95250"/>
          </a:xfrm>
          <a:prstGeom prst="ellips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  <xdr:sp macro="" textlink="">
        <xdr:nvSpPr>
          <xdr:cNvPr id="55" name="Ellipse 54">
            <a:extLst>
              <a:ext uri="{FF2B5EF4-FFF2-40B4-BE49-F238E27FC236}">
                <a16:creationId xmlns:a16="http://schemas.microsoft.com/office/drawing/2014/main" id="{A9EF221F-2A3D-DAF5-601F-7320FB438589}"/>
              </a:ext>
            </a:extLst>
          </xdr:cNvPr>
          <xdr:cNvSpPr/>
        </xdr:nvSpPr>
        <xdr:spPr>
          <a:xfrm>
            <a:off x="6734175" y="3581400"/>
            <a:ext cx="101600" cy="95250"/>
          </a:xfrm>
          <a:prstGeom prst="ellips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  <xdr:sp macro="" textlink="">
        <xdr:nvSpPr>
          <xdr:cNvPr id="56" name="Ellipse 55">
            <a:extLst>
              <a:ext uri="{FF2B5EF4-FFF2-40B4-BE49-F238E27FC236}">
                <a16:creationId xmlns:a16="http://schemas.microsoft.com/office/drawing/2014/main" id="{5F71F3A3-5A9C-B04A-153F-B6EAD3903182}"/>
              </a:ext>
            </a:extLst>
          </xdr:cNvPr>
          <xdr:cNvSpPr/>
        </xdr:nvSpPr>
        <xdr:spPr>
          <a:xfrm>
            <a:off x="7226300" y="3587750"/>
            <a:ext cx="104775" cy="95250"/>
          </a:xfrm>
          <a:prstGeom prst="ellips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</xdr:grpSp>
    <xdr:clientData/>
  </xdr:twoCellAnchor>
  <xdr:twoCellAnchor>
    <xdr:from>
      <xdr:col>7</xdr:col>
      <xdr:colOff>228600</xdr:colOff>
      <xdr:row>8</xdr:row>
      <xdr:rowOff>542924</xdr:rowOff>
    </xdr:from>
    <xdr:to>
      <xdr:col>7</xdr:col>
      <xdr:colOff>657225</xdr:colOff>
      <xdr:row>8</xdr:row>
      <xdr:rowOff>634999</xdr:rowOff>
    </xdr:to>
    <xdr:grpSp>
      <xdr:nvGrpSpPr>
        <xdr:cNvPr id="63" name="Gruppieren 62">
          <a:extLst>
            <a:ext uri="{FF2B5EF4-FFF2-40B4-BE49-F238E27FC236}">
              <a16:creationId xmlns:a16="http://schemas.microsoft.com/office/drawing/2014/main" id="{F4A489C2-C712-1B1B-23A3-5BF8F876C601}"/>
            </a:ext>
          </a:extLst>
        </xdr:cNvPr>
        <xdr:cNvGrpSpPr/>
      </xdr:nvGrpSpPr>
      <xdr:grpSpPr>
        <a:xfrm>
          <a:off x="8502926" y="3019424"/>
          <a:ext cx="409575" cy="92075"/>
          <a:chOff x="8848725" y="2895600"/>
          <a:chExt cx="1130300" cy="161925"/>
        </a:xfrm>
      </xdr:grpSpPr>
      <xdr:cxnSp macro="">
        <xdr:nvCxnSpPr>
          <xdr:cNvPr id="58" name="Gerader Verbinder 57">
            <a:extLst>
              <a:ext uri="{FF2B5EF4-FFF2-40B4-BE49-F238E27FC236}">
                <a16:creationId xmlns:a16="http://schemas.microsoft.com/office/drawing/2014/main" id="{9F3218A7-94D8-7831-28D8-A96DD9F19682}"/>
              </a:ext>
            </a:extLst>
          </xdr:cNvPr>
          <xdr:cNvCxnSpPr/>
        </xdr:nvCxnSpPr>
        <xdr:spPr>
          <a:xfrm>
            <a:off x="8848725" y="3054350"/>
            <a:ext cx="409575" cy="0"/>
          </a:xfrm>
          <a:prstGeom prst="line">
            <a:avLst/>
          </a:prstGeom>
          <a:ln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9" name="Gerader Verbinder 58">
            <a:extLst>
              <a:ext uri="{FF2B5EF4-FFF2-40B4-BE49-F238E27FC236}">
                <a16:creationId xmlns:a16="http://schemas.microsoft.com/office/drawing/2014/main" id="{AD770260-0FB0-B372-6901-FD17FF8736C9}"/>
              </a:ext>
            </a:extLst>
          </xdr:cNvPr>
          <xdr:cNvCxnSpPr/>
        </xdr:nvCxnSpPr>
        <xdr:spPr>
          <a:xfrm>
            <a:off x="9572625" y="3057525"/>
            <a:ext cx="406400" cy="0"/>
          </a:xfrm>
          <a:prstGeom prst="line">
            <a:avLst/>
          </a:prstGeom>
          <a:ln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0" name="Gerader Verbinder 59">
            <a:extLst>
              <a:ext uri="{FF2B5EF4-FFF2-40B4-BE49-F238E27FC236}">
                <a16:creationId xmlns:a16="http://schemas.microsoft.com/office/drawing/2014/main" id="{D793B180-00FA-7846-6A13-7A63BC8C9EEF}"/>
              </a:ext>
            </a:extLst>
          </xdr:cNvPr>
          <xdr:cNvCxnSpPr/>
        </xdr:nvCxnSpPr>
        <xdr:spPr>
          <a:xfrm flipV="1">
            <a:off x="9258300" y="2895600"/>
            <a:ext cx="314325" cy="161925"/>
          </a:xfrm>
          <a:prstGeom prst="line">
            <a:avLst/>
          </a:prstGeom>
          <a:ln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1162212</xdr:colOff>
      <xdr:row>8</xdr:row>
      <xdr:rowOff>640340</xdr:rowOff>
    </xdr:from>
    <xdr:to>
      <xdr:col>6</xdr:col>
      <xdr:colOff>1217286</xdr:colOff>
      <xdr:row>8</xdr:row>
      <xdr:rowOff>1020672</xdr:rowOff>
    </xdr:to>
    <xdr:grpSp>
      <xdr:nvGrpSpPr>
        <xdr:cNvPr id="64" name="Gruppieren 63">
          <a:extLst>
            <a:ext uri="{FF2B5EF4-FFF2-40B4-BE49-F238E27FC236}">
              <a16:creationId xmlns:a16="http://schemas.microsoft.com/office/drawing/2014/main" id="{8AF3AFFB-4264-527C-FB9C-D914B2E04D70}"/>
            </a:ext>
          </a:extLst>
        </xdr:cNvPr>
        <xdr:cNvGrpSpPr/>
      </xdr:nvGrpSpPr>
      <xdr:grpSpPr>
        <a:xfrm rot="18546573">
          <a:off x="7923844" y="3279469"/>
          <a:ext cx="380332" cy="55074"/>
          <a:chOff x="8848725" y="2895600"/>
          <a:chExt cx="1130300" cy="161925"/>
        </a:xfrm>
      </xdr:grpSpPr>
      <xdr:cxnSp macro="">
        <xdr:nvCxnSpPr>
          <xdr:cNvPr id="65" name="Gerader Verbinder 64">
            <a:extLst>
              <a:ext uri="{FF2B5EF4-FFF2-40B4-BE49-F238E27FC236}">
                <a16:creationId xmlns:a16="http://schemas.microsoft.com/office/drawing/2014/main" id="{0BBC2493-8D9E-849F-6B0C-99F5C0378C10}"/>
              </a:ext>
            </a:extLst>
          </xdr:cNvPr>
          <xdr:cNvCxnSpPr/>
        </xdr:nvCxnSpPr>
        <xdr:spPr>
          <a:xfrm>
            <a:off x="8848725" y="3054350"/>
            <a:ext cx="409575" cy="0"/>
          </a:xfrm>
          <a:prstGeom prst="line">
            <a:avLst/>
          </a:prstGeom>
          <a:ln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6" name="Gerader Verbinder 65">
            <a:extLst>
              <a:ext uri="{FF2B5EF4-FFF2-40B4-BE49-F238E27FC236}">
                <a16:creationId xmlns:a16="http://schemas.microsoft.com/office/drawing/2014/main" id="{9A712855-7F54-13B1-DA05-F672CABF5453}"/>
              </a:ext>
            </a:extLst>
          </xdr:cNvPr>
          <xdr:cNvCxnSpPr/>
        </xdr:nvCxnSpPr>
        <xdr:spPr>
          <a:xfrm>
            <a:off x="9572625" y="3057525"/>
            <a:ext cx="406400" cy="0"/>
          </a:xfrm>
          <a:prstGeom prst="line">
            <a:avLst/>
          </a:prstGeom>
          <a:ln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7" name="Gerader Verbinder 66">
            <a:extLst>
              <a:ext uri="{FF2B5EF4-FFF2-40B4-BE49-F238E27FC236}">
                <a16:creationId xmlns:a16="http://schemas.microsoft.com/office/drawing/2014/main" id="{AF9D45AF-48F4-F889-9166-AE187342A45E}"/>
              </a:ext>
            </a:extLst>
          </xdr:cNvPr>
          <xdr:cNvCxnSpPr/>
        </xdr:nvCxnSpPr>
        <xdr:spPr>
          <a:xfrm flipV="1">
            <a:off x="9258300" y="2895600"/>
            <a:ext cx="314325" cy="161925"/>
          </a:xfrm>
          <a:prstGeom prst="line">
            <a:avLst/>
          </a:prstGeom>
          <a:ln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238125</xdr:colOff>
      <xdr:row>12</xdr:row>
      <xdr:rowOff>171449</xdr:rowOff>
    </xdr:from>
    <xdr:to>
      <xdr:col>4</xdr:col>
      <xdr:colOff>1219200</xdr:colOff>
      <xdr:row>12</xdr:row>
      <xdr:rowOff>1003299</xdr:rowOff>
    </xdr:to>
    <xdr:sp macro="" textlink="">
      <xdr:nvSpPr>
        <xdr:cNvPr id="68" name="Rechteck 67">
          <a:extLst>
            <a:ext uri="{FF2B5EF4-FFF2-40B4-BE49-F238E27FC236}">
              <a16:creationId xmlns:a16="http://schemas.microsoft.com/office/drawing/2014/main" id="{7B377AA1-727B-4376-AA35-2EC6060C5A69}"/>
            </a:ext>
          </a:extLst>
        </xdr:cNvPr>
        <xdr:cNvSpPr/>
      </xdr:nvSpPr>
      <xdr:spPr>
        <a:xfrm>
          <a:off x="3178175" y="1438274"/>
          <a:ext cx="984250" cy="828675"/>
        </a:xfrm>
        <a:prstGeom prst="rect">
          <a:avLst/>
        </a:prstGeom>
        <a:noFill/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4</xdr:col>
      <xdr:colOff>676275</xdr:colOff>
      <xdr:row>13</xdr:row>
      <xdr:rowOff>723900</xdr:rowOff>
    </xdr:from>
    <xdr:to>
      <xdr:col>4</xdr:col>
      <xdr:colOff>781050</xdr:colOff>
      <xdr:row>13</xdr:row>
      <xdr:rowOff>819150</xdr:rowOff>
    </xdr:to>
    <xdr:sp macro="" textlink="">
      <xdr:nvSpPr>
        <xdr:cNvPr id="69" name="Ellipse 68">
          <a:extLst>
            <a:ext uri="{FF2B5EF4-FFF2-40B4-BE49-F238E27FC236}">
              <a16:creationId xmlns:a16="http://schemas.microsoft.com/office/drawing/2014/main" id="{82BA4A68-410F-4CB7-B826-47BACB54263F}"/>
            </a:ext>
          </a:extLst>
        </xdr:cNvPr>
        <xdr:cNvSpPr/>
      </xdr:nvSpPr>
      <xdr:spPr>
        <a:xfrm>
          <a:off x="3616325" y="3143250"/>
          <a:ext cx="107950" cy="9525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4</xdr:col>
      <xdr:colOff>425450</xdr:colOff>
      <xdr:row>13</xdr:row>
      <xdr:rowOff>542925</xdr:rowOff>
    </xdr:from>
    <xdr:to>
      <xdr:col>4</xdr:col>
      <xdr:colOff>533400</xdr:colOff>
      <xdr:row>13</xdr:row>
      <xdr:rowOff>638175</xdr:rowOff>
    </xdr:to>
    <xdr:sp macro="" textlink="">
      <xdr:nvSpPr>
        <xdr:cNvPr id="70" name="Ellipse 69">
          <a:extLst>
            <a:ext uri="{FF2B5EF4-FFF2-40B4-BE49-F238E27FC236}">
              <a16:creationId xmlns:a16="http://schemas.microsoft.com/office/drawing/2014/main" id="{568F7C01-460E-464E-97C2-8CA2A97079C2}"/>
            </a:ext>
          </a:extLst>
        </xdr:cNvPr>
        <xdr:cNvSpPr/>
      </xdr:nvSpPr>
      <xdr:spPr>
        <a:xfrm>
          <a:off x="3371850" y="2959100"/>
          <a:ext cx="104775" cy="9525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4</xdr:col>
      <xdr:colOff>923925</xdr:colOff>
      <xdr:row>13</xdr:row>
      <xdr:rowOff>549275</xdr:rowOff>
    </xdr:from>
    <xdr:to>
      <xdr:col>4</xdr:col>
      <xdr:colOff>1028700</xdr:colOff>
      <xdr:row>13</xdr:row>
      <xdr:rowOff>644525</xdr:rowOff>
    </xdr:to>
    <xdr:sp macro="" textlink="">
      <xdr:nvSpPr>
        <xdr:cNvPr id="71" name="Ellipse 70">
          <a:extLst>
            <a:ext uri="{FF2B5EF4-FFF2-40B4-BE49-F238E27FC236}">
              <a16:creationId xmlns:a16="http://schemas.microsoft.com/office/drawing/2014/main" id="{F65DB80B-6EE9-41D5-9348-4753EF8436E2}"/>
            </a:ext>
          </a:extLst>
        </xdr:cNvPr>
        <xdr:cNvSpPr/>
      </xdr:nvSpPr>
      <xdr:spPr>
        <a:xfrm>
          <a:off x="3863975" y="2968625"/>
          <a:ext cx="107950" cy="9525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oneCellAnchor>
    <xdr:from>
      <xdr:col>4</xdr:col>
      <xdr:colOff>523875</xdr:colOff>
      <xdr:row>12</xdr:row>
      <xdr:rowOff>377825</xdr:rowOff>
    </xdr:from>
    <xdr:ext cx="407740" cy="374141"/>
    <xdr:sp macro="" textlink="">
      <xdr:nvSpPr>
        <xdr:cNvPr id="72" name="Textfeld 71">
          <a:extLst>
            <a:ext uri="{FF2B5EF4-FFF2-40B4-BE49-F238E27FC236}">
              <a16:creationId xmlns:a16="http://schemas.microsoft.com/office/drawing/2014/main" id="{E6FCC766-B769-563B-22A9-7DCDC84B7408}"/>
            </a:ext>
          </a:extLst>
        </xdr:cNvPr>
        <xdr:cNvSpPr txBox="1"/>
      </xdr:nvSpPr>
      <xdr:spPr>
        <a:xfrm>
          <a:off x="4886325" y="5654675"/>
          <a:ext cx="407740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de-CH" sz="1800"/>
            <a:t>S3</a:t>
          </a:r>
        </a:p>
      </xdr:txBody>
    </xdr:sp>
    <xdr:clientData/>
  </xdr:oneCellAnchor>
  <xdr:twoCellAnchor>
    <xdr:from>
      <xdr:col>6</xdr:col>
      <xdr:colOff>133351</xdr:colOff>
      <xdr:row>12</xdr:row>
      <xdr:rowOff>133349</xdr:rowOff>
    </xdr:from>
    <xdr:to>
      <xdr:col>6</xdr:col>
      <xdr:colOff>1285876</xdr:colOff>
      <xdr:row>12</xdr:row>
      <xdr:rowOff>965199</xdr:rowOff>
    </xdr:to>
    <xdr:sp macro="" textlink="">
      <xdr:nvSpPr>
        <xdr:cNvPr id="73" name="Rechteck 72">
          <a:extLst>
            <a:ext uri="{FF2B5EF4-FFF2-40B4-BE49-F238E27FC236}">
              <a16:creationId xmlns:a16="http://schemas.microsoft.com/office/drawing/2014/main" id="{68C4C28D-4D49-4598-A726-F13DB774A732}"/>
            </a:ext>
          </a:extLst>
        </xdr:cNvPr>
        <xdr:cNvSpPr/>
      </xdr:nvSpPr>
      <xdr:spPr>
        <a:xfrm>
          <a:off x="7334251" y="5410199"/>
          <a:ext cx="1152525" cy="831850"/>
        </a:xfrm>
        <a:prstGeom prst="rect">
          <a:avLst/>
        </a:prstGeom>
        <a:noFill/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6</xdr:col>
      <xdr:colOff>708026</xdr:colOff>
      <xdr:row>12</xdr:row>
      <xdr:rowOff>133349</xdr:rowOff>
    </xdr:from>
    <xdr:to>
      <xdr:col>6</xdr:col>
      <xdr:colOff>708026</xdr:colOff>
      <xdr:row>12</xdr:row>
      <xdr:rowOff>962024</xdr:rowOff>
    </xdr:to>
    <xdr:cxnSp macro="">
      <xdr:nvCxnSpPr>
        <xdr:cNvPr id="74" name="Gerader Verbinder 73">
          <a:extLst>
            <a:ext uri="{FF2B5EF4-FFF2-40B4-BE49-F238E27FC236}">
              <a16:creationId xmlns:a16="http://schemas.microsoft.com/office/drawing/2014/main" id="{D9A86C45-C08B-4F72-9B2C-56A95A4B6995}"/>
            </a:ext>
          </a:extLst>
        </xdr:cNvPr>
        <xdr:cNvCxnSpPr>
          <a:stCxn id="73" idx="0"/>
          <a:endCxn id="73" idx="2"/>
        </xdr:cNvCxnSpPr>
      </xdr:nvCxnSpPr>
      <xdr:spPr>
        <a:xfrm>
          <a:off x="7908926" y="5410199"/>
          <a:ext cx="0" cy="828675"/>
        </a:xfrm>
        <a:prstGeom prst="line">
          <a:avLst/>
        </a:prstGeom>
        <a:ln>
          <a:solidFill>
            <a:schemeClr val="tx1">
              <a:lumMod val="95000"/>
              <a:lumOff val="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676275</xdr:colOff>
      <xdr:row>13</xdr:row>
      <xdr:rowOff>723900</xdr:rowOff>
    </xdr:from>
    <xdr:to>
      <xdr:col>6</xdr:col>
      <xdr:colOff>781050</xdr:colOff>
      <xdr:row>13</xdr:row>
      <xdr:rowOff>819150</xdr:rowOff>
    </xdr:to>
    <xdr:sp macro="" textlink="">
      <xdr:nvSpPr>
        <xdr:cNvPr id="75" name="Ellipse 74">
          <a:extLst>
            <a:ext uri="{FF2B5EF4-FFF2-40B4-BE49-F238E27FC236}">
              <a16:creationId xmlns:a16="http://schemas.microsoft.com/office/drawing/2014/main" id="{B8641F9D-961D-4483-B104-222CDFA9232D}"/>
            </a:ext>
          </a:extLst>
        </xdr:cNvPr>
        <xdr:cNvSpPr/>
      </xdr:nvSpPr>
      <xdr:spPr>
        <a:xfrm>
          <a:off x="3616325" y="3143250"/>
          <a:ext cx="107950" cy="9525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6</xdr:col>
      <xdr:colOff>425450</xdr:colOff>
      <xdr:row>13</xdr:row>
      <xdr:rowOff>542925</xdr:rowOff>
    </xdr:from>
    <xdr:to>
      <xdr:col>6</xdr:col>
      <xdr:colOff>533400</xdr:colOff>
      <xdr:row>13</xdr:row>
      <xdr:rowOff>638175</xdr:rowOff>
    </xdr:to>
    <xdr:sp macro="" textlink="">
      <xdr:nvSpPr>
        <xdr:cNvPr id="76" name="Ellipse 75">
          <a:extLst>
            <a:ext uri="{FF2B5EF4-FFF2-40B4-BE49-F238E27FC236}">
              <a16:creationId xmlns:a16="http://schemas.microsoft.com/office/drawing/2014/main" id="{952BDC79-0752-4100-ADC4-4DB2AC4177D1}"/>
            </a:ext>
          </a:extLst>
        </xdr:cNvPr>
        <xdr:cNvSpPr/>
      </xdr:nvSpPr>
      <xdr:spPr>
        <a:xfrm>
          <a:off x="3371850" y="2959100"/>
          <a:ext cx="104775" cy="9525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6</xdr:col>
      <xdr:colOff>923925</xdr:colOff>
      <xdr:row>13</xdr:row>
      <xdr:rowOff>549275</xdr:rowOff>
    </xdr:from>
    <xdr:to>
      <xdr:col>6</xdr:col>
      <xdr:colOff>1028700</xdr:colOff>
      <xdr:row>13</xdr:row>
      <xdr:rowOff>644525</xdr:rowOff>
    </xdr:to>
    <xdr:sp macro="" textlink="">
      <xdr:nvSpPr>
        <xdr:cNvPr id="77" name="Ellipse 76">
          <a:extLst>
            <a:ext uri="{FF2B5EF4-FFF2-40B4-BE49-F238E27FC236}">
              <a16:creationId xmlns:a16="http://schemas.microsoft.com/office/drawing/2014/main" id="{6B06204A-8244-4AC1-9AD0-AF346716212C}"/>
            </a:ext>
          </a:extLst>
        </xdr:cNvPr>
        <xdr:cNvSpPr/>
      </xdr:nvSpPr>
      <xdr:spPr>
        <a:xfrm>
          <a:off x="3863975" y="2968625"/>
          <a:ext cx="107950" cy="9525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oneCellAnchor>
    <xdr:from>
      <xdr:col>6</xdr:col>
      <xdr:colOff>228600</xdr:colOff>
      <xdr:row>12</xdr:row>
      <xdr:rowOff>352425</xdr:rowOff>
    </xdr:from>
    <xdr:ext cx="407740" cy="374141"/>
    <xdr:sp macro="" textlink="">
      <xdr:nvSpPr>
        <xdr:cNvPr id="78" name="Textfeld 77">
          <a:extLst>
            <a:ext uri="{FF2B5EF4-FFF2-40B4-BE49-F238E27FC236}">
              <a16:creationId xmlns:a16="http://schemas.microsoft.com/office/drawing/2014/main" id="{C498327D-B1EB-21A4-2EB3-53D643D5DC86}"/>
            </a:ext>
          </a:extLst>
        </xdr:cNvPr>
        <xdr:cNvSpPr txBox="1"/>
      </xdr:nvSpPr>
      <xdr:spPr>
        <a:xfrm>
          <a:off x="7429500" y="5629275"/>
          <a:ext cx="407740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de-CH" sz="1800"/>
            <a:t>S3</a:t>
          </a:r>
        </a:p>
      </xdr:txBody>
    </xdr:sp>
    <xdr:clientData/>
  </xdr:oneCellAnchor>
  <xdr:oneCellAnchor>
    <xdr:from>
      <xdr:col>6</xdr:col>
      <xdr:colOff>790575</xdr:colOff>
      <xdr:row>12</xdr:row>
      <xdr:rowOff>358775</xdr:rowOff>
    </xdr:from>
    <xdr:ext cx="407740" cy="374141"/>
    <xdr:sp macro="" textlink="">
      <xdr:nvSpPr>
        <xdr:cNvPr id="79" name="Textfeld 78">
          <a:extLst>
            <a:ext uri="{FF2B5EF4-FFF2-40B4-BE49-F238E27FC236}">
              <a16:creationId xmlns:a16="http://schemas.microsoft.com/office/drawing/2014/main" id="{209D9190-27A4-AF3D-E8BB-A7A2F97C4018}"/>
            </a:ext>
          </a:extLst>
        </xdr:cNvPr>
        <xdr:cNvSpPr txBox="1"/>
      </xdr:nvSpPr>
      <xdr:spPr>
        <a:xfrm>
          <a:off x="7991475" y="5635625"/>
          <a:ext cx="407740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de-CH" sz="1800"/>
            <a:t>S3</a:t>
          </a:r>
        </a:p>
      </xdr:txBody>
    </xdr:sp>
    <xdr:clientData/>
  </xdr:oneCellAnchor>
  <xdr:twoCellAnchor>
    <xdr:from>
      <xdr:col>8</xdr:col>
      <xdr:colOff>457200</xdr:colOff>
      <xdr:row>12</xdr:row>
      <xdr:rowOff>190500</xdr:rowOff>
    </xdr:from>
    <xdr:to>
      <xdr:col>8</xdr:col>
      <xdr:colOff>1054100</xdr:colOff>
      <xdr:row>12</xdr:row>
      <xdr:rowOff>466725</xdr:rowOff>
    </xdr:to>
    <xdr:grpSp>
      <xdr:nvGrpSpPr>
        <xdr:cNvPr id="80" name="Gruppieren 79">
          <a:extLst>
            <a:ext uri="{FF2B5EF4-FFF2-40B4-BE49-F238E27FC236}">
              <a16:creationId xmlns:a16="http://schemas.microsoft.com/office/drawing/2014/main" id="{5F5B6607-9824-4722-930C-6A6B00960D27}"/>
            </a:ext>
          </a:extLst>
        </xdr:cNvPr>
        <xdr:cNvGrpSpPr/>
      </xdr:nvGrpSpPr>
      <xdr:grpSpPr>
        <a:xfrm>
          <a:off x="9369287" y="5491370"/>
          <a:ext cx="596900" cy="276225"/>
          <a:chOff x="6238875" y="2609850"/>
          <a:chExt cx="596900" cy="276225"/>
        </a:xfrm>
      </xdr:grpSpPr>
      <xdr:sp macro="" textlink="">
        <xdr:nvSpPr>
          <xdr:cNvPr id="81" name="Ellipse 80">
            <a:extLst>
              <a:ext uri="{FF2B5EF4-FFF2-40B4-BE49-F238E27FC236}">
                <a16:creationId xmlns:a16="http://schemas.microsoft.com/office/drawing/2014/main" id="{6C9593B7-A68B-A93D-2CDD-2FC927581B94}"/>
              </a:ext>
            </a:extLst>
          </xdr:cNvPr>
          <xdr:cNvSpPr/>
        </xdr:nvSpPr>
        <xdr:spPr>
          <a:xfrm>
            <a:off x="6483350" y="2790825"/>
            <a:ext cx="104775" cy="95250"/>
          </a:xfrm>
          <a:prstGeom prst="ellips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  <xdr:sp macro="" textlink="">
        <xdr:nvSpPr>
          <xdr:cNvPr id="82" name="Ellipse 81">
            <a:extLst>
              <a:ext uri="{FF2B5EF4-FFF2-40B4-BE49-F238E27FC236}">
                <a16:creationId xmlns:a16="http://schemas.microsoft.com/office/drawing/2014/main" id="{96E4F5F6-9A08-494A-7B71-9B1F6E015D72}"/>
              </a:ext>
            </a:extLst>
          </xdr:cNvPr>
          <xdr:cNvSpPr/>
        </xdr:nvSpPr>
        <xdr:spPr>
          <a:xfrm>
            <a:off x="6238875" y="2609850"/>
            <a:ext cx="101600" cy="95250"/>
          </a:xfrm>
          <a:prstGeom prst="ellips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  <xdr:sp macro="" textlink="">
        <xdr:nvSpPr>
          <xdr:cNvPr id="83" name="Ellipse 82">
            <a:extLst>
              <a:ext uri="{FF2B5EF4-FFF2-40B4-BE49-F238E27FC236}">
                <a16:creationId xmlns:a16="http://schemas.microsoft.com/office/drawing/2014/main" id="{4873B364-066E-DB25-53CA-4E7812D57E02}"/>
              </a:ext>
            </a:extLst>
          </xdr:cNvPr>
          <xdr:cNvSpPr/>
        </xdr:nvSpPr>
        <xdr:spPr>
          <a:xfrm>
            <a:off x="6731000" y="2616200"/>
            <a:ext cx="104775" cy="95250"/>
          </a:xfrm>
          <a:prstGeom prst="ellips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</xdr:grpSp>
    <xdr:clientData/>
  </xdr:twoCellAnchor>
  <xdr:twoCellAnchor>
    <xdr:from>
      <xdr:col>8</xdr:col>
      <xdr:colOff>923925</xdr:colOff>
      <xdr:row>12</xdr:row>
      <xdr:rowOff>406400</xdr:rowOff>
    </xdr:from>
    <xdr:to>
      <xdr:col>8</xdr:col>
      <xdr:colOff>1200150</xdr:colOff>
      <xdr:row>12</xdr:row>
      <xdr:rowOff>1009650</xdr:rowOff>
    </xdr:to>
    <xdr:grpSp>
      <xdr:nvGrpSpPr>
        <xdr:cNvPr id="84" name="Gruppieren 83">
          <a:extLst>
            <a:ext uri="{FF2B5EF4-FFF2-40B4-BE49-F238E27FC236}">
              <a16:creationId xmlns:a16="http://schemas.microsoft.com/office/drawing/2014/main" id="{AEAA5628-3006-417E-A839-991457C2A25D}"/>
            </a:ext>
          </a:extLst>
        </xdr:cNvPr>
        <xdr:cNvGrpSpPr/>
      </xdr:nvGrpSpPr>
      <xdr:grpSpPr>
        <a:xfrm rot="7823849">
          <a:off x="9672500" y="5870782"/>
          <a:ext cx="603250" cy="276225"/>
          <a:chOff x="6734175" y="3581400"/>
          <a:chExt cx="596900" cy="276225"/>
        </a:xfrm>
      </xdr:grpSpPr>
      <xdr:sp macro="" textlink="">
        <xdr:nvSpPr>
          <xdr:cNvPr id="85" name="Ellipse 84">
            <a:extLst>
              <a:ext uri="{FF2B5EF4-FFF2-40B4-BE49-F238E27FC236}">
                <a16:creationId xmlns:a16="http://schemas.microsoft.com/office/drawing/2014/main" id="{DF0DF01D-1415-9BAC-DAF6-343F4CE87CDA}"/>
              </a:ext>
            </a:extLst>
          </xdr:cNvPr>
          <xdr:cNvSpPr/>
        </xdr:nvSpPr>
        <xdr:spPr>
          <a:xfrm>
            <a:off x="6978650" y="3762375"/>
            <a:ext cx="104775" cy="95250"/>
          </a:xfrm>
          <a:prstGeom prst="ellips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  <xdr:sp macro="" textlink="">
        <xdr:nvSpPr>
          <xdr:cNvPr id="86" name="Ellipse 85">
            <a:extLst>
              <a:ext uri="{FF2B5EF4-FFF2-40B4-BE49-F238E27FC236}">
                <a16:creationId xmlns:a16="http://schemas.microsoft.com/office/drawing/2014/main" id="{733D7A6F-2437-E098-9EDB-AE06E6970BB3}"/>
              </a:ext>
            </a:extLst>
          </xdr:cNvPr>
          <xdr:cNvSpPr/>
        </xdr:nvSpPr>
        <xdr:spPr>
          <a:xfrm>
            <a:off x="6734175" y="3581400"/>
            <a:ext cx="101600" cy="95250"/>
          </a:xfrm>
          <a:prstGeom prst="ellips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  <xdr:sp macro="" textlink="">
        <xdr:nvSpPr>
          <xdr:cNvPr id="87" name="Ellipse 86">
            <a:extLst>
              <a:ext uri="{FF2B5EF4-FFF2-40B4-BE49-F238E27FC236}">
                <a16:creationId xmlns:a16="http://schemas.microsoft.com/office/drawing/2014/main" id="{EFEED028-AE93-1284-45E1-D4ABBC9BD06A}"/>
              </a:ext>
            </a:extLst>
          </xdr:cNvPr>
          <xdr:cNvSpPr/>
        </xdr:nvSpPr>
        <xdr:spPr>
          <a:xfrm>
            <a:off x="7226300" y="3587750"/>
            <a:ext cx="104775" cy="95250"/>
          </a:xfrm>
          <a:prstGeom prst="ellips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</xdr:grpSp>
    <xdr:clientData/>
  </xdr:twoCellAnchor>
  <xdr:twoCellAnchor>
    <xdr:from>
      <xdr:col>8</xdr:col>
      <xdr:colOff>87312</xdr:colOff>
      <xdr:row>12</xdr:row>
      <xdr:rowOff>582612</xdr:rowOff>
    </xdr:from>
    <xdr:to>
      <xdr:col>8</xdr:col>
      <xdr:colOff>687387</xdr:colOff>
      <xdr:row>12</xdr:row>
      <xdr:rowOff>865187</xdr:rowOff>
    </xdr:to>
    <xdr:grpSp>
      <xdr:nvGrpSpPr>
        <xdr:cNvPr id="88" name="Gruppieren 87">
          <a:extLst>
            <a:ext uri="{FF2B5EF4-FFF2-40B4-BE49-F238E27FC236}">
              <a16:creationId xmlns:a16="http://schemas.microsoft.com/office/drawing/2014/main" id="{B10FB031-E4B3-47B0-B9CA-5A4B33A2A52C}"/>
            </a:ext>
          </a:extLst>
        </xdr:cNvPr>
        <xdr:cNvGrpSpPr/>
      </xdr:nvGrpSpPr>
      <xdr:grpSpPr>
        <a:xfrm rot="13412045">
          <a:off x="8999399" y="5883482"/>
          <a:ext cx="600075" cy="282575"/>
          <a:chOff x="6734175" y="3581400"/>
          <a:chExt cx="596900" cy="276225"/>
        </a:xfrm>
      </xdr:grpSpPr>
      <xdr:sp macro="" textlink="">
        <xdr:nvSpPr>
          <xdr:cNvPr id="89" name="Ellipse 88">
            <a:extLst>
              <a:ext uri="{FF2B5EF4-FFF2-40B4-BE49-F238E27FC236}">
                <a16:creationId xmlns:a16="http://schemas.microsoft.com/office/drawing/2014/main" id="{70A14222-3425-D72D-9BA6-7E04E71A0C59}"/>
              </a:ext>
            </a:extLst>
          </xdr:cNvPr>
          <xdr:cNvSpPr/>
        </xdr:nvSpPr>
        <xdr:spPr>
          <a:xfrm>
            <a:off x="6978650" y="3762375"/>
            <a:ext cx="104775" cy="95250"/>
          </a:xfrm>
          <a:prstGeom prst="ellips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  <xdr:sp macro="" textlink="">
        <xdr:nvSpPr>
          <xdr:cNvPr id="90" name="Ellipse 89">
            <a:extLst>
              <a:ext uri="{FF2B5EF4-FFF2-40B4-BE49-F238E27FC236}">
                <a16:creationId xmlns:a16="http://schemas.microsoft.com/office/drawing/2014/main" id="{6D5DD857-1CA0-8AC3-B134-6EB5A16A0D94}"/>
              </a:ext>
            </a:extLst>
          </xdr:cNvPr>
          <xdr:cNvSpPr/>
        </xdr:nvSpPr>
        <xdr:spPr>
          <a:xfrm>
            <a:off x="6734175" y="3581400"/>
            <a:ext cx="101600" cy="95250"/>
          </a:xfrm>
          <a:prstGeom prst="ellips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  <xdr:sp macro="" textlink="">
        <xdr:nvSpPr>
          <xdr:cNvPr id="91" name="Ellipse 90">
            <a:extLst>
              <a:ext uri="{FF2B5EF4-FFF2-40B4-BE49-F238E27FC236}">
                <a16:creationId xmlns:a16="http://schemas.microsoft.com/office/drawing/2014/main" id="{E5C612BB-F3CD-4194-BB0A-D0676EA0B43C}"/>
              </a:ext>
            </a:extLst>
          </xdr:cNvPr>
          <xdr:cNvSpPr/>
        </xdr:nvSpPr>
        <xdr:spPr>
          <a:xfrm>
            <a:off x="7226300" y="3587750"/>
            <a:ext cx="104775" cy="95250"/>
          </a:xfrm>
          <a:prstGeom prst="ellips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</xdr:grpSp>
    <xdr:clientData/>
  </xdr:twoCellAnchor>
  <xdr:twoCellAnchor>
    <xdr:from>
      <xdr:col>8</xdr:col>
      <xdr:colOff>1162212</xdr:colOff>
      <xdr:row>12</xdr:row>
      <xdr:rowOff>637165</xdr:rowOff>
    </xdr:from>
    <xdr:to>
      <xdr:col>8</xdr:col>
      <xdr:colOff>1217286</xdr:colOff>
      <xdr:row>12</xdr:row>
      <xdr:rowOff>1017497</xdr:rowOff>
    </xdr:to>
    <xdr:grpSp>
      <xdr:nvGrpSpPr>
        <xdr:cNvPr id="92" name="Gruppieren 91">
          <a:extLst>
            <a:ext uri="{FF2B5EF4-FFF2-40B4-BE49-F238E27FC236}">
              <a16:creationId xmlns:a16="http://schemas.microsoft.com/office/drawing/2014/main" id="{9B67389F-FF35-4816-B8B6-6FA5BD03745F}"/>
            </a:ext>
          </a:extLst>
        </xdr:cNvPr>
        <xdr:cNvGrpSpPr/>
      </xdr:nvGrpSpPr>
      <xdr:grpSpPr>
        <a:xfrm rot="18546573">
          <a:off x="9911670" y="6100664"/>
          <a:ext cx="380332" cy="55074"/>
          <a:chOff x="8848725" y="2895600"/>
          <a:chExt cx="1130300" cy="161925"/>
        </a:xfrm>
      </xdr:grpSpPr>
      <xdr:cxnSp macro="">
        <xdr:nvCxnSpPr>
          <xdr:cNvPr id="93" name="Gerader Verbinder 92">
            <a:extLst>
              <a:ext uri="{FF2B5EF4-FFF2-40B4-BE49-F238E27FC236}">
                <a16:creationId xmlns:a16="http://schemas.microsoft.com/office/drawing/2014/main" id="{D41991BC-5149-D7EB-2738-BC133290C66F}"/>
              </a:ext>
            </a:extLst>
          </xdr:cNvPr>
          <xdr:cNvCxnSpPr/>
        </xdr:nvCxnSpPr>
        <xdr:spPr>
          <a:xfrm>
            <a:off x="8848725" y="3054350"/>
            <a:ext cx="409575" cy="0"/>
          </a:xfrm>
          <a:prstGeom prst="line">
            <a:avLst/>
          </a:prstGeom>
          <a:ln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4" name="Gerader Verbinder 93">
            <a:extLst>
              <a:ext uri="{FF2B5EF4-FFF2-40B4-BE49-F238E27FC236}">
                <a16:creationId xmlns:a16="http://schemas.microsoft.com/office/drawing/2014/main" id="{8C647582-6F95-71AB-2558-D42991A07157}"/>
              </a:ext>
            </a:extLst>
          </xdr:cNvPr>
          <xdr:cNvCxnSpPr/>
        </xdr:nvCxnSpPr>
        <xdr:spPr>
          <a:xfrm>
            <a:off x="9572625" y="3057525"/>
            <a:ext cx="406400" cy="0"/>
          </a:xfrm>
          <a:prstGeom prst="line">
            <a:avLst/>
          </a:prstGeom>
          <a:ln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5" name="Gerader Verbinder 94">
            <a:extLst>
              <a:ext uri="{FF2B5EF4-FFF2-40B4-BE49-F238E27FC236}">
                <a16:creationId xmlns:a16="http://schemas.microsoft.com/office/drawing/2014/main" id="{3DC3179B-8A5A-7116-C0F8-9ECFB1242E60}"/>
              </a:ext>
            </a:extLst>
          </xdr:cNvPr>
          <xdr:cNvCxnSpPr/>
        </xdr:nvCxnSpPr>
        <xdr:spPr>
          <a:xfrm flipV="1">
            <a:off x="9258300" y="2895600"/>
            <a:ext cx="314325" cy="161925"/>
          </a:xfrm>
          <a:prstGeom prst="line">
            <a:avLst/>
          </a:prstGeom>
          <a:ln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663575</xdr:colOff>
      <xdr:row>12</xdr:row>
      <xdr:rowOff>409575</xdr:rowOff>
    </xdr:from>
    <xdr:to>
      <xdr:col>10</xdr:col>
      <xdr:colOff>771525</xdr:colOff>
      <xdr:row>12</xdr:row>
      <xdr:rowOff>504825</xdr:rowOff>
    </xdr:to>
    <xdr:sp macro="" textlink="">
      <xdr:nvSpPr>
        <xdr:cNvPr id="96" name="Ellipse 95">
          <a:extLst>
            <a:ext uri="{FF2B5EF4-FFF2-40B4-BE49-F238E27FC236}">
              <a16:creationId xmlns:a16="http://schemas.microsoft.com/office/drawing/2014/main" id="{DCDBEA9D-B1EC-4AC7-9B20-83092D0D0958}"/>
            </a:ext>
          </a:extLst>
        </xdr:cNvPr>
        <xdr:cNvSpPr/>
      </xdr:nvSpPr>
      <xdr:spPr>
        <a:xfrm>
          <a:off x="5026025" y="2825750"/>
          <a:ext cx="104775" cy="9525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10</xdr:col>
      <xdr:colOff>419100</xdr:colOff>
      <xdr:row>12</xdr:row>
      <xdr:rowOff>225425</xdr:rowOff>
    </xdr:from>
    <xdr:to>
      <xdr:col>10</xdr:col>
      <xdr:colOff>523875</xdr:colOff>
      <xdr:row>12</xdr:row>
      <xdr:rowOff>320675</xdr:rowOff>
    </xdr:to>
    <xdr:sp macro="" textlink="">
      <xdr:nvSpPr>
        <xdr:cNvPr id="97" name="Ellipse 96">
          <a:extLst>
            <a:ext uri="{FF2B5EF4-FFF2-40B4-BE49-F238E27FC236}">
              <a16:creationId xmlns:a16="http://schemas.microsoft.com/office/drawing/2014/main" id="{031F2A84-B09F-4023-9DE4-35F3F1269F1C}"/>
            </a:ext>
          </a:extLst>
        </xdr:cNvPr>
        <xdr:cNvSpPr/>
      </xdr:nvSpPr>
      <xdr:spPr>
        <a:xfrm>
          <a:off x="4781550" y="2644775"/>
          <a:ext cx="101600" cy="9525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10</xdr:col>
      <xdr:colOff>911225</xdr:colOff>
      <xdr:row>12</xdr:row>
      <xdr:rowOff>234950</xdr:rowOff>
    </xdr:from>
    <xdr:to>
      <xdr:col>10</xdr:col>
      <xdr:colOff>1019175</xdr:colOff>
      <xdr:row>12</xdr:row>
      <xdr:rowOff>330200</xdr:rowOff>
    </xdr:to>
    <xdr:sp macro="" textlink="">
      <xdr:nvSpPr>
        <xdr:cNvPr id="98" name="Ellipse 97">
          <a:extLst>
            <a:ext uri="{FF2B5EF4-FFF2-40B4-BE49-F238E27FC236}">
              <a16:creationId xmlns:a16="http://schemas.microsoft.com/office/drawing/2014/main" id="{7F1B8113-921A-41BC-BA63-ED3CCFC340BD}"/>
            </a:ext>
          </a:extLst>
        </xdr:cNvPr>
        <xdr:cNvSpPr/>
      </xdr:nvSpPr>
      <xdr:spPr>
        <a:xfrm>
          <a:off x="5273675" y="2657475"/>
          <a:ext cx="104775" cy="9525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10</xdr:col>
      <xdr:colOff>663575</xdr:colOff>
      <xdr:row>12</xdr:row>
      <xdr:rowOff>930275</xdr:rowOff>
    </xdr:from>
    <xdr:to>
      <xdr:col>10</xdr:col>
      <xdr:colOff>768350</xdr:colOff>
      <xdr:row>12</xdr:row>
      <xdr:rowOff>1025525</xdr:rowOff>
    </xdr:to>
    <xdr:sp macro="" textlink="">
      <xdr:nvSpPr>
        <xdr:cNvPr id="99" name="Ellipse 98">
          <a:extLst>
            <a:ext uri="{FF2B5EF4-FFF2-40B4-BE49-F238E27FC236}">
              <a16:creationId xmlns:a16="http://schemas.microsoft.com/office/drawing/2014/main" id="{77FAF790-8716-47A6-91E3-FF3628F03A94}"/>
            </a:ext>
          </a:extLst>
        </xdr:cNvPr>
        <xdr:cNvSpPr/>
      </xdr:nvSpPr>
      <xdr:spPr>
        <a:xfrm>
          <a:off x="5026025" y="3349625"/>
          <a:ext cx="107950" cy="9525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10</xdr:col>
      <xdr:colOff>419100</xdr:colOff>
      <xdr:row>12</xdr:row>
      <xdr:rowOff>749300</xdr:rowOff>
    </xdr:from>
    <xdr:to>
      <xdr:col>10</xdr:col>
      <xdr:colOff>520700</xdr:colOff>
      <xdr:row>12</xdr:row>
      <xdr:rowOff>844550</xdr:rowOff>
    </xdr:to>
    <xdr:sp macro="" textlink="">
      <xdr:nvSpPr>
        <xdr:cNvPr id="100" name="Ellipse 99">
          <a:extLst>
            <a:ext uri="{FF2B5EF4-FFF2-40B4-BE49-F238E27FC236}">
              <a16:creationId xmlns:a16="http://schemas.microsoft.com/office/drawing/2014/main" id="{CE0F9A57-869E-4B24-A9A0-8CC07F57049A}"/>
            </a:ext>
          </a:extLst>
        </xdr:cNvPr>
        <xdr:cNvSpPr/>
      </xdr:nvSpPr>
      <xdr:spPr>
        <a:xfrm>
          <a:off x="4781550" y="3171825"/>
          <a:ext cx="104775" cy="9525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10</xdr:col>
      <xdr:colOff>911225</xdr:colOff>
      <xdr:row>12</xdr:row>
      <xdr:rowOff>762000</xdr:rowOff>
    </xdr:from>
    <xdr:to>
      <xdr:col>10</xdr:col>
      <xdr:colOff>1016000</xdr:colOff>
      <xdr:row>12</xdr:row>
      <xdr:rowOff>857250</xdr:rowOff>
    </xdr:to>
    <xdr:sp macro="" textlink="">
      <xdr:nvSpPr>
        <xdr:cNvPr id="101" name="Ellipse 100">
          <a:extLst>
            <a:ext uri="{FF2B5EF4-FFF2-40B4-BE49-F238E27FC236}">
              <a16:creationId xmlns:a16="http://schemas.microsoft.com/office/drawing/2014/main" id="{48546A6E-AF97-40CC-B06D-254EF3F883D2}"/>
            </a:ext>
          </a:extLst>
        </xdr:cNvPr>
        <xdr:cNvSpPr/>
      </xdr:nvSpPr>
      <xdr:spPr>
        <a:xfrm>
          <a:off x="5273675" y="3181350"/>
          <a:ext cx="107950" cy="9525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oneCellAnchor>
    <xdr:from>
      <xdr:col>3</xdr:col>
      <xdr:colOff>561975</xdr:colOff>
      <xdr:row>7</xdr:row>
      <xdr:rowOff>368300</xdr:rowOff>
    </xdr:from>
    <xdr:ext cx="407740" cy="374141"/>
    <xdr:sp macro="" textlink="">
      <xdr:nvSpPr>
        <xdr:cNvPr id="119" name="Textfeld 118">
          <a:extLst>
            <a:ext uri="{FF2B5EF4-FFF2-40B4-BE49-F238E27FC236}">
              <a16:creationId xmlns:a16="http://schemas.microsoft.com/office/drawing/2014/main" id="{A836502B-D26A-9C4F-7DD9-DC953DF663A3}"/>
            </a:ext>
          </a:extLst>
        </xdr:cNvPr>
        <xdr:cNvSpPr txBox="1"/>
      </xdr:nvSpPr>
      <xdr:spPr>
        <a:xfrm>
          <a:off x="3505200" y="1635125"/>
          <a:ext cx="407740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de-CH" sz="1800"/>
            <a:t>S3</a:t>
          </a:r>
        </a:p>
      </xdr:txBody>
    </xdr:sp>
    <xdr:clientData/>
  </xdr:oneCellAnchor>
  <xdr:oneCellAnchor>
    <xdr:from>
      <xdr:col>4</xdr:col>
      <xdr:colOff>187325</xdr:colOff>
      <xdr:row>7</xdr:row>
      <xdr:rowOff>381000</xdr:rowOff>
    </xdr:from>
    <xdr:ext cx="407740" cy="374141"/>
    <xdr:sp macro="" textlink="">
      <xdr:nvSpPr>
        <xdr:cNvPr id="120" name="Textfeld 119">
          <a:extLst>
            <a:ext uri="{FF2B5EF4-FFF2-40B4-BE49-F238E27FC236}">
              <a16:creationId xmlns:a16="http://schemas.microsoft.com/office/drawing/2014/main" id="{98D98C2B-B6B2-4525-1891-5F201B47440B}"/>
            </a:ext>
          </a:extLst>
        </xdr:cNvPr>
        <xdr:cNvSpPr txBox="1"/>
      </xdr:nvSpPr>
      <xdr:spPr>
        <a:xfrm>
          <a:off x="4549775" y="1647825"/>
          <a:ext cx="407740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de-CH" sz="1800"/>
            <a:t>S3</a:t>
          </a:r>
        </a:p>
      </xdr:txBody>
    </xdr:sp>
    <xdr:clientData/>
  </xdr:oneCellAnchor>
  <xdr:oneCellAnchor>
    <xdr:from>
      <xdr:col>4</xdr:col>
      <xdr:colOff>777875</xdr:colOff>
      <xdr:row>7</xdr:row>
      <xdr:rowOff>381000</xdr:rowOff>
    </xdr:from>
    <xdr:ext cx="407740" cy="374141"/>
    <xdr:sp macro="" textlink="">
      <xdr:nvSpPr>
        <xdr:cNvPr id="121" name="Textfeld 120">
          <a:extLst>
            <a:ext uri="{FF2B5EF4-FFF2-40B4-BE49-F238E27FC236}">
              <a16:creationId xmlns:a16="http://schemas.microsoft.com/office/drawing/2014/main" id="{DDB273CA-CE4A-9A68-B923-713CA91042FD}"/>
            </a:ext>
          </a:extLst>
        </xdr:cNvPr>
        <xdr:cNvSpPr txBox="1"/>
      </xdr:nvSpPr>
      <xdr:spPr>
        <a:xfrm>
          <a:off x="5140325" y="1647825"/>
          <a:ext cx="407740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de-CH" sz="1800"/>
            <a:t>S3</a:t>
          </a:r>
        </a:p>
      </xdr:txBody>
    </xdr:sp>
    <xdr:clientData/>
  </xdr:oneCellAnchor>
  <xdr:oneCellAnchor>
    <xdr:from>
      <xdr:col>5</xdr:col>
      <xdr:colOff>254000</xdr:colOff>
      <xdr:row>7</xdr:row>
      <xdr:rowOff>209550</xdr:rowOff>
    </xdr:from>
    <xdr:ext cx="407740" cy="374141"/>
    <xdr:sp macro="" textlink="">
      <xdr:nvSpPr>
        <xdr:cNvPr id="122" name="Textfeld 121">
          <a:extLst>
            <a:ext uri="{FF2B5EF4-FFF2-40B4-BE49-F238E27FC236}">
              <a16:creationId xmlns:a16="http://schemas.microsoft.com/office/drawing/2014/main" id="{A68A0A39-3F9F-5755-D226-3C8B759AE511}"/>
            </a:ext>
          </a:extLst>
        </xdr:cNvPr>
        <xdr:cNvSpPr txBox="1"/>
      </xdr:nvSpPr>
      <xdr:spPr>
        <a:xfrm>
          <a:off x="6035675" y="1476375"/>
          <a:ext cx="407740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de-CH" sz="1800"/>
            <a:t>S3</a:t>
          </a:r>
        </a:p>
      </xdr:txBody>
    </xdr:sp>
    <xdr:clientData/>
  </xdr:oneCellAnchor>
  <xdr:oneCellAnchor>
    <xdr:from>
      <xdr:col>5</xdr:col>
      <xdr:colOff>828675</xdr:colOff>
      <xdr:row>7</xdr:row>
      <xdr:rowOff>209550</xdr:rowOff>
    </xdr:from>
    <xdr:ext cx="407740" cy="374141"/>
    <xdr:sp macro="" textlink="">
      <xdr:nvSpPr>
        <xdr:cNvPr id="123" name="Textfeld 122">
          <a:extLst>
            <a:ext uri="{FF2B5EF4-FFF2-40B4-BE49-F238E27FC236}">
              <a16:creationId xmlns:a16="http://schemas.microsoft.com/office/drawing/2014/main" id="{23386433-152A-AC32-96C6-D8731FB35460}"/>
            </a:ext>
          </a:extLst>
        </xdr:cNvPr>
        <xdr:cNvSpPr txBox="1"/>
      </xdr:nvSpPr>
      <xdr:spPr>
        <a:xfrm>
          <a:off x="6610350" y="1476375"/>
          <a:ext cx="407740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de-CH" sz="1800"/>
            <a:t>S3</a:t>
          </a:r>
        </a:p>
      </xdr:txBody>
    </xdr:sp>
    <xdr:clientData/>
  </xdr:oneCellAnchor>
  <xdr:oneCellAnchor>
    <xdr:from>
      <xdr:col>6</xdr:col>
      <xdr:colOff>539750</xdr:colOff>
      <xdr:row>7</xdr:row>
      <xdr:rowOff>200025</xdr:rowOff>
    </xdr:from>
    <xdr:ext cx="407740" cy="374141"/>
    <xdr:sp macro="" textlink="">
      <xdr:nvSpPr>
        <xdr:cNvPr id="124" name="Textfeld 123">
          <a:extLst>
            <a:ext uri="{FF2B5EF4-FFF2-40B4-BE49-F238E27FC236}">
              <a16:creationId xmlns:a16="http://schemas.microsoft.com/office/drawing/2014/main" id="{D86A6985-AB69-B579-DA5C-46C6120E0D75}"/>
            </a:ext>
          </a:extLst>
        </xdr:cNvPr>
        <xdr:cNvSpPr txBox="1"/>
      </xdr:nvSpPr>
      <xdr:spPr>
        <a:xfrm>
          <a:off x="7740650" y="1466850"/>
          <a:ext cx="407740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de-CH" sz="1800"/>
            <a:t>S3</a:t>
          </a:r>
        </a:p>
      </xdr:txBody>
    </xdr:sp>
    <xdr:clientData/>
  </xdr:oneCellAnchor>
  <xdr:twoCellAnchor>
    <xdr:from>
      <xdr:col>12</xdr:col>
      <xdr:colOff>219075</xdr:colOff>
      <xdr:row>13</xdr:row>
      <xdr:rowOff>171449</xdr:rowOff>
    </xdr:from>
    <xdr:to>
      <xdr:col>12</xdr:col>
      <xdr:colOff>1200150</xdr:colOff>
      <xdr:row>13</xdr:row>
      <xdr:rowOff>581025</xdr:rowOff>
    </xdr:to>
    <xdr:sp macro="" textlink="">
      <xdr:nvSpPr>
        <xdr:cNvPr id="125" name="Rechteck 124">
          <a:extLst>
            <a:ext uri="{FF2B5EF4-FFF2-40B4-BE49-F238E27FC236}">
              <a16:creationId xmlns:a16="http://schemas.microsoft.com/office/drawing/2014/main" id="{A8AC266E-9FA4-432C-8EF4-FC73F692FB1E}"/>
            </a:ext>
          </a:extLst>
        </xdr:cNvPr>
        <xdr:cNvSpPr/>
      </xdr:nvSpPr>
      <xdr:spPr>
        <a:xfrm>
          <a:off x="1739900" y="5448299"/>
          <a:ext cx="984250" cy="406401"/>
        </a:xfrm>
        <a:prstGeom prst="rect">
          <a:avLst/>
        </a:prstGeom>
        <a:noFill/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12</xdr:col>
      <xdr:colOff>409575</xdr:colOff>
      <xdr:row>13</xdr:row>
      <xdr:rowOff>777875</xdr:rowOff>
    </xdr:from>
    <xdr:to>
      <xdr:col>12</xdr:col>
      <xdr:colOff>1006475</xdr:colOff>
      <xdr:row>13</xdr:row>
      <xdr:rowOff>1054100</xdr:rowOff>
    </xdr:to>
    <xdr:grpSp>
      <xdr:nvGrpSpPr>
        <xdr:cNvPr id="126" name="Gruppieren 125">
          <a:extLst>
            <a:ext uri="{FF2B5EF4-FFF2-40B4-BE49-F238E27FC236}">
              <a16:creationId xmlns:a16="http://schemas.microsoft.com/office/drawing/2014/main" id="{4F203852-C7B6-459A-9754-6633A3B6311E}"/>
            </a:ext>
          </a:extLst>
        </xdr:cNvPr>
        <xdr:cNvGrpSpPr/>
      </xdr:nvGrpSpPr>
      <xdr:grpSpPr>
        <a:xfrm>
          <a:off x="13272466" y="7288005"/>
          <a:ext cx="596900" cy="276225"/>
          <a:chOff x="6238875" y="2609850"/>
          <a:chExt cx="596900" cy="276225"/>
        </a:xfrm>
      </xdr:grpSpPr>
      <xdr:sp macro="" textlink="">
        <xdr:nvSpPr>
          <xdr:cNvPr id="127" name="Ellipse 126">
            <a:extLst>
              <a:ext uri="{FF2B5EF4-FFF2-40B4-BE49-F238E27FC236}">
                <a16:creationId xmlns:a16="http://schemas.microsoft.com/office/drawing/2014/main" id="{78D1888C-642A-6267-BB77-6654E46F2A2D}"/>
              </a:ext>
            </a:extLst>
          </xdr:cNvPr>
          <xdr:cNvSpPr/>
        </xdr:nvSpPr>
        <xdr:spPr>
          <a:xfrm>
            <a:off x="6483350" y="2790825"/>
            <a:ext cx="104775" cy="95250"/>
          </a:xfrm>
          <a:prstGeom prst="ellips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  <xdr:sp macro="" textlink="">
        <xdr:nvSpPr>
          <xdr:cNvPr id="128" name="Ellipse 127">
            <a:extLst>
              <a:ext uri="{FF2B5EF4-FFF2-40B4-BE49-F238E27FC236}">
                <a16:creationId xmlns:a16="http://schemas.microsoft.com/office/drawing/2014/main" id="{57636DAD-4992-A4AA-3AB5-DD80B88E523C}"/>
              </a:ext>
            </a:extLst>
          </xdr:cNvPr>
          <xdr:cNvSpPr/>
        </xdr:nvSpPr>
        <xdr:spPr>
          <a:xfrm>
            <a:off x="6238875" y="2609850"/>
            <a:ext cx="101600" cy="95250"/>
          </a:xfrm>
          <a:prstGeom prst="ellips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  <xdr:sp macro="" textlink="">
        <xdr:nvSpPr>
          <xdr:cNvPr id="129" name="Ellipse 128">
            <a:extLst>
              <a:ext uri="{FF2B5EF4-FFF2-40B4-BE49-F238E27FC236}">
                <a16:creationId xmlns:a16="http://schemas.microsoft.com/office/drawing/2014/main" id="{49DA8F24-1507-8D9A-1351-93B1FB22D7B7}"/>
              </a:ext>
            </a:extLst>
          </xdr:cNvPr>
          <xdr:cNvSpPr/>
        </xdr:nvSpPr>
        <xdr:spPr>
          <a:xfrm>
            <a:off x="6731000" y="2616200"/>
            <a:ext cx="104775" cy="95250"/>
          </a:xfrm>
          <a:prstGeom prst="ellips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</xdr:grpSp>
    <xdr:clientData/>
  </xdr:twoCellAnchor>
  <xdr:oneCellAnchor>
    <xdr:from>
      <xdr:col>12</xdr:col>
      <xdr:colOff>533400</xdr:colOff>
      <xdr:row>13</xdr:row>
      <xdr:rowOff>161925</xdr:rowOff>
    </xdr:from>
    <xdr:ext cx="407740" cy="374141"/>
    <xdr:sp macro="" textlink="">
      <xdr:nvSpPr>
        <xdr:cNvPr id="130" name="Textfeld 129">
          <a:extLst>
            <a:ext uri="{FF2B5EF4-FFF2-40B4-BE49-F238E27FC236}">
              <a16:creationId xmlns:a16="http://schemas.microsoft.com/office/drawing/2014/main" id="{47B30383-315D-433E-8742-EAAB1689A943}"/>
            </a:ext>
          </a:extLst>
        </xdr:cNvPr>
        <xdr:cNvSpPr txBox="1"/>
      </xdr:nvSpPr>
      <xdr:spPr>
        <a:xfrm>
          <a:off x="2057400" y="5435600"/>
          <a:ext cx="407740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de-CH" sz="1800"/>
            <a:t>S3</a:t>
          </a:r>
        </a:p>
      </xdr:txBody>
    </xdr:sp>
    <xdr:clientData/>
  </xdr:oneCellAnchor>
  <xdr:twoCellAnchor>
    <xdr:from>
      <xdr:col>12</xdr:col>
      <xdr:colOff>238125</xdr:colOff>
      <xdr:row>12</xdr:row>
      <xdr:rowOff>171449</xdr:rowOff>
    </xdr:from>
    <xdr:to>
      <xdr:col>12</xdr:col>
      <xdr:colOff>1219200</xdr:colOff>
      <xdr:row>12</xdr:row>
      <xdr:rowOff>1003299</xdr:rowOff>
    </xdr:to>
    <xdr:sp macro="" textlink="">
      <xdr:nvSpPr>
        <xdr:cNvPr id="131" name="Rechteck 130">
          <a:extLst>
            <a:ext uri="{FF2B5EF4-FFF2-40B4-BE49-F238E27FC236}">
              <a16:creationId xmlns:a16="http://schemas.microsoft.com/office/drawing/2014/main" id="{8C92C773-06D9-4158-8708-C44D8387B5F2}"/>
            </a:ext>
          </a:extLst>
        </xdr:cNvPr>
        <xdr:cNvSpPr/>
      </xdr:nvSpPr>
      <xdr:spPr>
        <a:xfrm>
          <a:off x="4597400" y="5448299"/>
          <a:ext cx="984250" cy="828675"/>
        </a:xfrm>
        <a:prstGeom prst="rect">
          <a:avLst/>
        </a:prstGeom>
        <a:noFill/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oneCellAnchor>
    <xdr:from>
      <xdr:col>12</xdr:col>
      <xdr:colOff>523875</xdr:colOff>
      <xdr:row>12</xdr:row>
      <xdr:rowOff>377825</xdr:rowOff>
    </xdr:from>
    <xdr:ext cx="407740" cy="374141"/>
    <xdr:sp macro="" textlink="">
      <xdr:nvSpPr>
        <xdr:cNvPr id="132" name="Textfeld 131">
          <a:extLst>
            <a:ext uri="{FF2B5EF4-FFF2-40B4-BE49-F238E27FC236}">
              <a16:creationId xmlns:a16="http://schemas.microsoft.com/office/drawing/2014/main" id="{17CA937B-FC80-449D-BFE0-856558CE85A7}"/>
            </a:ext>
          </a:extLst>
        </xdr:cNvPr>
        <xdr:cNvSpPr txBox="1"/>
      </xdr:nvSpPr>
      <xdr:spPr>
        <a:xfrm>
          <a:off x="4883150" y="5654675"/>
          <a:ext cx="407740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de-CH" sz="1800"/>
            <a:t>S3</a:t>
          </a:r>
        </a:p>
      </xdr:txBody>
    </xdr:sp>
    <xdr:clientData/>
  </xdr:oneCellAnchor>
  <xdr:twoCellAnchor>
    <xdr:from>
      <xdr:col>14</xdr:col>
      <xdr:colOff>238125</xdr:colOff>
      <xdr:row>12</xdr:row>
      <xdr:rowOff>171449</xdr:rowOff>
    </xdr:from>
    <xdr:to>
      <xdr:col>14</xdr:col>
      <xdr:colOff>1219200</xdr:colOff>
      <xdr:row>12</xdr:row>
      <xdr:rowOff>1003299</xdr:rowOff>
    </xdr:to>
    <xdr:sp macro="" textlink="">
      <xdr:nvSpPr>
        <xdr:cNvPr id="141" name="Rechteck 140">
          <a:extLst>
            <a:ext uri="{FF2B5EF4-FFF2-40B4-BE49-F238E27FC236}">
              <a16:creationId xmlns:a16="http://schemas.microsoft.com/office/drawing/2014/main" id="{CC3A05EA-CA95-45EB-B853-915552B4E526}"/>
            </a:ext>
          </a:extLst>
        </xdr:cNvPr>
        <xdr:cNvSpPr/>
      </xdr:nvSpPr>
      <xdr:spPr>
        <a:xfrm>
          <a:off x="13693775" y="5448299"/>
          <a:ext cx="984250" cy="828675"/>
        </a:xfrm>
        <a:prstGeom prst="rect">
          <a:avLst/>
        </a:prstGeom>
        <a:noFill/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oneCellAnchor>
    <xdr:from>
      <xdr:col>14</xdr:col>
      <xdr:colOff>523875</xdr:colOff>
      <xdr:row>12</xdr:row>
      <xdr:rowOff>377825</xdr:rowOff>
    </xdr:from>
    <xdr:ext cx="407740" cy="374141"/>
    <xdr:sp macro="" textlink="">
      <xdr:nvSpPr>
        <xdr:cNvPr id="142" name="Textfeld 141">
          <a:extLst>
            <a:ext uri="{FF2B5EF4-FFF2-40B4-BE49-F238E27FC236}">
              <a16:creationId xmlns:a16="http://schemas.microsoft.com/office/drawing/2014/main" id="{B121CC7E-245E-4097-A954-A78183E98995}"/>
            </a:ext>
          </a:extLst>
        </xdr:cNvPr>
        <xdr:cNvSpPr txBox="1"/>
      </xdr:nvSpPr>
      <xdr:spPr>
        <a:xfrm>
          <a:off x="13979525" y="5654675"/>
          <a:ext cx="407740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de-CH" sz="1800"/>
            <a:t>S3</a:t>
          </a:r>
        </a:p>
      </xdr:txBody>
    </xdr:sp>
    <xdr:clientData/>
  </xdr:oneCellAnchor>
  <xdr:twoCellAnchor>
    <xdr:from>
      <xdr:col>14</xdr:col>
      <xdr:colOff>225425</xdr:colOff>
      <xdr:row>13</xdr:row>
      <xdr:rowOff>114299</xdr:rowOff>
    </xdr:from>
    <xdr:to>
      <xdr:col>14</xdr:col>
      <xdr:colOff>1209675</xdr:colOff>
      <xdr:row>13</xdr:row>
      <xdr:rowOff>590550</xdr:rowOff>
    </xdr:to>
    <xdr:sp macro="" textlink="">
      <xdr:nvSpPr>
        <xdr:cNvPr id="143" name="Rechteck 142">
          <a:extLst>
            <a:ext uri="{FF2B5EF4-FFF2-40B4-BE49-F238E27FC236}">
              <a16:creationId xmlns:a16="http://schemas.microsoft.com/office/drawing/2014/main" id="{F3542D13-7DC6-49A4-B5B7-DBBC641F7EC9}"/>
            </a:ext>
          </a:extLst>
        </xdr:cNvPr>
        <xdr:cNvSpPr/>
      </xdr:nvSpPr>
      <xdr:spPr>
        <a:xfrm>
          <a:off x="15732125" y="6559549"/>
          <a:ext cx="984250" cy="476251"/>
        </a:xfrm>
        <a:prstGeom prst="rect">
          <a:avLst/>
        </a:prstGeom>
        <a:noFill/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oneCellAnchor>
    <xdr:from>
      <xdr:col>14</xdr:col>
      <xdr:colOff>517525</xdr:colOff>
      <xdr:row>13</xdr:row>
      <xdr:rowOff>193675</xdr:rowOff>
    </xdr:from>
    <xdr:ext cx="407740" cy="374141"/>
    <xdr:sp macro="" textlink="">
      <xdr:nvSpPr>
        <xdr:cNvPr id="144" name="Textfeld 143">
          <a:extLst>
            <a:ext uri="{FF2B5EF4-FFF2-40B4-BE49-F238E27FC236}">
              <a16:creationId xmlns:a16="http://schemas.microsoft.com/office/drawing/2014/main" id="{EB814FA5-A713-488A-AD30-5CD31539B723}"/>
            </a:ext>
          </a:extLst>
        </xdr:cNvPr>
        <xdr:cNvSpPr txBox="1"/>
      </xdr:nvSpPr>
      <xdr:spPr>
        <a:xfrm>
          <a:off x="16024225" y="6638925"/>
          <a:ext cx="407740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de-CH" sz="1800"/>
            <a:t>S6</a:t>
          </a:r>
        </a:p>
      </xdr:txBody>
    </xdr:sp>
    <xdr:clientData/>
  </xdr:oneCellAnchor>
  <xdr:twoCellAnchor>
    <xdr:from>
      <xdr:col>14</xdr:col>
      <xdr:colOff>676275</xdr:colOff>
      <xdr:row>14</xdr:row>
      <xdr:rowOff>723900</xdr:rowOff>
    </xdr:from>
    <xdr:to>
      <xdr:col>14</xdr:col>
      <xdr:colOff>781050</xdr:colOff>
      <xdr:row>14</xdr:row>
      <xdr:rowOff>819150</xdr:rowOff>
    </xdr:to>
    <xdr:sp macro="" textlink="">
      <xdr:nvSpPr>
        <xdr:cNvPr id="145" name="Ellipse 144">
          <a:extLst>
            <a:ext uri="{FF2B5EF4-FFF2-40B4-BE49-F238E27FC236}">
              <a16:creationId xmlns:a16="http://schemas.microsoft.com/office/drawing/2014/main" id="{DE8A16B4-C895-4A1E-870E-E615EA6C5EC2}"/>
            </a:ext>
          </a:extLst>
        </xdr:cNvPr>
        <xdr:cNvSpPr/>
      </xdr:nvSpPr>
      <xdr:spPr>
        <a:xfrm>
          <a:off x="5035550" y="7162800"/>
          <a:ext cx="107950" cy="9525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14</xdr:col>
      <xdr:colOff>425450</xdr:colOff>
      <xdr:row>14</xdr:row>
      <xdr:rowOff>542925</xdr:rowOff>
    </xdr:from>
    <xdr:to>
      <xdr:col>14</xdr:col>
      <xdr:colOff>533400</xdr:colOff>
      <xdr:row>14</xdr:row>
      <xdr:rowOff>638175</xdr:rowOff>
    </xdr:to>
    <xdr:sp macro="" textlink="">
      <xdr:nvSpPr>
        <xdr:cNvPr id="146" name="Ellipse 145">
          <a:extLst>
            <a:ext uri="{FF2B5EF4-FFF2-40B4-BE49-F238E27FC236}">
              <a16:creationId xmlns:a16="http://schemas.microsoft.com/office/drawing/2014/main" id="{19AD87FA-A6BA-41C5-968C-FD253477FD48}"/>
            </a:ext>
          </a:extLst>
        </xdr:cNvPr>
        <xdr:cNvSpPr/>
      </xdr:nvSpPr>
      <xdr:spPr>
        <a:xfrm>
          <a:off x="4791075" y="6978650"/>
          <a:ext cx="104775" cy="9525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14</xdr:col>
      <xdr:colOff>923925</xdr:colOff>
      <xdr:row>14</xdr:row>
      <xdr:rowOff>549275</xdr:rowOff>
    </xdr:from>
    <xdr:to>
      <xdr:col>14</xdr:col>
      <xdr:colOff>1028700</xdr:colOff>
      <xdr:row>14</xdr:row>
      <xdr:rowOff>644525</xdr:rowOff>
    </xdr:to>
    <xdr:sp macro="" textlink="">
      <xdr:nvSpPr>
        <xdr:cNvPr id="147" name="Ellipse 146">
          <a:extLst>
            <a:ext uri="{FF2B5EF4-FFF2-40B4-BE49-F238E27FC236}">
              <a16:creationId xmlns:a16="http://schemas.microsoft.com/office/drawing/2014/main" id="{AC684087-E40F-4D1F-B1AD-91F077FA57EA}"/>
            </a:ext>
          </a:extLst>
        </xdr:cNvPr>
        <xdr:cNvSpPr/>
      </xdr:nvSpPr>
      <xdr:spPr>
        <a:xfrm>
          <a:off x="5283200" y="6988175"/>
          <a:ext cx="107950" cy="9525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16</xdr:col>
      <xdr:colOff>133351</xdr:colOff>
      <xdr:row>12</xdr:row>
      <xdr:rowOff>133349</xdr:rowOff>
    </xdr:from>
    <xdr:to>
      <xdr:col>16</xdr:col>
      <xdr:colOff>1285876</xdr:colOff>
      <xdr:row>12</xdr:row>
      <xdr:rowOff>965199</xdr:rowOff>
    </xdr:to>
    <xdr:sp macro="" textlink="">
      <xdr:nvSpPr>
        <xdr:cNvPr id="148" name="Rechteck 147">
          <a:extLst>
            <a:ext uri="{FF2B5EF4-FFF2-40B4-BE49-F238E27FC236}">
              <a16:creationId xmlns:a16="http://schemas.microsoft.com/office/drawing/2014/main" id="{FA9C7184-DB82-42A2-BC2F-441466D7FE81}"/>
            </a:ext>
          </a:extLst>
        </xdr:cNvPr>
        <xdr:cNvSpPr/>
      </xdr:nvSpPr>
      <xdr:spPr>
        <a:xfrm>
          <a:off x="7334251" y="5410199"/>
          <a:ext cx="1149350" cy="828675"/>
        </a:xfrm>
        <a:prstGeom prst="rect">
          <a:avLst/>
        </a:prstGeom>
        <a:noFill/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16</xdr:col>
      <xdr:colOff>708026</xdr:colOff>
      <xdr:row>12</xdr:row>
      <xdr:rowOff>133349</xdr:rowOff>
    </xdr:from>
    <xdr:to>
      <xdr:col>16</xdr:col>
      <xdr:colOff>708026</xdr:colOff>
      <xdr:row>12</xdr:row>
      <xdr:rowOff>962024</xdr:rowOff>
    </xdr:to>
    <xdr:cxnSp macro="">
      <xdr:nvCxnSpPr>
        <xdr:cNvPr id="149" name="Gerader Verbinder 148">
          <a:extLst>
            <a:ext uri="{FF2B5EF4-FFF2-40B4-BE49-F238E27FC236}">
              <a16:creationId xmlns:a16="http://schemas.microsoft.com/office/drawing/2014/main" id="{A16F7E70-C779-4E23-A40D-723BA844EC32}"/>
            </a:ext>
          </a:extLst>
        </xdr:cNvPr>
        <xdr:cNvCxnSpPr>
          <a:stCxn id="148" idx="0"/>
          <a:endCxn id="148" idx="2"/>
        </xdr:cNvCxnSpPr>
      </xdr:nvCxnSpPr>
      <xdr:spPr>
        <a:xfrm>
          <a:off x="7912101" y="5410199"/>
          <a:ext cx="0" cy="831850"/>
        </a:xfrm>
        <a:prstGeom prst="line">
          <a:avLst/>
        </a:prstGeom>
        <a:ln>
          <a:solidFill>
            <a:schemeClr val="tx1">
              <a:lumMod val="95000"/>
              <a:lumOff val="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16</xdr:col>
      <xdr:colOff>228600</xdr:colOff>
      <xdr:row>12</xdr:row>
      <xdr:rowOff>352425</xdr:rowOff>
    </xdr:from>
    <xdr:ext cx="407740" cy="374141"/>
    <xdr:sp macro="" textlink="">
      <xdr:nvSpPr>
        <xdr:cNvPr id="150" name="Textfeld 149">
          <a:extLst>
            <a:ext uri="{FF2B5EF4-FFF2-40B4-BE49-F238E27FC236}">
              <a16:creationId xmlns:a16="http://schemas.microsoft.com/office/drawing/2014/main" id="{C4164143-8666-411F-A5F5-B386E3C57D06}"/>
            </a:ext>
          </a:extLst>
        </xdr:cNvPr>
        <xdr:cNvSpPr txBox="1"/>
      </xdr:nvSpPr>
      <xdr:spPr>
        <a:xfrm>
          <a:off x="7429500" y="5626100"/>
          <a:ext cx="407740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de-CH" sz="1800"/>
            <a:t>S3</a:t>
          </a:r>
        </a:p>
      </xdr:txBody>
    </xdr:sp>
    <xdr:clientData/>
  </xdr:oneCellAnchor>
  <xdr:oneCellAnchor>
    <xdr:from>
      <xdr:col>16</xdr:col>
      <xdr:colOff>790575</xdr:colOff>
      <xdr:row>12</xdr:row>
      <xdr:rowOff>358775</xdr:rowOff>
    </xdr:from>
    <xdr:ext cx="407740" cy="374141"/>
    <xdr:sp macro="" textlink="">
      <xdr:nvSpPr>
        <xdr:cNvPr id="151" name="Textfeld 150">
          <a:extLst>
            <a:ext uri="{FF2B5EF4-FFF2-40B4-BE49-F238E27FC236}">
              <a16:creationId xmlns:a16="http://schemas.microsoft.com/office/drawing/2014/main" id="{227D413D-8350-4B1E-B64B-344406B67FFE}"/>
            </a:ext>
          </a:extLst>
        </xdr:cNvPr>
        <xdr:cNvSpPr txBox="1"/>
      </xdr:nvSpPr>
      <xdr:spPr>
        <a:xfrm>
          <a:off x="7988300" y="5635625"/>
          <a:ext cx="407740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de-CH" sz="1800"/>
            <a:t>S3</a:t>
          </a:r>
        </a:p>
      </xdr:txBody>
    </xdr:sp>
    <xdr:clientData/>
  </xdr:oneCellAnchor>
  <xdr:twoCellAnchor>
    <xdr:from>
      <xdr:col>17</xdr:col>
      <xdr:colOff>133351</xdr:colOff>
      <xdr:row>12</xdr:row>
      <xdr:rowOff>133349</xdr:rowOff>
    </xdr:from>
    <xdr:to>
      <xdr:col>17</xdr:col>
      <xdr:colOff>1285876</xdr:colOff>
      <xdr:row>12</xdr:row>
      <xdr:rowOff>965199</xdr:rowOff>
    </xdr:to>
    <xdr:sp macro="" textlink="">
      <xdr:nvSpPr>
        <xdr:cNvPr id="152" name="Rechteck 151">
          <a:extLst>
            <a:ext uri="{FF2B5EF4-FFF2-40B4-BE49-F238E27FC236}">
              <a16:creationId xmlns:a16="http://schemas.microsoft.com/office/drawing/2014/main" id="{CE2CBDE3-2B63-4FC0-804D-78914B9F7417}"/>
            </a:ext>
          </a:extLst>
        </xdr:cNvPr>
        <xdr:cNvSpPr/>
      </xdr:nvSpPr>
      <xdr:spPr>
        <a:xfrm>
          <a:off x="7334251" y="5410199"/>
          <a:ext cx="1149350" cy="828675"/>
        </a:xfrm>
        <a:prstGeom prst="rect">
          <a:avLst/>
        </a:prstGeom>
        <a:noFill/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17</xdr:col>
      <xdr:colOff>708026</xdr:colOff>
      <xdr:row>12</xdr:row>
      <xdr:rowOff>133349</xdr:rowOff>
    </xdr:from>
    <xdr:to>
      <xdr:col>17</xdr:col>
      <xdr:colOff>708026</xdr:colOff>
      <xdr:row>12</xdr:row>
      <xdr:rowOff>962024</xdr:rowOff>
    </xdr:to>
    <xdr:cxnSp macro="">
      <xdr:nvCxnSpPr>
        <xdr:cNvPr id="153" name="Gerader Verbinder 152">
          <a:extLst>
            <a:ext uri="{FF2B5EF4-FFF2-40B4-BE49-F238E27FC236}">
              <a16:creationId xmlns:a16="http://schemas.microsoft.com/office/drawing/2014/main" id="{56CEEA93-5272-43AE-BE56-29B914BB839C}"/>
            </a:ext>
          </a:extLst>
        </xdr:cNvPr>
        <xdr:cNvCxnSpPr>
          <a:stCxn id="152" idx="0"/>
          <a:endCxn id="152" idx="2"/>
        </xdr:cNvCxnSpPr>
      </xdr:nvCxnSpPr>
      <xdr:spPr>
        <a:xfrm>
          <a:off x="7912101" y="5410199"/>
          <a:ext cx="0" cy="831850"/>
        </a:xfrm>
        <a:prstGeom prst="line">
          <a:avLst/>
        </a:prstGeom>
        <a:ln>
          <a:solidFill>
            <a:schemeClr val="tx1">
              <a:lumMod val="95000"/>
              <a:lumOff val="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17</xdr:col>
      <xdr:colOff>228600</xdr:colOff>
      <xdr:row>12</xdr:row>
      <xdr:rowOff>352425</xdr:rowOff>
    </xdr:from>
    <xdr:ext cx="407740" cy="374141"/>
    <xdr:sp macro="" textlink="">
      <xdr:nvSpPr>
        <xdr:cNvPr id="154" name="Textfeld 153">
          <a:extLst>
            <a:ext uri="{FF2B5EF4-FFF2-40B4-BE49-F238E27FC236}">
              <a16:creationId xmlns:a16="http://schemas.microsoft.com/office/drawing/2014/main" id="{2979BAF1-5C62-40C1-966B-2503E1C96C23}"/>
            </a:ext>
          </a:extLst>
        </xdr:cNvPr>
        <xdr:cNvSpPr txBox="1"/>
      </xdr:nvSpPr>
      <xdr:spPr>
        <a:xfrm>
          <a:off x="7429500" y="5626100"/>
          <a:ext cx="407740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de-CH" sz="1800"/>
            <a:t>S3</a:t>
          </a:r>
        </a:p>
      </xdr:txBody>
    </xdr:sp>
    <xdr:clientData/>
  </xdr:oneCellAnchor>
  <xdr:oneCellAnchor>
    <xdr:from>
      <xdr:col>17</xdr:col>
      <xdr:colOff>790575</xdr:colOff>
      <xdr:row>12</xdr:row>
      <xdr:rowOff>358775</xdr:rowOff>
    </xdr:from>
    <xdr:ext cx="407740" cy="374141"/>
    <xdr:sp macro="" textlink="">
      <xdr:nvSpPr>
        <xdr:cNvPr id="155" name="Textfeld 154">
          <a:extLst>
            <a:ext uri="{FF2B5EF4-FFF2-40B4-BE49-F238E27FC236}">
              <a16:creationId xmlns:a16="http://schemas.microsoft.com/office/drawing/2014/main" id="{F63EFE07-9D4B-4419-9D11-F3A5D892F6C9}"/>
            </a:ext>
          </a:extLst>
        </xdr:cNvPr>
        <xdr:cNvSpPr txBox="1"/>
      </xdr:nvSpPr>
      <xdr:spPr>
        <a:xfrm>
          <a:off x="7988300" y="5635625"/>
          <a:ext cx="407740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de-CH" sz="1800"/>
            <a:t>S3</a:t>
          </a:r>
        </a:p>
      </xdr:txBody>
    </xdr:sp>
    <xdr:clientData/>
  </xdr:oneCellAnchor>
  <xdr:twoCellAnchor>
    <xdr:from>
      <xdr:col>16</xdr:col>
      <xdr:colOff>133351</xdr:colOff>
      <xdr:row>13</xdr:row>
      <xdr:rowOff>133349</xdr:rowOff>
    </xdr:from>
    <xdr:to>
      <xdr:col>16</xdr:col>
      <xdr:colOff>1285876</xdr:colOff>
      <xdr:row>13</xdr:row>
      <xdr:rowOff>965199</xdr:rowOff>
    </xdr:to>
    <xdr:sp macro="" textlink="">
      <xdr:nvSpPr>
        <xdr:cNvPr id="156" name="Rechteck 155">
          <a:extLst>
            <a:ext uri="{FF2B5EF4-FFF2-40B4-BE49-F238E27FC236}">
              <a16:creationId xmlns:a16="http://schemas.microsoft.com/office/drawing/2014/main" id="{4530420D-967E-4F7E-BE13-99F0E3C78831}"/>
            </a:ext>
          </a:extLst>
        </xdr:cNvPr>
        <xdr:cNvSpPr/>
      </xdr:nvSpPr>
      <xdr:spPr>
        <a:xfrm>
          <a:off x="7334251" y="5410199"/>
          <a:ext cx="1149350" cy="828675"/>
        </a:xfrm>
        <a:prstGeom prst="rect">
          <a:avLst/>
        </a:prstGeom>
        <a:noFill/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16</xdr:col>
      <xdr:colOff>708026</xdr:colOff>
      <xdr:row>13</xdr:row>
      <xdr:rowOff>133349</xdr:rowOff>
    </xdr:from>
    <xdr:to>
      <xdr:col>16</xdr:col>
      <xdr:colOff>708026</xdr:colOff>
      <xdr:row>13</xdr:row>
      <xdr:rowOff>962024</xdr:rowOff>
    </xdr:to>
    <xdr:cxnSp macro="">
      <xdr:nvCxnSpPr>
        <xdr:cNvPr id="157" name="Gerader Verbinder 156">
          <a:extLst>
            <a:ext uri="{FF2B5EF4-FFF2-40B4-BE49-F238E27FC236}">
              <a16:creationId xmlns:a16="http://schemas.microsoft.com/office/drawing/2014/main" id="{B492CDE5-5BC3-42CC-AC61-4DFA25C8BCA6}"/>
            </a:ext>
          </a:extLst>
        </xdr:cNvPr>
        <xdr:cNvCxnSpPr>
          <a:stCxn id="156" idx="0"/>
          <a:endCxn id="156" idx="2"/>
        </xdr:cNvCxnSpPr>
      </xdr:nvCxnSpPr>
      <xdr:spPr>
        <a:xfrm>
          <a:off x="7912101" y="5410199"/>
          <a:ext cx="0" cy="831850"/>
        </a:xfrm>
        <a:prstGeom prst="line">
          <a:avLst/>
        </a:prstGeom>
        <a:ln>
          <a:solidFill>
            <a:schemeClr val="tx1">
              <a:lumMod val="95000"/>
              <a:lumOff val="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16</xdr:col>
      <xdr:colOff>228600</xdr:colOff>
      <xdr:row>13</xdr:row>
      <xdr:rowOff>352425</xdr:rowOff>
    </xdr:from>
    <xdr:ext cx="407740" cy="374141"/>
    <xdr:sp macro="" textlink="">
      <xdr:nvSpPr>
        <xdr:cNvPr id="158" name="Textfeld 157">
          <a:extLst>
            <a:ext uri="{FF2B5EF4-FFF2-40B4-BE49-F238E27FC236}">
              <a16:creationId xmlns:a16="http://schemas.microsoft.com/office/drawing/2014/main" id="{8D124546-498A-4325-BB9F-A126135E64C4}"/>
            </a:ext>
          </a:extLst>
        </xdr:cNvPr>
        <xdr:cNvSpPr txBox="1"/>
      </xdr:nvSpPr>
      <xdr:spPr>
        <a:xfrm>
          <a:off x="7429500" y="5626100"/>
          <a:ext cx="407740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de-CH" sz="1800"/>
            <a:t>S3</a:t>
          </a:r>
        </a:p>
      </xdr:txBody>
    </xdr:sp>
    <xdr:clientData/>
  </xdr:oneCellAnchor>
  <xdr:oneCellAnchor>
    <xdr:from>
      <xdr:col>16</xdr:col>
      <xdr:colOff>790575</xdr:colOff>
      <xdr:row>13</xdr:row>
      <xdr:rowOff>358775</xdr:rowOff>
    </xdr:from>
    <xdr:ext cx="407740" cy="374141"/>
    <xdr:sp macro="" textlink="">
      <xdr:nvSpPr>
        <xdr:cNvPr id="159" name="Textfeld 158">
          <a:extLst>
            <a:ext uri="{FF2B5EF4-FFF2-40B4-BE49-F238E27FC236}">
              <a16:creationId xmlns:a16="http://schemas.microsoft.com/office/drawing/2014/main" id="{2C50A4ED-6C64-42EF-9676-6565A0DC2300}"/>
            </a:ext>
          </a:extLst>
        </xdr:cNvPr>
        <xdr:cNvSpPr txBox="1"/>
      </xdr:nvSpPr>
      <xdr:spPr>
        <a:xfrm>
          <a:off x="7988300" y="5635625"/>
          <a:ext cx="407740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de-CH" sz="1800"/>
            <a:t>S3</a:t>
          </a:r>
        </a:p>
      </xdr:txBody>
    </xdr:sp>
    <xdr:clientData/>
  </xdr:oneCellAnchor>
  <xdr:twoCellAnchor>
    <xdr:from>
      <xdr:col>19</xdr:col>
      <xdr:colOff>238125</xdr:colOff>
      <xdr:row>12</xdr:row>
      <xdr:rowOff>171449</xdr:rowOff>
    </xdr:from>
    <xdr:to>
      <xdr:col>19</xdr:col>
      <xdr:colOff>1219200</xdr:colOff>
      <xdr:row>12</xdr:row>
      <xdr:rowOff>1003299</xdr:rowOff>
    </xdr:to>
    <xdr:sp macro="" textlink="">
      <xdr:nvSpPr>
        <xdr:cNvPr id="172" name="Rechteck 171">
          <a:extLst>
            <a:ext uri="{FF2B5EF4-FFF2-40B4-BE49-F238E27FC236}">
              <a16:creationId xmlns:a16="http://schemas.microsoft.com/office/drawing/2014/main" id="{4FD4DD99-4767-497D-9911-9C64FF690461}"/>
            </a:ext>
          </a:extLst>
        </xdr:cNvPr>
        <xdr:cNvSpPr/>
      </xdr:nvSpPr>
      <xdr:spPr>
        <a:xfrm>
          <a:off x="13693775" y="5448299"/>
          <a:ext cx="984250" cy="828675"/>
        </a:xfrm>
        <a:prstGeom prst="rect">
          <a:avLst/>
        </a:prstGeom>
        <a:noFill/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oneCellAnchor>
    <xdr:from>
      <xdr:col>19</xdr:col>
      <xdr:colOff>523875</xdr:colOff>
      <xdr:row>12</xdr:row>
      <xdr:rowOff>377825</xdr:rowOff>
    </xdr:from>
    <xdr:ext cx="407740" cy="374141"/>
    <xdr:sp macro="" textlink="">
      <xdr:nvSpPr>
        <xdr:cNvPr id="173" name="Textfeld 172">
          <a:extLst>
            <a:ext uri="{FF2B5EF4-FFF2-40B4-BE49-F238E27FC236}">
              <a16:creationId xmlns:a16="http://schemas.microsoft.com/office/drawing/2014/main" id="{5B4C0301-2731-40F2-BB18-BDC534CCC5A0}"/>
            </a:ext>
          </a:extLst>
        </xdr:cNvPr>
        <xdr:cNvSpPr txBox="1"/>
      </xdr:nvSpPr>
      <xdr:spPr>
        <a:xfrm>
          <a:off x="13979525" y="5654675"/>
          <a:ext cx="407740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de-CH" sz="1800"/>
            <a:t>S3</a:t>
          </a:r>
        </a:p>
      </xdr:txBody>
    </xdr:sp>
    <xdr:clientData/>
  </xdr:oneCellAnchor>
  <xdr:twoCellAnchor>
    <xdr:from>
      <xdr:col>20</xdr:col>
      <xdr:colOff>238125</xdr:colOff>
      <xdr:row>12</xdr:row>
      <xdr:rowOff>171449</xdr:rowOff>
    </xdr:from>
    <xdr:to>
      <xdr:col>20</xdr:col>
      <xdr:colOff>1219200</xdr:colOff>
      <xdr:row>12</xdr:row>
      <xdr:rowOff>1003299</xdr:rowOff>
    </xdr:to>
    <xdr:sp macro="" textlink="">
      <xdr:nvSpPr>
        <xdr:cNvPr id="174" name="Rechteck 173">
          <a:extLst>
            <a:ext uri="{FF2B5EF4-FFF2-40B4-BE49-F238E27FC236}">
              <a16:creationId xmlns:a16="http://schemas.microsoft.com/office/drawing/2014/main" id="{C80968CC-5872-4CCF-BA46-0606A4BAA9D8}"/>
            </a:ext>
          </a:extLst>
        </xdr:cNvPr>
        <xdr:cNvSpPr/>
      </xdr:nvSpPr>
      <xdr:spPr>
        <a:xfrm>
          <a:off x="13693775" y="5448299"/>
          <a:ext cx="984250" cy="828675"/>
        </a:xfrm>
        <a:prstGeom prst="rect">
          <a:avLst/>
        </a:prstGeom>
        <a:noFill/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oneCellAnchor>
    <xdr:from>
      <xdr:col>20</xdr:col>
      <xdr:colOff>523875</xdr:colOff>
      <xdr:row>12</xdr:row>
      <xdr:rowOff>377825</xdr:rowOff>
    </xdr:from>
    <xdr:ext cx="407740" cy="374141"/>
    <xdr:sp macro="" textlink="">
      <xdr:nvSpPr>
        <xdr:cNvPr id="175" name="Textfeld 174">
          <a:extLst>
            <a:ext uri="{FF2B5EF4-FFF2-40B4-BE49-F238E27FC236}">
              <a16:creationId xmlns:a16="http://schemas.microsoft.com/office/drawing/2014/main" id="{EAE2BF81-9A64-4BA5-90A5-E47A1C070A63}"/>
            </a:ext>
          </a:extLst>
        </xdr:cNvPr>
        <xdr:cNvSpPr txBox="1"/>
      </xdr:nvSpPr>
      <xdr:spPr>
        <a:xfrm>
          <a:off x="13979525" y="5654675"/>
          <a:ext cx="407740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de-CH" sz="1800"/>
            <a:t>S3</a:t>
          </a:r>
        </a:p>
      </xdr:txBody>
    </xdr:sp>
    <xdr:clientData/>
  </xdr:oneCellAnchor>
  <xdr:twoCellAnchor>
    <xdr:from>
      <xdr:col>19</xdr:col>
      <xdr:colOff>238125</xdr:colOff>
      <xdr:row>13</xdr:row>
      <xdr:rowOff>171449</xdr:rowOff>
    </xdr:from>
    <xdr:to>
      <xdr:col>19</xdr:col>
      <xdr:colOff>1219200</xdr:colOff>
      <xdr:row>13</xdr:row>
      <xdr:rowOff>1003299</xdr:rowOff>
    </xdr:to>
    <xdr:sp macro="" textlink="">
      <xdr:nvSpPr>
        <xdr:cNvPr id="176" name="Rechteck 175">
          <a:extLst>
            <a:ext uri="{FF2B5EF4-FFF2-40B4-BE49-F238E27FC236}">
              <a16:creationId xmlns:a16="http://schemas.microsoft.com/office/drawing/2014/main" id="{17E24DD1-99AB-4BC4-A6E5-B14E00C3DED4}"/>
            </a:ext>
          </a:extLst>
        </xdr:cNvPr>
        <xdr:cNvSpPr/>
      </xdr:nvSpPr>
      <xdr:spPr>
        <a:xfrm>
          <a:off x="13693775" y="5448299"/>
          <a:ext cx="984250" cy="828675"/>
        </a:xfrm>
        <a:prstGeom prst="rect">
          <a:avLst/>
        </a:prstGeom>
        <a:noFill/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oneCellAnchor>
    <xdr:from>
      <xdr:col>19</xdr:col>
      <xdr:colOff>523875</xdr:colOff>
      <xdr:row>13</xdr:row>
      <xdr:rowOff>377825</xdr:rowOff>
    </xdr:from>
    <xdr:ext cx="407740" cy="374141"/>
    <xdr:sp macro="" textlink="">
      <xdr:nvSpPr>
        <xdr:cNvPr id="177" name="Textfeld 176">
          <a:extLst>
            <a:ext uri="{FF2B5EF4-FFF2-40B4-BE49-F238E27FC236}">
              <a16:creationId xmlns:a16="http://schemas.microsoft.com/office/drawing/2014/main" id="{FD09ADFB-E9EE-4E9E-BCB0-5AD24D024FE7}"/>
            </a:ext>
          </a:extLst>
        </xdr:cNvPr>
        <xdr:cNvSpPr txBox="1"/>
      </xdr:nvSpPr>
      <xdr:spPr>
        <a:xfrm>
          <a:off x="13979525" y="5654675"/>
          <a:ext cx="407740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de-CH" sz="1800"/>
            <a:t>S3</a:t>
          </a:r>
        </a:p>
      </xdr:txBody>
    </xdr:sp>
    <xdr:clientData/>
  </xdr:oneCellAnchor>
  <xdr:oneCellAnchor>
    <xdr:from>
      <xdr:col>17</xdr:col>
      <xdr:colOff>95250</xdr:colOff>
      <xdr:row>13</xdr:row>
      <xdr:rowOff>257175</xdr:rowOff>
    </xdr:from>
    <xdr:ext cx="1235788" cy="546368"/>
    <xdr:sp macro="" textlink="">
      <xdr:nvSpPr>
        <xdr:cNvPr id="184" name="Textfeld 183">
          <a:extLst>
            <a:ext uri="{FF2B5EF4-FFF2-40B4-BE49-F238E27FC236}">
              <a16:creationId xmlns:a16="http://schemas.microsoft.com/office/drawing/2014/main" id="{64DFA6F8-8814-5860-BB53-F10916C10BD7}"/>
            </a:ext>
          </a:extLst>
        </xdr:cNvPr>
        <xdr:cNvSpPr txBox="1"/>
      </xdr:nvSpPr>
      <xdr:spPr>
        <a:xfrm>
          <a:off x="19259550" y="6696075"/>
          <a:ext cx="1235788" cy="54636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lang="de-CH" sz="1800"/>
            <a:t>1 x RJ45</a:t>
          </a:r>
          <a:br>
            <a:rPr lang="de-CH" sz="1800"/>
          </a:br>
          <a:r>
            <a:rPr lang="de-CH" sz="1100"/>
            <a:t>schräg</a:t>
          </a:r>
          <a:r>
            <a:rPr lang="de-CH" sz="1100" baseline="0"/>
            <a:t> nach unten</a:t>
          </a:r>
          <a:endParaRPr lang="de-CH" sz="1800"/>
        </a:p>
      </xdr:txBody>
    </xdr:sp>
    <xdr:clientData/>
  </xdr:oneCellAnchor>
  <xdr:twoCellAnchor>
    <xdr:from>
      <xdr:col>20</xdr:col>
      <xdr:colOff>676275</xdr:colOff>
      <xdr:row>13</xdr:row>
      <xdr:rowOff>723900</xdr:rowOff>
    </xdr:from>
    <xdr:to>
      <xdr:col>20</xdr:col>
      <xdr:colOff>781050</xdr:colOff>
      <xdr:row>13</xdr:row>
      <xdr:rowOff>819150</xdr:rowOff>
    </xdr:to>
    <xdr:sp macro="" textlink="">
      <xdr:nvSpPr>
        <xdr:cNvPr id="185" name="Ellipse 184">
          <a:extLst>
            <a:ext uri="{FF2B5EF4-FFF2-40B4-BE49-F238E27FC236}">
              <a16:creationId xmlns:a16="http://schemas.microsoft.com/office/drawing/2014/main" id="{89585711-A233-491A-9231-659BC4D468D0}"/>
            </a:ext>
          </a:extLst>
        </xdr:cNvPr>
        <xdr:cNvSpPr/>
      </xdr:nvSpPr>
      <xdr:spPr>
        <a:xfrm>
          <a:off x="16208375" y="8324850"/>
          <a:ext cx="107950" cy="9525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20</xdr:col>
      <xdr:colOff>425450</xdr:colOff>
      <xdr:row>13</xdr:row>
      <xdr:rowOff>542925</xdr:rowOff>
    </xdr:from>
    <xdr:to>
      <xdr:col>20</xdr:col>
      <xdr:colOff>533400</xdr:colOff>
      <xdr:row>13</xdr:row>
      <xdr:rowOff>638175</xdr:rowOff>
    </xdr:to>
    <xdr:sp macro="" textlink="">
      <xdr:nvSpPr>
        <xdr:cNvPr id="186" name="Ellipse 185">
          <a:extLst>
            <a:ext uri="{FF2B5EF4-FFF2-40B4-BE49-F238E27FC236}">
              <a16:creationId xmlns:a16="http://schemas.microsoft.com/office/drawing/2014/main" id="{A8A57911-8E67-475E-86CA-14E7C7BB8AD5}"/>
            </a:ext>
          </a:extLst>
        </xdr:cNvPr>
        <xdr:cNvSpPr/>
      </xdr:nvSpPr>
      <xdr:spPr>
        <a:xfrm>
          <a:off x="15963900" y="8140700"/>
          <a:ext cx="104775" cy="9525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20</xdr:col>
      <xdr:colOff>923925</xdr:colOff>
      <xdr:row>13</xdr:row>
      <xdr:rowOff>549275</xdr:rowOff>
    </xdr:from>
    <xdr:to>
      <xdr:col>20</xdr:col>
      <xdr:colOff>1028700</xdr:colOff>
      <xdr:row>13</xdr:row>
      <xdr:rowOff>644525</xdr:rowOff>
    </xdr:to>
    <xdr:sp macro="" textlink="">
      <xdr:nvSpPr>
        <xdr:cNvPr id="187" name="Ellipse 186">
          <a:extLst>
            <a:ext uri="{FF2B5EF4-FFF2-40B4-BE49-F238E27FC236}">
              <a16:creationId xmlns:a16="http://schemas.microsoft.com/office/drawing/2014/main" id="{0152BD55-2B45-4F87-BDE4-A48EF3FC735B}"/>
            </a:ext>
          </a:extLst>
        </xdr:cNvPr>
        <xdr:cNvSpPr/>
      </xdr:nvSpPr>
      <xdr:spPr>
        <a:xfrm>
          <a:off x="16456025" y="8150225"/>
          <a:ext cx="107950" cy="9525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16</xdr:col>
      <xdr:colOff>676275</xdr:colOff>
      <xdr:row>14</xdr:row>
      <xdr:rowOff>723900</xdr:rowOff>
    </xdr:from>
    <xdr:to>
      <xdr:col>16</xdr:col>
      <xdr:colOff>781050</xdr:colOff>
      <xdr:row>14</xdr:row>
      <xdr:rowOff>819150</xdr:rowOff>
    </xdr:to>
    <xdr:sp macro="" textlink="">
      <xdr:nvSpPr>
        <xdr:cNvPr id="188" name="Ellipse 187">
          <a:extLst>
            <a:ext uri="{FF2B5EF4-FFF2-40B4-BE49-F238E27FC236}">
              <a16:creationId xmlns:a16="http://schemas.microsoft.com/office/drawing/2014/main" id="{6FFCABB2-B716-4193-A236-973A76CEE342}"/>
            </a:ext>
          </a:extLst>
        </xdr:cNvPr>
        <xdr:cNvSpPr/>
      </xdr:nvSpPr>
      <xdr:spPr>
        <a:xfrm>
          <a:off x="16208375" y="8324850"/>
          <a:ext cx="107950" cy="9525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16</xdr:col>
      <xdr:colOff>425450</xdr:colOff>
      <xdr:row>14</xdr:row>
      <xdr:rowOff>542925</xdr:rowOff>
    </xdr:from>
    <xdr:to>
      <xdr:col>16</xdr:col>
      <xdr:colOff>533400</xdr:colOff>
      <xdr:row>14</xdr:row>
      <xdr:rowOff>638175</xdr:rowOff>
    </xdr:to>
    <xdr:sp macro="" textlink="">
      <xdr:nvSpPr>
        <xdr:cNvPr id="189" name="Ellipse 188">
          <a:extLst>
            <a:ext uri="{FF2B5EF4-FFF2-40B4-BE49-F238E27FC236}">
              <a16:creationId xmlns:a16="http://schemas.microsoft.com/office/drawing/2014/main" id="{4CE6AF49-5BF8-45C7-8EA8-272048BDBF89}"/>
            </a:ext>
          </a:extLst>
        </xdr:cNvPr>
        <xdr:cNvSpPr/>
      </xdr:nvSpPr>
      <xdr:spPr>
        <a:xfrm>
          <a:off x="15963900" y="8140700"/>
          <a:ext cx="104775" cy="9525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16</xdr:col>
      <xdr:colOff>923925</xdr:colOff>
      <xdr:row>14</xdr:row>
      <xdr:rowOff>549275</xdr:rowOff>
    </xdr:from>
    <xdr:to>
      <xdr:col>16</xdr:col>
      <xdr:colOff>1028700</xdr:colOff>
      <xdr:row>14</xdr:row>
      <xdr:rowOff>644525</xdr:rowOff>
    </xdr:to>
    <xdr:sp macro="" textlink="">
      <xdr:nvSpPr>
        <xdr:cNvPr id="190" name="Ellipse 189">
          <a:extLst>
            <a:ext uri="{FF2B5EF4-FFF2-40B4-BE49-F238E27FC236}">
              <a16:creationId xmlns:a16="http://schemas.microsoft.com/office/drawing/2014/main" id="{FF4E3CA2-FD26-4139-A987-A7B86A8A51E6}"/>
            </a:ext>
          </a:extLst>
        </xdr:cNvPr>
        <xdr:cNvSpPr/>
      </xdr:nvSpPr>
      <xdr:spPr>
        <a:xfrm>
          <a:off x="16456025" y="8150225"/>
          <a:ext cx="107950" cy="9525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16</xdr:col>
      <xdr:colOff>676275</xdr:colOff>
      <xdr:row>14</xdr:row>
      <xdr:rowOff>723900</xdr:rowOff>
    </xdr:from>
    <xdr:to>
      <xdr:col>16</xdr:col>
      <xdr:colOff>781050</xdr:colOff>
      <xdr:row>14</xdr:row>
      <xdr:rowOff>819150</xdr:rowOff>
    </xdr:to>
    <xdr:sp macro="" textlink="">
      <xdr:nvSpPr>
        <xdr:cNvPr id="191" name="Ellipse 190">
          <a:extLst>
            <a:ext uri="{FF2B5EF4-FFF2-40B4-BE49-F238E27FC236}">
              <a16:creationId xmlns:a16="http://schemas.microsoft.com/office/drawing/2014/main" id="{005A90E8-8AB9-4CB6-9DDC-4BBBFB110970}"/>
            </a:ext>
          </a:extLst>
        </xdr:cNvPr>
        <xdr:cNvSpPr/>
      </xdr:nvSpPr>
      <xdr:spPr>
        <a:xfrm>
          <a:off x="16208375" y="8324850"/>
          <a:ext cx="107950" cy="9525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16</xdr:col>
      <xdr:colOff>425450</xdr:colOff>
      <xdr:row>14</xdr:row>
      <xdr:rowOff>542925</xdr:rowOff>
    </xdr:from>
    <xdr:to>
      <xdr:col>16</xdr:col>
      <xdr:colOff>533400</xdr:colOff>
      <xdr:row>14</xdr:row>
      <xdr:rowOff>638175</xdr:rowOff>
    </xdr:to>
    <xdr:sp macro="" textlink="">
      <xdr:nvSpPr>
        <xdr:cNvPr id="192" name="Ellipse 191">
          <a:extLst>
            <a:ext uri="{FF2B5EF4-FFF2-40B4-BE49-F238E27FC236}">
              <a16:creationId xmlns:a16="http://schemas.microsoft.com/office/drawing/2014/main" id="{72EAEA08-09E4-479C-A168-8118B51568DE}"/>
            </a:ext>
          </a:extLst>
        </xdr:cNvPr>
        <xdr:cNvSpPr/>
      </xdr:nvSpPr>
      <xdr:spPr>
        <a:xfrm>
          <a:off x="15963900" y="8140700"/>
          <a:ext cx="104775" cy="9525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16</xdr:col>
      <xdr:colOff>923925</xdr:colOff>
      <xdr:row>14</xdr:row>
      <xdr:rowOff>549275</xdr:rowOff>
    </xdr:from>
    <xdr:to>
      <xdr:col>16</xdr:col>
      <xdr:colOff>1028700</xdr:colOff>
      <xdr:row>14</xdr:row>
      <xdr:rowOff>644525</xdr:rowOff>
    </xdr:to>
    <xdr:sp macro="" textlink="">
      <xdr:nvSpPr>
        <xdr:cNvPr id="193" name="Ellipse 192">
          <a:extLst>
            <a:ext uri="{FF2B5EF4-FFF2-40B4-BE49-F238E27FC236}">
              <a16:creationId xmlns:a16="http://schemas.microsoft.com/office/drawing/2014/main" id="{204CEFB2-2B85-44FA-BEC6-710E96454622}"/>
            </a:ext>
          </a:extLst>
        </xdr:cNvPr>
        <xdr:cNvSpPr/>
      </xdr:nvSpPr>
      <xdr:spPr>
        <a:xfrm>
          <a:off x="16456025" y="8150225"/>
          <a:ext cx="107950" cy="9525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17</xdr:col>
      <xdr:colOff>676275</xdr:colOff>
      <xdr:row>14</xdr:row>
      <xdr:rowOff>723900</xdr:rowOff>
    </xdr:from>
    <xdr:to>
      <xdr:col>17</xdr:col>
      <xdr:colOff>781050</xdr:colOff>
      <xdr:row>14</xdr:row>
      <xdr:rowOff>819150</xdr:rowOff>
    </xdr:to>
    <xdr:sp macro="" textlink="">
      <xdr:nvSpPr>
        <xdr:cNvPr id="194" name="Ellipse 193">
          <a:extLst>
            <a:ext uri="{FF2B5EF4-FFF2-40B4-BE49-F238E27FC236}">
              <a16:creationId xmlns:a16="http://schemas.microsoft.com/office/drawing/2014/main" id="{95EB11A3-D739-4B1F-B07C-97AC9AB84E70}"/>
            </a:ext>
          </a:extLst>
        </xdr:cNvPr>
        <xdr:cNvSpPr/>
      </xdr:nvSpPr>
      <xdr:spPr>
        <a:xfrm>
          <a:off x="18370550" y="8324850"/>
          <a:ext cx="107950" cy="9525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17</xdr:col>
      <xdr:colOff>425450</xdr:colOff>
      <xdr:row>14</xdr:row>
      <xdr:rowOff>542925</xdr:rowOff>
    </xdr:from>
    <xdr:to>
      <xdr:col>17</xdr:col>
      <xdr:colOff>533400</xdr:colOff>
      <xdr:row>14</xdr:row>
      <xdr:rowOff>638175</xdr:rowOff>
    </xdr:to>
    <xdr:sp macro="" textlink="">
      <xdr:nvSpPr>
        <xdr:cNvPr id="195" name="Ellipse 194">
          <a:extLst>
            <a:ext uri="{FF2B5EF4-FFF2-40B4-BE49-F238E27FC236}">
              <a16:creationId xmlns:a16="http://schemas.microsoft.com/office/drawing/2014/main" id="{C5547009-75DA-4AC2-862A-0695B64E435B}"/>
            </a:ext>
          </a:extLst>
        </xdr:cNvPr>
        <xdr:cNvSpPr/>
      </xdr:nvSpPr>
      <xdr:spPr>
        <a:xfrm>
          <a:off x="18126075" y="8140700"/>
          <a:ext cx="104775" cy="9525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17</xdr:col>
      <xdr:colOff>923925</xdr:colOff>
      <xdr:row>14</xdr:row>
      <xdr:rowOff>549275</xdr:rowOff>
    </xdr:from>
    <xdr:to>
      <xdr:col>17</xdr:col>
      <xdr:colOff>1028700</xdr:colOff>
      <xdr:row>14</xdr:row>
      <xdr:rowOff>644525</xdr:rowOff>
    </xdr:to>
    <xdr:sp macro="" textlink="">
      <xdr:nvSpPr>
        <xdr:cNvPr id="196" name="Ellipse 195">
          <a:extLst>
            <a:ext uri="{FF2B5EF4-FFF2-40B4-BE49-F238E27FC236}">
              <a16:creationId xmlns:a16="http://schemas.microsoft.com/office/drawing/2014/main" id="{E96A151F-77E6-43A7-9924-77DF0EE41539}"/>
            </a:ext>
          </a:extLst>
        </xdr:cNvPr>
        <xdr:cNvSpPr/>
      </xdr:nvSpPr>
      <xdr:spPr>
        <a:xfrm>
          <a:off x="18618200" y="8150225"/>
          <a:ext cx="107950" cy="9525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17</xdr:col>
      <xdr:colOff>676275</xdr:colOff>
      <xdr:row>14</xdr:row>
      <xdr:rowOff>723900</xdr:rowOff>
    </xdr:from>
    <xdr:to>
      <xdr:col>17</xdr:col>
      <xdr:colOff>781050</xdr:colOff>
      <xdr:row>14</xdr:row>
      <xdr:rowOff>819150</xdr:rowOff>
    </xdr:to>
    <xdr:sp macro="" textlink="">
      <xdr:nvSpPr>
        <xdr:cNvPr id="197" name="Ellipse 196">
          <a:extLst>
            <a:ext uri="{FF2B5EF4-FFF2-40B4-BE49-F238E27FC236}">
              <a16:creationId xmlns:a16="http://schemas.microsoft.com/office/drawing/2014/main" id="{CE6D83C8-AD3C-4173-ADD2-EB23F024E081}"/>
            </a:ext>
          </a:extLst>
        </xdr:cNvPr>
        <xdr:cNvSpPr/>
      </xdr:nvSpPr>
      <xdr:spPr>
        <a:xfrm>
          <a:off x="18370550" y="8324850"/>
          <a:ext cx="107950" cy="9525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17</xdr:col>
      <xdr:colOff>425450</xdr:colOff>
      <xdr:row>14</xdr:row>
      <xdr:rowOff>542925</xdr:rowOff>
    </xdr:from>
    <xdr:to>
      <xdr:col>17</xdr:col>
      <xdr:colOff>533400</xdr:colOff>
      <xdr:row>14</xdr:row>
      <xdr:rowOff>638175</xdr:rowOff>
    </xdr:to>
    <xdr:sp macro="" textlink="">
      <xdr:nvSpPr>
        <xdr:cNvPr id="198" name="Ellipse 197">
          <a:extLst>
            <a:ext uri="{FF2B5EF4-FFF2-40B4-BE49-F238E27FC236}">
              <a16:creationId xmlns:a16="http://schemas.microsoft.com/office/drawing/2014/main" id="{E8C07E0C-DB29-47F5-B771-E87228620E33}"/>
            </a:ext>
          </a:extLst>
        </xdr:cNvPr>
        <xdr:cNvSpPr/>
      </xdr:nvSpPr>
      <xdr:spPr>
        <a:xfrm>
          <a:off x="18126075" y="8140700"/>
          <a:ext cx="104775" cy="9525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17</xdr:col>
      <xdr:colOff>923925</xdr:colOff>
      <xdr:row>14</xdr:row>
      <xdr:rowOff>549275</xdr:rowOff>
    </xdr:from>
    <xdr:to>
      <xdr:col>17</xdr:col>
      <xdr:colOff>1028700</xdr:colOff>
      <xdr:row>14</xdr:row>
      <xdr:rowOff>644525</xdr:rowOff>
    </xdr:to>
    <xdr:sp macro="" textlink="">
      <xdr:nvSpPr>
        <xdr:cNvPr id="199" name="Ellipse 198">
          <a:extLst>
            <a:ext uri="{FF2B5EF4-FFF2-40B4-BE49-F238E27FC236}">
              <a16:creationId xmlns:a16="http://schemas.microsoft.com/office/drawing/2014/main" id="{1D19BA3A-DE1C-4C23-A34C-5C17983F6FF8}"/>
            </a:ext>
          </a:extLst>
        </xdr:cNvPr>
        <xdr:cNvSpPr/>
      </xdr:nvSpPr>
      <xdr:spPr>
        <a:xfrm>
          <a:off x="18618200" y="8150225"/>
          <a:ext cx="107950" cy="9525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14</xdr:col>
      <xdr:colOff>390525</xdr:colOff>
      <xdr:row>13</xdr:row>
      <xdr:rowOff>765175</xdr:rowOff>
    </xdr:from>
    <xdr:to>
      <xdr:col>14</xdr:col>
      <xdr:colOff>987425</xdr:colOff>
      <xdr:row>13</xdr:row>
      <xdr:rowOff>1041400</xdr:rowOff>
    </xdr:to>
    <xdr:grpSp>
      <xdr:nvGrpSpPr>
        <xdr:cNvPr id="4" name="Gruppieren 3">
          <a:extLst>
            <a:ext uri="{FF2B5EF4-FFF2-40B4-BE49-F238E27FC236}">
              <a16:creationId xmlns:a16="http://schemas.microsoft.com/office/drawing/2014/main" id="{D1360B46-E17A-F1E0-AF30-00B156F5E60C}"/>
            </a:ext>
          </a:extLst>
        </xdr:cNvPr>
        <xdr:cNvGrpSpPr/>
      </xdr:nvGrpSpPr>
      <xdr:grpSpPr>
        <a:xfrm>
          <a:off x="16003242" y="7275305"/>
          <a:ext cx="596900" cy="276225"/>
          <a:chOff x="6238875" y="2609850"/>
          <a:chExt cx="596900" cy="276225"/>
        </a:xfrm>
      </xdr:grpSpPr>
      <xdr:sp macro="" textlink="">
        <xdr:nvSpPr>
          <xdr:cNvPr id="6" name="Ellipse 5">
            <a:extLst>
              <a:ext uri="{FF2B5EF4-FFF2-40B4-BE49-F238E27FC236}">
                <a16:creationId xmlns:a16="http://schemas.microsoft.com/office/drawing/2014/main" id="{05DAAB15-6285-1738-826E-08BC2CA2267C}"/>
              </a:ext>
            </a:extLst>
          </xdr:cNvPr>
          <xdr:cNvSpPr/>
        </xdr:nvSpPr>
        <xdr:spPr>
          <a:xfrm>
            <a:off x="6483350" y="2790825"/>
            <a:ext cx="104775" cy="95250"/>
          </a:xfrm>
          <a:prstGeom prst="ellips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  <xdr:sp macro="" textlink="">
        <xdr:nvSpPr>
          <xdr:cNvPr id="57" name="Ellipse 56">
            <a:extLst>
              <a:ext uri="{FF2B5EF4-FFF2-40B4-BE49-F238E27FC236}">
                <a16:creationId xmlns:a16="http://schemas.microsoft.com/office/drawing/2014/main" id="{6A25047D-2466-644D-1645-1022E76100F4}"/>
              </a:ext>
            </a:extLst>
          </xdr:cNvPr>
          <xdr:cNvSpPr/>
        </xdr:nvSpPr>
        <xdr:spPr>
          <a:xfrm>
            <a:off x="6238875" y="2609850"/>
            <a:ext cx="101600" cy="95250"/>
          </a:xfrm>
          <a:prstGeom prst="ellips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  <xdr:sp macro="" textlink="">
        <xdr:nvSpPr>
          <xdr:cNvPr id="61" name="Ellipse 60">
            <a:extLst>
              <a:ext uri="{FF2B5EF4-FFF2-40B4-BE49-F238E27FC236}">
                <a16:creationId xmlns:a16="http://schemas.microsoft.com/office/drawing/2014/main" id="{5D807097-AAB7-C8AB-9F56-F93684BCBC9C}"/>
              </a:ext>
            </a:extLst>
          </xdr:cNvPr>
          <xdr:cNvSpPr/>
        </xdr:nvSpPr>
        <xdr:spPr>
          <a:xfrm>
            <a:off x="6731000" y="2616200"/>
            <a:ext cx="104775" cy="95250"/>
          </a:xfrm>
          <a:prstGeom prst="ellips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</xdr:grpSp>
    <xdr:clientData/>
  </xdr:twoCellAnchor>
  <xdr:twoCellAnchor>
    <xdr:from>
      <xdr:col>6</xdr:col>
      <xdr:colOff>133351</xdr:colOff>
      <xdr:row>20</xdr:row>
      <xdr:rowOff>133349</xdr:rowOff>
    </xdr:from>
    <xdr:to>
      <xdr:col>6</xdr:col>
      <xdr:colOff>1285876</xdr:colOff>
      <xdr:row>20</xdr:row>
      <xdr:rowOff>502478</xdr:rowOff>
    </xdr:to>
    <xdr:sp macro="" textlink="">
      <xdr:nvSpPr>
        <xdr:cNvPr id="62" name="Rechteck 61">
          <a:extLst>
            <a:ext uri="{FF2B5EF4-FFF2-40B4-BE49-F238E27FC236}">
              <a16:creationId xmlns:a16="http://schemas.microsoft.com/office/drawing/2014/main" id="{5D54416B-47A2-422C-BDE4-D8C14819AEE9}"/>
            </a:ext>
          </a:extLst>
        </xdr:cNvPr>
        <xdr:cNvSpPr/>
      </xdr:nvSpPr>
      <xdr:spPr>
        <a:xfrm>
          <a:off x="7311612" y="9901306"/>
          <a:ext cx="1152525" cy="369129"/>
        </a:xfrm>
        <a:prstGeom prst="rect">
          <a:avLst/>
        </a:prstGeom>
        <a:noFill/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6</xdr:col>
      <xdr:colOff>709614</xdr:colOff>
      <xdr:row>20</xdr:row>
      <xdr:rowOff>133349</xdr:rowOff>
    </xdr:from>
    <xdr:to>
      <xdr:col>6</xdr:col>
      <xdr:colOff>709614</xdr:colOff>
      <xdr:row>20</xdr:row>
      <xdr:rowOff>502478</xdr:rowOff>
    </xdr:to>
    <xdr:cxnSp macro="">
      <xdr:nvCxnSpPr>
        <xdr:cNvPr id="102" name="Gerader Verbinder 101">
          <a:extLst>
            <a:ext uri="{FF2B5EF4-FFF2-40B4-BE49-F238E27FC236}">
              <a16:creationId xmlns:a16="http://schemas.microsoft.com/office/drawing/2014/main" id="{FBC97FE4-8741-445F-A2BA-7A54697DCDB1}"/>
            </a:ext>
          </a:extLst>
        </xdr:cNvPr>
        <xdr:cNvCxnSpPr>
          <a:stCxn id="62" idx="0"/>
          <a:endCxn id="62" idx="2"/>
        </xdr:cNvCxnSpPr>
      </xdr:nvCxnSpPr>
      <xdr:spPr>
        <a:xfrm>
          <a:off x="7887875" y="9901306"/>
          <a:ext cx="0" cy="369129"/>
        </a:xfrm>
        <a:prstGeom prst="line">
          <a:avLst/>
        </a:prstGeom>
        <a:ln>
          <a:solidFill>
            <a:schemeClr val="tx1">
              <a:lumMod val="95000"/>
              <a:lumOff val="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6</xdr:col>
      <xdr:colOff>245165</xdr:colOff>
      <xdr:row>20</xdr:row>
      <xdr:rowOff>87382</xdr:rowOff>
    </xdr:from>
    <xdr:ext cx="407740" cy="374141"/>
    <xdr:sp macro="" textlink="">
      <xdr:nvSpPr>
        <xdr:cNvPr id="103" name="Textfeld 102">
          <a:extLst>
            <a:ext uri="{FF2B5EF4-FFF2-40B4-BE49-F238E27FC236}">
              <a16:creationId xmlns:a16="http://schemas.microsoft.com/office/drawing/2014/main" id="{29E1B8F3-997B-4440-9A2B-8A93AD13221E}"/>
            </a:ext>
          </a:extLst>
        </xdr:cNvPr>
        <xdr:cNvSpPr txBox="1"/>
      </xdr:nvSpPr>
      <xdr:spPr>
        <a:xfrm>
          <a:off x="7423426" y="9855339"/>
          <a:ext cx="407740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de-CH" sz="1800"/>
            <a:t>S3</a:t>
          </a:r>
        </a:p>
      </xdr:txBody>
    </xdr:sp>
    <xdr:clientData/>
  </xdr:oneCellAnchor>
  <xdr:oneCellAnchor>
    <xdr:from>
      <xdr:col>6</xdr:col>
      <xdr:colOff>801618</xdr:colOff>
      <xdr:row>20</xdr:row>
      <xdr:rowOff>99253</xdr:rowOff>
    </xdr:from>
    <xdr:ext cx="407740" cy="374141"/>
    <xdr:sp macro="" textlink="">
      <xdr:nvSpPr>
        <xdr:cNvPr id="104" name="Textfeld 103">
          <a:extLst>
            <a:ext uri="{FF2B5EF4-FFF2-40B4-BE49-F238E27FC236}">
              <a16:creationId xmlns:a16="http://schemas.microsoft.com/office/drawing/2014/main" id="{CD8B25C6-3FD0-4798-B642-27F968A76AAE}"/>
            </a:ext>
          </a:extLst>
        </xdr:cNvPr>
        <xdr:cNvSpPr txBox="1"/>
      </xdr:nvSpPr>
      <xdr:spPr>
        <a:xfrm>
          <a:off x="7979879" y="9867210"/>
          <a:ext cx="407740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de-CH" sz="1800"/>
            <a:t>S3</a:t>
          </a:r>
        </a:p>
      </xdr:txBody>
    </xdr:sp>
    <xdr:clientData/>
  </xdr:oneCellAnchor>
  <xdr:twoCellAnchor>
    <xdr:from>
      <xdr:col>6</xdr:col>
      <xdr:colOff>392044</xdr:colOff>
      <xdr:row>20</xdr:row>
      <xdr:rowOff>706783</xdr:rowOff>
    </xdr:from>
    <xdr:to>
      <xdr:col>6</xdr:col>
      <xdr:colOff>992119</xdr:colOff>
      <xdr:row>20</xdr:row>
      <xdr:rowOff>986183</xdr:rowOff>
    </xdr:to>
    <xdr:grpSp>
      <xdr:nvGrpSpPr>
        <xdr:cNvPr id="108" name="Gruppieren 107">
          <a:extLst>
            <a:ext uri="{FF2B5EF4-FFF2-40B4-BE49-F238E27FC236}">
              <a16:creationId xmlns:a16="http://schemas.microsoft.com/office/drawing/2014/main" id="{54E0C651-5B0E-486F-8B03-7F74FC97F43E}"/>
            </a:ext>
          </a:extLst>
        </xdr:cNvPr>
        <xdr:cNvGrpSpPr/>
      </xdr:nvGrpSpPr>
      <xdr:grpSpPr>
        <a:xfrm>
          <a:off x="7316305" y="10538240"/>
          <a:ext cx="600075" cy="279400"/>
          <a:chOff x="6238875" y="2609850"/>
          <a:chExt cx="596900" cy="276225"/>
        </a:xfrm>
      </xdr:grpSpPr>
      <xdr:sp macro="" textlink="">
        <xdr:nvSpPr>
          <xdr:cNvPr id="109" name="Ellipse 108">
            <a:extLst>
              <a:ext uri="{FF2B5EF4-FFF2-40B4-BE49-F238E27FC236}">
                <a16:creationId xmlns:a16="http://schemas.microsoft.com/office/drawing/2014/main" id="{9E148AE2-3F53-220E-C877-EAAC6883622E}"/>
              </a:ext>
            </a:extLst>
          </xdr:cNvPr>
          <xdr:cNvSpPr/>
        </xdr:nvSpPr>
        <xdr:spPr>
          <a:xfrm>
            <a:off x="6483350" y="2790825"/>
            <a:ext cx="104775" cy="95250"/>
          </a:xfrm>
          <a:prstGeom prst="ellips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  <xdr:sp macro="" textlink="">
        <xdr:nvSpPr>
          <xdr:cNvPr id="110" name="Ellipse 109">
            <a:extLst>
              <a:ext uri="{FF2B5EF4-FFF2-40B4-BE49-F238E27FC236}">
                <a16:creationId xmlns:a16="http://schemas.microsoft.com/office/drawing/2014/main" id="{9F474132-3B65-B3FB-0226-C0C223BEAC1B}"/>
              </a:ext>
            </a:extLst>
          </xdr:cNvPr>
          <xdr:cNvSpPr/>
        </xdr:nvSpPr>
        <xdr:spPr>
          <a:xfrm>
            <a:off x="6238875" y="2609850"/>
            <a:ext cx="101600" cy="95250"/>
          </a:xfrm>
          <a:prstGeom prst="ellips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  <xdr:sp macro="" textlink="">
        <xdr:nvSpPr>
          <xdr:cNvPr id="111" name="Ellipse 110">
            <a:extLst>
              <a:ext uri="{FF2B5EF4-FFF2-40B4-BE49-F238E27FC236}">
                <a16:creationId xmlns:a16="http://schemas.microsoft.com/office/drawing/2014/main" id="{266EF3B3-A01C-2F97-8A32-273C3B455E33}"/>
              </a:ext>
            </a:extLst>
          </xdr:cNvPr>
          <xdr:cNvSpPr/>
        </xdr:nvSpPr>
        <xdr:spPr>
          <a:xfrm>
            <a:off x="6731000" y="2616200"/>
            <a:ext cx="104775" cy="95250"/>
          </a:xfrm>
          <a:prstGeom prst="ellips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</xdr:grpSp>
    <xdr:clientData/>
  </xdr:twoCellAnchor>
  <xdr:twoCellAnchor>
    <xdr:from>
      <xdr:col>8</xdr:col>
      <xdr:colOff>133351</xdr:colOff>
      <xdr:row>20</xdr:row>
      <xdr:rowOff>133349</xdr:rowOff>
    </xdr:from>
    <xdr:to>
      <xdr:col>8</xdr:col>
      <xdr:colOff>1285876</xdr:colOff>
      <xdr:row>20</xdr:row>
      <xdr:rowOff>965199</xdr:rowOff>
    </xdr:to>
    <xdr:sp macro="" textlink="">
      <xdr:nvSpPr>
        <xdr:cNvPr id="112" name="Rechteck 111">
          <a:extLst>
            <a:ext uri="{FF2B5EF4-FFF2-40B4-BE49-F238E27FC236}">
              <a16:creationId xmlns:a16="http://schemas.microsoft.com/office/drawing/2014/main" id="{C20F6D44-A049-42E0-8B78-2186E00E5BDA}"/>
            </a:ext>
          </a:extLst>
        </xdr:cNvPr>
        <xdr:cNvSpPr/>
      </xdr:nvSpPr>
      <xdr:spPr>
        <a:xfrm>
          <a:off x="7311612" y="5401088"/>
          <a:ext cx="1152525" cy="831850"/>
        </a:xfrm>
        <a:prstGeom prst="rect">
          <a:avLst/>
        </a:prstGeom>
        <a:noFill/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8</xdr:col>
      <xdr:colOff>708026</xdr:colOff>
      <xdr:row>20</xdr:row>
      <xdr:rowOff>133349</xdr:rowOff>
    </xdr:from>
    <xdr:to>
      <xdr:col>8</xdr:col>
      <xdr:colOff>708026</xdr:colOff>
      <xdr:row>20</xdr:row>
      <xdr:rowOff>962024</xdr:rowOff>
    </xdr:to>
    <xdr:cxnSp macro="">
      <xdr:nvCxnSpPr>
        <xdr:cNvPr id="113" name="Gerader Verbinder 112">
          <a:extLst>
            <a:ext uri="{FF2B5EF4-FFF2-40B4-BE49-F238E27FC236}">
              <a16:creationId xmlns:a16="http://schemas.microsoft.com/office/drawing/2014/main" id="{538008C6-ADFC-4783-85DD-0B11C5BF5D35}"/>
            </a:ext>
          </a:extLst>
        </xdr:cNvPr>
        <xdr:cNvCxnSpPr>
          <a:stCxn id="112" idx="0"/>
          <a:endCxn id="112" idx="2"/>
        </xdr:cNvCxnSpPr>
      </xdr:nvCxnSpPr>
      <xdr:spPr>
        <a:xfrm>
          <a:off x="7886287" y="5401088"/>
          <a:ext cx="0" cy="828675"/>
        </a:xfrm>
        <a:prstGeom prst="line">
          <a:avLst/>
        </a:prstGeom>
        <a:ln>
          <a:solidFill>
            <a:schemeClr val="tx1">
              <a:lumMod val="95000"/>
              <a:lumOff val="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228600</xdr:colOff>
      <xdr:row>20</xdr:row>
      <xdr:rowOff>352425</xdr:rowOff>
    </xdr:from>
    <xdr:ext cx="407740" cy="374141"/>
    <xdr:sp macro="" textlink="">
      <xdr:nvSpPr>
        <xdr:cNvPr id="114" name="Textfeld 113">
          <a:extLst>
            <a:ext uri="{FF2B5EF4-FFF2-40B4-BE49-F238E27FC236}">
              <a16:creationId xmlns:a16="http://schemas.microsoft.com/office/drawing/2014/main" id="{29D804AE-3604-4A0D-9E8E-245EF22FDD13}"/>
            </a:ext>
          </a:extLst>
        </xdr:cNvPr>
        <xdr:cNvSpPr txBox="1"/>
      </xdr:nvSpPr>
      <xdr:spPr>
        <a:xfrm>
          <a:off x="7406861" y="5620164"/>
          <a:ext cx="407740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de-CH" sz="1800"/>
            <a:t>S3</a:t>
          </a:r>
        </a:p>
      </xdr:txBody>
    </xdr:sp>
    <xdr:clientData/>
  </xdr:oneCellAnchor>
  <xdr:oneCellAnchor>
    <xdr:from>
      <xdr:col>8</xdr:col>
      <xdr:colOff>790575</xdr:colOff>
      <xdr:row>20</xdr:row>
      <xdr:rowOff>358775</xdr:rowOff>
    </xdr:from>
    <xdr:ext cx="407740" cy="374141"/>
    <xdr:sp macro="" textlink="">
      <xdr:nvSpPr>
        <xdr:cNvPr id="115" name="Textfeld 114">
          <a:extLst>
            <a:ext uri="{FF2B5EF4-FFF2-40B4-BE49-F238E27FC236}">
              <a16:creationId xmlns:a16="http://schemas.microsoft.com/office/drawing/2014/main" id="{3C32F5CD-28EB-4574-AA24-21CEEBEB943D}"/>
            </a:ext>
          </a:extLst>
        </xdr:cNvPr>
        <xdr:cNvSpPr txBox="1"/>
      </xdr:nvSpPr>
      <xdr:spPr>
        <a:xfrm>
          <a:off x="7968836" y="5626514"/>
          <a:ext cx="407740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de-CH" sz="1800"/>
            <a:t>S3</a:t>
          </a:r>
        </a:p>
      </xdr:txBody>
    </xdr:sp>
    <xdr:clientData/>
  </xdr:oneCellAnchor>
  <xdr:twoCellAnchor>
    <xdr:from>
      <xdr:col>8</xdr:col>
      <xdr:colOff>133351</xdr:colOff>
      <xdr:row>21</xdr:row>
      <xdr:rowOff>133349</xdr:rowOff>
    </xdr:from>
    <xdr:to>
      <xdr:col>8</xdr:col>
      <xdr:colOff>1285876</xdr:colOff>
      <xdr:row>21</xdr:row>
      <xdr:rowOff>502478</xdr:rowOff>
    </xdr:to>
    <xdr:sp macro="" textlink="">
      <xdr:nvSpPr>
        <xdr:cNvPr id="116" name="Rechteck 115">
          <a:extLst>
            <a:ext uri="{FF2B5EF4-FFF2-40B4-BE49-F238E27FC236}">
              <a16:creationId xmlns:a16="http://schemas.microsoft.com/office/drawing/2014/main" id="{62ED6BEC-D344-4416-BAED-E60816130BFD}"/>
            </a:ext>
          </a:extLst>
        </xdr:cNvPr>
        <xdr:cNvSpPr/>
      </xdr:nvSpPr>
      <xdr:spPr>
        <a:xfrm>
          <a:off x="7311612" y="9901306"/>
          <a:ext cx="1152525" cy="369129"/>
        </a:xfrm>
        <a:prstGeom prst="rect">
          <a:avLst/>
        </a:prstGeom>
        <a:noFill/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8</xdr:col>
      <xdr:colOff>709614</xdr:colOff>
      <xdr:row>21</xdr:row>
      <xdr:rowOff>133349</xdr:rowOff>
    </xdr:from>
    <xdr:to>
      <xdr:col>8</xdr:col>
      <xdr:colOff>709614</xdr:colOff>
      <xdr:row>21</xdr:row>
      <xdr:rowOff>502478</xdr:rowOff>
    </xdr:to>
    <xdr:cxnSp macro="">
      <xdr:nvCxnSpPr>
        <xdr:cNvPr id="117" name="Gerader Verbinder 116">
          <a:extLst>
            <a:ext uri="{FF2B5EF4-FFF2-40B4-BE49-F238E27FC236}">
              <a16:creationId xmlns:a16="http://schemas.microsoft.com/office/drawing/2014/main" id="{74B76969-1700-40FC-9F63-E7E32FFC2B94}"/>
            </a:ext>
          </a:extLst>
        </xdr:cNvPr>
        <xdr:cNvCxnSpPr>
          <a:stCxn id="116" idx="0"/>
          <a:endCxn id="116" idx="2"/>
        </xdr:cNvCxnSpPr>
      </xdr:nvCxnSpPr>
      <xdr:spPr>
        <a:xfrm>
          <a:off x="7887875" y="9901306"/>
          <a:ext cx="0" cy="369129"/>
        </a:xfrm>
        <a:prstGeom prst="line">
          <a:avLst/>
        </a:prstGeom>
        <a:ln>
          <a:solidFill>
            <a:schemeClr val="tx1">
              <a:lumMod val="95000"/>
              <a:lumOff val="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245165</xdr:colOff>
      <xdr:row>21</xdr:row>
      <xdr:rowOff>87382</xdr:rowOff>
    </xdr:from>
    <xdr:ext cx="407740" cy="374141"/>
    <xdr:sp macro="" textlink="">
      <xdr:nvSpPr>
        <xdr:cNvPr id="118" name="Textfeld 117">
          <a:extLst>
            <a:ext uri="{FF2B5EF4-FFF2-40B4-BE49-F238E27FC236}">
              <a16:creationId xmlns:a16="http://schemas.microsoft.com/office/drawing/2014/main" id="{A2359F5F-3A37-44E2-A02F-B3DAF76BFDA6}"/>
            </a:ext>
          </a:extLst>
        </xdr:cNvPr>
        <xdr:cNvSpPr txBox="1"/>
      </xdr:nvSpPr>
      <xdr:spPr>
        <a:xfrm>
          <a:off x="7423426" y="9855339"/>
          <a:ext cx="407740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de-CH" sz="1800"/>
            <a:t>S3</a:t>
          </a:r>
        </a:p>
      </xdr:txBody>
    </xdr:sp>
    <xdr:clientData/>
  </xdr:oneCellAnchor>
  <xdr:oneCellAnchor>
    <xdr:from>
      <xdr:col>8</xdr:col>
      <xdr:colOff>801618</xdr:colOff>
      <xdr:row>21</xdr:row>
      <xdr:rowOff>99253</xdr:rowOff>
    </xdr:from>
    <xdr:ext cx="407740" cy="374141"/>
    <xdr:sp macro="" textlink="">
      <xdr:nvSpPr>
        <xdr:cNvPr id="133" name="Textfeld 132">
          <a:extLst>
            <a:ext uri="{FF2B5EF4-FFF2-40B4-BE49-F238E27FC236}">
              <a16:creationId xmlns:a16="http://schemas.microsoft.com/office/drawing/2014/main" id="{0F9E8FE2-CE30-4429-83A4-3A28CE6B08F2}"/>
            </a:ext>
          </a:extLst>
        </xdr:cNvPr>
        <xdr:cNvSpPr txBox="1"/>
      </xdr:nvSpPr>
      <xdr:spPr>
        <a:xfrm>
          <a:off x="7979879" y="9867210"/>
          <a:ext cx="407740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de-CH" sz="1800"/>
            <a:t>S3</a:t>
          </a:r>
        </a:p>
      </xdr:txBody>
    </xdr:sp>
    <xdr:clientData/>
  </xdr:oneCellAnchor>
  <xdr:twoCellAnchor>
    <xdr:from>
      <xdr:col>8</xdr:col>
      <xdr:colOff>397566</xdr:colOff>
      <xdr:row>21</xdr:row>
      <xdr:rowOff>717827</xdr:rowOff>
    </xdr:from>
    <xdr:to>
      <xdr:col>8</xdr:col>
      <xdr:colOff>997641</xdr:colOff>
      <xdr:row>21</xdr:row>
      <xdr:rowOff>997227</xdr:rowOff>
    </xdr:to>
    <xdr:grpSp>
      <xdr:nvGrpSpPr>
        <xdr:cNvPr id="138" name="Gruppieren 137">
          <a:extLst>
            <a:ext uri="{FF2B5EF4-FFF2-40B4-BE49-F238E27FC236}">
              <a16:creationId xmlns:a16="http://schemas.microsoft.com/office/drawing/2014/main" id="{661C803B-8BFE-5535-800A-9FA89D5C2466}"/>
            </a:ext>
          </a:extLst>
        </xdr:cNvPr>
        <xdr:cNvGrpSpPr/>
      </xdr:nvGrpSpPr>
      <xdr:grpSpPr>
        <a:xfrm>
          <a:off x="9309653" y="11775110"/>
          <a:ext cx="600075" cy="279400"/>
          <a:chOff x="6238875" y="2609850"/>
          <a:chExt cx="596900" cy="276225"/>
        </a:xfrm>
      </xdr:grpSpPr>
      <xdr:sp macro="" textlink="">
        <xdr:nvSpPr>
          <xdr:cNvPr id="139" name="Ellipse 138">
            <a:extLst>
              <a:ext uri="{FF2B5EF4-FFF2-40B4-BE49-F238E27FC236}">
                <a16:creationId xmlns:a16="http://schemas.microsoft.com/office/drawing/2014/main" id="{E8E35827-6D0A-3CDD-8DCE-57815B2233EC}"/>
              </a:ext>
            </a:extLst>
          </xdr:cNvPr>
          <xdr:cNvSpPr/>
        </xdr:nvSpPr>
        <xdr:spPr>
          <a:xfrm>
            <a:off x="6483350" y="2790825"/>
            <a:ext cx="104775" cy="95250"/>
          </a:xfrm>
          <a:prstGeom prst="ellips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  <xdr:sp macro="" textlink="">
        <xdr:nvSpPr>
          <xdr:cNvPr id="140" name="Ellipse 139">
            <a:extLst>
              <a:ext uri="{FF2B5EF4-FFF2-40B4-BE49-F238E27FC236}">
                <a16:creationId xmlns:a16="http://schemas.microsoft.com/office/drawing/2014/main" id="{8F7D1BCB-2BD0-371D-173A-61AE9FFB67DC}"/>
              </a:ext>
            </a:extLst>
          </xdr:cNvPr>
          <xdr:cNvSpPr/>
        </xdr:nvSpPr>
        <xdr:spPr>
          <a:xfrm>
            <a:off x="6238875" y="2609850"/>
            <a:ext cx="101600" cy="95250"/>
          </a:xfrm>
          <a:prstGeom prst="ellips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  <xdr:sp macro="" textlink="">
        <xdr:nvSpPr>
          <xdr:cNvPr id="160" name="Ellipse 159">
            <a:extLst>
              <a:ext uri="{FF2B5EF4-FFF2-40B4-BE49-F238E27FC236}">
                <a16:creationId xmlns:a16="http://schemas.microsoft.com/office/drawing/2014/main" id="{3DEF05C2-6A6C-2E9C-097B-D911D25D6180}"/>
              </a:ext>
            </a:extLst>
          </xdr:cNvPr>
          <xdr:cNvSpPr/>
        </xdr:nvSpPr>
        <xdr:spPr>
          <a:xfrm>
            <a:off x="6731000" y="2616200"/>
            <a:ext cx="104775" cy="95250"/>
          </a:xfrm>
          <a:prstGeom prst="ellips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</xdr:grpSp>
    <xdr:clientData/>
  </xdr:twoCellAnchor>
  <xdr:twoCellAnchor>
    <xdr:from>
      <xdr:col>2</xdr:col>
      <xdr:colOff>215900</xdr:colOff>
      <xdr:row>20</xdr:row>
      <xdr:rowOff>171449</xdr:rowOff>
    </xdr:from>
    <xdr:to>
      <xdr:col>2</xdr:col>
      <xdr:colOff>1200150</xdr:colOff>
      <xdr:row>20</xdr:row>
      <xdr:rowOff>577850</xdr:rowOff>
    </xdr:to>
    <xdr:sp macro="" textlink="">
      <xdr:nvSpPr>
        <xdr:cNvPr id="161" name="Rechteck 160">
          <a:extLst>
            <a:ext uri="{FF2B5EF4-FFF2-40B4-BE49-F238E27FC236}">
              <a16:creationId xmlns:a16="http://schemas.microsoft.com/office/drawing/2014/main" id="{9A1F6B3A-D5A6-4219-8D53-60E23534188D}"/>
            </a:ext>
          </a:extLst>
        </xdr:cNvPr>
        <xdr:cNvSpPr/>
      </xdr:nvSpPr>
      <xdr:spPr>
        <a:xfrm>
          <a:off x="1739900" y="9944927"/>
          <a:ext cx="984250" cy="406401"/>
        </a:xfrm>
        <a:prstGeom prst="rect">
          <a:avLst/>
        </a:prstGeom>
        <a:noFill/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406400</xdr:colOff>
      <xdr:row>20</xdr:row>
      <xdr:rowOff>777875</xdr:rowOff>
    </xdr:from>
    <xdr:to>
      <xdr:col>2</xdr:col>
      <xdr:colOff>1006475</xdr:colOff>
      <xdr:row>20</xdr:row>
      <xdr:rowOff>1057275</xdr:rowOff>
    </xdr:to>
    <xdr:grpSp>
      <xdr:nvGrpSpPr>
        <xdr:cNvPr id="162" name="Gruppieren 161">
          <a:extLst>
            <a:ext uri="{FF2B5EF4-FFF2-40B4-BE49-F238E27FC236}">
              <a16:creationId xmlns:a16="http://schemas.microsoft.com/office/drawing/2014/main" id="{6A8D0FF5-E9EB-479C-9943-360035E94A95}"/>
            </a:ext>
          </a:extLst>
        </xdr:cNvPr>
        <xdr:cNvGrpSpPr/>
      </xdr:nvGrpSpPr>
      <xdr:grpSpPr>
        <a:xfrm>
          <a:off x="1930400" y="10609332"/>
          <a:ext cx="600075" cy="279400"/>
          <a:chOff x="6238875" y="2609850"/>
          <a:chExt cx="596900" cy="276225"/>
        </a:xfrm>
      </xdr:grpSpPr>
      <xdr:sp macro="" textlink="">
        <xdr:nvSpPr>
          <xdr:cNvPr id="163" name="Ellipse 162">
            <a:extLst>
              <a:ext uri="{FF2B5EF4-FFF2-40B4-BE49-F238E27FC236}">
                <a16:creationId xmlns:a16="http://schemas.microsoft.com/office/drawing/2014/main" id="{C0D2509B-E1CE-1097-1BEA-97707BB59BE3}"/>
              </a:ext>
            </a:extLst>
          </xdr:cNvPr>
          <xdr:cNvSpPr/>
        </xdr:nvSpPr>
        <xdr:spPr>
          <a:xfrm>
            <a:off x="6483350" y="2790825"/>
            <a:ext cx="104775" cy="95250"/>
          </a:xfrm>
          <a:prstGeom prst="ellips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  <xdr:sp macro="" textlink="">
        <xdr:nvSpPr>
          <xdr:cNvPr id="164" name="Ellipse 163">
            <a:extLst>
              <a:ext uri="{FF2B5EF4-FFF2-40B4-BE49-F238E27FC236}">
                <a16:creationId xmlns:a16="http://schemas.microsoft.com/office/drawing/2014/main" id="{88FEA577-C8CF-3D67-0F9D-0E5A1D129ABB}"/>
              </a:ext>
            </a:extLst>
          </xdr:cNvPr>
          <xdr:cNvSpPr/>
        </xdr:nvSpPr>
        <xdr:spPr>
          <a:xfrm>
            <a:off x="6238875" y="2609850"/>
            <a:ext cx="101600" cy="95250"/>
          </a:xfrm>
          <a:prstGeom prst="ellips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  <xdr:sp macro="" textlink="">
        <xdr:nvSpPr>
          <xdr:cNvPr id="165" name="Ellipse 164">
            <a:extLst>
              <a:ext uri="{FF2B5EF4-FFF2-40B4-BE49-F238E27FC236}">
                <a16:creationId xmlns:a16="http://schemas.microsoft.com/office/drawing/2014/main" id="{7364415A-1F06-A2A1-7C36-C859B92F4A5E}"/>
              </a:ext>
            </a:extLst>
          </xdr:cNvPr>
          <xdr:cNvSpPr/>
        </xdr:nvSpPr>
        <xdr:spPr>
          <a:xfrm>
            <a:off x="6731000" y="2616200"/>
            <a:ext cx="104775" cy="95250"/>
          </a:xfrm>
          <a:prstGeom prst="ellips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</xdr:grpSp>
    <xdr:clientData/>
  </xdr:twoCellAnchor>
  <xdr:oneCellAnchor>
    <xdr:from>
      <xdr:col>2</xdr:col>
      <xdr:colOff>533400</xdr:colOff>
      <xdr:row>20</xdr:row>
      <xdr:rowOff>161925</xdr:rowOff>
    </xdr:from>
    <xdr:ext cx="407740" cy="374141"/>
    <xdr:sp macro="" textlink="">
      <xdr:nvSpPr>
        <xdr:cNvPr id="166" name="Textfeld 165">
          <a:extLst>
            <a:ext uri="{FF2B5EF4-FFF2-40B4-BE49-F238E27FC236}">
              <a16:creationId xmlns:a16="http://schemas.microsoft.com/office/drawing/2014/main" id="{B7FCC149-7612-4D69-9F72-2EF704D0603A}"/>
            </a:ext>
          </a:extLst>
        </xdr:cNvPr>
        <xdr:cNvSpPr txBox="1"/>
      </xdr:nvSpPr>
      <xdr:spPr>
        <a:xfrm>
          <a:off x="2057400" y="9929882"/>
          <a:ext cx="407740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de-CH" sz="1800"/>
            <a:t>S6</a:t>
          </a:r>
        </a:p>
      </xdr:txBody>
    </xdr:sp>
    <xdr:clientData/>
  </xdr:oneCellAnchor>
  <xdr:twoCellAnchor>
    <xdr:from>
      <xdr:col>4</xdr:col>
      <xdr:colOff>676275</xdr:colOff>
      <xdr:row>20</xdr:row>
      <xdr:rowOff>723900</xdr:rowOff>
    </xdr:from>
    <xdr:to>
      <xdr:col>4</xdr:col>
      <xdr:colOff>781050</xdr:colOff>
      <xdr:row>20</xdr:row>
      <xdr:rowOff>819150</xdr:rowOff>
    </xdr:to>
    <xdr:sp macro="" textlink="">
      <xdr:nvSpPr>
        <xdr:cNvPr id="167" name="Ellipse 166">
          <a:extLst>
            <a:ext uri="{FF2B5EF4-FFF2-40B4-BE49-F238E27FC236}">
              <a16:creationId xmlns:a16="http://schemas.microsoft.com/office/drawing/2014/main" id="{F9F98510-AA0D-40AF-AE5C-C1E5CE510504}"/>
            </a:ext>
          </a:extLst>
        </xdr:cNvPr>
        <xdr:cNvSpPr/>
      </xdr:nvSpPr>
      <xdr:spPr>
        <a:xfrm>
          <a:off x="5027405" y="7206422"/>
          <a:ext cx="104775" cy="9525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4</xdr:col>
      <xdr:colOff>425450</xdr:colOff>
      <xdr:row>20</xdr:row>
      <xdr:rowOff>542925</xdr:rowOff>
    </xdr:from>
    <xdr:to>
      <xdr:col>4</xdr:col>
      <xdr:colOff>533400</xdr:colOff>
      <xdr:row>20</xdr:row>
      <xdr:rowOff>638175</xdr:rowOff>
    </xdr:to>
    <xdr:sp macro="" textlink="">
      <xdr:nvSpPr>
        <xdr:cNvPr id="168" name="Ellipse 167">
          <a:extLst>
            <a:ext uri="{FF2B5EF4-FFF2-40B4-BE49-F238E27FC236}">
              <a16:creationId xmlns:a16="http://schemas.microsoft.com/office/drawing/2014/main" id="{9D783827-B1AC-4F04-AB98-71AE511125EC}"/>
            </a:ext>
          </a:extLst>
        </xdr:cNvPr>
        <xdr:cNvSpPr/>
      </xdr:nvSpPr>
      <xdr:spPr>
        <a:xfrm>
          <a:off x="4776580" y="7025447"/>
          <a:ext cx="107950" cy="9525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4</xdr:col>
      <xdr:colOff>923925</xdr:colOff>
      <xdr:row>20</xdr:row>
      <xdr:rowOff>549275</xdr:rowOff>
    </xdr:from>
    <xdr:to>
      <xdr:col>4</xdr:col>
      <xdr:colOff>1028700</xdr:colOff>
      <xdr:row>20</xdr:row>
      <xdr:rowOff>644525</xdr:rowOff>
    </xdr:to>
    <xdr:sp macro="" textlink="">
      <xdr:nvSpPr>
        <xdr:cNvPr id="169" name="Ellipse 168">
          <a:extLst>
            <a:ext uri="{FF2B5EF4-FFF2-40B4-BE49-F238E27FC236}">
              <a16:creationId xmlns:a16="http://schemas.microsoft.com/office/drawing/2014/main" id="{1D6E647C-C738-498D-B0A3-D5E2DB31C419}"/>
            </a:ext>
          </a:extLst>
        </xdr:cNvPr>
        <xdr:cNvSpPr/>
      </xdr:nvSpPr>
      <xdr:spPr>
        <a:xfrm>
          <a:off x="5275055" y="7031797"/>
          <a:ext cx="104775" cy="9525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10</xdr:col>
      <xdr:colOff>238125</xdr:colOff>
      <xdr:row>20</xdr:row>
      <xdr:rowOff>171449</xdr:rowOff>
    </xdr:from>
    <xdr:to>
      <xdr:col>10</xdr:col>
      <xdr:colOff>1219200</xdr:colOff>
      <xdr:row>20</xdr:row>
      <xdr:rowOff>1003299</xdr:rowOff>
    </xdr:to>
    <xdr:sp macro="" textlink="">
      <xdr:nvSpPr>
        <xdr:cNvPr id="170" name="Rechteck 169">
          <a:extLst>
            <a:ext uri="{FF2B5EF4-FFF2-40B4-BE49-F238E27FC236}">
              <a16:creationId xmlns:a16="http://schemas.microsoft.com/office/drawing/2014/main" id="{94B6D724-77E7-49C7-BAC0-CC94D3145496}"/>
            </a:ext>
          </a:extLst>
        </xdr:cNvPr>
        <xdr:cNvSpPr/>
      </xdr:nvSpPr>
      <xdr:spPr>
        <a:xfrm>
          <a:off x="4589255" y="5439188"/>
          <a:ext cx="981075" cy="831850"/>
        </a:xfrm>
        <a:prstGeom prst="rect">
          <a:avLst/>
        </a:prstGeom>
        <a:noFill/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oneCellAnchor>
    <xdr:from>
      <xdr:col>10</xdr:col>
      <xdr:colOff>523875</xdr:colOff>
      <xdr:row>20</xdr:row>
      <xdr:rowOff>377825</xdr:rowOff>
    </xdr:from>
    <xdr:ext cx="407740" cy="374141"/>
    <xdr:sp macro="" textlink="">
      <xdr:nvSpPr>
        <xdr:cNvPr id="171" name="Textfeld 170">
          <a:extLst>
            <a:ext uri="{FF2B5EF4-FFF2-40B4-BE49-F238E27FC236}">
              <a16:creationId xmlns:a16="http://schemas.microsoft.com/office/drawing/2014/main" id="{6F7BED43-4C43-4E39-9C03-040F4DD4FA66}"/>
            </a:ext>
          </a:extLst>
        </xdr:cNvPr>
        <xdr:cNvSpPr txBox="1"/>
      </xdr:nvSpPr>
      <xdr:spPr>
        <a:xfrm>
          <a:off x="4875005" y="5645564"/>
          <a:ext cx="407740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de-CH" sz="1800"/>
            <a:t>S3</a:t>
          </a:r>
        </a:p>
      </xdr:txBody>
    </xdr:sp>
    <xdr:clientData/>
  </xdr:oneCellAnchor>
  <xdr:twoCellAnchor>
    <xdr:from>
      <xdr:col>10</xdr:col>
      <xdr:colOff>133351</xdr:colOff>
      <xdr:row>21</xdr:row>
      <xdr:rowOff>133349</xdr:rowOff>
    </xdr:from>
    <xdr:to>
      <xdr:col>10</xdr:col>
      <xdr:colOff>1285876</xdr:colOff>
      <xdr:row>21</xdr:row>
      <xdr:rowOff>502478</xdr:rowOff>
    </xdr:to>
    <xdr:sp macro="" textlink="">
      <xdr:nvSpPr>
        <xdr:cNvPr id="178" name="Rechteck 177">
          <a:extLst>
            <a:ext uri="{FF2B5EF4-FFF2-40B4-BE49-F238E27FC236}">
              <a16:creationId xmlns:a16="http://schemas.microsoft.com/office/drawing/2014/main" id="{7D672878-5615-4298-9614-0760D3945326}"/>
            </a:ext>
          </a:extLst>
        </xdr:cNvPr>
        <xdr:cNvSpPr/>
      </xdr:nvSpPr>
      <xdr:spPr>
        <a:xfrm>
          <a:off x="7311612" y="9901306"/>
          <a:ext cx="1152525" cy="369129"/>
        </a:xfrm>
        <a:prstGeom prst="rect">
          <a:avLst/>
        </a:prstGeom>
        <a:noFill/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oneCellAnchor>
    <xdr:from>
      <xdr:col>10</xdr:col>
      <xdr:colOff>536574</xdr:colOff>
      <xdr:row>21</xdr:row>
      <xdr:rowOff>115818</xdr:rowOff>
    </xdr:from>
    <xdr:ext cx="407740" cy="374141"/>
    <xdr:sp macro="" textlink="">
      <xdr:nvSpPr>
        <xdr:cNvPr id="181" name="Textfeld 180">
          <a:extLst>
            <a:ext uri="{FF2B5EF4-FFF2-40B4-BE49-F238E27FC236}">
              <a16:creationId xmlns:a16="http://schemas.microsoft.com/office/drawing/2014/main" id="{07762611-AA63-439E-B1CB-1171C2EB7654}"/>
            </a:ext>
          </a:extLst>
        </xdr:cNvPr>
        <xdr:cNvSpPr txBox="1"/>
      </xdr:nvSpPr>
      <xdr:spPr>
        <a:xfrm>
          <a:off x="11889270" y="11115122"/>
          <a:ext cx="407740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de-CH" sz="1800"/>
            <a:t>S3</a:t>
          </a:r>
        </a:p>
      </xdr:txBody>
    </xdr:sp>
    <xdr:clientData/>
  </xdr:oneCellAnchor>
  <xdr:twoCellAnchor>
    <xdr:from>
      <xdr:col>10</xdr:col>
      <xdr:colOff>392044</xdr:colOff>
      <xdr:row>21</xdr:row>
      <xdr:rowOff>706783</xdr:rowOff>
    </xdr:from>
    <xdr:to>
      <xdr:col>10</xdr:col>
      <xdr:colOff>992119</xdr:colOff>
      <xdr:row>21</xdr:row>
      <xdr:rowOff>986183</xdr:rowOff>
    </xdr:to>
    <xdr:grpSp>
      <xdr:nvGrpSpPr>
        <xdr:cNvPr id="182" name="Gruppieren 181">
          <a:extLst>
            <a:ext uri="{FF2B5EF4-FFF2-40B4-BE49-F238E27FC236}">
              <a16:creationId xmlns:a16="http://schemas.microsoft.com/office/drawing/2014/main" id="{D31A6684-100A-4F56-85AF-D9C4800BDE1C}"/>
            </a:ext>
          </a:extLst>
        </xdr:cNvPr>
        <xdr:cNvGrpSpPr/>
      </xdr:nvGrpSpPr>
      <xdr:grpSpPr>
        <a:xfrm>
          <a:off x="11291957" y="11764066"/>
          <a:ext cx="600075" cy="279400"/>
          <a:chOff x="6238875" y="2609850"/>
          <a:chExt cx="596900" cy="276225"/>
        </a:xfrm>
      </xdr:grpSpPr>
      <xdr:sp macro="" textlink="">
        <xdr:nvSpPr>
          <xdr:cNvPr id="183" name="Ellipse 182">
            <a:extLst>
              <a:ext uri="{FF2B5EF4-FFF2-40B4-BE49-F238E27FC236}">
                <a16:creationId xmlns:a16="http://schemas.microsoft.com/office/drawing/2014/main" id="{2B894295-62E9-38BF-AE68-DCB56CB2ED3E}"/>
              </a:ext>
            </a:extLst>
          </xdr:cNvPr>
          <xdr:cNvSpPr/>
        </xdr:nvSpPr>
        <xdr:spPr>
          <a:xfrm>
            <a:off x="6483350" y="2790825"/>
            <a:ext cx="104775" cy="95250"/>
          </a:xfrm>
          <a:prstGeom prst="ellips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  <xdr:sp macro="" textlink="">
        <xdr:nvSpPr>
          <xdr:cNvPr id="200" name="Ellipse 199">
            <a:extLst>
              <a:ext uri="{FF2B5EF4-FFF2-40B4-BE49-F238E27FC236}">
                <a16:creationId xmlns:a16="http://schemas.microsoft.com/office/drawing/2014/main" id="{31284DBF-7B71-91FF-D631-D285EC194A35}"/>
              </a:ext>
            </a:extLst>
          </xdr:cNvPr>
          <xdr:cNvSpPr/>
        </xdr:nvSpPr>
        <xdr:spPr>
          <a:xfrm>
            <a:off x="6238875" y="2609850"/>
            <a:ext cx="101600" cy="95250"/>
          </a:xfrm>
          <a:prstGeom prst="ellips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  <xdr:sp macro="" textlink="">
        <xdr:nvSpPr>
          <xdr:cNvPr id="201" name="Ellipse 200">
            <a:extLst>
              <a:ext uri="{FF2B5EF4-FFF2-40B4-BE49-F238E27FC236}">
                <a16:creationId xmlns:a16="http://schemas.microsoft.com/office/drawing/2014/main" id="{04597ED7-6356-D917-FB61-3BD8832C02CC}"/>
              </a:ext>
            </a:extLst>
          </xdr:cNvPr>
          <xdr:cNvSpPr/>
        </xdr:nvSpPr>
        <xdr:spPr>
          <a:xfrm>
            <a:off x="6731000" y="2616200"/>
            <a:ext cx="104775" cy="95250"/>
          </a:xfrm>
          <a:prstGeom prst="ellips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</xdr:grpSp>
    <xdr:clientData/>
  </xdr:twoCellAnchor>
  <xdr:oneCellAnchor>
    <xdr:from>
      <xdr:col>16</xdr:col>
      <xdr:colOff>95250</xdr:colOff>
      <xdr:row>20</xdr:row>
      <xdr:rowOff>257175</xdr:rowOff>
    </xdr:from>
    <xdr:ext cx="1235788" cy="546368"/>
    <xdr:sp macro="" textlink="">
      <xdr:nvSpPr>
        <xdr:cNvPr id="202" name="Textfeld 201">
          <a:extLst>
            <a:ext uri="{FF2B5EF4-FFF2-40B4-BE49-F238E27FC236}">
              <a16:creationId xmlns:a16="http://schemas.microsoft.com/office/drawing/2014/main" id="{836128BC-B3F6-4690-BDD8-7BC0BB3D9658}"/>
            </a:ext>
          </a:extLst>
        </xdr:cNvPr>
        <xdr:cNvSpPr txBox="1"/>
      </xdr:nvSpPr>
      <xdr:spPr>
        <a:xfrm>
          <a:off x="19252924" y="6747565"/>
          <a:ext cx="1235788" cy="54636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lang="de-CH" sz="1800"/>
            <a:t>1 x RJ45</a:t>
          </a:r>
          <a:br>
            <a:rPr lang="de-CH" sz="1800"/>
          </a:br>
          <a:r>
            <a:rPr lang="de-CH" sz="1100"/>
            <a:t>schräg</a:t>
          </a:r>
          <a:r>
            <a:rPr lang="de-CH" sz="1100" baseline="0"/>
            <a:t> nach unten</a:t>
          </a:r>
          <a:endParaRPr lang="de-CH" sz="1800"/>
        </a:p>
      </xdr:txBody>
    </xdr:sp>
    <xdr:clientData/>
  </xdr:oneCellAnchor>
  <xdr:twoCellAnchor>
    <xdr:from>
      <xdr:col>17</xdr:col>
      <xdr:colOff>457200</xdr:colOff>
      <xdr:row>20</xdr:row>
      <xdr:rowOff>190500</xdr:rowOff>
    </xdr:from>
    <xdr:to>
      <xdr:col>17</xdr:col>
      <xdr:colOff>1057275</xdr:colOff>
      <xdr:row>20</xdr:row>
      <xdr:rowOff>463550</xdr:rowOff>
    </xdr:to>
    <xdr:grpSp>
      <xdr:nvGrpSpPr>
        <xdr:cNvPr id="203" name="Gruppieren 202">
          <a:extLst>
            <a:ext uri="{FF2B5EF4-FFF2-40B4-BE49-F238E27FC236}">
              <a16:creationId xmlns:a16="http://schemas.microsoft.com/office/drawing/2014/main" id="{DD4FC557-1FE0-4570-8C8F-ECCEC82AEB50}"/>
            </a:ext>
          </a:extLst>
        </xdr:cNvPr>
        <xdr:cNvGrpSpPr/>
      </xdr:nvGrpSpPr>
      <xdr:grpSpPr>
        <a:xfrm>
          <a:off x="19606591" y="10021957"/>
          <a:ext cx="600075" cy="273050"/>
          <a:chOff x="6238875" y="2609850"/>
          <a:chExt cx="596900" cy="276225"/>
        </a:xfrm>
      </xdr:grpSpPr>
      <xdr:sp macro="" textlink="">
        <xdr:nvSpPr>
          <xdr:cNvPr id="204" name="Ellipse 203">
            <a:extLst>
              <a:ext uri="{FF2B5EF4-FFF2-40B4-BE49-F238E27FC236}">
                <a16:creationId xmlns:a16="http://schemas.microsoft.com/office/drawing/2014/main" id="{6B7D2152-2E5C-D998-1C8B-D3A71A8C39CE}"/>
              </a:ext>
            </a:extLst>
          </xdr:cNvPr>
          <xdr:cNvSpPr/>
        </xdr:nvSpPr>
        <xdr:spPr>
          <a:xfrm>
            <a:off x="6483350" y="2790825"/>
            <a:ext cx="104775" cy="95250"/>
          </a:xfrm>
          <a:prstGeom prst="ellips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  <xdr:sp macro="" textlink="">
        <xdr:nvSpPr>
          <xdr:cNvPr id="205" name="Ellipse 204">
            <a:extLst>
              <a:ext uri="{FF2B5EF4-FFF2-40B4-BE49-F238E27FC236}">
                <a16:creationId xmlns:a16="http://schemas.microsoft.com/office/drawing/2014/main" id="{0A1DDFBF-D371-C5C3-B1AA-9CE499E1EABD}"/>
              </a:ext>
            </a:extLst>
          </xdr:cNvPr>
          <xdr:cNvSpPr/>
        </xdr:nvSpPr>
        <xdr:spPr>
          <a:xfrm>
            <a:off x="6238875" y="2609850"/>
            <a:ext cx="101600" cy="95250"/>
          </a:xfrm>
          <a:prstGeom prst="ellips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  <xdr:sp macro="" textlink="">
        <xdr:nvSpPr>
          <xdr:cNvPr id="206" name="Ellipse 205">
            <a:extLst>
              <a:ext uri="{FF2B5EF4-FFF2-40B4-BE49-F238E27FC236}">
                <a16:creationId xmlns:a16="http://schemas.microsoft.com/office/drawing/2014/main" id="{0EDC4F12-06FC-B335-1DA5-EBD7028D23A1}"/>
              </a:ext>
            </a:extLst>
          </xdr:cNvPr>
          <xdr:cNvSpPr/>
        </xdr:nvSpPr>
        <xdr:spPr>
          <a:xfrm>
            <a:off x="6731000" y="2616200"/>
            <a:ext cx="104775" cy="95250"/>
          </a:xfrm>
          <a:prstGeom prst="ellips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</xdr:grpSp>
    <xdr:clientData/>
  </xdr:twoCellAnchor>
  <xdr:twoCellAnchor>
    <xdr:from>
      <xdr:col>17</xdr:col>
      <xdr:colOff>920750</xdr:colOff>
      <xdr:row>20</xdr:row>
      <xdr:rowOff>409575</xdr:rowOff>
    </xdr:from>
    <xdr:to>
      <xdr:col>17</xdr:col>
      <xdr:colOff>1200150</xdr:colOff>
      <xdr:row>20</xdr:row>
      <xdr:rowOff>1009650</xdr:rowOff>
    </xdr:to>
    <xdr:grpSp>
      <xdr:nvGrpSpPr>
        <xdr:cNvPr id="207" name="Gruppieren 206">
          <a:extLst>
            <a:ext uri="{FF2B5EF4-FFF2-40B4-BE49-F238E27FC236}">
              <a16:creationId xmlns:a16="http://schemas.microsoft.com/office/drawing/2014/main" id="{00531FE4-204A-4D4E-85F8-F30893F17BA3}"/>
            </a:ext>
          </a:extLst>
        </xdr:cNvPr>
        <xdr:cNvGrpSpPr/>
      </xdr:nvGrpSpPr>
      <xdr:grpSpPr>
        <a:xfrm rot="7823849">
          <a:off x="19909803" y="10401370"/>
          <a:ext cx="600075" cy="279400"/>
          <a:chOff x="6734175" y="3581400"/>
          <a:chExt cx="596900" cy="276225"/>
        </a:xfrm>
      </xdr:grpSpPr>
      <xdr:sp macro="" textlink="">
        <xdr:nvSpPr>
          <xdr:cNvPr id="208" name="Ellipse 207">
            <a:extLst>
              <a:ext uri="{FF2B5EF4-FFF2-40B4-BE49-F238E27FC236}">
                <a16:creationId xmlns:a16="http://schemas.microsoft.com/office/drawing/2014/main" id="{C48E60F0-E868-25BA-9B74-9F9FDAABCFDD}"/>
              </a:ext>
            </a:extLst>
          </xdr:cNvPr>
          <xdr:cNvSpPr/>
        </xdr:nvSpPr>
        <xdr:spPr>
          <a:xfrm>
            <a:off x="6978650" y="3762375"/>
            <a:ext cx="104775" cy="95250"/>
          </a:xfrm>
          <a:prstGeom prst="ellips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  <xdr:sp macro="" textlink="">
        <xdr:nvSpPr>
          <xdr:cNvPr id="209" name="Ellipse 208">
            <a:extLst>
              <a:ext uri="{FF2B5EF4-FFF2-40B4-BE49-F238E27FC236}">
                <a16:creationId xmlns:a16="http://schemas.microsoft.com/office/drawing/2014/main" id="{E15DA00E-9F4E-D1AE-10BD-6A2AEB65AF3A}"/>
              </a:ext>
            </a:extLst>
          </xdr:cNvPr>
          <xdr:cNvSpPr/>
        </xdr:nvSpPr>
        <xdr:spPr>
          <a:xfrm>
            <a:off x="6734175" y="3581400"/>
            <a:ext cx="101600" cy="95250"/>
          </a:xfrm>
          <a:prstGeom prst="ellips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  <xdr:sp macro="" textlink="">
        <xdr:nvSpPr>
          <xdr:cNvPr id="210" name="Ellipse 209">
            <a:extLst>
              <a:ext uri="{FF2B5EF4-FFF2-40B4-BE49-F238E27FC236}">
                <a16:creationId xmlns:a16="http://schemas.microsoft.com/office/drawing/2014/main" id="{3FEA6143-A91C-92BD-C658-EE42B2158D2E}"/>
              </a:ext>
            </a:extLst>
          </xdr:cNvPr>
          <xdr:cNvSpPr/>
        </xdr:nvSpPr>
        <xdr:spPr>
          <a:xfrm>
            <a:off x="7226300" y="3587750"/>
            <a:ext cx="104775" cy="95250"/>
          </a:xfrm>
          <a:prstGeom prst="ellips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</xdr:grpSp>
    <xdr:clientData/>
  </xdr:twoCellAnchor>
  <xdr:twoCellAnchor>
    <xdr:from>
      <xdr:col>17</xdr:col>
      <xdr:colOff>84137</xdr:colOff>
      <xdr:row>20</xdr:row>
      <xdr:rowOff>579437</xdr:rowOff>
    </xdr:from>
    <xdr:to>
      <xdr:col>17</xdr:col>
      <xdr:colOff>687387</xdr:colOff>
      <xdr:row>20</xdr:row>
      <xdr:rowOff>868362</xdr:rowOff>
    </xdr:to>
    <xdr:grpSp>
      <xdr:nvGrpSpPr>
        <xdr:cNvPr id="211" name="Gruppieren 210">
          <a:extLst>
            <a:ext uri="{FF2B5EF4-FFF2-40B4-BE49-F238E27FC236}">
              <a16:creationId xmlns:a16="http://schemas.microsoft.com/office/drawing/2014/main" id="{5F756E72-58DE-481D-87EB-9F429BADD2E5}"/>
            </a:ext>
          </a:extLst>
        </xdr:cNvPr>
        <xdr:cNvGrpSpPr/>
      </xdr:nvGrpSpPr>
      <xdr:grpSpPr>
        <a:xfrm rot="13412045">
          <a:off x="19233528" y="10410894"/>
          <a:ext cx="603250" cy="288925"/>
          <a:chOff x="6734175" y="3581400"/>
          <a:chExt cx="596900" cy="276225"/>
        </a:xfrm>
      </xdr:grpSpPr>
      <xdr:sp macro="" textlink="">
        <xdr:nvSpPr>
          <xdr:cNvPr id="212" name="Ellipse 211">
            <a:extLst>
              <a:ext uri="{FF2B5EF4-FFF2-40B4-BE49-F238E27FC236}">
                <a16:creationId xmlns:a16="http://schemas.microsoft.com/office/drawing/2014/main" id="{73A8E94C-47D9-D8D9-EBB1-A8C368B18E42}"/>
              </a:ext>
            </a:extLst>
          </xdr:cNvPr>
          <xdr:cNvSpPr/>
        </xdr:nvSpPr>
        <xdr:spPr>
          <a:xfrm>
            <a:off x="6978650" y="3762375"/>
            <a:ext cx="104775" cy="95250"/>
          </a:xfrm>
          <a:prstGeom prst="ellips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  <xdr:sp macro="" textlink="">
        <xdr:nvSpPr>
          <xdr:cNvPr id="213" name="Ellipse 212">
            <a:extLst>
              <a:ext uri="{FF2B5EF4-FFF2-40B4-BE49-F238E27FC236}">
                <a16:creationId xmlns:a16="http://schemas.microsoft.com/office/drawing/2014/main" id="{4008D128-266E-105F-74CF-58C73723A334}"/>
              </a:ext>
            </a:extLst>
          </xdr:cNvPr>
          <xdr:cNvSpPr/>
        </xdr:nvSpPr>
        <xdr:spPr>
          <a:xfrm>
            <a:off x="6734175" y="3581400"/>
            <a:ext cx="101600" cy="95250"/>
          </a:xfrm>
          <a:prstGeom prst="ellips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  <xdr:sp macro="" textlink="">
        <xdr:nvSpPr>
          <xdr:cNvPr id="214" name="Ellipse 213">
            <a:extLst>
              <a:ext uri="{FF2B5EF4-FFF2-40B4-BE49-F238E27FC236}">
                <a16:creationId xmlns:a16="http://schemas.microsoft.com/office/drawing/2014/main" id="{98529B22-D408-BF94-E51F-F36A706E72CE}"/>
              </a:ext>
            </a:extLst>
          </xdr:cNvPr>
          <xdr:cNvSpPr/>
        </xdr:nvSpPr>
        <xdr:spPr>
          <a:xfrm>
            <a:off x="7226300" y="3587750"/>
            <a:ext cx="104775" cy="95250"/>
          </a:xfrm>
          <a:prstGeom prst="ellips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</xdr:grpSp>
    <xdr:clientData/>
  </xdr:twoCellAnchor>
  <xdr:oneCellAnchor>
    <xdr:from>
      <xdr:col>12</xdr:col>
      <xdr:colOff>142603</xdr:colOff>
      <xdr:row>20</xdr:row>
      <xdr:rowOff>254000</xdr:rowOff>
    </xdr:from>
    <xdr:ext cx="1141082" cy="655949"/>
    <xdr:sp macro="" textlink="">
      <xdr:nvSpPr>
        <xdr:cNvPr id="219" name="Textfeld 218">
          <a:extLst>
            <a:ext uri="{FF2B5EF4-FFF2-40B4-BE49-F238E27FC236}">
              <a16:creationId xmlns:a16="http://schemas.microsoft.com/office/drawing/2014/main" id="{2BDEDE81-025D-4AB0-B353-7F1A68C63296}"/>
            </a:ext>
          </a:extLst>
        </xdr:cNvPr>
        <xdr:cNvSpPr txBox="1"/>
      </xdr:nvSpPr>
      <xdr:spPr>
        <a:xfrm>
          <a:off x="13593560" y="10027478"/>
          <a:ext cx="1141082" cy="65594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lang="de-CH" sz="1800"/>
            <a:t>DSL Doses</a:t>
          </a:r>
          <a:br>
            <a:rPr lang="de-CH" sz="1800"/>
          </a:br>
          <a:endParaRPr lang="de-CH" sz="1800"/>
        </a:p>
      </xdr:txBody>
    </xdr:sp>
    <xdr:clientData/>
  </xdr:oneCellAnchor>
  <xdr:twoCellAnchor>
    <xdr:from>
      <xdr:col>13</xdr:col>
      <xdr:colOff>457200</xdr:colOff>
      <xdr:row>20</xdr:row>
      <xdr:rowOff>190500</xdr:rowOff>
    </xdr:from>
    <xdr:to>
      <xdr:col>13</xdr:col>
      <xdr:colOff>1054100</xdr:colOff>
      <xdr:row>20</xdr:row>
      <xdr:rowOff>466725</xdr:rowOff>
    </xdr:to>
    <xdr:grpSp>
      <xdr:nvGrpSpPr>
        <xdr:cNvPr id="105" name="Gruppieren 104">
          <a:extLst>
            <a:ext uri="{FF2B5EF4-FFF2-40B4-BE49-F238E27FC236}">
              <a16:creationId xmlns:a16="http://schemas.microsoft.com/office/drawing/2014/main" id="{88C20260-326B-4E3C-93E4-6457B9A7D7D9}"/>
            </a:ext>
          </a:extLst>
        </xdr:cNvPr>
        <xdr:cNvGrpSpPr/>
      </xdr:nvGrpSpPr>
      <xdr:grpSpPr>
        <a:xfrm>
          <a:off x="14695004" y="10021957"/>
          <a:ext cx="596900" cy="276225"/>
          <a:chOff x="6238875" y="2609850"/>
          <a:chExt cx="596900" cy="276225"/>
        </a:xfrm>
      </xdr:grpSpPr>
      <xdr:sp macro="" textlink="">
        <xdr:nvSpPr>
          <xdr:cNvPr id="106" name="Ellipse 105">
            <a:extLst>
              <a:ext uri="{FF2B5EF4-FFF2-40B4-BE49-F238E27FC236}">
                <a16:creationId xmlns:a16="http://schemas.microsoft.com/office/drawing/2014/main" id="{0737FA2C-7BAE-ED8A-6A8A-155966DF461F}"/>
              </a:ext>
            </a:extLst>
          </xdr:cNvPr>
          <xdr:cNvSpPr/>
        </xdr:nvSpPr>
        <xdr:spPr>
          <a:xfrm>
            <a:off x="6483350" y="2790825"/>
            <a:ext cx="104775" cy="95250"/>
          </a:xfrm>
          <a:prstGeom prst="ellips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  <xdr:sp macro="" textlink="">
        <xdr:nvSpPr>
          <xdr:cNvPr id="107" name="Ellipse 106">
            <a:extLst>
              <a:ext uri="{FF2B5EF4-FFF2-40B4-BE49-F238E27FC236}">
                <a16:creationId xmlns:a16="http://schemas.microsoft.com/office/drawing/2014/main" id="{19B979B5-C992-42F5-EEB2-DBFCD0291511}"/>
              </a:ext>
            </a:extLst>
          </xdr:cNvPr>
          <xdr:cNvSpPr/>
        </xdr:nvSpPr>
        <xdr:spPr>
          <a:xfrm>
            <a:off x="6238875" y="2609850"/>
            <a:ext cx="101600" cy="95250"/>
          </a:xfrm>
          <a:prstGeom prst="ellips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  <xdr:sp macro="" textlink="">
        <xdr:nvSpPr>
          <xdr:cNvPr id="134" name="Ellipse 133">
            <a:extLst>
              <a:ext uri="{FF2B5EF4-FFF2-40B4-BE49-F238E27FC236}">
                <a16:creationId xmlns:a16="http://schemas.microsoft.com/office/drawing/2014/main" id="{CB9B1435-D197-2953-FF5A-FC0738DFBB9F}"/>
              </a:ext>
            </a:extLst>
          </xdr:cNvPr>
          <xdr:cNvSpPr/>
        </xdr:nvSpPr>
        <xdr:spPr>
          <a:xfrm>
            <a:off x="6731000" y="2616200"/>
            <a:ext cx="104775" cy="95250"/>
          </a:xfrm>
          <a:prstGeom prst="ellips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</xdr:grpSp>
    <xdr:clientData/>
  </xdr:twoCellAnchor>
  <xdr:twoCellAnchor>
    <xdr:from>
      <xdr:col>13</xdr:col>
      <xdr:colOff>923925</xdr:colOff>
      <xdr:row>20</xdr:row>
      <xdr:rowOff>406400</xdr:rowOff>
    </xdr:from>
    <xdr:to>
      <xdr:col>13</xdr:col>
      <xdr:colOff>1200150</xdr:colOff>
      <xdr:row>20</xdr:row>
      <xdr:rowOff>1009650</xdr:rowOff>
    </xdr:to>
    <xdr:grpSp>
      <xdr:nvGrpSpPr>
        <xdr:cNvPr id="135" name="Gruppieren 134">
          <a:extLst>
            <a:ext uri="{FF2B5EF4-FFF2-40B4-BE49-F238E27FC236}">
              <a16:creationId xmlns:a16="http://schemas.microsoft.com/office/drawing/2014/main" id="{EA13A521-188A-4242-A902-553C3E56C469}"/>
            </a:ext>
          </a:extLst>
        </xdr:cNvPr>
        <xdr:cNvGrpSpPr/>
      </xdr:nvGrpSpPr>
      <xdr:grpSpPr>
        <a:xfrm rot="7823849">
          <a:off x="14998217" y="10401369"/>
          <a:ext cx="603250" cy="276225"/>
          <a:chOff x="6734175" y="3581400"/>
          <a:chExt cx="596900" cy="276225"/>
        </a:xfrm>
      </xdr:grpSpPr>
      <xdr:sp macro="" textlink="">
        <xdr:nvSpPr>
          <xdr:cNvPr id="136" name="Ellipse 135">
            <a:extLst>
              <a:ext uri="{FF2B5EF4-FFF2-40B4-BE49-F238E27FC236}">
                <a16:creationId xmlns:a16="http://schemas.microsoft.com/office/drawing/2014/main" id="{D26B4D00-DA66-C63B-30D2-F709958784FB}"/>
              </a:ext>
            </a:extLst>
          </xdr:cNvPr>
          <xdr:cNvSpPr/>
        </xdr:nvSpPr>
        <xdr:spPr>
          <a:xfrm>
            <a:off x="6978650" y="3762375"/>
            <a:ext cx="104775" cy="95250"/>
          </a:xfrm>
          <a:prstGeom prst="ellips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  <xdr:sp macro="" textlink="">
        <xdr:nvSpPr>
          <xdr:cNvPr id="137" name="Ellipse 136">
            <a:extLst>
              <a:ext uri="{FF2B5EF4-FFF2-40B4-BE49-F238E27FC236}">
                <a16:creationId xmlns:a16="http://schemas.microsoft.com/office/drawing/2014/main" id="{DE45653B-D42F-8957-FF32-6967ED51BC04}"/>
              </a:ext>
            </a:extLst>
          </xdr:cNvPr>
          <xdr:cNvSpPr/>
        </xdr:nvSpPr>
        <xdr:spPr>
          <a:xfrm>
            <a:off x="6734175" y="3581400"/>
            <a:ext cx="101600" cy="95250"/>
          </a:xfrm>
          <a:prstGeom prst="ellips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  <xdr:sp macro="" textlink="">
        <xdr:nvSpPr>
          <xdr:cNvPr id="179" name="Ellipse 178">
            <a:extLst>
              <a:ext uri="{FF2B5EF4-FFF2-40B4-BE49-F238E27FC236}">
                <a16:creationId xmlns:a16="http://schemas.microsoft.com/office/drawing/2014/main" id="{F693F24B-5DEA-AAE0-88F3-48A981818EC2}"/>
              </a:ext>
            </a:extLst>
          </xdr:cNvPr>
          <xdr:cNvSpPr/>
        </xdr:nvSpPr>
        <xdr:spPr>
          <a:xfrm>
            <a:off x="7226300" y="3587750"/>
            <a:ext cx="104775" cy="95250"/>
          </a:xfrm>
          <a:prstGeom prst="ellips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</xdr:grpSp>
    <xdr:clientData/>
  </xdr:twoCellAnchor>
  <xdr:twoCellAnchor>
    <xdr:from>
      <xdr:col>13</xdr:col>
      <xdr:colOff>87312</xdr:colOff>
      <xdr:row>20</xdr:row>
      <xdr:rowOff>582612</xdr:rowOff>
    </xdr:from>
    <xdr:to>
      <xdr:col>13</xdr:col>
      <xdr:colOff>687387</xdr:colOff>
      <xdr:row>20</xdr:row>
      <xdr:rowOff>865187</xdr:rowOff>
    </xdr:to>
    <xdr:grpSp>
      <xdr:nvGrpSpPr>
        <xdr:cNvPr id="180" name="Gruppieren 179">
          <a:extLst>
            <a:ext uri="{FF2B5EF4-FFF2-40B4-BE49-F238E27FC236}">
              <a16:creationId xmlns:a16="http://schemas.microsoft.com/office/drawing/2014/main" id="{F58451BA-ABA8-45CA-9C81-2E485712267F}"/>
            </a:ext>
          </a:extLst>
        </xdr:cNvPr>
        <xdr:cNvGrpSpPr/>
      </xdr:nvGrpSpPr>
      <xdr:grpSpPr>
        <a:xfrm rot="13412045">
          <a:off x="14325116" y="10414069"/>
          <a:ext cx="600075" cy="282575"/>
          <a:chOff x="6734175" y="3581400"/>
          <a:chExt cx="596900" cy="276225"/>
        </a:xfrm>
      </xdr:grpSpPr>
      <xdr:sp macro="" textlink="">
        <xdr:nvSpPr>
          <xdr:cNvPr id="215" name="Ellipse 214">
            <a:extLst>
              <a:ext uri="{FF2B5EF4-FFF2-40B4-BE49-F238E27FC236}">
                <a16:creationId xmlns:a16="http://schemas.microsoft.com/office/drawing/2014/main" id="{1E1FB9F7-953A-BD96-73AF-12D27C80F641}"/>
              </a:ext>
            </a:extLst>
          </xdr:cNvPr>
          <xdr:cNvSpPr/>
        </xdr:nvSpPr>
        <xdr:spPr>
          <a:xfrm>
            <a:off x="6978650" y="3762375"/>
            <a:ext cx="104775" cy="95250"/>
          </a:xfrm>
          <a:prstGeom prst="ellips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  <xdr:sp macro="" textlink="">
        <xdr:nvSpPr>
          <xdr:cNvPr id="216" name="Ellipse 215">
            <a:extLst>
              <a:ext uri="{FF2B5EF4-FFF2-40B4-BE49-F238E27FC236}">
                <a16:creationId xmlns:a16="http://schemas.microsoft.com/office/drawing/2014/main" id="{6BDA024A-B395-E039-F903-81BB653C774C}"/>
              </a:ext>
            </a:extLst>
          </xdr:cNvPr>
          <xdr:cNvSpPr/>
        </xdr:nvSpPr>
        <xdr:spPr>
          <a:xfrm>
            <a:off x="6734175" y="3581400"/>
            <a:ext cx="101600" cy="95250"/>
          </a:xfrm>
          <a:prstGeom prst="ellips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  <xdr:sp macro="" textlink="">
        <xdr:nvSpPr>
          <xdr:cNvPr id="217" name="Ellipse 216">
            <a:extLst>
              <a:ext uri="{FF2B5EF4-FFF2-40B4-BE49-F238E27FC236}">
                <a16:creationId xmlns:a16="http://schemas.microsoft.com/office/drawing/2014/main" id="{EA8E15B9-E352-D4A4-2620-DE3583605755}"/>
              </a:ext>
            </a:extLst>
          </xdr:cNvPr>
          <xdr:cNvSpPr/>
        </xdr:nvSpPr>
        <xdr:spPr>
          <a:xfrm>
            <a:off x="7226300" y="3587750"/>
            <a:ext cx="104775" cy="95250"/>
          </a:xfrm>
          <a:prstGeom prst="ellips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</xdr:grp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132522</xdr:colOff>
      <xdr:row>93</xdr:row>
      <xdr:rowOff>87933</xdr:rowOff>
    </xdr:from>
    <xdr:to>
      <xdr:col>1</xdr:col>
      <xdr:colOff>495132</xdr:colOff>
      <xdr:row>106</xdr:row>
      <xdr:rowOff>64189</xdr:rowOff>
    </xdr:to>
    <xdr:sp macro="" textlink="">
      <xdr:nvSpPr>
        <xdr:cNvPr id="295" name="Rechteck 294">
          <a:extLst>
            <a:ext uri="{FF2B5EF4-FFF2-40B4-BE49-F238E27FC236}">
              <a16:creationId xmlns:a16="http://schemas.microsoft.com/office/drawing/2014/main" id="{C450F14E-FDDB-471A-A63A-72C9D88F353A}"/>
            </a:ext>
          </a:extLst>
        </xdr:cNvPr>
        <xdr:cNvSpPr/>
      </xdr:nvSpPr>
      <xdr:spPr>
        <a:xfrm>
          <a:off x="132522" y="17150107"/>
          <a:ext cx="1124610" cy="2345082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e-CH" sz="600">
              <a:solidFill>
                <a:schemeClr val="tx1">
                  <a:lumMod val="95000"/>
                  <a:lumOff val="5000"/>
                </a:schemeClr>
              </a:solidFill>
            </a:rPr>
            <a:t>Reale Spannungsquelle</a:t>
          </a:r>
        </a:p>
      </xdr:txBody>
    </xdr:sp>
    <xdr:clientData/>
  </xdr:twoCellAnchor>
  <xdr:twoCellAnchor>
    <xdr:from>
      <xdr:col>0</xdr:col>
      <xdr:colOff>723899</xdr:colOff>
      <xdr:row>1</xdr:row>
      <xdr:rowOff>9524</xdr:rowOff>
    </xdr:from>
    <xdr:to>
      <xdr:col>1</xdr:col>
      <xdr:colOff>565149</xdr:colOff>
      <xdr:row>2</xdr:row>
      <xdr:rowOff>163755</xdr:rowOff>
    </xdr:to>
    <xdr:sp macro="" textlink="">
      <xdr:nvSpPr>
        <xdr:cNvPr id="2" name="Pfeil: nach recht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BE54208-D6A8-4E5A-822D-AD69C526699C}"/>
            </a:ext>
          </a:extLst>
        </xdr:cNvPr>
        <xdr:cNvSpPr/>
      </xdr:nvSpPr>
      <xdr:spPr>
        <a:xfrm rot="10800000">
          <a:off x="723899" y="190499"/>
          <a:ext cx="603250" cy="335206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1</xdr:col>
      <xdr:colOff>330200</xdr:colOff>
      <xdr:row>6</xdr:row>
      <xdr:rowOff>21647</xdr:rowOff>
    </xdr:from>
    <xdr:to>
      <xdr:col>3</xdr:col>
      <xdr:colOff>502352</xdr:colOff>
      <xdr:row>12</xdr:row>
      <xdr:rowOff>102114</xdr:rowOff>
    </xdr:to>
    <xdr:grpSp>
      <xdr:nvGrpSpPr>
        <xdr:cNvPr id="65" name="Gruppieren 64">
          <a:extLst>
            <a:ext uri="{FF2B5EF4-FFF2-40B4-BE49-F238E27FC236}">
              <a16:creationId xmlns:a16="http://schemas.microsoft.com/office/drawing/2014/main" id="{3DE2816A-4B28-EF17-3786-1177127E3B47}"/>
            </a:ext>
          </a:extLst>
        </xdr:cNvPr>
        <xdr:cNvGrpSpPr/>
      </xdr:nvGrpSpPr>
      <xdr:grpSpPr>
        <a:xfrm>
          <a:off x="1092200" y="1267224"/>
          <a:ext cx="1696152" cy="1223467"/>
          <a:chOff x="1092200" y="1225261"/>
          <a:chExt cx="1696152" cy="1171512"/>
        </a:xfrm>
      </xdr:grpSpPr>
      <xdr:grpSp>
        <xdr:nvGrpSpPr>
          <xdr:cNvPr id="4" name="Gruppieren 3">
            <a:extLst>
              <a:ext uri="{FF2B5EF4-FFF2-40B4-BE49-F238E27FC236}">
                <a16:creationId xmlns:a16="http://schemas.microsoft.com/office/drawing/2014/main" id="{FB9901ED-7F21-5470-AEDB-C5DB92A46E60}"/>
              </a:ext>
            </a:extLst>
          </xdr:cNvPr>
          <xdr:cNvGrpSpPr/>
        </xdr:nvGrpSpPr>
        <xdr:grpSpPr>
          <a:xfrm>
            <a:off x="1762453" y="1225261"/>
            <a:ext cx="535457" cy="1174687"/>
            <a:chOff x="1249760" y="11144956"/>
            <a:chExt cx="542131" cy="1164393"/>
          </a:xfrm>
        </xdr:grpSpPr>
        <xdr:cxnSp macro="">
          <xdr:nvCxnSpPr>
            <xdr:cNvPr id="17" name="Gerader Verbinder 16">
              <a:extLst>
                <a:ext uri="{FF2B5EF4-FFF2-40B4-BE49-F238E27FC236}">
                  <a16:creationId xmlns:a16="http://schemas.microsoft.com/office/drawing/2014/main" id="{637FCD80-D898-3758-CBFF-470517EAAEBE}"/>
                </a:ext>
              </a:extLst>
            </xdr:cNvPr>
            <xdr:cNvCxnSpPr>
              <a:cxnSpLocks/>
            </xdr:cNvCxnSpPr>
          </xdr:nvCxnSpPr>
          <xdr:spPr>
            <a:xfrm flipV="1">
              <a:off x="1533127" y="11144956"/>
              <a:ext cx="1228" cy="371308"/>
            </a:xfrm>
            <a:prstGeom prst="line">
              <a:avLst/>
            </a:prstGeom>
            <a:ln w="19050">
              <a:solidFill>
                <a:schemeClr val="tx1">
                  <a:lumMod val="95000"/>
                  <a:lumOff val="5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1" name="Gerader Verbinder 10">
              <a:extLst>
                <a:ext uri="{FF2B5EF4-FFF2-40B4-BE49-F238E27FC236}">
                  <a16:creationId xmlns:a16="http://schemas.microsoft.com/office/drawing/2014/main" id="{62163429-B7B3-202D-382A-F417185960F9}"/>
                </a:ext>
              </a:extLst>
            </xdr:cNvPr>
            <xdr:cNvCxnSpPr/>
          </xdr:nvCxnSpPr>
          <xdr:spPr>
            <a:xfrm>
              <a:off x="1264841" y="11524995"/>
              <a:ext cx="527050" cy="0"/>
            </a:xfrm>
            <a:prstGeom prst="line">
              <a:avLst/>
            </a:prstGeom>
            <a:ln w="19050">
              <a:solidFill>
                <a:schemeClr val="tx1">
                  <a:lumMod val="95000"/>
                  <a:lumOff val="5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2" name="Gerader Verbinder 11">
              <a:extLst>
                <a:ext uri="{FF2B5EF4-FFF2-40B4-BE49-F238E27FC236}">
                  <a16:creationId xmlns:a16="http://schemas.microsoft.com/office/drawing/2014/main" id="{EB35F0B4-0BDB-4EFF-546E-BAF0CE97755E}"/>
                </a:ext>
              </a:extLst>
            </xdr:cNvPr>
            <xdr:cNvCxnSpPr/>
          </xdr:nvCxnSpPr>
          <xdr:spPr>
            <a:xfrm>
              <a:off x="1249760" y="11878476"/>
              <a:ext cx="533400" cy="0"/>
            </a:xfrm>
            <a:prstGeom prst="line">
              <a:avLst/>
            </a:prstGeom>
            <a:ln w="19050">
              <a:solidFill>
                <a:schemeClr val="tx1">
                  <a:lumMod val="95000"/>
                  <a:lumOff val="5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3" name="Gerader Verbinder 12">
              <a:extLst>
                <a:ext uri="{FF2B5EF4-FFF2-40B4-BE49-F238E27FC236}">
                  <a16:creationId xmlns:a16="http://schemas.microsoft.com/office/drawing/2014/main" id="{29E22F89-79C8-1CEA-61CB-83502EA21AD5}"/>
                </a:ext>
              </a:extLst>
            </xdr:cNvPr>
            <xdr:cNvCxnSpPr/>
          </xdr:nvCxnSpPr>
          <xdr:spPr>
            <a:xfrm>
              <a:off x="1401763" y="11581352"/>
              <a:ext cx="247649" cy="396"/>
            </a:xfrm>
            <a:prstGeom prst="line">
              <a:avLst/>
            </a:prstGeom>
            <a:ln w="19050">
              <a:solidFill>
                <a:schemeClr val="tx1">
                  <a:lumMod val="95000"/>
                  <a:lumOff val="5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4" name="Gerader Verbinder 13">
              <a:extLst>
                <a:ext uri="{FF2B5EF4-FFF2-40B4-BE49-F238E27FC236}">
                  <a16:creationId xmlns:a16="http://schemas.microsoft.com/office/drawing/2014/main" id="{64BC1E4B-2ABA-C641-5853-BC39C6E3467C}"/>
                </a:ext>
              </a:extLst>
            </xdr:cNvPr>
            <xdr:cNvCxnSpPr/>
          </xdr:nvCxnSpPr>
          <xdr:spPr>
            <a:xfrm>
              <a:off x="1380729" y="11925705"/>
              <a:ext cx="247649" cy="396"/>
            </a:xfrm>
            <a:prstGeom prst="line">
              <a:avLst/>
            </a:prstGeom>
            <a:ln w="19050">
              <a:solidFill>
                <a:schemeClr val="tx1">
                  <a:lumMod val="95000"/>
                  <a:lumOff val="5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5" name="Gerader Verbinder 14">
              <a:extLst>
                <a:ext uri="{FF2B5EF4-FFF2-40B4-BE49-F238E27FC236}">
                  <a16:creationId xmlns:a16="http://schemas.microsoft.com/office/drawing/2014/main" id="{4E09B178-94C5-7785-62BD-91564F908077}"/>
                </a:ext>
              </a:extLst>
            </xdr:cNvPr>
            <xdr:cNvCxnSpPr/>
          </xdr:nvCxnSpPr>
          <xdr:spPr>
            <a:xfrm>
              <a:off x="1524000" y="11593654"/>
              <a:ext cx="0" cy="282044"/>
            </a:xfrm>
            <a:prstGeom prst="line">
              <a:avLst/>
            </a:prstGeom>
            <a:ln w="19050">
              <a:solidFill>
                <a:schemeClr val="tx1">
                  <a:lumMod val="95000"/>
                  <a:lumOff val="5000"/>
                </a:schemeClr>
              </a:solidFill>
              <a:prstDash val="sysDash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6" name="Gerader Verbinder 15">
              <a:extLst>
                <a:ext uri="{FF2B5EF4-FFF2-40B4-BE49-F238E27FC236}">
                  <a16:creationId xmlns:a16="http://schemas.microsoft.com/office/drawing/2014/main" id="{CA439E79-F50A-E84F-E1ED-BD48FFB030B8}"/>
                </a:ext>
              </a:extLst>
            </xdr:cNvPr>
            <xdr:cNvCxnSpPr/>
          </xdr:nvCxnSpPr>
          <xdr:spPr>
            <a:xfrm flipV="1">
              <a:off x="1516459" y="11935230"/>
              <a:ext cx="4762" cy="374119"/>
            </a:xfrm>
            <a:prstGeom prst="line">
              <a:avLst/>
            </a:prstGeom>
            <a:ln w="19050">
              <a:solidFill>
                <a:schemeClr val="tx1">
                  <a:lumMod val="95000"/>
                  <a:lumOff val="5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sp macro="" textlink="">
        <xdr:nvSpPr>
          <xdr:cNvPr id="10" name="Textfeld 9">
            <a:extLst>
              <a:ext uri="{FF2B5EF4-FFF2-40B4-BE49-F238E27FC236}">
                <a16:creationId xmlns:a16="http://schemas.microsoft.com/office/drawing/2014/main" id="{26A16F5B-5C95-E8CA-4DDE-A362525B1B82}"/>
              </a:ext>
            </a:extLst>
          </xdr:cNvPr>
          <xdr:cNvSpPr txBox="1"/>
        </xdr:nvSpPr>
        <xdr:spPr>
          <a:xfrm>
            <a:off x="2083942" y="1319453"/>
            <a:ext cx="704410" cy="26528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de-CH" sz="1100">
                <a:solidFill>
                  <a:srgbClr val="FF0000"/>
                </a:solidFill>
              </a:rPr>
              <a:t>I</a:t>
            </a:r>
            <a:r>
              <a:rPr lang="de-CH" sz="1100" baseline="-25000">
                <a:solidFill>
                  <a:srgbClr val="FF0000"/>
                </a:solidFill>
              </a:rPr>
              <a:t>0</a:t>
            </a:r>
            <a:r>
              <a:rPr lang="de-CH" sz="1100">
                <a:solidFill>
                  <a:srgbClr val="FF0000"/>
                </a:solidFill>
              </a:rPr>
              <a:t>=50mA</a:t>
            </a:r>
          </a:p>
        </xdr:txBody>
      </xdr:sp>
      <xdr:cxnSp macro="">
        <xdr:nvCxnSpPr>
          <xdr:cNvPr id="7" name="Gerader Verbinder 6">
            <a:extLst>
              <a:ext uri="{FF2B5EF4-FFF2-40B4-BE49-F238E27FC236}">
                <a16:creationId xmlns:a16="http://schemas.microsoft.com/office/drawing/2014/main" id="{5E6F2402-6DC5-05D2-80C6-4D637C8B841B}"/>
              </a:ext>
            </a:extLst>
          </xdr:cNvPr>
          <xdr:cNvCxnSpPr>
            <a:cxnSpLocks/>
          </xdr:cNvCxnSpPr>
        </xdr:nvCxnSpPr>
        <xdr:spPr>
          <a:xfrm flipH="1">
            <a:off x="1683719" y="1550335"/>
            <a:ext cx="11193" cy="525911"/>
          </a:xfrm>
          <a:prstGeom prst="line">
            <a:avLst/>
          </a:prstGeom>
          <a:ln w="19050">
            <a:solidFill>
              <a:srgbClr val="00B0F0"/>
            </a:solidFill>
            <a:headEnd type="non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8" name="Textfeld 7">
            <a:extLst>
              <a:ext uri="{FF2B5EF4-FFF2-40B4-BE49-F238E27FC236}">
                <a16:creationId xmlns:a16="http://schemas.microsoft.com/office/drawing/2014/main" id="{F4B9AA6B-35D7-CBC2-6C83-6BCAF8132488}"/>
              </a:ext>
            </a:extLst>
          </xdr:cNvPr>
          <xdr:cNvSpPr txBox="1"/>
        </xdr:nvSpPr>
        <xdr:spPr>
          <a:xfrm>
            <a:off x="1092200" y="1654164"/>
            <a:ext cx="615457" cy="263573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de-CH" sz="1100">
                <a:solidFill>
                  <a:srgbClr val="00B0F0"/>
                </a:solidFill>
              </a:rPr>
              <a:t>U</a:t>
            </a:r>
            <a:r>
              <a:rPr lang="de-CH" sz="1100" baseline="-25000">
                <a:solidFill>
                  <a:srgbClr val="00B0F0"/>
                </a:solidFill>
              </a:rPr>
              <a:t>0</a:t>
            </a:r>
            <a:r>
              <a:rPr lang="de-CH" sz="1100">
                <a:solidFill>
                  <a:srgbClr val="00B0F0"/>
                </a:solidFill>
              </a:rPr>
              <a:t>=12V</a:t>
            </a:r>
          </a:p>
        </xdr:txBody>
      </xdr:sp>
    </xdr:grpSp>
    <xdr:clientData/>
  </xdr:twoCellAnchor>
  <xdr:twoCellAnchor>
    <xdr:from>
      <xdr:col>4</xdr:col>
      <xdr:colOff>69549</xdr:colOff>
      <xdr:row>5</xdr:row>
      <xdr:rowOff>143567</xdr:rowOff>
    </xdr:from>
    <xdr:to>
      <xdr:col>6</xdr:col>
      <xdr:colOff>126988</xdr:colOff>
      <xdr:row>14</xdr:row>
      <xdr:rowOff>140</xdr:rowOff>
    </xdr:to>
    <xdr:grpSp>
      <xdr:nvGrpSpPr>
        <xdr:cNvPr id="66" name="Gruppieren 65">
          <a:extLst>
            <a:ext uri="{FF2B5EF4-FFF2-40B4-BE49-F238E27FC236}">
              <a16:creationId xmlns:a16="http://schemas.microsoft.com/office/drawing/2014/main" id="{BF9E62BC-AECB-7E69-1126-8ECF80D0BE72}"/>
            </a:ext>
          </a:extLst>
        </xdr:cNvPr>
        <xdr:cNvGrpSpPr/>
      </xdr:nvGrpSpPr>
      <xdr:grpSpPr>
        <a:xfrm>
          <a:off x="3117549" y="1198644"/>
          <a:ext cx="1581439" cy="1571073"/>
          <a:chOff x="3121602" y="1395266"/>
          <a:chExt cx="1581439" cy="1493694"/>
        </a:xfrm>
      </xdr:grpSpPr>
      <xdr:grpSp>
        <xdr:nvGrpSpPr>
          <xdr:cNvPr id="33" name="Gruppieren 32">
            <a:extLst>
              <a:ext uri="{FF2B5EF4-FFF2-40B4-BE49-F238E27FC236}">
                <a16:creationId xmlns:a16="http://schemas.microsoft.com/office/drawing/2014/main" id="{65580D93-5B7F-4DC4-A1BF-0CD301CEEEFA}"/>
              </a:ext>
            </a:extLst>
          </xdr:cNvPr>
          <xdr:cNvGrpSpPr/>
        </xdr:nvGrpSpPr>
        <xdr:grpSpPr>
          <a:xfrm>
            <a:off x="3810000" y="1392091"/>
            <a:ext cx="264365" cy="1493694"/>
            <a:chOff x="3542531" y="10266032"/>
            <a:chExt cx="264365" cy="1473212"/>
          </a:xfrm>
        </xdr:grpSpPr>
        <xdr:cxnSp macro="">
          <xdr:nvCxnSpPr>
            <xdr:cNvPr id="34" name="Gerader Verbinder 33">
              <a:extLst>
                <a:ext uri="{FF2B5EF4-FFF2-40B4-BE49-F238E27FC236}">
                  <a16:creationId xmlns:a16="http://schemas.microsoft.com/office/drawing/2014/main" id="{AA9AB415-1F21-3036-C5EB-BB57AB860C0B}"/>
                </a:ext>
              </a:extLst>
            </xdr:cNvPr>
            <xdr:cNvCxnSpPr>
              <a:cxnSpLocks/>
              <a:endCxn id="35" idx="1"/>
            </xdr:cNvCxnSpPr>
          </xdr:nvCxnSpPr>
          <xdr:spPr>
            <a:xfrm flipH="1">
              <a:off x="3674714" y="10266032"/>
              <a:ext cx="2033" cy="387038"/>
            </a:xfrm>
            <a:prstGeom prst="line">
              <a:avLst/>
            </a:prstGeom>
            <a:ln w="19050">
              <a:solidFill>
                <a:schemeClr val="tx1">
                  <a:lumMod val="95000"/>
                  <a:lumOff val="5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35" name="Textfeld 34">
              <a:extLst>
                <a:ext uri="{FF2B5EF4-FFF2-40B4-BE49-F238E27FC236}">
                  <a16:creationId xmlns:a16="http://schemas.microsoft.com/office/drawing/2014/main" id="{8DE282DA-877F-255E-E983-94E2EA92DB5A}"/>
                </a:ext>
              </a:extLst>
            </xdr:cNvPr>
            <xdr:cNvSpPr txBox="1"/>
          </xdr:nvSpPr>
          <xdr:spPr>
            <a:xfrm rot="5400000" flipV="1">
              <a:off x="3326677" y="10868925"/>
              <a:ext cx="696073" cy="264365"/>
            </a:xfrm>
            <a:prstGeom prst="rect">
              <a:avLst/>
            </a:prstGeom>
            <a:solidFill>
              <a:schemeClr val="lt1"/>
            </a:solidFill>
            <a:ln w="12700" cmpd="sng">
              <a:solidFill>
                <a:schemeClr val="tx1">
                  <a:lumMod val="95000"/>
                  <a:lumOff val="5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de-CH" sz="900"/>
                <a:t>R</a:t>
              </a:r>
              <a:r>
                <a:rPr lang="de-CH" sz="900" baseline="-25000"/>
                <a:t>i </a:t>
              </a:r>
              <a:r>
                <a:rPr lang="de-CH" sz="900" baseline="0"/>
                <a:t>= 100k</a:t>
              </a:r>
              <a:r>
                <a:rPr lang="el-GR" sz="900" baseline="0"/>
                <a:t>Ω</a:t>
              </a:r>
              <a:endParaRPr lang="de-CH" sz="900" baseline="-25000"/>
            </a:p>
          </xdr:txBody>
        </xdr:sp>
        <xdr:cxnSp macro="">
          <xdr:nvCxnSpPr>
            <xdr:cNvPr id="36" name="Gerader Verbinder 35">
              <a:extLst>
                <a:ext uri="{FF2B5EF4-FFF2-40B4-BE49-F238E27FC236}">
                  <a16:creationId xmlns:a16="http://schemas.microsoft.com/office/drawing/2014/main" id="{7F7CAF42-235C-BA22-4B4A-B018FC97B035}"/>
                </a:ext>
              </a:extLst>
            </xdr:cNvPr>
            <xdr:cNvCxnSpPr>
              <a:cxnSpLocks/>
              <a:endCxn id="35" idx="3"/>
            </xdr:cNvCxnSpPr>
          </xdr:nvCxnSpPr>
          <xdr:spPr>
            <a:xfrm flipV="1">
              <a:off x="3672417" y="11349144"/>
              <a:ext cx="2297" cy="390100"/>
            </a:xfrm>
            <a:prstGeom prst="line">
              <a:avLst/>
            </a:prstGeom>
            <a:ln w="19050">
              <a:solidFill>
                <a:schemeClr val="tx1">
                  <a:lumMod val="95000"/>
                  <a:lumOff val="5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cxnSp macro="">
        <xdr:nvCxnSpPr>
          <xdr:cNvPr id="52" name="Gerader Verbinder 51">
            <a:extLst>
              <a:ext uri="{FF2B5EF4-FFF2-40B4-BE49-F238E27FC236}">
                <a16:creationId xmlns:a16="http://schemas.microsoft.com/office/drawing/2014/main" id="{4D8F39E0-0092-416C-903A-58E1DDC576AB}"/>
              </a:ext>
            </a:extLst>
          </xdr:cNvPr>
          <xdr:cNvCxnSpPr>
            <a:cxnSpLocks/>
          </xdr:cNvCxnSpPr>
        </xdr:nvCxnSpPr>
        <xdr:spPr>
          <a:xfrm flipV="1">
            <a:off x="3736398" y="1669184"/>
            <a:ext cx="4329" cy="892752"/>
          </a:xfrm>
          <a:prstGeom prst="line">
            <a:avLst/>
          </a:prstGeom>
          <a:ln w="19050">
            <a:solidFill>
              <a:srgbClr val="00B0F0"/>
            </a:solidFill>
            <a:headEnd type="non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53" name="Textfeld 52">
            <a:extLst>
              <a:ext uri="{FF2B5EF4-FFF2-40B4-BE49-F238E27FC236}">
                <a16:creationId xmlns:a16="http://schemas.microsoft.com/office/drawing/2014/main" id="{B4B72364-ED10-4B2B-8076-C6BC88B85C68}"/>
              </a:ext>
            </a:extLst>
          </xdr:cNvPr>
          <xdr:cNvSpPr txBox="1"/>
        </xdr:nvSpPr>
        <xdr:spPr>
          <a:xfrm>
            <a:off x="3121602" y="1976213"/>
            <a:ext cx="609107" cy="26039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de-CH" sz="1100">
                <a:solidFill>
                  <a:srgbClr val="00B0F0"/>
                </a:solidFill>
              </a:rPr>
              <a:t>U</a:t>
            </a:r>
            <a:r>
              <a:rPr lang="de-CH" sz="1100" baseline="-25000">
                <a:solidFill>
                  <a:srgbClr val="00B0F0"/>
                </a:solidFill>
              </a:rPr>
              <a:t>1</a:t>
            </a:r>
            <a:r>
              <a:rPr lang="de-CH" sz="1100">
                <a:solidFill>
                  <a:srgbClr val="00B0F0"/>
                </a:solidFill>
              </a:rPr>
              <a:t>=12V</a:t>
            </a:r>
          </a:p>
        </xdr:txBody>
      </xdr:sp>
      <xdr:cxnSp macro="">
        <xdr:nvCxnSpPr>
          <xdr:cNvPr id="59" name="Gerade Verbindung mit Pfeil 58">
            <a:extLst>
              <a:ext uri="{FF2B5EF4-FFF2-40B4-BE49-F238E27FC236}">
                <a16:creationId xmlns:a16="http://schemas.microsoft.com/office/drawing/2014/main" id="{8212BEEF-517F-8968-69F6-D6F873E2B2C3}"/>
              </a:ext>
            </a:extLst>
          </xdr:cNvPr>
          <xdr:cNvCxnSpPr/>
        </xdr:nvCxnSpPr>
        <xdr:spPr>
          <a:xfrm flipV="1">
            <a:off x="3942074" y="1528835"/>
            <a:ext cx="0" cy="95604"/>
          </a:xfrm>
          <a:prstGeom prst="straightConnector1">
            <a:avLst/>
          </a:prstGeom>
          <a:ln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64" name="Textfeld 63">
            <a:extLst>
              <a:ext uri="{FF2B5EF4-FFF2-40B4-BE49-F238E27FC236}">
                <a16:creationId xmlns:a16="http://schemas.microsoft.com/office/drawing/2014/main" id="{CCA4403D-9061-43DF-776E-1C47BB12489D}"/>
              </a:ext>
            </a:extLst>
          </xdr:cNvPr>
          <xdr:cNvSpPr txBox="1"/>
        </xdr:nvSpPr>
        <xdr:spPr>
          <a:xfrm>
            <a:off x="3998631" y="1422154"/>
            <a:ext cx="704410" cy="27163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de-CH" sz="1100">
                <a:solidFill>
                  <a:srgbClr val="FF0000"/>
                </a:solidFill>
              </a:rPr>
              <a:t>I</a:t>
            </a:r>
            <a:r>
              <a:rPr lang="de-CH" sz="1100" baseline="-25000">
                <a:solidFill>
                  <a:srgbClr val="FF0000"/>
                </a:solidFill>
              </a:rPr>
              <a:t>1</a:t>
            </a:r>
            <a:r>
              <a:rPr lang="de-CH" sz="1100">
                <a:solidFill>
                  <a:srgbClr val="FF0000"/>
                </a:solidFill>
              </a:rPr>
              <a:t>=50mA</a:t>
            </a:r>
          </a:p>
        </xdr:txBody>
      </xdr:sp>
    </xdr:grpSp>
    <xdr:clientData/>
  </xdr:twoCellAnchor>
  <xdr:twoCellAnchor>
    <xdr:from>
      <xdr:col>2</xdr:col>
      <xdr:colOff>524372</xdr:colOff>
      <xdr:row>7</xdr:row>
      <xdr:rowOff>21616</xdr:rowOff>
    </xdr:from>
    <xdr:to>
      <xdr:col>2</xdr:col>
      <xdr:colOff>524372</xdr:colOff>
      <xdr:row>7</xdr:row>
      <xdr:rowOff>114045</xdr:rowOff>
    </xdr:to>
    <xdr:cxnSp macro="">
      <xdr:nvCxnSpPr>
        <xdr:cNvPr id="9" name="Gerade Verbindung mit Pfeil 8">
          <a:extLst>
            <a:ext uri="{FF2B5EF4-FFF2-40B4-BE49-F238E27FC236}">
              <a16:creationId xmlns:a16="http://schemas.microsoft.com/office/drawing/2014/main" id="{03A7782C-ADC2-2CC5-E90C-22ACB1A8EA9E}"/>
            </a:ext>
          </a:extLst>
        </xdr:cNvPr>
        <xdr:cNvCxnSpPr/>
      </xdr:nvCxnSpPr>
      <xdr:spPr>
        <a:xfrm flipV="1">
          <a:off x="2048372" y="1399648"/>
          <a:ext cx="0" cy="92429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656617</xdr:colOff>
      <xdr:row>5</xdr:row>
      <xdr:rowOff>161006</xdr:rowOff>
    </xdr:from>
    <xdr:to>
      <xdr:col>10</xdr:col>
      <xdr:colOff>253893</xdr:colOff>
      <xdr:row>9</xdr:row>
      <xdr:rowOff>141783</xdr:rowOff>
    </xdr:to>
    <xdr:grpSp>
      <xdr:nvGrpSpPr>
        <xdr:cNvPr id="5" name="Gruppieren 4">
          <a:extLst>
            <a:ext uri="{FF2B5EF4-FFF2-40B4-BE49-F238E27FC236}">
              <a16:creationId xmlns:a16="http://schemas.microsoft.com/office/drawing/2014/main" id="{421CD423-9E18-EFC3-522B-F21E02B44E6F}"/>
            </a:ext>
          </a:extLst>
        </xdr:cNvPr>
        <xdr:cNvGrpSpPr/>
      </xdr:nvGrpSpPr>
      <xdr:grpSpPr>
        <a:xfrm>
          <a:off x="5228617" y="1216083"/>
          <a:ext cx="2645276" cy="742777"/>
          <a:chOff x="5334000" y="1420407"/>
          <a:chExt cx="2650094" cy="717842"/>
        </a:xfrm>
      </xdr:grpSpPr>
      <xdr:sp macro="" textlink="">
        <xdr:nvSpPr>
          <xdr:cNvPr id="89" name="Textfeld 88">
            <a:extLst>
              <a:ext uri="{FF2B5EF4-FFF2-40B4-BE49-F238E27FC236}">
                <a16:creationId xmlns:a16="http://schemas.microsoft.com/office/drawing/2014/main" id="{8820BA66-905D-4C53-9ADA-885F6237BD4B}"/>
              </a:ext>
            </a:extLst>
          </xdr:cNvPr>
          <xdr:cNvSpPr txBox="1"/>
        </xdr:nvSpPr>
        <xdr:spPr>
          <a:xfrm>
            <a:off x="7280118" y="1869065"/>
            <a:ext cx="703976" cy="269184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de-CH" sz="1100">
                <a:solidFill>
                  <a:srgbClr val="FF0000"/>
                </a:solidFill>
              </a:rPr>
              <a:t>I</a:t>
            </a:r>
            <a:r>
              <a:rPr lang="de-CH" sz="1100" baseline="-25000">
                <a:solidFill>
                  <a:srgbClr val="FF0000"/>
                </a:solidFill>
              </a:rPr>
              <a:t>1</a:t>
            </a:r>
            <a:r>
              <a:rPr lang="de-CH" sz="1100">
                <a:solidFill>
                  <a:srgbClr val="FF0000"/>
                </a:solidFill>
              </a:rPr>
              <a:t>=50mA</a:t>
            </a:r>
          </a:p>
        </xdr:txBody>
      </xdr:sp>
      <xdr:cxnSp macro="">
        <xdr:nvCxnSpPr>
          <xdr:cNvPr id="90" name="Gerader Verbinder 89">
            <a:extLst>
              <a:ext uri="{FF2B5EF4-FFF2-40B4-BE49-F238E27FC236}">
                <a16:creationId xmlns:a16="http://schemas.microsoft.com/office/drawing/2014/main" id="{0FC1B0E8-98FF-4A50-9A67-226C9FEF5A74}"/>
              </a:ext>
            </a:extLst>
          </xdr:cNvPr>
          <xdr:cNvCxnSpPr>
            <a:cxnSpLocks/>
            <a:stCxn id="91" idx="1"/>
          </xdr:cNvCxnSpPr>
        </xdr:nvCxnSpPr>
        <xdr:spPr>
          <a:xfrm>
            <a:off x="7305049" y="1898565"/>
            <a:ext cx="332585" cy="1928"/>
          </a:xfrm>
          <a:prstGeom prst="line">
            <a:avLst/>
          </a:prstGeom>
          <a:ln w="19050"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91" name="Textfeld 90">
            <a:extLst>
              <a:ext uri="{FF2B5EF4-FFF2-40B4-BE49-F238E27FC236}">
                <a16:creationId xmlns:a16="http://schemas.microsoft.com/office/drawing/2014/main" id="{A941A824-8AD1-4874-B613-4DB58D4CB868}"/>
              </a:ext>
            </a:extLst>
          </xdr:cNvPr>
          <xdr:cNvSpPr txBox="1"/>
        </xdr:nvSpPr>
        <xdr:spPr>
          <a:xfrm rot="10800000" flipV="1">
            <a:off x="6590983" y="1755032"/>
            <a:ext cx="723590" cy="276488"/>
          </a:xfrm>
          <a:prstGeom prst="rect">
            <a:avLst/>
          </a:prstGeom>
          <a:solidFill>
            <a:schemeClr val="lt1"/>
          </a:solidFill>
          <a:ln w="12700" cmpd="sng"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de-CH" sz="900"/>
              <a:t>R</a:t>
            </a:r>
            <a:r>
              <a:rPr lang="de-CH" sz="900" baseline="-25000"/>
              <a:t>1 </a:t>
            </a:r>
            <a:r>
              <a:rPr lang="de-CH" sz="900" baseline="0"/>
              <a:t>= 100k</a:t>
            </a:r>
            <a:r>
              <a:rPr lang="el-GR" sz="900" baseline="0"/>
              <a:t>Ω</a:t>
            </a:r>
            <a:endParaRPr lang="de-CH" sz="900" baseline="-25000"/>
          </a:p>
        </xdr:txBody>
      </xdr:sp>
      <xdr:cxnSp macro="">
        <xdr:nvCxnSpPr>
          <xdr:cNvPr id="92" name="Gerader Verbinder 91">
            <a:extLst>
              <a:ext uri="{FF2B5EF4-FFF2-40B4-BE49-F238E27FC236}">
                <a16:creationId xmlns:a16="http://schemas.microsoft.com/office/drawing/2014/main" id="{96D93C7D-FB5B-48B5-BAD5-8298AAB30796}"/>
              </a:ext>
            </a:extLst>
          </xdr:cNvPr>
          <xdr:cNvCxnSpPr>
            <a:cxnSpLocks/>
            <a:endCxn id="91" idx="3"/>
          </xdr:cNvCxnSpPr>
        </xdr:nvCxnSpPr>
        <xdr:spPr>
          <a:xfrm>
            <a:off x="5334000" y="1898042"/>
            <a:ext cx="1256982" cy="0"/>
          </a:xfrm>
          <a:prstGeom prst="line">
            <a:avLst/>
          </a:prstGeom>
          <a:ln w="19050"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93" name="Textfeld 92">
            <a:extLst>
              <a:ext uri="{FF2B5EF4-FFF2-40B4-BE49-F238E27FC236}">
                <a16:creationId xmlns:a16="http://schemas.microsoft.com/office/drawing/2014/main" id="{8646C4E5-FD97-4573-BE98-7B25DBF884D2}"/>
              </a:ext>
            </a:extLst>
          </xdr:cNvPr>
          <xdr:cNvSpPr txBox="1"/>
        </xdr:nvSpPr>
        <xdr:spPr>
          <a:xfrm>
            <a:off x="6674505" y="1420407"/>
            <a:ext cx="621424" cy="25584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de-CH" sz="1100">
                <a:solidFill>
                  <a:srgbClr val="00B0F0"/>
                </a:solidFill>
              </a:rPr>
              <a:t>U</a:t>
            </a:r>
            <a:r>
              <a:rPr lang="de-CH" sz="1100" baseline="-25000">
                <a:solidFill>
                  <a:srgbClr val="00B0F0"/>
                </a:solidFill>
              </a:rPr>
              <a:t>1</a:t>
            </a:r>
            <a:r>
              <a:rPr lang="de-CH" sz="1100">
                <a:solidFill>
                  <a:srgbClr val="00B0F0"/>
                </a:solidFill>
              </a:rPr>
              <a:t>=12V</a:t>
            </a:r>
          </a:p>
        </xdr:txBody>
      </xdr:sp>
      <xdr:cxnSp macro="">
        <xdr:nvCxnSpPr>
          <xdr:cNvPr id="94" name="Gerader Verbinder 93">
            <a:extLst>
              <a:ext uri="{FF2B5EF4-FFF2-40B4-BE49-F238E27FC236}">
                <a16:creationId xmlns:a16="http://schemas.microsoft.com/office/drawing/2014/main" id="{284C0C80-CF8B-48AD-B29F-8395262E784E}"/>
              </a:ext>
            </a:extLst>
          </xdr:cNvPr>
          <xdr:cNvCxnSpPr>
            <a:cxnSpLocks/>
          </xdr:cNvCxnSpPr>
        </xdr:nvCxnSpPr>
        <xdr:spPr>
          <a:xfrm>
            <a:off x="6514420" y="1694875"/>
            <a:ext cx="926364" cy="1955"/>
          </a:xfrm>
          <a:prstGeom prst="line">
            <a:avLst/>
          </a:prstGeom>
          <a:ln w="19050">
            <a:solidFill>
              <a:srgbClr val="00B0F0"/>
            </a:solidFill>
            <a:headEnd type="non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6" name="Gerade Verbindung mit Pfeil 95">
            <a:extLst>
              <a:ext uri="{FF2B5EF4-FFF2-40B4-BE49-F238E27FC236}">
                <a16:creationId xmlns:a16="http://schemas.microsoft.com/office/drawing/2014/main" id="{6C1CC825-123E-5BBA-EF3E-EA1008EA2ECE}"/>
              </a:ext>
            </a:extLst>
          </xdr:cNvPr>
          <xdr:cNvCxnSpPr/>
        </xdr:nvCxnSpPr>
        <xdr:spPr>
          <a:xfrm>
            <a:off x="7439933" y="1897906"/>
            <a:ext cx="97105" cy="2021"/>
          </a:xfrm>
          <a:prstGeom prst="straightConnector1">
            <a:avLst/>
          </a:prstGeom>
          <a:ln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288465</xdr:colOff>
      <xdr:row>11</xdr:row>
      <xdr:rowOff>182440</xdr:rowOff>
    </xdr:from>
    <xdr:to>
      <xdr:col>10</xdr:col>
      <xdr:colOff>331682</xdr:colOff>
      <xdr:row>26</xdr:row>
      <xdr:rowOff>45801</xdr:rowOff>
    </xdr:to>
    <xdr:grpSp>
      <xdr:nvGrpSpPr>
        <xdr:cNvPr id="6" name="Gruppieren 5">
          <a:extLst>
            <a:ext uri="{FF2B5EF4-FFF2-40B4-BE49-F238E27FC236}">
              <a16:creationId xmlns:a16="http://schemas.microsoft.com/office/drawing/2014/main" id="{1E88790E-E74C-44DD-87BE-3B5C6776D78F}"/>
            </a:ext>
          </a:extLst>
        </xdr:cNvPr>
        <xdr:cNvGrpSpPr/>
      </xdr:nvGrpSpPr>
      <xdr:grpSpPr>
        <a:xfrm>
          <a:off x="288465" y="2380517"/>
          <a:ext cx="7663217" cy="2720861"/>
          <a:chOff x="288465" y="2305545"/>
          <a:chExt cx="7666392" cy="2599155"/>
        </a:xfrm>
      </xdr:grpSpPr>
      <xdr:sp macro="" textlink="">
        <xdr:nvSpPr>
          <xdr:cNvPr id="46" name="Textfeld 45">
            <a:extLst>
              <a:ext uri="{FF2B5EF4-FFF2-40B4-BE49-F238E27FC236}">
                <a16:creationId xmlns:a16="http://schemas.microsoft.com/office/drawing/2014/main" id="{6E49F325-5899-DFB9-842B-86808BA32471}"/>
              </a:ext>
            </a:extLst>
          </xdr:cNvPr>
          <xdr:cNvSpPr txBox="1"/>
        </xdr:nvSpPr>
        <xdr:spPr>
          <a:xfrm>
            <a:off x="3169071" y="3633530"/>
            <a:ext cx="709143" cy="27109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de-CH" sz="1100">
                <a:solidFill>
                  <a:srgbClr val="FF0000"/>
                </a:solidFill>
              </a:rPr>
              <a:t>I</a:t>
            </a:r>
            <a:r>
              <a:rPr lang="de-CH" sz="1100" baseline="-25000">
                <a:solidFill>
                  <a:srgbClr val="FF0000"/>
                </a:solidFill>
              </a:rPr>
              <a:t>i</a:t>
            </a:r>
            <a:r>
              <a:rPr lang="de-CH" sz="1100">
                <a:solidFill>
                  <a:srgbClr val="FF0000"/>
                </a:solidFill>
              </a:rPr>
              <a:t>=50mA</a:t>
            </a:r>
          </a:p>
        </xdr:txBody>
      </xdr:sp>
      <xdr:sp macro="" textlink="">
        <xdr:nvSpPr>
          <xdr:cNvPr id="42" name="Textfeld 41">
            <a:extLst>
              <a:ext uri="{FF2B5EF4-FFF2-40B4-BE49-F238E27FC236}">
                <a16:creationId xmlns:a16="http://schemas.microsoft.com/office/drawing/2014/main" id="{B88E8BF6-49A9-CD72-859D-12E5D5AA1150}"/>
              </a:ext>
            </a:extLst>
          </xdr:cNvPr>
          <xdr:cNvSpPr txBox="1"/>
        </xdr:nvSpPr>
        <xdr:spPr>
          <a:xfrm>
            <a:off x="2581757" y="3175875"/>
            <a:ext cx="626730" cy="26618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de-CH" sz="1100">
                <a:solidFill>
                  <a:srgbClr val="00B0F0"/>
                </a:solidFill>
              </a:rPr>
              <a:t>U</a:t>
            </a:r>
            <a:r>
              <a:rPr lang="de-CH" sz="1100" baseline="-25000">
                <a:solidFill>
                  <a:srgbClr val="00B0F0"/>
                </a:solidFill>
              </a:rPr>
              <a:t>i</a:t>
            </a:r>
            <a:r>
              <a:rPr lang="de-CH" sz="1100">
                <a:solidFill>
                  <a:srgbClr val="00B0F0"/>
                </a:solidFill>
              </a:rPr>
              <a:t>=12V</a:t>
            </a:r>
          </a:p>
        </xdr:txBody>
      </xdr:sp>
      <xdr:cxnSp macro="">
        <xdr:nvCxnSpPr>
          <xdr:cNvPr id="39" name="Gerader Verbinder 38">
            <a:extLst>
              <a:ext uri="{FF2B5EF4-FFF2-40B4-BE49-F238E27FC236}">
                <a16:creationId xmlns:a16="http://schemas.microsoft.com/office/drawing/2014/main" id="{28E72D93-B1DF-BBB8-D109-AA114CCEB489}"/>
              </a:ext>
            </a:extLst>
          </xdr:cNvPr>
          <xdr:cNvCxnSpPr>
            <a:cxnSpLocks/>
            <a:stCxn id="40" idx="1"/>
          </xdr:cNvCxnSpPr>
        </xdr:nvCxnSpPr>
        <xdr:spPr>
          <a:xfrm flipV="1">
            <a:off x="3209818" y="3656195"/>
            <a:ext cx="1086463" cy="752"/>
          </a:xfrm>
          <a:prstGeom prst="line">
            <a:avLst/>
          </a:prstGeom>
          <a:ln w="19050"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0" name="Textfeld 39">
            <a:extLst>
              <a:ext uri="{FF2B5EF4-FFF2-40B4-BE49-F238E27FC236}">
                <a16:creationId xmlns:a16="http://schemas.microsoft.com/office/drawing/2014/main" id="{80065A8A-22AF-8BE0-815F-0FBE616F2060}"/>
              </a:ext>
            </a:extLst>
          </xdr:cNvPr>
          <xdr:cNvSpPr txBox="1"/>
        </xdr:nvSpPr>
        <xdr:spPr>
          <a:xfrm rot="10800000" flipV="1">
            <a:off x="2487443" y="3521411"/>
            <a:ext cx="722374" cy="271072"/>
          </a:xfrm>
          <a:prstGeom prst="rect">
            <a:avLst/>
          </a:prstGeom>
          <a:solidFill>
            <a:schemeClr val="lt1"/>
          </a:solidFill>
          <a:ln w="12700" cmpd="sng"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de-CH" sz="900"/>
              <a:t>R</a:t>
            </a:r>
            <a:r>
              <a:rPr lang="de-CH" sz="900" baseline="-25000"/>
              <a:t>i </a:t>
            </a:r>
            <a:r>
              <a:rPr lang="de-CH" sz="900" baseline="0"/>
              <a:t>= 100k</a:t>
            </a:r>
            <a:r>
              <a:rPr lang="el-GR" sz="900" baseline="0"/>
              <a:t>Ω</a:t>
            </a:r>
            <a:endParaRPr lang="de-CH" sz="900" baseline="-25000"/>
          </a:p>
        </xdr:txBody>
      </xdr:sp>
      <xdr:cxnSp macro="">
        <xdr:nvCxnSpPr>
          <xdr:cNvPr id="41" name="Gerader Verbinder 40">
            <a:extLst>
              <a:ext uri="{FF2B5EF4-FFF2-40B4-BE49-F238E27FC236}">
                <a16:creationId xmlns:a16="http://schemas.microsoft.com/office/drawing/2014/main" id="{8DC87F37-B1D6-19CB-B774-123089AE28A6}"/>
              </a:ext>
            </a:extLst>
          </xdr:cNvPr>
          <xdr:cNvCxnSpPr>
            <a:cxnSpLocks/>
            <a:endCxn id="40" idx="3"/>
          </xdr:cNvCxnSpPr>
        </xdr:nvCxnSpPr>
        <xdr:spPr>
          <a:xfrm>
            <a:off x="1235737" y="3653197"/>
            <a:ext cx="1251706" cy="3750"/>
          </a:xfrm>
          <a:prstGeom prst="line">
            <a:avLst/>
          </a:prstGeom>
          <a:ln w="19050"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3" name="Gerader Verbinder 42">
            <a:extLst>
              <a:ext uri="{FF2B5EF4-FFF2-40B4-BE49-F238E27FC236}">
                <a16:creationId xmlns:a16="http://schemas.microsoft.com/office/drawing/2014/main" id="{4FF0EF95-8072-4C82-B343-2D20CE4BFE58}"/>
              </a:ext>
            </a:extLst>
          </xdr:cNvPr>
          <xdr:cNvCxnSpPr>
            <a:cxnSpLocks/>
          </xdr:cNvCxnSpPr>
        </xdr:nvCxnSpPr>
        <xdr:spPr>
          <a:xfrm>
            <a:off x="2418323" y="3442422"/>
            <a:ext cx="925266" cy="4392"/>
          </a:xfrm>
          <a:prstGeom prst="line">
            <a:avLst/>
          </a:prstGeom>
          <a:ln w="19050">
            <a:solidFill>
              <a:srgbClr val="00B0F0"/>
            </a:solidFill>
            <a:headEnd type="non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6" name="Gerader Verbinder 85">
            <a:extLst>
              <a:ext uri="{FF2B5EF4-FFF2-40B4-BE49-F238E27FC236}">
                <a16:creationId xmlns:a16="http://schemas.microsoft.com/office/drawing/2014/main" id="{C3908D7F-FD32-918F-227E-7DE9F0BFAE7A}"/>
              </a:ext>
            </a:extLst>
          </xdr:cNvPr>
          <xdr:cNvCxnSpPr>
            <a:cxnSpLocks/>
          </xdr:cNvCxnSpPr>
        </xdr:nvCxnSpPr>
        <xdr:spPr>
          <a:xfrm flipV="1">
            <a:off x="1210724" y="4832233"/>
            <a:ext cx="3084766" cy="9837"/>
          </a:xfrm>
          <a:prstGeom prst="line">
            <a:avLst/>
          </a:prstGeom>
          <a:ln w="19050"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grpSp>
        <xdr:nvGrpSpPr>
          <xdr:cNvPr id="72" name="Gruppieren 71">
            <a:extLst>
              <a:ext uri="{FF2B5EF4-FFF2-40B4-BE49-F238E27FC236}">
                <a16:creationId xmlns:a16="http://schemas.microsoft.com/office/drawing/2014/main" id="{4077AF7E-D627-9025-BFB0-02AC11D9FC87}"/>
              </a:ext>
            </a:extLst>
          </xdr:cNvPr>
          <xdr:cNvGrpSpPr/>
        </xdr:nvGrpSpPr>
        <xdr:grpSpPr>
          <a:xfrm>
            <a:off x="288465" y="3645614"/>
            <a:ext cx="1210034" cy="1206540"/>
            <a:chOff x="1092200" y="1207509"/>
            <a:chExt cx="1205710" cy="1209349"/>
          </a:xfrm>
        </xdr:grpSpPr>
        <xdr:grpSp>
          <xdr:nvGrpSpPr>
            <xdr:cNvPr id="73" name="Gruppieren 72">
              <a:extLst>
                <a:ext uri="{FF2B5EF4-FFF2-40B4-BE49-F238E27FC236}">
                  <a16:creationId xmlns:a16="http://schemas.microsoft.com/office/drawing/2014/main" id="{1F1BF122-4C27-5C8F-CE5A-537B8FFEB2B0}"/>
                </a:ext>
              </a:extLst>
            </xdr:cNvPr>
            <xdr:cNvGrpSpPr/>
          </xdr:nvGrpSpPr>
          <xdr:grpSpPr>
            <a:xfrm>
              <a:off x="1762453" y="1207509"/>
              <a:ext cx="535457" cy="1209349"/>
              <a:chOff x="1249760" y="11127358"/>
              <a:chExt cx="542131" cy="1198751"/>
            </a:xfrm>
          </xdr:grpSpPr>
          <xdr:cxnSp macro="">
            <xdr:nvCxnSpPr>
              <xdr:cNvPr id="77" name="Gerader Verbinder 76">
                <a:extLst>
                  <a:ext uri="{FF2B5EF4-FFF2-40B4-BE49-F238E27FC236}">
                    <a16:creationId xmlns:a16="http://schemas.microsoft.com/office/drawing/2014/main" id="{36671466-E68B-3DC7-CDFF-7A36FBA313B6}"/>
                  </a:ext>
                </a:extLst>
              </xdr:cNvPr>
              <xdr:cNvCxnSpPr>
                <a:cxnSpLocks/>
              </xdr:cNvCxnSpPr>
            </xdr:nvCxnSpPr>
            <xdr:spPr>
              <a:xfrm flipH="1" flipV="1">
                <a:off x="1532310" y="11127358"/>
                <a:ext cx="817" cy="388906"/>
              </a:xfrm>
              <a:prstGeom prst="line">
                <a:avLst/>
              </a:prstGeom>
              <a:ln w="19050">
                <a:solidFill>
                  <a:schemeClr val="tx1">
                    <a:lumMod val="95000"/>
                    <a:lumOff val="5000"/>
                  </a:schemeClr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78" name="Gerader Verbinder 77">
                <a:extLst>
                  <a:ext uri="{FF2B5EF4-FFF2-40B4-BE49-F238E27FC236}">
                    <a16:creationId xmlns:a16="http://schemas.microsoft.com/office/drawing/2014/main" id="{0CC1D877-6A8F-3ADC-6BC7-A6E1D15B8AED}"/>
                  </a:ext>
                </a:extLst>
              </xdr:cNvPr>
              <xdr:cNvCxnSpPr/>
            </xdr:nvCxnSpPr>
            <xdr:spPr>
              <a:xfrm>
                <a:off x="1264841" y="11524995"/>
                <a:ext cx="527050" cy="0"/>
              </a:xfrm>
              <a:prstGeom prst="line">
                <a:avLst/>
              </a:prstGeom>
              <a:ln w="19050">
                <a:solidFill>
                  <a:schemeClr val="tx1">
                    <a:lumMod val="95000"/>
                    <a:lumOff val="5000"/>
                  </a:schemeClr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79" name="Gerader Verbinder 78">
                <a:extLst>
                  <a:ext uri="{FF2B5EF4-FFF2-40B4-BE49-F238E27FC236}">
                    <a16:creationId xmlns:a16="http://schemas.microsoft.com/office/drawing/2014/main" id="{EA27FADF-4BF0-3FBA-E9EC-8A1C8DEF3482}"/>
                  </a:ext>
                </a:extLst>
              </xdr:cNvPr>
              <xdr:cNvCxnSpPr/>
            </xdr:nvCxnSpPr>
            <xdr:spPr>
              <a:xfrm>
                <a:off x="1249760" y="11878476"/>
                <a:ext cx="533400" cy="0"/>
              </a:xfrm>
              <a:prstGeom prst="line">
                <a:avLst/>
              </a:prstGeom>
              <a:ln w="19050">
                <a:solidFill>
                  <a:schemeClr val="tx1">
                    <a:lumMod val="95000"/>
                    <a:lumOff val="5000"/>
                  </a:schemeClr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80" name="Gerader Verbinder 79">
                <a:extLst>
                  <a:ext uri="{FF2B5EF4-FFF2-40B4-BE49-F238E27FC236}">
                    <a16:creationId xmlns:a16="http://schemas.microsoft.com/office/drawing/2014/main" id="{0189EC6A-9286-9800-9246-4CB1386229A1}"/>
                  </a:ext>
                </a:extLst>
              </xdr:cNvPr>
              <xdr:cNvCxnSpPr/>
            </xdr:nvCxnSpPr>
            <xdr:spPr>
              <a:xfrm>
                <a:off x="1401763" y="11581352"/>
                <a:ext cx="247649" cy="396"/>
              </a:xfrm>
              <a:prstGeom prst="line">
                <a:avLst/>
              </a:prstGeom>
              <a:ln w="19050">
                <a:solidFill>
                  <a:schemeClr val="tx1">
                    <a:lumMod val="95000"/>
                    <a:lumOff val="5000"/>
                  </a:schemeClr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81" name="Gerader Verbinder 80">
                <a:extLst>
                  <a:ext uri="{FF2B5EF4-FFF2-40B4-BE49-F238E27FC236}">
                    <a16:creationId xmlns:a16="http://schemas.microsoft.com/office/drawing/2014/main" id="{0816771B-557F-C475-B495-5ECE65027B37}"/>
                  </a:ext>
                </a:extLst>
              </xdr:cNvPr>
              <xdr:cNvCxnSpPr/>
            </xdr:nvCxnSpPr>
            <xdr:spPr>
              <a:xfrm>
                <a:off x="1380729" y="11925705"/>
                <a:ext cx="247649" cy="396"/>
              </a:xfrm>
              <a:prstGeom prst="line">
                <a:avLst/>
              </a:prstGeom>
              <a:ln w="19050">
                <a:solidFill>
                  <a:schemeClr val="tx1">
                    <a:lumMod val="95000"/>
                    <a:lumOff val="5000"/>
                  </a:schemeClr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82" name="Gerader Verbinder 81">
                <a:extLst>
                  <a:ext uri="{FF2B5EF4-FFF2-40B4-BE49-F238E27FC236}">
                    <a16:creationId xmlns:a16="http://schemas.microsoft.com/office/drawing/2014/main" id="{86E35A99-DEBF-B841-6578-D640DD4BB1E3}"/>
                  </a:ext>
                </a:extLst>
              </xdr:cNvPr>
              <xdr:cNvCxnSpPr/>
            </xdr:nvCxnSpPr>
            <xdr:spPr>
              <a:xfrm>
                <a:off x="1524000" y="11593654"/>
                <a:ext cx="0" cy="282044"/>
              </a:xfrm>
              <a:prstGeom prst="line">
                <a:avLst/>
              </a:prstGeom>
              <a:ln w="19050">
                <a:solidFill>
                  <a:schemeClr val="tx1">
                    <a:lumMod val="95000"/>
                    <a:lumOff val="5000"/>
                  </a:schemeClr>
                </a:solidFill>
                <a:prstDash val="sysDash"/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83" name="Gerader Verbinder 82">
                <a:extLst>
                  <a:ext uri="{FF2B5EF4-FFF2-40B4-BE49-F238E27FC236}">
                    <a16:creationId xmlns:a16="http://schemas.microsoft.com/office/drawing/2014/main" id="{CCF44564-522E-2144-120B-A1AD8B7859BD}"/>
                  </a:ext>
                </a:extLst>
              </xdr:cNvPr>
              <xdr:cNvCxnSpPr/>
            </xdr:nvCxnSpPr>
            <xdr:spPr>
              <a:xfrm flipV="1">
                <a:off x="1521174" y="11935230"/>
                <a:ext cx="47" cy="390879"/>
              </a:xfrm>
              <a:prstGeom prst="line">
                <a:avLst/>
              </a:prstGeom>
              <a:ln w="19050">
                <a:solidFill>
                  <a:schemeClr val="tx1">
                    <a:lumMod val="95000"/>
                    <a:lumOff val="5000"/>
                  </a:schemeClr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</xdr:grpSp>
        <xdr:cxnSp macro="">
          <xdr:nvCxnSpPr>
            <xdr:cNvPr id="75" name="Gerader Verbinder 74">
              <a:extLst>
                <a:ext uri="{FF2B5EF4-FFF2-40B4-BE49-F238E27FC236}">
                  <a16:creationId xmlns:a16="http://schemas.microsoft.com/office/drawing/2014/main" id="{74BDBD97-8045-0801-5A5F-AB8EE79838C6}"/>
                </a:ext>
              </a:extLst>
            </xdr:cNvPr>
            <xdr:cNvCxnSpPr>
              <a:cxnSpLocks/>
            </xdr:cNvCxnSpPr>
          </xdr:nvCxnSpPr>
          <xdr:spPr>
            <a:xfrm flipH="1">
              <a:off x="1683719" y="1550335"/>
              <a:ext cx="11193" cy="525911"/>
            </a:xfrm>
            <a:prstGeom prst="line">
              <a:avLst/>
            </a:prstGeom>
            <a:ln w="19050">
              <a:solidFill>
                <a:srgbClr val="00B0F0"/>
              </a:solidFill>
              <a:headEnd type="none"/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76" name="Textfeld 75">
              <a:extLst>
                <a:ext uri="{FF2B5EF4-FFF2-40B4-BE49-F238E27FC236}">
                  <a16:creationId xmlns:a16="http://schemas.microsoft.com/office/drawing/2014/main" id="{3D86AD4F-E11B-CED2-A832-6AE49E06B088}"/>
                </a:ext>
              </a:extLst>
            </xdr:cNvPr>
            <xdr:cNvSpPr txBox="1"/>
          </xdr:nvSpPr>
          <xdr:spPr>
            <a:xfrm>
              <a:off x="1092200" y="1654164"/>
              <a:ext cx="615457" cy="26357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de-CH" sz="1100">
                  <a:solidFill>
                    <a:srgbClr val="00B0F0"/>
                  </a:solidFill>
                </a:rPr>
                <a:t>U</a:t>
              </a:r>
              <a:r>
                <a:rPr lang="de-CH" sz="1100" baseline="-25000">
                  <a:solidFill>
                    <a:srgbClr val="00B0F0"/>
                  </a:solidFill>
                </a:rPr>
                <a:t>0</a:t>
              </a:r>
              <a:r>
                <a:rPr lang="de-CH" sz="1100">
                  <a:solidFill>
                    <a:srgbClr val="00B0F0"/>
                  </a:solidFill>
                </a:rPr>
                <a:t>=12V</a:t>
              </a:r>
            </a:p>
          </xdr:txBody>
        </xdr:sp>
      </xdr:grpSp>
      <xdr:cxnSp macro="">
        <xdr:nvCxnSpPr>
          <xdr:cNvPr id="47" name="Gerade Verbindung mit Pfeil 46">
            <a:extLst>
              <a:ext uri="{FF2B5EF4-FFF2-40B4-BE49-F238E27FC236}">
                <a16:creationId xmlns:a16="http://schemas.microsoft.com/office/drawing/2014/main" id="{C8CBC15C-6F27-86F9-2284-4A930BC7028E}"/>
              </a:ext>
            </a:extLst>
          </xdr:cNvPr>
          <xdr:cNvCxnSpPr/>
        </xdr:nvCxnSpPr>
        <xdr:spPr>
          <a:xfrm>
            <a:off x="3324774" y="3665983"/>
            <a:ext cx="96942" cy="0"/>
          </a:xfrm>
          <a:prstGeom prst="straightConnector1">
            <a:avLst/>
          </a:prstGeom>
          <a:ln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00" name="Ellipse 99">
            <a:extLst>
              <a:ext uri="{FF2B5EF4-FFF2-40B4-BE49-F238E27FC236}">
                <a16:creationId xmlns:a16="http://schemas.microsoft.com/office/drawing/2014/main" id="{13481443-6843-B983-607A-5E6C288E35BC}"/>
              </a:ext>
            </a:extLst>
          </xdr:cNvPr>
          <xdr:cNvSpPr/>
        </xdr:nvSpPr>
        <xdr:spPr>
          <a:xfrm>
            <a:off x="4292879" y="3590616"/>
            <a:ext cx="136070" cy="150805"/>
          </a:xfrm>
          <a:prstGeom prst="ellipse">
            <a:avLst/>
          </a:prstGeom>
          <a:noFill/>
          <a:ln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  <xdr:sp macro="" textlink="">
        <xdr:nvSpPr>
          <xdr:cNvPr id="101" name="Ellipse 100">
            <a:extLst>
              <a:ext uri="{FF2B5EF4-FFF2-40B4-BE49-F238E27FC236}">
                <a16:creationId xmlns:a16="http://schemas.microsoft.com/office/drawing/2014/main" id="{2652BC7E-DA56-740C-3747-3F17D295982C}"/>
              </a:ext>
            </a:extLst>
          </xdr:cNvPr>
          <xdr:cNvSpPr/>
        </xdr:nvSpPr>
        <xdr:spPr>
          <a:xfrm>
            <a:off x="4296048" y="4766630"/>
            <a:ext cx="136081" cy="138070"/>
          </a:xfrm>
          <a:prstGeom prst="ellipse">
            <a:avLst/>
          </a:prstGeom>
          <a:noFill/>
          <a:ln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  <xdr:cxnSp macro="">
        <xdr:nvCxnSpPr>
          <xdr:cNvPr id="51" name="Gerader Verbinder 50">
            <a:extLst>
              <a:ext uri="{FF2B5EF4-FFF2-40B4-BE49-F238E27FC236}">
                <a16:creationId xmlns:a16="http://schemas.microsoft.com/office/drawing/2014/main" id="{87C2BFC2-378B-4A43-13A8-132A07A67F19}"/>
              </a:ext>
            </a:extLst>
          </xdr:cNvPr>
          <xdr:cNvCxnSpPr>
            <a:cxnSpLocks/>
          </xdr:cNvCxnSpPr>
        </xdr:nvCxnSpPr>
        <xdr:spPr>
          <a:xfrm flipV="1">
            <a:off x="6868394" y="4490569"/>
            <a:ext cx="1086463" cy="752"/>
          </a:xfrm>
          <a:prstGeom prst="line">
            <a:avLst/>
          </a:prstGeom>
          <a:ln w="19050"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4" name="Gerader Verbinder 103">
            <a:extLst>
              <a:ext uri="{FF2B5EF4-FFF2-40B4-BE49-F238E27FC236}">
                <a16:creationId xmlns:a16="http://schemas.microsoft.com/office/drawing/2014/main" id="{40907EFC-95BE-133B-F2FF-AF6B18B2D27B}"/>
              </a:ext>
            </a:extLst>
          </xdr:cNvPr>
          <xdr:cNvCxnSpPr>
            <a:cxnSpLocks/>
          </xdr:cNvCxnSpPr>
        </xdr:nvCxnSpPr>
        <xdr:spPr>
          <a:xfrm flipV="1">
            <a:off x="6856180" y="2316022"/>
            <a:ext cx="1086463" cy="752"/>
          </a:xfrm>
          <a:prstGeom prst="line">
            <a:avLst/>
          </a:prstGeom>
          <a:ln w="19050"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68" name="Gerader Verbinder 167">
            <a:extLst>
              <a:ext uri="{FF2B5EF4-FFF2-40B4-BE49-F238E27FC236}">
                <a16:creationId xmlns:a16="http://schemas.microsoft.com/office/drawing/2014/main" id="{602D22EA-167B-B7EB-9F47-5216261673EE}"/>
              </a:ext>
            </a:extLst>
          </xdr:cNvPr>
          <xdr:cNvCxnSpPr>
            <a:cxnSpLocks/>
            <a:endCxn id="49" idx="4"/>
          </xdr:cNvCxnSpPr>
        </xdr:nvCxnSpPr>
        <xdr:spPr>
          <a:xfrm flipH="1" flipV="1">
            <a:off x="6863329" y="3819538"/>
            <a:ext cx="4440" cy="672642"/>
          </a:xfrm>
          <a:prstGeom prst="line">
            <a:avLst/>
          </a:prstGeom>
          <a:ln w="19050"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73" name="Gerader Verbinder 172">
            <a:extLst>
              <a:ext uri="{FF2B5EF4-FFF2-40B4-BE49-F238E27FC236}">
                <a16:creationId xmlns:a16="http://schemas.microsoft.com/office/drawing/2014/main" id="{AA243DAF-C311-016A-255A-9029B1A9FF29}"/>
              </a:ext>
            </a:extLst>
          </xdr:cNvPr>
          <xdr:cNvCxnSpPr>
            <a:cxnSpLocks/>
            <a:stCxn id="49" idx="0"/>
          </xdr:cNvCxnSpPr>
        </xdr:nvCxnSpPr>
        <xdr:spPr>
          <a:xfrm flipH="1" flipV="1">
            <a:off x="6848231" y="2305545"/>
            <a:ext cx="15098" cy="659565"/>
          </a:xfrm>
          <a:prstGeom prst="line">
            <a:avLst/>
          </a:prstGeom>
          <a:ln w="19050"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662894</xdr:colOff>
      <xdr:row>13</xdr:row>
      <xdr:rowOff>71211</xdr:rowOff>
    </xdr:from>
    <xdr:to>
      <xdr:col>7</xdr:col>
      <xdr:colOff>30843</xdr:colOff>
      <xdr:row>14</xdr:row>
      <xdr:rowOff>30616</xdr:rowOff>
    </xdr:to>
    <xdr:sp macro="" textlink="">
      <xdr:nvSpPr>
        <xdr:cNvPr id="102" name="Ellipse 101">
          <a:extLst>
            <a:ext uri="{FF2B5EF4-FFF2-40B4-BE49-F238E27FC236}">
              <a16:creationId xmlns:a16="http://schemas.microsoft.com/office/drawing/2014/main" id="{E1EECD79-2A62-00F4-0B68-3A3099BE6081}"/>
            </a:ext>
          </a:extLst>
        </xdr:cNvPr>
        <xdr:cNvSpPr/>
      </xdr:nvSpPr>
      <xdr:spPr>
        <a:xfrm>
          <a:off x="5234894" y="2530702"/>
          <a:ext cx="129949" cy="139700"/>
        </a:xfrm>
        <a:prstGeom prst="ellipse">
          <a:avLst/>
        </a:prstGeom>
        <a:solidFill>
          <a:schemeClr val="tx1">
            <a:lumMod val="95000"/>
            <a:lumOff val="5000"/>
          </a:schemeClr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0</xdr:col>
      <xdr:colOff>734559</xdr:colOff>
      <xdr:row>34</xdr:row>
      <xdr:rowOff>68538</xdr:rowOff>
    </xdr:from>
    <xdr:to>
      <xdr:col>6</xdr:col>
      <xdr:colOff>313654</xdr:colOff>
      <xdr:row>47</xdr:row>
      <xdr:rowOff>149676</xdr:rowOff>
    </xdr:to>
    <xdr:grpSp>
      <xdr:nvGrpSpPr>
        <xdr:cNvPr id="18" name="Gruppieren 17">
          <a:extLst>
            <a:ext uri="{FF2B5EF4-FFF2-40B4-BE49-F238E27FC236}">
              <a16:creationId xmlns:a16="http://schemas.microsoft.com/office/drawing/2014/main" id="{649833E1-F3DB-F24E-39E6-1B69724B1C30}"/>
            </a:ext>
          </a:extLst>
        </xdr:cNvPr>
        <xdr:cNvGrpSpPr/>
      </xdr:nvGrpSpPr>
      <xdr:grpSpPr>
        <a:xfrm>
          <a:off x="734559" y="6648115"/>
          <a:ext cx="4151095" cy="2557638"/>
          <a:chOff x="734559" y="6383410"/>
          <a:chExt cx="4151095" cy="2452255"/>
        </a:xfrm>
      </xdr:grpSpPr>
      <xdr:cxnSp macro="">
        <xdr:nvCxnSpPr>
          <xdr:cNvPr id="127" name="Gerader Verbinder 126">
            <a:extLst>
              <a:ext uri="{FF2B5EF4-FFF2-40B4-BE49-F238E27FC236}">
                <a16:creationId xmlns:a16="http://schemas.microsoft.com/office/drawing/2014/main" id="{FD7DEC17-96E6-B16B-5EC9-4721049EDE99}"/>
              </a:ext>
            </a:extLst>
          </xdr:cNvPr>
          <xdr:cNvCxnSpPr>
            <a:cxnSpLocks/>
          </xdr:cNvCxnSpPr>
        </xdr:nvCxnSpPr>
        <xdr:spPr>
          <a:xfrm flipV="1">
            <a:off x="1664250" y="6449013"/>
            <a:ext cx="3091116" cy="9837"/>
          </a:xfrm>
          <a:prstGeom prst="line">
            <a:avLst/>
          </a:prstGeom>
          <a:ln w="19050"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29" name="Gerader Verbinder 128">
            <a:extLst>
              <a:ext uri="{FF2B5EF4-FFF2-40B4-BE49-F238E27FC236}">
                <a16:creationId xmlns:a16="http://schemas.microsoft.com/office/drawing/2014/main" id="{5B91E2A0-8B45-6AE1-F76E-4AD2AF2DE3BB}"/>
              </a:ext>
            </a:extLst>
          </xdr:cNvPr>
          <xdr:cNvCxnSpPr>
            <a:cxnSpLocks/>
          </xdr:cNvCxnSpPr>
        </xdr:nvCxnSpPr>
        <xdr:spPr>
          <a:xfrm flipV="1">
            <a:off x="1647229" y="8753673"/>
            <a:ext cx="3084766" cy="19362"/>
          </a:xfrm>
          <a:prstGeom prst="line">
            <a:avLst/>
          </a:prstGeom>
          <a:ln w="19050"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28" name="Ellipse 127">
            <a:extLst>
              <a:ext uri="{FF2B5EF4-FFF2-40B4-BE49-F238E27FC236}">
                <a16:creationId xmlns:a16="http://schemas.microsoft.com/office/drawing/2014/main" id="{018B51B2-1587-1C09-7C1A-0084A8716133}"/>
              </a:ext>
            </a:extLst>
          </xdr:cNvPr>
          <xdr:cNvSpPr/>
        </xdr:nvSpPr>
        <xdr:spPr>
          <a:xfrm>
            <a:off x="4755923" y="6383410"/>
            <a:ext cx="129731" cy="141245"/>
          </a:xfrm>
          <a:prstGeom prst="ellipse">
            <a:avLst/>
          </a:prstGeom>
          <a:noFill/>
          <a:ln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  <xdr:sp macro="" textlink="">
        <xdr:nvSpPr>
          <xdr:cNvPr id="130" name="Ellipse 129">
            <a:extLst>
              <a:ext uri="{FF2B5EF4-FFF2-40B4-BE49-F238E27FC236}">
                <a16:creationId xmlns:a16="http://schemas.microsoft.com/office/drawing/2014/main" id="{1FA1B882-D4FD-96DB-378A-EB28E2583C68}"/>
              </a:ext>
            </a:extLst>
          </xdr:cNvPr>
          <xdr:cNvSpPr/>
        </xdr:nvSpPr>
        <xdr:spPr>
          <a:xfrm>
            <a:off x="4742078" y="8697595"/>
            <a:ext cx="126556" cy="138070"/>
          </a:xfrm>
          <a:prstGeom prst="ellipse">
            <a:avLst/>
          </a:prstGeom>
          <a:noFill/>
          <a:ln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  <xdr:grpSp>
        <xdr:nvGrpSpPr>
          <xdr:cNvPr id="137" name="Gruppieren 136">
            <a:extLst>
              <a:ext uri="{FF2B5EF4-FFF2-40B4-BE49-F238E27FC236}">
                <a16:creationId xmlns:a16="http://schemas.microsoft.com/office/drawing/2014/main" id="{04267C4A-AE74-98DD-2F86-160249B72AB4}"/>
              </a:ext>
            </a:extLst>
          </xdr:cNvPr>
          <xdr:cNvGrpSpPr/>
        </xdr:nvGrpSpPr>
        <xdr:grpSpPr>
          <a:xfrm>
            <a:off x="731384" y="6426903"/>
            <a:ext cx="4097477" cy="2356090"/>
            <a:chOff x="731384" y="6426903"/>
            <a:chExt cx="4097477" cy="2356090"/>
          </a:xfrm>
        </xdr:grpSpPr>
        <xdr:grpSp>
          <xdr:nvGrpSpPr>
            <xdr:cNvPr id="105" name="Gruppieren 104">
              <a:extLst>
                <a:ext uri="{FF2B5EF4-FFF2-40B4-BE49-F238E27FC236}">
                  <a16:creationId xmlns:a16="http://schemas.microsoft.com/office/drawing/2014/main" id="{56205ACC-EEFC-48F3-87CB-F571E9893CAC}"/>
                </a:ext>
              </a:extLst>
            </xdr:cNvPr>
            <xdr:cNvGrpSpPr/>
          </xdr:nvGrpSpPr>
          <xdr:grpSpPr>
            <a:xfrm>
              <a:off x="734559" y="7598658"/>
              <a:ext cx="1687219" cy="1184335"/>
              <a:chOff x="1092200" y="1225261"/>
              <a:chExt cx="1696152" cy="1174687"/>
            </a:xfrm>
          </xdr:grpSpPr>
          <xdr:grpSp>
            <xdr:nvGrpSpPr>
              <xdr:cNvPr id="106" name="Gruppieren 105">
                <a:extLst>
                  <a:ext uri="{FF2B5EF4-FFF2-40B4-BE49-F238E27FC236}">
                    <a16:creationId xmlns:a16="http://schemas.microsoft.com/office/drawing/2014/main" id="{F4F9864F-9316-0019-4342-3C8B34A3E105}"/>
                  </a:ext>
                </a:extLst>
              </xdr:cNvPr>
              <xdr:cNvGrpSpPr/>
            </xdr:nvGrpSpPr>
            <xdr:grpSpPr>
              <a:xfrm>
                <a:off x="1762453" y="1225261"/>
                <a:ext cx="535457" cy="1174687"/>
                <a:chOff x="1249760" y="11144956"/>
                <a:chExt cx="542131" cy="1164393"/>
              </a:xfrm>
            </xdr:grpSpPr>
            <xdr:cxnSp macro="">
              <xdr:nvCxnSpPr>
                <xdr:cNvPr id="110" name="Gerader Verbinder 109">
                  <a:extLst>
                    <a:ext uri="{FF2B5EF4-FFF2-40B4-BE49-F238E27FC236}">
                      <a16:creationId xmlns:a16="http://schemas.microsoft.com/office/drawing/2014/main" id="{027A8B5B-B889-4F0D-DD5A-353D5F33BAB1}"/>
                    </a:ext>
                  </a:extLst>
                </xdr:cNvPr>
                <xdr:cNvCxnSpPr>
                  <a:cxnSpLocks/>
                </xdr:cNvCxnSpPr>
              </xdr:nvCxnSpPr>
              <xdr:spPr>
                <a:xfrm flipV="1">
                  <a:off x="1533127" y="11144956"/>
                  <a:ext cx="1228" cy="371308"/>
                </a:xfrm>
                <a:prstGeom prst="line">
                  <a:avLst/>
                </a:prstGeom>
                <a:ln w="19050">
                  <a:solidFill>
                    <a:schemeClr val="tx1">
                      <a:lumMod val="95000"/>
                      <a:lumOff val="5000"/>
                    </a:schemeClr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111" name="Gerader Verbinder 110">
                  <a:extLst>
                    <a:ext uri="{FF2B5EF4-FFF2-40B4-BE49-F238E27FC236}">
                      <a16:creationId xmlns:a16="http://schemas.microsoft.com/office/drawing/2014/main" id="{986613AD-A961-3CE2-B268-965B4094C76F}"/>
                    </a:ext>
                  </a:extLst>
                </xdr:cNvPr>
                <xdr:cNvCxnSpPr/>
              </xdr:nvCxnSpPr>
              <xdr:spPr>
                <a:xfrm>
                  <a:off x="1264841" y="11524995"/>
                  <a:ext cx="527050" cy="0"/>
                </a:xfrm>
                <a:prstGeom prst="line">
                  <a:avLst/>
                </a:prstGeom>
                <a:ln w="19050">
                  <a:solidFill>
                    <a:schemeClr val="tx1">
                      <a:lumMod val="95000"/>
                      <a:lumOff val="5000"/>
                    </a:schemeClr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112" name="Gerader Verbinder 111">
                  <a:extLst>
                    <a:ext uri="{FF2B5EF4-FFF2-40B4-BE49-F238E27FC236}">
                      <a16:creationId xmlns:a16="http://schemas.microsoft.com/office/drawing/2014/main" id="{94CC6391-B46A-833A-0F4E-BAF9E6005AFD}"/>
                    </a:ext>
                  </a:extLst>
                </xdr:cNvPr>
                <xdr:cNvCxnSpPr/>
              </xdr:nvCxnSpPr>
              <xdr:spPr>
                <a:xfrm>
                  <a:off x="1249760" y="11878476"/>
                  <a:ext cx="533400" cy="0"/>
                </a:xfrm>
                <a:prstGeom prst="line">
                  <a:avLst/>
                </a:prstGeom>
                <a:ln w="19050">
                  <a:solidFill>
                    <a:schemeClr val="tx1">
                      <a:lumMod val="95000"/>
                      <a:lumOff val="5000"/>
                    </a:schemeClr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113" name="Gerader Verbinder 112">
                  <a:extLst>
                    <a:ext uri="{FF2B5EF4-FFF2-40B4-BE49-F238E27FC236}">
                      <a16:creationId xmlns:a16="http://schemas.microsoft.com/office/drawing/2014/main" id="{80747032-E49C-8CD9-49CB-77B44EAEA5AA}"/>
                    </a:ext>
                  </a:extLst>
                </xdr:cNvPr>
                <xdr:cNvCxnSpPr/>
              </xdr:nvCxnSpPr>
              <xdr:spPr>
                <a:xfrm>
                  <a:off x="1401763" y="11581352"/>
                  <a:ext cx="247649" cy="396"/>
                </a:xfrm>
                <a:prstGeom prst="line">
                  <a:avLst/>
                </a:prstGeom>
                <a:ln w="19050">
                  <a:solidFill>
                    <a:schemeClr val="tx1">
                      <a:lumMod val="95000"/>
                      <a:lumOff val="5000"/>
                    </a:schemeClr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114" name="Gerader Verbinder 113">
                  <a:extLst>
                    <a:ext uri="{FF2B5EF4-FFF2-40B4-BE49-F238E27FC236}">
                      <a16:creationId xmlns:a16="http://schemas.microsoft.com/office/drawing/2014/main" id="{E37AD0ED-B1D1-1DED-7E83-D610F7ED8B09}"/>
                    </a:ext>
                  </a:extLst>
                </xdr:cNvPr>
                <xdr:cNvCxnSpPr/>
              </xdr:nvCxnSpPr>
              <xdr:spPr>
                <a:xfrm>
                  <a:off x="1380729" y="11925705"/>
                  <a:ext cx="247649" cy="396"/>
                </a:xfrm>
                <a:prstGeom prst="line">
                  <a:avLst/>
                </a:prstGeom>
                <a:ln w="19050">
                  <a:solidFill>
                    <a:schemeClr val="tx1">
                      <a:lumMod val="95000"/>
                      <a:lumOff val="5000"/>
                    </a:schemeClr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115" name="Gerader Verbinder 114">
                  <a:extLst>
                    <a:ext uri="{FF2B5EF4-FFF2-40B4-BE49-F238E27FC236}">
                      <a16:creationId xmlns:a16="http://schemas.microsoft.com/office/drawing/2014/main" id="{236E5839-913D-5EE1-A83F-5C9284011AE4}"/>
                    </a:ext>
                  </a:extLst>
                </xdr:cNvPr>
                <xdr:cNvCxnSpPr/>
              </xdr:nvCxnSpPr>
              <xdr:spPr>
                <a:xfrm>
                  <a:off x="1524000" y="11593654"/>
                  <a:ext cx="0" cy="282044"/>
                </a:xfrm>
                <a:prstGeom prst="line">
                  <a:avLst/>
                </a:prstGeom>
                <a:ln w="19050">
                  <a:solidFill>
                    <a:schemeClr val="tx1">
                      <a:lumMod val="95000"/>
                      <a:lumOff val="5000"/>
                    </a:schemeClr>
                  </a:solidFill>
                  <a:prstDash val="sysDash"/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116" name="Gerader Verbinder 115">
                  <a:extLst>
                    <a:ext uri="{FF2B5EF4-FFF2-40B4-BE49-F238E27FC236}">
                      <a16:creationId xmlns:a16="http://schemas.microsoft.com/office/drawing/2014/main" id="{371E77BC-A63E-9F65-5A72-5E5E3159AB3B}"/>
                    </a:ext>
                  </a:extLst>
                </xdr:cNvPr>
                <xdr:cNvCxnSpPr/>
              </xdr:nvCxnSpPr>
              <xdr:spPr>
                <a:xfrm flipV="1">
                  <a:off x="1516459" y="11935230"/>
                  <a:ext cx="4762" cy="374119"/>
                </a:xfrm>
                <a:prstGeom prst="line">
                  <a:avLst/>
                </a:prstGeom>
                <a:ln w="19050">
                  <a:solidFill>
                    <a:schemeClr val="tx1">
                      <a:lumMod val="95000"/>
                      <a:lumOff val="5000"/>
                    </a:schemeClr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</xdr:grpSp>
          <xdr:sp macro="" textlink="">
            <xdr:nvSpPr>
              <xdr:cNvPr id="107" name="Textfeld 106">
                <a:extLst>
                  <a:ext uri="{FF2B5EF4-FFF2-40B4-BE49-F238E27FC236}">
                    <a16:creationId xmlns:a16="http://schemas.microsoft.com/office/drawing/2014/main" id="{879F0711-17E4-91A7-D864-34548DD044B0}"/>
                  </a:ext>
                </a:extLst>
              </xdr:cNvPr>
              <xdr:cNvSpPr txBox="1"/>
            </xdr:nvSpPr>
            <xdr:spPr>
              <a:xfrm>
                <a:off x="2083942" y="1319453"/>
                <a:ext cx="704410" cy="265285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rtlCol="0" anchor="t">
                <a:noAutofit/>
              </a:bodyPr>
              <a:lstStyle/>
              <a:p>
                <a:r>
                  <a:rPr lang="de-CH" sz="1100">
                    <a:solidFill>
                      <a:srgbClr val="FF0000"/>
                    </a:solidFill>
                  </a:rPr>
                  <a:t>I</a:t>
                </a:r>
                <a:r>
                  <a:rPr lang="de-CH" sz="1100" baseline="-25000">
                    <a:solidFill>
                      <a:srgbClr val="FF0000"/>
                    </a:solidFill>
                  </a:rPr>
                  <a:t>0</a:t>
                </a:r>
                <a:r>
                  <a:rPr lang="de-CH" sz="1100">
                    <a:solidFill>
                      <a:srgbClr val="FF0000"/>
                    </a:solidFill>
                  </a:rPr>
                  <a:t>=50mA</a:t>
                </a:r>
              </a:p>
            </xdr:txBody>
          </xdr:sp>
          <xdr:cxnSp macro="">
            <xdr:nvCxnSpPr>
              <xdr:cNvPr id="108" name="Gerader Verbinder 107">
                <a:extLst>
                  <a:ext uri="{FF2B5EF4-FFF2-40B4-BE49-F238E27FC236}">
                    <a16:creationId xmlns:a16="http://schemas.microsoft.com/office/drawing/2014/main" id="{433FF3BC-D22E-2550-A137-0B0EF181F2AC}"/>
                  </a:ext>
                </a:extLst>
              </xdr:cNvPr>
              <xdr:cNvCxnSpPr>
                <a:cxnSpLocks/>
              </xdr:cNvCxnSpPr>
            </xdr:nvCxnSpPr>
            <xdr:spPr>
              <a:xfrm flipH="1">
                <a:off x="1683719" y="1550335"/>
                <a:ext cx="11193" cy="525911"/>
              </a:xfrm>
              <a:prstGeom prst="line">
                <a:avLst/>
              </a:prstGeom>
              <a:ln w="19050">
                <a:solidFill>
                  <a:srgbClr val="00B0F0"/>
                </a:solidFill>
                <a:headEnd type="none"/>
                <a:tailEnd type="triangle"/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sp macro="" textlink="">
            <xdr:nvSpPr>
              <xdr:cNvPr id="109" name="Textfeld 108">
                <a:extLst>
                  <a:ext uri="{FF2B5EF4-FFF2-40B4-BE49-F238E27FC236}">
                    <a16:creationId xmlns:a16="http://schemas.microsoft.com/office/drawing/2014/main" id="{26786D40-69EA-5111-D022-3DE061915E6B}"/>
                  </a:ext>
                </a:extLst>
              </xdr:cNvPr>
              <xdr:cNvSpPr txBox="1"/>
            </xdr:nvSpPr>
            <xdr:spPr>
              <a:xfrm>
                <a:off x="1092200" y="1654164"/>
                <a:ext cx="615457" cy="263573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rtlCol="0" anchor="t">
                <a:noAutofit/>
              </a:bodyPr>
              <a:lstStyle/>
              <a:p>
                <a:r>
                  <a:rPr lang="de-CH" sz="1100">
                    <a:solidFill>
                      <a:srgbClr val="00B0F0"/>
                    </a:solidFill>
                  </a:rPr>
                  <a:t>U</a:t>
                </a:r>
                <a:r>
                  <a:rPr lang="de-CH" sz="1100" baseline="-25000">
                    <a:solidFill>
                      <a:srgbClr val="00B0F0"/>
                    </a:solidFill>
                  </a:rPr>
                  <a:t>0</a:t>
                </a:r>
                <a:r>
                  <a:rPr lang="de-CH" sz="1100">
                    <a:solidFill>
                      <a:srgbClr val="00B0F0"/>
                    </a:solidFill>
                  </a:rPr>
                  <a:t>=12V</a:t>
                </a:r>
              </a:p>
            </xdr:txBody>
          </xdr:sp>
        </xdr:grpSp>
        <xdr:grpSp>
          <xdr:nvGrpSpPr>
            <xdr:cNvPr id="118" name="Gruppieren 117">
              <a:extLst>
                <a:ext uri="{FF2B5EF4-FFF2-40B4-BE49-F238E27FC236}">
                  <a16:creationId xmlns:a16="http://schemas.microsoft.com/office/drawing/2014/main" id="{FF2D25D7-6726-4039-A592-64EEDEA19D91}"/>
                </a:ext>
              </a:extLst>
            </xdr:cNvPr>
            <xdr:cNvGrpSpPr/>
          </xdr:nvGrpSpPr>
          <xdr:grpSpPr>
            <a:xfrm>
              <a:off x="846733" y="6468432"/>
              <a:ext cx="1601482" cy="1506568"/>
              <a:chOff x="3121602" y="1388889"/>
              <a:chExt cx="1581439" cy="1493696"/>
            </a:xfrm>
          </xdr:grpSpPr>
          <xdr:grpSp>
            <xdr:nvGrpSpPr>
              <xdr:cNvPr id="119" name="Gruppieren 118">
                <a:extLst>
                  <a:ext uri="{FF2B5EF4-FFF2-40B4-BE49-F238E27FC236}">
                    <a16:creationId xmlns:a16="http://schemas.microsoft.com/office/drawing/2014/main" id="{D10E80B9-C32A-0D1F-F43E-B8C239C7CCCD}"/>
                  </a:ext>
                </a:extLst>
              </xdr:cNvPr>
              <xdr:cNvGrpSpPr/>
            </xdr:nvGrpSpPr>
            <xdr:grpSpPr>
              <a:xfrm>
                <a:off x="3808276" y="1388889"/>
                <a:ext cx="264875" cy="1493696"/>
                <a:chOff x="3540807" y="10262874"/>
                <a:chExt cx="264875" cy="1473214"/>
              </a:xfrm>
            </xdr:grpSpPr>
            <xdr:cxnSp macro="">
              <xdr:nvCxnSpPr>
                <xdr:cNvPr id="124" name="Gerader Verbinder 123">
                  <a:extLst>
                    <a:ext uri="{FF2B5EF4-FFF2-40B4-BE49-F238E27FC236}">
                      <a16:creationId xmlns:a16="http://schemas.microsoft.com/office/drawing/2014/main" id="{A9AC788F-57FF-3CB9-40C2-E90D4DD9B85F}"/>
                    </a:ext>
                  </a:extLst>
                </xdr:cNvPr>
                <xdr:cNvCxnSpPr>
                  <a:cxnSpLocks/>
                  <a:endCxn id="125" idx="1"/>
                </xdr:cNvCxnSpPr>
              </xdr:nvCxnSpPr>
              <xdr:spPr>
                <a:xfrm flipH="1">
                  <a:off x="3673246" y="10262874"/>
                  <a:ext cx="2037" cy="387038"/>
                </a:xfrm>
                <a:prstGeom prst="line">
                  <a:avLst/>
                </a:prstGeom>
                <a:ln w="19050">
                  <a:solidFill>
                    <a:schemeClr val="tx1">
                      <a:lumMod val="95000"/>
                      <a:lumOff val="5000"/>
                    </a:schemeClr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sp macro="" textlink="">
              <xdr:nvSpPr>
                <xdr:cNvPr id="125" name="Textfeld 124">
                  <a:extLst>
                    <a:ext uri="{FF2B5EF4-FFF2-40B4-BE49-F238E27FC236}">
                      <a16:creationId xmlns:a16="http://schemas.microsoft.com/office/drawing/2014/main" id="{193CE01D-B353-609B-74CD-E9E4E898F3B0}"/>
                    </a:ext>
                  </a:extLst>
                </xdr:cNvPr>
                <xdr:cNvSpPr txBox="1"/>
              </xdr:nvSpPr>
              <xdr:spPr>
                <a:xfrm rot="5400000" flipV="1">
                  <a:off x="3325208" y="10865513"/>
                  <a:ext cx="696073" cy="264875"/>
                </a:xfrm>
                <a:prstGeom prst="rect">
                  <a:avLst/>
                </a:prstGeom>
                <a:solidFill>
                  <a:schemeClr val="lt1"/>
                </a:solidFill>
                <a:ln w="12700" cmpd="sng">
                  <a:solidFill>
                    <a:schemeClr val="tx1">
                      <a:lumMod val="95000"/>
                      <a:lumOff val="5000"/>
                    </a:schemeClr>
                  </a:solidFill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de-CH" sz="900"/>
                    <a:t>R</a:t>
                  </a:r>
                  <a:r>
                    <a:rPr lang="de-CH" sz="900" baseline="-25000"/>
                    <a:t>i </a:t>
                  </a:r>
                  <a:r>
                    <a:rPr lang="de-CH" sz="900" baseline="0"/>
                    <a:t>= 100k</a:t>
                  </a:r>
                  <a:r>
                    <a:rPr lang="el-GR" sz="900" baseline="0"/>
                    <a:t>Ω</a:t>
                  </a:r>
                  <a:endParaRPr lang="de-CH" sz="900" baseline="-25000"/>
                </a:p>
              </xdr:txBody>
            </xdr:sp>
            <xdr:cxnSp macro="">
              <xdr:nvCxnSpPr>
                <xdr:cNvPr id="126" name="Gerader Verbinder 125">
                  <a:extLst>
                    <a:ext uri="{FF2B5EF4-FFF2-40B4-BE49-F238E27FC236}">
                      <a16:creationId xmlns:a16="http://schemas.microsoft.com/office/drawing/2014/main" id="{E8E83361-DF12-A88A-9D2B-6E76CA99F003}"/>
                    </a:ext>
                  </a:extLst>
                </xdr:cNvPr>
                <xdr:cNvCxnSpPr>
                  <a:cxnSpLocks/>
                  <a:endCxn id="125" idx="3"/>
                </xdr:cNvCxnSpPr>
              </xdr:nvCxnSpPr>
              <xdr:spPr>
                <a:xfrm flipV="1">
                  <a:off x="3670943" y="11345988"/>
                  <a:ext cx="2301" cy="390100"/>
                </a:xfrm>
                <a:prstGeom prst="line">
                  <a:avLst/>
                </a:prstGeom>
                <a:ln w="19050">
                  <a:solidFill>
                    <a:schemeClr val="tx1">
                      <a:lumMod val="95000"/>
                      <a:lumOff val="5000"/>
                    </a:schemeClr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</xdr:grpSp>
          <xdr:cxnSp macro="">
            <xdr:nvCxnSpPr>
              <xdr:cNvPr id="120" name="Gerader Verbinder 119">
                <a:extLst>
                  <a:ext uri="{FF2B5EF4-FFF2-40B4-BE49-F238E27FC236}">
                    <a16:creationId xmlns:a16="http://schemas.microsoft.com/office/drawing/2014/main" id="{DAD4FA96-B908-C386-238F-909872FF0648}"/>
                  </a:ext>
                </a:extLst>
              </xdr:cNvPr>
              <xdr:cNvCxnSpPr>
                <a:cxnSpLocks/>
              </xdr:cNvCxnSpPr>
            </xdr:nvCxnSpPr>
            <xdr:spPr>
              <a:xfrm flipV="1">
                <a:off x="3736398" y="1669184"/>
                <a:ext cx="4329" cy="892752"/>
              </a:xfrm>
              <a:prstGeom prst="line">
                <a:avLst/>
              </a:prstGeom>
              <a:ln w="19050">
                <a:solidFill>
                  <a:srgbClr val="00B0F0"/>
                </a:solidFill>
                <a:headEnd type="none"/>
                <a:tailEnd type="triangle"/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sp macro="" textlink="">
            <xdr:nvSpPr>
              <xdr:cNvPr id="121" name="Textfeld 120">
                <a:extLst>
                  <a:ext uri="{FF2B5EF4-FFF2-40B4-BE49-F238E27FC236}">
                    <a16:creationId xmlns:a16="http://schemas.microsoft.com/office/drawing/2014/main" id="{54D9E0D8-57A7-20FC-29ED-227CBCE45588}"/>
                  </a:ext>
                </a:extLst>
              </xdr:cNvPr>
              <xdr:cNvSpPr txBox="1"/>
            </xdr:nvSpPr>
            <xdr:spPr>
              <a:xfrm>
                <a:off x="3121602" y="1976213"/>
                <a:ext cx="609107" cy="260398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rtlCol="0" anchor="t">
                <a:noAutofit/>
              </a:bodyPr>
              <a:lstStyle/>
              <a:p>
                <a:r>
                  <a:rPr lang="de-CH" sz="1100">
                    <a:solidFill>
                      <a:srgbClr val="00B0F0"/>
                    </a:solidFill>
                  </a:rPr>
                  <a:t>U</a:t>
                </a:r>
                <a:r>
                  <a:rPr lang="de-CH" sz="1100" baseline="-25000">
                    <a:solidFill>
                      <a:srgbClr val="00B0F0"/>
                    </a:solidFill>
                  </a:rPr>
                  <a:t>1</a:t>
                </a:r>
                <a:r>
                  <a:rPr lang="de-CH" sz="1100">
                    <a:solidFill>
                      <a:srgbClr val="00B0F0"/>
                    </a:solidFill>
                  </a:rPr>
                  <a:t>=12V</a:t>
                </a:r>
              </a:p>
            </xdr:txBody>
          </xdr:sp>
          <xdr:cxnSp macro="">
            <xdr:nvCxnSpPr>
              <xdr:cNvPr id="122" name="Gerade Verbindung mit Pfeil 121">
                <a:extLst>
                  <a:ext uri="{FF2B5EF4-FFF2-40B4-BE49-F238E27FC236}">
                    <a16:creationId xmlns:a16="http://schemas.microsoft.com/office/drawing/2014/main" id="{E40926DE-C238-09B0-ACA2-7EA7C768829C}"/>
                  </a:ext>
                </a:extLst>
              </xdr:cNvPr>
              <xdr:cNvCxnSpPr/>
            </xdr:nvCxnSpPr>
            <xdr:spPr>
              <a:xfrm flipV="1">
                <a:off x="3942074" y="1528835"/>
                <a:ext cx="0" cy="95604"/>
              </a:xfrm>
              <a:prstGeom prst="straightConnector1">
                <a:avLst/>
              </a:prstGeom>
              <a:ln>
                <a:solidFill>
                  <a:srgbClr val="FF0000"/>
                </a:solidFill>
                <a:tailEnd type="triangle"/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sp macro="" textlink="">
            <xdr:nvSpPr>
              <xdr:cNvPr id="123" name="Textfeld 122">
                <a:extLst>
                  <a:ext uri="{FF2B5EF4-FFF2-40B4-BE49-F238E27FC236}">
                    <a16:creationId xmlns:a16="http://schemas.microsoft.com/office/drawing/2014/main" id="{856F7655-177C-4531-1514-A83F093D8F7D}"/>
                  </a:ext>
                </a:extLst>
              </xdr:cNvPr>
              <xdr:cNvSpPr txBox="1"/>
            </xdr:nvSpPr>
            <xdr:spPr>
              <a:xfrm>
                <a:off x="3998631" y="1422154"/>
                <a:ext cx="704410" cy="271635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rtlCol="0" anchor="t">
                <a:noAutofit/>
              </a:bodyPr>
              <a:lstStyle/>
              <a:p>
                <a:r>
                  <a:rPr lang="de-CH" sz="1100">
                    <a:solidFill>
                      <a:srgbClr val="FF0000"/>
                    </a:solidFill>
                  </a:rPr>
                  <a:t>I</a:t>
                </a:r>
                <a:r>
                  <a:rPr lang="de-CH" sz="1100" baseline="-25000">
                    <a:solidFill>
                      <a:srgbClr val="FF0000"/>
                    </a:solidFill>
                  </a:rPr>
                  <a:t>1</a:t>
                </a:r>
                <a:r>
                  <a:rPr lang="de-CH" sz="1100">
                    <a:solidFill>
                      <a:srgbClr val="FF0000"/>
                    </a:solidFill>
                  </a:rPr>
                  <a:t>=50mA</a:t>
                </a:r>
              </a:p>
            </xdr:txBody>
          </xdr:sp>
        </xdr:grpSp>
        <xdr:sp macro="" textlink="">
          <xdr:nvSpPr>
            <xdr:cNvPr id="131" name="Textfeld 130">
              <a:extLst>
                <a:ext uri="{FF2B5EF4-FFF2-40B4-BE49-F238E27FC236}">
                  <a16:creationId xmlns:a16="http://schemas.microsoft.com/office/drawing/2014/main" id="{3955F5EB-F52E-4B5F-9020-F0D5AC9683AD}"/>
                </a:ext>
              </a:extLst>
            </xdr:cNvPr>
            <xdr:cNvSpPr txBox="1"/>
          </xdr:nvSpPr>
          <xdr:spPr>
            <a:xfrm>
              <a:off x="3565071" y="6426903"/>
              <a:ext cx="702793" cy="2626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de-CH" sz="1100">
                  <a:solidFill>
                    <a:srgbClr val="FF0000"/>
                  </a:solidFill>
                </a:rPr>
                <a:t>I</a:t>
              </a:r>
              <a:r>
                <a:rPr lang="de-CH" sz="1100" baseline="-25000">
                  <a:solidFill>
                    <a:srgbClr val="FF0000"/>
                  </a:solidFill>
                </a:rPr>
                <a:t>i</a:t>
              </a:r>
              <a:r>
                <a:rPr lang="de-CH" sz="1100">
                  <a:solidFill>
                    <a:srgbClr val="FF0000"/>
                  </a:solidFill>
                </a:rPr>
                <a:t>=50mA</a:t>
              </a:r>
            </a:p>
          </xdr:txBody>
        </xdr:sp>
        <xdr:cxnSp macro="">
          <xdr:nvCxnSpPr>
            <xdr:cNvPr id="132" name="Gerade Verbindung mit Pfeil 131">
              <a:extLst>
                <a:ext uri="{FF2B5EF4-FFF2-40B4-BE49-F238E27FC236}">
                  <a16:creationId xmlns:a16="http://schemas.microsoft.com/office/drawing/2014/main" id="{0C8AC431-FE7F-44AF-B11B-3A1A07118504}"/>
                </a:ext>
              </a:extLst>
            </xdr:cNvPr>
            <xdr:cNvCxnSpPr/>
          </xdr:nvCxnSpPr>
          <xdr:spPr>
            <a:xfrm>
              <a:off x="3717599" y="6449531"/>
              <a:ext cx="100117" cy="0"/>
            </a:xfrm>
            <a:prstGeom prst="straightConnector1">
              <a:avLst/>
            </a:prstGeom>
            <a:ln>
              <a:solidFill>
                <a:srgbClr val="FF0000"/>
              </a:solidFill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33" name="Gerader Verbinder 132">
              <a:extLst>
                <a:ext uri="{FF2B5EF4-FFF2-40B4-BE49-F238E27FC236}">
                  <a16:creationId xmlns:a16="http://schemas.microsoft.com/office/drawing/2014/main" id="{B116D28C-9ECA-43C6-BC8E-664ACF538AAB}"/>
                </a:ext>
              </a:extLst>
            </xdr:cNvPr>
            <xdr:cNvCxnSpPr>
              <a:cxnSpLocks/>
            </xdr:cNvCxnSpPr>
          </xdr:nvCxnSpPr>
          <xdr:spPr>
            <a:xfrm>
              <a:off x="4827361" y="6656923"/>
              <a:ext cx="1498" cy="1924914"/>
            </a:xfrm>
            <a:prstGeom prst="line">
              <a:avLst/>
            </a:prstGeom>
            <a:ln w="19050">
              <a:solidFill>
                <a:srgbClr val="00B0F0"/>
              </a:solidFill>
              <a:headEnd type="none"/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34" name="Textfeld 133">
              <a:extLst>
                <a:ext uri="{FF2B5EF4-FFF2-40B4-BE49-F238E27FC236}">
                  <a16:creationId xmlns:a16="http://schemas.microsoft.com/office/drawing/2014/main" id="{77D2220F-B9C5-4FD5-8AD1-9DB80BE99A4E}"/>
                </a:ext>
              </a:extLst>
            </xdr:cNvPr>
            <xdr:cNvSpPr txBox="1"/>
          </xdr:nvSpPr>
          <xdr:spPr>
            <a:xfrm>
              <a:off x="4221843" y="7512069"/>
              <a:ext cx="607018" cy="2695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de-CH" sz="1100">
                  <a:solidFill>
                    <a:srgbClr val="00B0F0"/>
                  </a:solidFill>
                </a:rPr>
                <a:t>U</a:t>
              </a:r>
              <a:r>
                <a:rPr lang="de-CH" sz="1100" baseline="-25000">
                  <a:solidFill>
                    <a:srgbClr val="00B0F0"/>
                  </a:solidFill>
                </a:rPr>
                <a:t>K</a:t>
              </a:r>
              <a:r>
                <a:rPr lang="de-CH" sz="1100">
                  <a:solidFill>
                    <a:srgbClr val="00B0F0"/>
                  </a:solidFill>
                </a:rPr>
                <a:t>=12V</a:t>
              </a:r>
            </a:p>
          </xdr:txBody>
        </xdr:sp>
      </xdr:grpSp>
    </xdr:grpSp>
    <xdr:clientData/>
  </xdr:twoCellAnchor>
  <xdr:twoCellAnchor>
    <xdr:from>
      <xdr:col>0</xdr:col>
      <xdr:colOff>692217</xdr:colOff>
      <xdr:row>51</xdr:row>
      <xdr:rowOff>71202</xdr:rowOff>
    </xdr:from>
    <xdr:to>
      <xdr:col>7</xdr:col>
      <xdr:colOff>483571</xdr:colOff>
      <xdr:row>59</xdr:row>
      <xdr:rowOff>149969</xdr:rowOff>
    </xdr:to>
    <xdr:grpSp>
      <xdr:nvGrpSpPr>
        <xdr:cNvPr id="3" name="Gruppieren 2">
          <a:extLst>
            <a:ext uri="{FF2B5EF4-FFF2-40B4-BE49-F238E27FC236}">
              <a16:creationId xmlns:a16="http://schemas.microsoft.com/office/drawing/2014/main" id="{CA0E6566-E710-2258-94E4-F03328A46C35}"/>
            </a:ext>
          </a:extLst>
        </xdr:cNvPr>
        <xdr:cNvGrpSpPr/>
      </xdr:nvGrpSpPr>
      <xdr:grpSpPr>
        <a:xfrm>
          <a:off x="692217" y="9889279"/>
          <a:ext cx="5125354" cy="1602767"/>
          <a:chOff x="762000" y="9921335"/>
          <a:chExt cx="5134879" cy="1541091"/>
        </a:xfrm>
      </xdr:grpSpPr>
      <xdr:sp macro="" textlink="">
        <xdr:nvSpPr>
          <xdr:cNvPr id="198" name="Rechteck 197">
            <a:extLst>
              <a:ext uri="{FF2B5EF4-FFF2-40B4-BE49-F238E27FC236}">
                <a16:creationId xmlns:a16="http://schemas.microsoft.com/office/drawing/2014/main" id="{B4108DE7-D886-36B2-DAA7-60E566EA46C0}"/>
              </a:ext>
            </a:extLst>
          </xdr:cNvPr>
          <xdr:cNvSpPr/>
        </xdr:nvSpPr>
        <xdr:spPr>
          <a:xfrm>
            <a:off x="811516" y="9921335"/>
            <a:ext cx="3513239" cy="1541091"/>
          </a:xfrm>
          <a:prstGeom prst="rect">
            <a:avLst/>
          </a:prstGeom>
          <a:solidFill>
            <a:srgbClr val="FFFF0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de-CH" sz="600">
                <a:solidFill>
                  <a:schemeClr val="tx1">
                    <a:lumMod val="95000"/>
                    <a:lumOff val="5000"/>
                  </a:schemeClr>
                </a:solidFill>
              </a:rPr>
              <a:t>Reale Spannungsquelle</a:t>
            </a:r>
          </a:p>
        </xdr:txBody>
      </xdr:sp>
      <xdr:grpSp>
        <xdr:nvGrpSpPr>
          <xdr:cNvPr id="138" name="Gruppieren 137">
            <a:extLst>
              <a:ext uri="{FF2B5EF4-FFF2-40B4-BE49-F238E27FC236}">
                <a16:creationId xmlns:a16="http://schemas.microsoft.com/office/drawing/2014/main" id="{90B405D2-D335-47B1-B65C-BD286DBCD74B}"/>
              </a:ext>
            </a:extLst>
          </xdr:cNvPr>
          <xdr:cNvGrpSpPr/>
        </xdr:nvGrpSpPr>
        <xdr:grpSpPr>
          <a:xfrm>
            <a:off x="4581376" y="10096893"/>
            <a:ext cx="1312328" cy="1189719"/>
            <a:chOff x="2773378" y="10207571"/>
            <a:chExt cx="1254659" cy="1191913"/>
          </a:xfrm>
        </xdr:grpSpPr>
        <xdr:cxnSp macro="">
          <xdr:nvCxnSpPr>
            <xdr:cNvPr id="139" name="Gerader Verbinder 138">
              <a:extLst>
                <a:ext uri="{FF2B5EF4-FFF2-40B4-BE49-F238E27FC236}">
                  <a16:creationId xmlns:a16="http://schemas.microsoft.com/office/drawing/2014/main" id="{205FF9FB-F205-3A8B-803C-CC11A57B9CA1}"/>
                </a:ext>
              </a:extLst>
            </xdr:cNvPr>
            <xdr:cNvCxnSpPr>
              <a:cxnSpLocks/>
              <a:endCxn id="140" idx="1"/>
            </xdr:cNvCxnSpPr>
          </xdr:nvCxnSpPr>
          <xdr:spPr>
            <a:xfrm>
              <a:off x="3699145" y="10207571"/>
              <a:ext cx="2144" cy="254999"/>
            </a:xfrm>
            <a:prstGeom prst="line">
              <a:avLst/>
            </a:prstGeom>
            <a:ln w="19050">
              <a:solidFill>
                <a:schemeClr val="tx1">
                  <a:lumMod val="95000"/>
                  <a:lumOff val="5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40" name="Textfeld 139">
              <a:extLst>
                <a:ext uri="{FF2B5EF4-FFF2-40B4-BE49-F238E27FC236}">
                  <a16:creationId xmlns:a16="http://schemas.microsoft.com/office/drawing/2014/main" id="{6C5B63C4-A4B4-FD79-8D71-DA5BE3F395B2}"/>
                </a:ext>
              </a:extLst>
            </xdr:cNvPr>
            <xdr:cNvSpPr txBox="1"/>
          </xdr:nvSpPr>
          <xdr:spPr>
            <a:xfrm rot="5400000" flipV="1">
              <a:off x="3353253" y="10678425"/>
              <a:ext cx="696073" cy="264365"/>
            </a:xfrm>
            <a:prstGeom prst="rect">
              <a:avLst/>
            </a:prstGeom>
            <a:solidFill>
              <a:schemeClr val="lt1"/>
            </a:solidFill>
            <a:ln w="12700" cmpd="sng">
              <a:solidFill>
                <a:schemeClr val="tx1">
                  <a:lumMod val="95000"/>
                  <a:lumOff val="5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de-CH" sz="900"/>
                <a:t>R</a:t>
              </a:r>
              <a:r>
                <a:rPr lang="de-CH" sz="900" baseline="-25000"/>
                <a:t>Last</a:t>
              </a:r>
            </a:p>
          </xdr:txBody>
        </xdr:sp>
        <xdr:cxnSp macro="">
          <xdr:nvCxnSpPr>
            <xdr:cNvPr id="141" name="Gerader Verbinder 140">
              <a:extLst>
                <a:ext uri="{FF2B5EF4-FFF2-40B4-BE49-F238E27FC236}">
                  <a16:creationId xmlns:a16="http://schemas.microsoft.com/office/drawing/2014/main" id="{1442A2C2-BB71-1B33-69AC-72253E884373}"/>
                </a:ext>
              </a:extLst>
            </xdr:cNvPr>
            <xdr:cNvCxnSpPr>
              <a:cxnSpLocks/>
              <a:endCxn id="140" idx="3"/>
            </xdr:cNvCxnSpPr>
          </xdr:nvCxnSpPr>
          <xdr:spPr>
            <a:xfrm flipV="1">
              <a:off x="3698763" y="11158643"/>
              <a:ext cx="2527" cy="240841"/>
            </a:xfrm>
            <a:prstGeom prst="line">
              <a:avLst/>
            </a:prstGeom>
            <a:ln w="19050">
              <a:solidFill>
                <a:schemeClr val="tx1">
                  <a:lumMod val="95000"/>
                  <a:lumOff val="5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42" name="Gerader Verbinder 141">
              <a:extLst>
                <a:ext uri="{FF2B5EF4-FFF2-40B4-BE49-F238E27FC236}">
                  <a16:creationId xmlns:a16="http://schemas.microsoft.com/office/drawing/2014/main" id="{99782DD6-5C5C-ECDA-CE51-FD20B93AA373}"/>
                </a:ext>
              </a:extLst>
            </xdr:cNvPr>
            <xdr:cNvCxnSpPr>
              <a:cxnSpLocks/>
              <a:stCxn id="149" idx="6"/>
            </xdr:cNvCxnSpPr>
          </xdr:nvCxnSpPr>
          <xdr:spPr>
            <a:xfrm flipV="1">
              <a:off x="2773378" y="10216207"/>
              <a:ext cx="930563" cy="5284"/>
            </a:xfrm>
            <a:prstGeom prst="line">
              <a:avLst/>
            </a:prstGeom>
            <a:ln w="19050">
              <a:solidFill>
                <a:schemeClr val="tx1">
                  <a:lumMod val="95000"/>
                  <a:lumOff val="5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43" name="Gerader Verbinder 142">
              <a:extLst>
                <a:ext uri="{FF2B5EF4-FFF2-40B4-BE49-F238E27FC236}">
                  <a16:creationId xmlns:a16="http://schemas.microsoft.com/office/drawing/2014/main" id="{FE6DBB0B-8EEB-3D50-B56E-931B5668D737}"/>
                </a:ext>
              </a:extLst>
            </xdr:cNvPr>
            <xdr:cNvCxnSpPr>
              <a:cxnSpLocks/>
            </xdr:cNvCxnSpPr>
          </xdr:nvCxnSpPr>
          <xdr:spPr>
            <a:xfrm flipV="1">
              <a:off x="2773378" y="11389263"/>
              <a:ext cx="930563" cy="5284"/>
            </a:xfrm>
            <a:prstGeom prst="line">
              <a:avLst/>
            </a:prstGeom>
            <a:ln w="19050">
              <a:solidFill>
                <a:schemeClr val="tx1">
                  <a:lumMod val="95000"/>
                  <a:lumOff val="5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44" name="Gerader Verbinder 143">
              <a:extLst>
                <a:ext uri="{FF2B5EF4-FFF2-40B4-BE49-F238E27FC236}">
                  <a16:creationId xmlns:a16="http://schemas.microsoft.com/office/drawing/2014/main" id="{AB3E058B-AC59-7720-7BCC-C3106806DE45}"/>
                </a:ext>
              </a:extLst>
            </xdr:cNvPr>
            <xdr:cNvCxnSpPr>
              <a:cxnSpLocks/>
            </xdr:cNvCxnSpPr>
          </xdr:nvCxnSpPr>
          <xdr:spPr>
            <a:xfrm flipV="1">
              <a:off x="3356976" y="10398423"/>
              <a:ext cx="671061" cy="591985"/>
            </a:xfrm>
            <a:prstGeom prst="line">
              <a:avLst/>
            </a:prstGeom>
            <a:ln w="19050">
              <a:solidFill>
                <a:schemeClr val="tx1">
                  <a:lumMod val="95000"/>
                  <a:lumOff val="5000"/>
                </a:schemeClr>
              </a:solidFill>
              <a:headEnd type="none" w="med" len="med"/>
              <a:tailEnd type="triangle" w="med" len="med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45" name="Gruppieren 144">
            <a:extLst>
              <a:ext uri="{FF2B5EF4-FFF2-40B4-BE49-F238E27FC236}">
                <a16:creationId xmlns:a16="http://schemas.microsoft.com/office/drawing/2014/main" id="{4E8C6603-7549-447C-9B70-1DDF3F82F76B}"/>
              </a:ext>
            </a:extLst>
          </xdr:cNvPr>
          <xdr:cNvGrpSpPr/>
        </xdr:nvGrpSpPr>
        <xdr:grpSpPr>
          <a:xfrm>
            <a:off x="762000" y="9962745"/>
            <a:ext cx="3822646" cy="1381719"/>
            <a:chOff x="1647691" y="3231319"/>
            <a:chExt cx="3829184" cy="1371297"/>
          </a:xfrm>
        </xdr:grpSpPr>
        <xdr:grpSp>
          <xdr:nvGrpSpPr>
            <xdr:cNvPr id="146" name="Gruppieren 145">
              <a:extLst>
                <a:ext uri="{FF2B5EF4-FFF2-40B4-BE49-F238E27FC236}">
                  <a16:creationId xmlns:a16="http://schemas.microsoft.com/office/drawing/2014/main" id="{80F1877B-8CBF-391E-0EA3-6489D3C49021}"/>
                </a:ext>
              </a:extLst>
            </xdr:cNvPr>
            <xdr:cNvGrpSpPr/>
          </xdr:nvGrpSpPr>
          <xdr:grpSpPr>
            <a:xfrm>
              <a:off x="2250055" y="3231319"/>
              <a:ext cx="3165174" cy="1309353"/>
              <a:chOff x="4427838" y="1387845"/>
              <a:chExt cx="3167127" cy="1304717"/>
            </a:xfrm>
          </xdr:grpSpPr>
          <xdr:sp macro="" textlink="">
            <xdr:nvSpPr>
              <xdr:cNvPr id="162" name="Textfeld 161">
                <a:extLst>
                  <a:ext uri="{FF2B5EF4-FFF2-40B4-BE49-F238E27FC236}">
                    <a16:creationId xmlns:a16="http://schemas.microsoft.com/office/drawing/2014/main" id="{A3C4AC5F-D977-8F6F-DD3C-A226D2F6B681}"/>
                  </a:ext>
                </a:extLst>
              </xdr:cNvPr>
              <xdr:cNvSpPr txBox="1"/>
            </xdr:nvSpPr>
            <xdr:spPr>
              <a:xfrm>
                <a:off x="7029444" y="1528263"/>
                <a:ext cx="202920" cy="264048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rtlCol="0" anchor="t">
                <a:noAutofit/>
              </a:bodyPr>
              <a:lstStyle/>
              <a:p>
                <a:r>
                  <a:rPr lang="de-CH" sz="1100">
                    <a:solidFill>
                      <a:srgbClr val="FF0000"/>
                    </a:solidFill>
                  </a:rPr>
                  <a:t>I</a:t>
                </a:r>
              </a:p>
            </xdr:txBody>
          </xdr:sp>
          <xdr:cxnSp macro="">
            <xdr:nvCxnSpPr>
              <xdr:cNvPr id="163" name="Gerader Verbinder 162">
                <a:extLst>
                  <a:ext uri="{FF2B5EF4-FFF2-40B4-BE49-F238E27FC236}">
                    <a16:creationId xmlns:a16="http://schemas.microsoft.com/office/drawing/2014/main" id="{8532420B-9E74-825F-278C-DEEC22D276A0}"/>
                  </a:ext>
                </a:extLst>
              </xdr:cNvPr>
              <xdr:cNvCxnSpPr>
                <a:cxnSpLocks/>
                <a:stCxn id="164" idx="1"/>
              </xdr:cNvCxnSpPr>
            </xdr:nvCxnSpPr>
            <xdr:spPr>
              <a:xfrm flipV="1">
                <a:off x="6431532" y="1523812"/>
                <a:ext cx="1088963" cy="741"/>
              </a:xfrm>
              <a:prstGeom prst="line">
                <a:avLst/>
              </a:prstGeom>
              <a:ln w="19050">
                <a:solidFill>
                  <a:schemeClr val="tx1">
                    <a:lumMod val="95000"/>
                    <a:lumOff val="5000"/>
                  </a:schemeClr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sp macro="" textlink="">
            <xdr:nvSpPr>
              <xdr:cNvPr id="164" name="Textfeld 163">
                <a:extLst>
                  <a:ext uri="{FF2B5EF4-FFF2-40B4-BE49-F238E27FC236}">
                    <a16:creationId xmlns:a16="http://schemas.microsoft.com/office/drawing/2014/main" id="{BE2EF287-2050-F25C-E530-92814028D121}"/>
                  </a:ext>
                </a:extLst>
              </xdr:cNvPr>
              <xdr:cNvSpPr txBox="1"/>
            </xdr:nvSpPr>
            <xdr:spPr>
              <a:xfrm rot="10800000" flipV="1">
                <a:off x="5707495" y="1387845"/>
                <a:ext cx="724036" cy="273416"/>
              </a:xfrm>
              <a:prstGeom prst="rect">
                <a:avLst/>
              </a:prstGeom>
              <a:solidFill>
                <a:schemeClr val="lt1"/>
              </a:solidFill>
              <a:ln w="12700" cmpd="sng">
                <a:solidFill>
                  <a:schemeClr val="tx1">
                    <a:lumMod val="95000"/>
                    <a:lumOff val="5000"/>
                  </a:schemeClr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ctr"/>
                <a:r>
                  <a:rPr lang="de-CH" sz="900"/>
                  <a:t>R</a:t>
                </a:r>
                <a:r>
                  <a:rPr lang="de-CH" sz="900" baseline="-25000"/>
                  <a:t>i</a:t>
                </a:r>
              </a:p>
            </xdr:txBody>
          </xdr:sp>
          <xdr:cxnSp macro="">
            <xdr:nvCxnSpPr>
              <xdr:cNvPr id="165" name="Gerader Verbinder 164">
                <a:extLst>
                  <a:ext uri="{FF2B5EF4-FFF2-40B4-BE49-F238E27FC236}">
                    <a16:creationId xmlns:a16="http://schemas.microsoft.com/office/drawing/2014/main" id="{45341779-DD6A-F856-FD8D-0DF04C271971}"/>
                  </a:ext>
                </a:extLst>
              </xdr:cNvPr>
              <xdr:cNvCxnSpPr>
                <a:cxnSpLocks/>
                <a:endCxn id="164" idx="3"/>
              </xdr:cNvCxnSpPr>
            </xdr:nvCxnSpPr>
            <xdr:spPr>
              <a:xfrm>
                <a:off x="4456091" y="1520857"/>
                <a:ext cx="1251404" cy="3696"/>
              </a:xfrm>
              <a:prstGeom prst="line">
                <a:avLst/>
              </a:prstGeom>
              <a:ln w="19050">
                <a:solidFill>
                  <a:schemeClr val="tx1">
                    <a:lumMod val="95000"/>
                    <a:lumOff val="5000"/>
                  </a:schemeClr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66" name="Gerader Verbinder 165">
                <a:extLst>
                  <a:ext uri="{FF2B5EF4-FFF2-40B4-BE49-F238E27FC236}">
                    <a16:creationId xmlns:a16="http://schemas.microsoft.com/office/drawing/2014/main" id="{927483FC-6C34-55B2-BD0B-649FEF8CF19F}"/>
                  </a:ext>
                </a:extLst>
              </xdr:cNvPr>
              <xdr:cNvCxnSpPr>
                <a:cxnSpLocks/>
              </xdr:cNvCxnSpPr>
            </xdr:nvCxnSpPr>
            <xdr:spPr>
              <a:xfrm>
                <a:off x="7592171" y="1832902"/>
                <a:ext cx="2794" cy="650796"/>
              </a:xfrm>
              <a:prstGeom prst="line">
                <a:avLst/>
              </a:prstGeom>
              <a:ln w="19050">
                <a:solidFill>
                  <a:srgbClr val="00B0F0"/>
                </a:solidFill>
                <a:headEnd type="none"/>
                <a:tailEnd type="triangle"/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67" name="Gerader Verbinder 166">
                <a:extLst>
                  <a:ext uri="{FF2B5EF4-FFF2-40B4-BE49-F238E27FC236}">
                    <a16:creationId xmlns:a16="http://schemas.microsoft.com/office/drawing/2014/main" id="{5CA35E17-241A-C21E-F3D8-B6FEB77DE3F4}"/>
                  </a:ext>
                </a:extLst>
              </xdr:cNvPr>
              <xdr:cNvCxnSpPr>
                <a:cxnSpLocks/>
              </xdr:cNvCxnSpPr>
            </xdr:nvCxnSpPr>
            <xdr:spPr>
              <a:xfrm flipV="1">
                <a:off x="4427838" y="2679738"/>
                <a:ext cx="3091864" cy="12824"/>
              </a:xfrm>
              <a:prstGeom prst="line">
                <a:avLst/>
              </a:prstGeom>
              <a:ln w="19050">
                <a:solidFill>
                  <a:schemeClr val="tx1">
                    <a:lumMod val="95000"/>
                    <a:lumOff val="5000"/>
                  </a:schemeClr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</xdr:grpSp>
        <xdr:grpSp>
          <xdr:nvGrpSpPr>
            <xdr:cNvPr id="147" name="Gruppieren 146">
              <a:extLst>
                <a:ext uri="{FF2B5EF4-FFF2-40B4-BE49-F238E27FC236}">
                  <a16:creationId xmlns:a16="http://schemas.microsoft.com/office/drawing/2014/main" id="{D54615A6-EB05-5AC6-ABBC-88855A8E1041}"/>
                </a:ext>
              </a:extLst>
            </xdr:cNvPr>
            <xdr:cNvGrpSpPr/>
          </xdr:nvGrpSpPr>
          <xdr:grpSpPr>
            <a:xfrm>
              <a:off x="1647691" y="3354163"/>
              <a:ext cx="3783279" cy="1193342"/>
              <a:chOff x="1413648" y="1207509"/>
              <a:chExt cx="3783279" cy="1209349"/>
            </a:xfrm>
          </xdr:grpSpPr>
          <xdr:grpSp>
            <xdr:nvGrpSpPr>
              <xdr:cNvPr id="151" name="Gruppieren 150">
                <a:extLst>
                  <a:ext uri="{FF2B5EF4-FFF2-40B4-BE49-F238E27FC236}">
                    <a16:creationId xmlns:a16="http://schemas.microsoft.com/office/drawing/2014/main" id="{30519A1B-7B3C-6B6B-D690-C98543E9BE15}"/>
                  </a:ext>
                </a:extLst>
              </xdr:cNvPr>
              <xdr:cNvGrpSpPr/>
            </xdr:nvGrpSpPr>
            <xdr:grpSpPr>
              <a:xfrm>
                <a:off x="1762453" y="1207509"/>
                <a:ext cx="535457" cy="1209349"/>
                <a:chOff x="1249760" y="11127358"/>
                <a:chExt cx="542131" cy="1198751"/>
              </a:xfrm>
            </xdr:grpSpPr>
            <xdr:cxnSp macro="">
              <xdr:nvCxnSpPr>
                <xdr:cNvPr id="155" name="Gerader Verbinder 154">
                  <a:extLst>
                    <a:ext uri="{FF2B5EF4-FFF2-40B4-BE49-F238E27FC236}">
                      <a16:creationId xmlns:a16="http://schemas.microsoft.com/office/drawing/2014/main" id="{1E83EB56-40D8-2662-36DC-ADAB83185E4F}"/>
                    </a:ext>
                  </a:extLst>
                </xdr:cNvPr>
                <xdr:cNvCxnSpPr>
                  <a:cxnSpLocks/>
                </xdr:cNvCxnSpPr>
              </xdr:nvCxnSpPr>
              <xdr:spPr>
                <a:xfrm flipH="1" flipV="1">
                  <a:off x="1532310" y="11127358"/>
                  <a:ext cx="817" cy="388906"/>
                </a:xfrm>
                <a:prstGeom prst="line">
                  <a:avLst/>
                </a:prstGeom>
                <a:ln w="19050">
                  <a:solidFill>
                    <a:schemeClr val="tx1">
                      <a:lumMod val="95000"/>
                      <a:lumOff val="5000"/>
                    </a:schemeClr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156" name="Gerader Verbinder 155">
                  <a:extLst>
                    <a:ext uri="{FF2B5EF4-FFF2-40B4-BE49-F238E27FC236}">
                      <a16:creationId xmlns:a16="http://schemas.microsoft.com/office/drawing/2014/main" id="{B96CC196-66A5-817A-7608-9C29970AD6EC}"/>
                    </a:ext>
                  </a:extLst>
                </xdr:cNvPr>
                <xdr:cNvCxnSpPr/>
              </xdr:nvCxnSpPr>
              <xdr:spPr>
                <a:xfrm>
                  <a:off x="1264841" y="11524995"/>
                  <a:ext cx="527050" cy="0"/>
                </a:xfrm>
                <a:prstGeom prst="line">
                  <a:avLst/>
                </a:prstGeom>
                <a:ln w="19050">
                  <a:solidFill>
                    <a:schemeClr val="tx1">
                      <a:lumMod val="95000"/>
                      <a:lumOff val="5000"/>
                    </a:schemeClr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157" name="Gerader Verbinder 156">
                  <a:extLst>
                    <a:ext uri="{FF2B5EF4-FFF2-40B4-BE49-F238E27FC236}">
                      <a16:creationId xmlns:a16="http://schemas.microsoft.com/office/drawing/2014/main" id="{9D51BB9D-7409-1254-4353-A17A92565045}"/>
                    </a:ext>
                  </a:extLst>
                </xdr:cNvPr>
                <xdr:cNvCxnSpPr/>
              </xdr:nvCxnSpPr>
              <xdr:spPr>
                <a:xfrm>
                  <a:off x="1249760" y="11878476"/>
                  <a:ext cx="533400" cy="0"/>
                </a:xfrm>
                <a:prstGeom prst="line">
                  <a:avLst/>
                </a:prstGeom>
                <a:ln w="19050">
                  <a:solidFill>
                    <a:schemeClr val="tx1">
                      <a:lumMod val="95000"/>
                      <a:lumOff val="5000"/>
                    </a:schemeClr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158" name="Gerader Verbinder 157">
                  <a:extLst>
                    <a:ext uri="{FF2B5EF4-FFF2-40B4-BE49-F238E27FC236}">
                      <a16:creationId xmlns:a16="http://schemas.microsoft.com/office/drawing/2014/main" id="{A99D8F6A-1A0D-E92D-DFEA-D1E0CA42B5B1}"/>
                    </a:ext>
                  </a:extLst>
                </xdr:cNvPr>
                <xdr:cNvCxnSpPr/>
              </xdr:nvCxnSpPr>
              <xdr:spPr>
                <a:xfrm>
                  <a:off x="1401763" y="11581352"/>
                  <a:ext cx="247649" cy="396"/>
                </a:xfrm>
                <a:prstGeom prst="line">
                  <a:avLst/>
                </a:prstGeom>
                <a:ln w="19050">
                  <a:solidFill>
                    <a:schemeClr val="tx1">
                      <a:lumMod val="95000"/>
                      <a:lumOff val="5000"/>
                    </a:schemeClr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159" name="Gerader Verbinder 158">
                  <a:extLst>
                    <a:ext uri="{FF2B5EF4-FFF2-40B4-BE49-F238E27FC236}">
                      <a16:creationId xmlns:a16="http://schemas.microsoft.com/office/drawing/2014/main" id="{0D26D025-EAB8-5DA5-1DF6-E31B9CF53C4F}"/>
                    </a:ext>
                  </a:extLst>
                </xdr:cNvPr>
                <xdr:cNvCxnSpPr/>
              </xdr:nvCxnSpPr>
              <xdr:spPr>
                <a:xfrm>
                  <a:off x="1380729" y="11925705"/>
                  <a:ext cx="247649" cy="396"/>
                </a:xfrm>
                <a:prstGeom prst="line">
                  <a:avLst/>
                </a:prstGeom>
                <a:ln w="19050">
                  <a:solidFill>
                    <a:schemeClr val="tx1">
                      <a:lumMod val="95000"/>
                      <a:lumOff val="5000"/>
                    </a:schemeClr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160" name="Gerader Verbinder 159">
                  <a:extLst>
                    <a:ext uri="{FF2B5EF4-FFF2-40B4-BE49-F238E27FC236}">
                      <a16:creationId xmlns:a16="http://schemas.microsoft.com/office/drawing/2014/main" id="{4A0709B2-77FE-4FF9-FD93-19EFE1E69A1A}"/>
                    </a:ext>
                  </a:extLst>
                </xdr:cNvPr>
                <xdr:cNvCxnSpPr/>
              </xdr:nvCxnSpPr>
              <xdr:spPr>
                <a:xfrm>
                  <a:off x="1524000" y="11593654"/>
                  <a:ext cx="0" cy="282044"/>
                </a:xfrm>
                <a:prstGeom prst="line">
                  <a:avLst/>
                </a:prstGeom>
                <a:ln w="19050">
                  <a:solidFill>
                    <a:schemeClr val="tx1">
                      <a:lumMod val="95000"/>
                      <a:lumOff val="5000"/>
                    </a:schemeClr>
                  </a:solidFill>
                  <a:prstDash val="sysDash"/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161" name="Gerader Verbinder 160">
                  <a:extLst>
                    <a:ext uri="{FF2B5EF4-FFF2-40B4-BE49-F238E27FC236}">
                      <a16:creationId xmlns:a16="http://schemas.microsoft.com/office/drawing/2014/main" id="{B1959929-9830-5EC2-E049-6FC6B439152C}"/>
                    </a:ext>
                  </a:extLst>
                </xdr:cNvPr>
                <xdr:cNvCxnSpPr/>
              </xdr:nvCxnSpPr>
              <xdr:spPr>
                <a:xfrm flipV="1">
                  <a:off x="1521174" y="11935230"/>
                  <a:ext cx="47" cy="390879"/>
                </a:xfrm>
                <a:prstGeom prst="line">
                  <a:avLst/>
                </a:prstGeom>
                <a:ln w="19050">
                  <a:solidFill>
                    <a:schemeClr val="tx1">
                      <a:lumMod val="95000"/>
                      <a:lumOff val="5000"/>
                    </a:schemeClr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</xdr:grpSp>
          <xdr:cxnSp macro="">
            <xdr:nvCxnSpPr>
              <xdr:cNvPr id="152" name="Gerader Verbinder 151">
                <a:extLst>
                  <a:ext uri="{FF2B5EF4-FFF2-40B4-BE49-F238E27FC236}">
                    <a16:creationId xmlns:a16="http://schemas.microsoft.com/office/drawing/2014/main" id="{84B48961-FD1E-C38F-EAF7-2366A43C3739}"/>
                  </a:ext>
                </a:extLst>
              </xdr:cNvPr>
              <xdr:cNvCxnSpPr>
                <a:cxnSpLocks/>
              </xdr:cNvCxnSpPr>
            </xdr:nvCxnSpPr>
            <xdr:spPr>
              <a:xfrm flipH="1">
                <a:off x="1683719" y="1550335"/>
                <a:ext cx="11193" cy="525911"/>
              </a:xfrm>
              <a:prstGeom prst="line">
                <a:avLst/>
              </a:prstGeom>
              <a:ln w="19050">
                <a:solidFill>
                  <a:srgbClr val="00B0F0"/>
                </a:solidFill>
                <a:headEnd type="none"/>
                <a:tailEnd type="triangle"/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sp macro="" textlink="">
            <xdr:nvSpPr>
              <xdr:cNvPr id="153" name="Textfeld 152">
                <a:extLst>
                  <a:ext uri="{FF2B5EF4-FFF2-40B4-BE49-F238E27FC236}">
                    <a16:creationId xmlns:a16="http://schemas.microsoft.com/office/drawing/2014/main" id="{FCBB7BDA-ED2D-F053-ED96-842635D4DA1F}"/>
                  </a:ext>
                </a:extLst>
              </xdr:cNvPr>
              <xdr:cNvSpPr txBox="1"/>
            </xdr:nvSpPr>
            <xdr:spPr>
              <a:xfrm>
                <a:off x="1413648" y="1665070"/>
                <a:ext cx="267149" cy="263573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rtlCol="0" anchor="t">
                <a:noAutofit/>
              </a:bodyPr>
              <a:lstStyle/>
              <a:p>
                <a:r>
                  <a:rPr lang="de-CH" sz="1100">
                    <a:solidFill>
                      <a:srgbClr val="00B0F0"/>
                    </a:solidFill>
                  </a:rPr>
                  <a:t>U</a:t>
                </a:r>
                <a:r>
                  <a:rPr lang="de-CH" sz="1100" baseline="-25000">
                    <a:solidFill>
                      <a:srgbClr val="00B0F0"/>
                    </a:solidFill>
                  </a:rPr>
                  <a:t>0</a:t>
                </a:r>
                <a:endParaRPr lang="de-CH" sz="1100">
                  <a:solidFill>
                    <a:srgbClr val="00B0F0"/>
                  </a:solidFill>
                </a:endParaRPr>
              </a:p>
            </xdr:txBody>
          </xdr:sp>
          <xdr:sp macro="" textlink="">
            <xdr:nvSpPr>
              <xdr:cNvPr id="154" name="Textfeld 153">
                <a:extLst>
                  <a:ext uri="{FF2B5EF4-FFF2-40B4-BE49-F238E27FC236}">
                    <a16:creationId xmlns:a16="http://schemas.microsoft.com/office/drawing/2014/main" id="{52C810AA-DDC4-0633-AAD1-9421465B1534}"/>
                  </a:ext>
                </a:extLst>
              </xdr:cNvPr>
              <xdr:cNvSpPr txBox="1"/>
            </xdr:nvSpPr>
            <xdr:spPr>
              <a:xfrm>
                <a:off x="4929778" y="1703221"/>
                <a:ext cx="267149" cy="263573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rtlCol="0" anchor="t">
                <a:noAutofit/>
              </a:bodyPr>
              <a:lstStyle/>
              <a:p>
                <a:r>
                  <a:rPr lang="de-CH" sz="1100">
                    <a:solidFill>
                      <a:srgbClr val="00B0F0"/>
                    </a:solidFill>
                  </a:rPr>
                  <a:t>U</a:t>
                </a:r>
                <a:r>
                  <a:rPr lang="de-CH" sz="1100" baseline="-25000">
                    <a:solidFill>
                      <a:srgbClr val="00B0F0"/>
                    </a:solidFill>
                  </a:rPr>
                  <a:t>K</a:t>
                </a:r>
              </a:p>
            </xdr:txBody>
          </xdr:sp>
        </xdr:grpSp>
        <xdr:cxnSp macro="">
          <xdr:nvCxnSpPr>
            <xdr:cNvPr id="148" name="Gerade Verbindung mit Pfeil 147">
              <a:extLst>
                <a:ext uri="{FF2B5EF4-FFF2-40B4-BE49-F238E27FC236}">
                  <a16:creationId xmlns:a16="http://schemas.microsoft.com/office/drawing/2014/main" id="{0A98D136-06EF-694C-8DD9-A7954B02F9DD}"/>
                </a:ext>
              </a:extLst>
            </xdr:cNvPr>
            <xdr:cNvCxnSpPr/>
          </xdr:nvCxnSpPr>
          <xdr:spPr>
            <a:xfrm>
              <a:off x="4926977" y="3371169"/>
              <a:ext cx="97105" cy="0"/>
            </a:xfrm>
            <a:prstGeom prst="straightConnector1">
              <a:avLst/>
            </a:prstGeom>
            <a:ln>
              <a:solidFill>
                <a:srgbClr val="FF0000"/>
              </a:solidFill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49" name="Ellipse 148">
              <a:extLst>
                <a:ext uri="{FF2B5EF4-FFF2-40B4-BE49-F238E27FC236}">
                  <a16:creationId xmlns:a16="http://schemas.microsoft.com/office/drawing/2014/main" id="{E89E89BF-722A-8C72-D5ED-2ABEEDE7A04C}"/>
                </a:ext>
              </a:extLst>
            </xdr:cNvPr>
            <xdr:cNvSpPr/>
          </xdr:nvSpPr>
          <xdr:spPr>
            <a:xfrm>
              <a:off x="5340576" y="3302907"/>
              <a:ext cx="136299" cy="142875"/>
            </a:xfrm>
            <a:prstGeom prst="ellipse">
              <a:avLst/>
            </a:prstGeom>
            <a:noFill/>
            <a:ln>
              <a:solidFill>
                <a:schemeClr val="tx1">
                  <a:lumMod val="95000"/>
                  <a:lumOff val="5000"/>
                </a:schemeClr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de-CH" sz="1100"/>
            </a:p>
          </xdr:txBody>
        </xdr:sp>
        <xdr:sp macro="" textlink="">
          <xdr:nvSpPr>
            <xdr:cNvPr id="150" name="Ellipse 149">
              <a:extLst>
                <a:ext uri="{FF2B5EF4-FFF2-40B4-BE49-F238E27FC236}">
                  <a16:creationId xmlns:a16="http://schemas.microsoft.com/office/drawing/2014/main" id="{4F5DB9D1-70DB-E792-BA80-693EA909FB02}"/>
                </a:ext>
              </a:extLst>
            </xdr:cNvPr>
            <xdr:cNvSpPr/>
          </xdr:nvSpPr>
          <xdr:spPr>
            <a:xfrm>
              <a:off x="5343751" y="4462916"/>
              <a:ext cx="129949" cy="139700"/>
            </a:xfrm>
            <a:prstGeom prst="ellipse">
              <a:avLst/>
            </a:prstGeom>
            <a:noFill/>
            <a:ln>
              <a:solidFill>
                <a:schemeClr val="tx1">
                  <a:lumMod val="95000"/>
                  <a:lumOff val="5000"/>
                </a:schemeClr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de-CH" sz="1100"/>
            </a:p>
          </xdr:txBody>
        </xdr:sp>
      </xdr:grpSp>
    </xdr:grpSp>
    <xdr:clientData/>
  </xdr:twoCellAnchor>
  <xdr:twoCellAnchor>
    <xdr:from>
      <xdr:col>0</xdr:col>
      <xdr:colOff>425580</xdr:colOff>
      <xdr:row>63</xdr:row>
      <xdr:rowOff>27493</xdr:rowOff>
    </xdr:from>
    <xdr:to>
      <xdr:col>5</xdr:col>
      <xdr:colOff>507275</xdr:colOff>
      <xdr:row>77</xdr:row>
      <xdr:rowOff>40531</xdr:rowOff>
    </xdr:to>
    <xdr:grpSp>
      <xdr:nvGrpSpPr>
        <xdr:cNvPr id="212" name="Gruppieren 211">
          <a:extLst>
            <a:ext uri="{FF2B5EF4-FFF2-40B4-BE49-F238E27FC236}">
              <a16:creationId xmlns:a16="http://schemas.microsoft.com/office/drawing/2014/main" id="{012E6812-45B9-F82B-A5E5-B10028FBE526}"/>
            </a:ext>
          </a:extLst>
        </xdr:cNvPr>
        <xdr:cNvGrpSpPr/>
      </xdr:nvGrpSpPr>
      <xdr:grpSpPr>
        <a:xfrm>
          <a:off x="425580" y="12131570"/>
          <a:ext cx="3891695" cy="2680038"/>
          <a:chOff x="425580" y="11457493"/>
          <a:chExt cx="3891695" cy="2527638"/>
        </a:xfrm>
      </xdr:grpSpPr>
      <xdr:sp macro="" textlink="">
        <xdr:nvSpPr>
          <xdr:cNvPr id="211" name="Rechteck 210">
            <a:extLst>
              <a:ext uri="{FF2B5EF4-FFF2-40B4-BE49-F238E27FC236}">
                <a16:creationId xmlns:a16="http://schemas.microsoft.com/office/drawing/2014/main" id="{EC71E311-DD81-1971-D130-9E992A53FAA9}"/>
              </a:ext>
            </a:extLst>
          </xdr:cNvPr>
          <xdr:cNvSpPr/>
        </xdr:nvSpPr>
        <xdr:spPr>
          <a:xfrm>
            <a:off x="1741995" y="11457493"/>
            <a:ext cx="1107400" cy="2527638"/>
          </a:xfrm>
          <a:prstGeom prst="rect">
            <a:avLst/>
          </a:prstGeom>
          <a:solidFill>
            <a:srgbClr val="FFFF0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de-CH" sz="600">
                <a:solidFill>
                  <a:schemeClr val="tx1">
                    <a:lumMod val="95000"/>
                    <a:lumOff val="5000"/>
                  </a:schemeClr>
                </a:solidFill>
              </a:rPr>
              <a:t>Reale Spannungsquelle</a:t>
            </a:r>
          </a:p>
        </xdr:txBody>
      </xdr:sp>
      <xdr:sp macro="" textlink="">
        <xdr:nvSpPr>
          <xdr:cNvPr id="210" name="Rechteck 209">
            <a:extLst>
              <a:ext uri="{FF2B5EF4-FFF2-40B4-BE49-F238E27FC236}">
                <a16:creationId xmlns:a16="http://schemas.microsoft.com/office/drawing/2014/main" id="{FEAADAD5-99EF-4EAE-8B8C-BC23C2F9D669}"/>
              </a:ext>
            </a:extLst>
          </xdr:cNvPr>
          <xdr:cNvSpPr/>
        </xdr:nvSpPr>
        <xdr:spPr>
          <a:xfrm>
            <a:off x="522862" y="11460668"/>
            <a:ext cx="1107400" cy="2524463"/>
          </a:xfrm>
          <a:prstGeom prst="rect">
            <a:avLst/>
          </a:prstGeom>
          <a:solidFill>
            <a:srgbClr val="FFFF0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de-CH" sz="600">
                <a:solidFill>
                  <a:schemeClr val="tx1">
                    <a:lumMod val="95000"/>
                    <a:lumOff val="5000"/>
                  </a:schemeClr>
                </a:solidFill>
              </a:rPr>
              <a:t>Reale Spannungsquelle</a:t>
            </a:r>
          </a:p>
        </xdr:txBody>
      </xdr:sp>
      <xdr:grpSp>
        <xdr:nvGrpSpPr>
          <xdr:cNvPr id="209" name="Gruppieren 208">
            <a:extLst>
              <a:ext uri="{FF2B5EF4-FFF2-40B4-BE49-F238E27FC236}">
                <a16:creationId xmlns:a16="http://schemas.microsoft.com/office/drawing/2014/main" id="{FE904492-7C8A-6F6A-84E7-3370098CE0A4}"/>
              </a:ext>
            </a:extLst>
          </xdr:cNvPr>
          <xdr:cNvGrpSpPr/>
        </xdr:nvGrpSpPr>
        <xdr:grpSpPr>
          <a:xfrm>
            <a:off x="428755" y="11544367"/>
            <a:ext cx="3885345" cy="2410710"/>
            <a:chOff x="428755" y="11718654"/>
            <a:chExt cx="3885345" cy="2449621"/>
          </a:xfrm>
        </xdr:grpSpPr>
        <xdr:cxnSp macro="">
          <xdr:nvCxnSpPr>
            <xdr:cNvPr id="20" name="Gerader Verbinder 19">
              <a:extLst>
                <a:ext uri="{FF2B5EF4-FFF2-40B4-BE49-F238E27FC236}">
                  <a16:creationId xmlns:a16="http://schemas.microsoft.com/office/drawing/2014/main" id="{0EC9F43C-6D44-5E28-5AC2-864D94DF723F}"/>
                </a:ext>
              </a:extLst>
            </xdr:cNvPr>
            <xdr:cNvCxnSpPr>
              <a:cxnSpLocks/>
              <a:endCxn id="22" idx="2"/>
            </xdr:cNvCxnSpPr>
          </xdr:nvCxnSpPr>
          <xdr:spPr>
            <a:xfrm flipV="1">
              <a:off x="1116681" y="11789460"/>
              <a:ext cx="3064315" cy="4829"/>
            </a:xfrm>
            <a:prstGeom prst="line">
              <a:avLst/>
            </a:prstGeom>
            <a:ln w="19050">
              <a:solidFill>
                <a:schemeClr val="tx1">
                  <a:lumMod val="95000"/>
                  <a:lumOff val="5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1" name="Gerader Verbinder 20">
              <a:extLst>
                <a:ext uri="{FF2B5EF4-FFF2-40B4-BE49-F238E27FC236}">
                  <a16:creationId xmlns:a16="http://schemas.microsoft.com/office/drawing/2014/main" id="{141EB391-BA0E-3E12-BDAF-BD90855E8FEF}"/>
                </a:ext>
              </a:extLst>
            </xdr:cNvPr>
            <xdr:cNvCxnSpPr>
              <a:cxnSpLocks/>
            </xdr:cNvCxnSpPr>
          </xdr:nvCxnSpPr>
          <xdr:spPr>
            <a:xfrm flipV="1">
              <a:off x="1096459" y="14098230"/>
              <a:ext cx="3083135" cy="19412"/>
            </a:xfrm>
            <a:prstGeom prst="line">
              <a:avLst/>
            </a:prstGeom>
            <a:ln w="19050">
              <a:solidFill>
                <a:schemeClr val="tx1">
                  <a:lumMod val="95000"/>
                  <a:lumOff val="5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2" name="Ellipse 21">
              <a:extLst>
                <a:ext uri="{FF2B5EF4-FFF2-40B4-BE49-F238E27FC236}">
                  <a16:creationId xmlns:a16="http://schemas.microsoft.com/office/drawing/2014/main" id="{501E73DA-5FB0-81FA-B13E-ECA66598312F}"/>
                </a:ext>
              </a:extLst>
            </xdr:cNvPr>
            <xdr:cNvSpPr/>
          </xdr:nvSpPr>
          <xdr:spPr>
            <a:xfrm>
              <a:off x="4184171" y="11718654"/>
              <a:ext cx="129929" cy="141611"/>
            </a:xfrm>
            <a:prstGeom prst="ellipse">
              <a:avLst/>
            </a:prstGeom>
            <a:noFill/>
            <a:ln>
              <a:solidFill>
                <a:schemeClr val="tx1">
                  <a:lumMod val="95000"/>
                  <a:lumOff val="5000"/>
                </a:schemeClr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de-CH" sz="1100"/>
            </a:p>
          </xdr:txBody>
        </xdr:sp>
        <xdr:sp macro="" textlink="">
          <xdr:nvSpPr>
            <xdr:cNvPr id="23" name="Ellipse 22">
              <a:extLst>
                <a:ext uri="{FF2B5EF4-FFF2-40B4-BE49-F238E27FC236}">
                  <a16:creationId xmlns:a16="http://schemas.microsoft.com/office/drawing/2014/main" id="{14EE0E0D-1BB3-95EB-DCC1-3C79E92B7590}"/>
                </a:ext>
              </a:extLst>
            </xdr:cNvPr>
            <xdr:cNvSpPr/>
          </xdr:nvSpPr>
          <xdr:spPr>
            <a:xfrm>
              <a:off x="4181585" y="14029847"/>
              <a:ext cx="126750" cy="138428"/>
            </a:xfrm>
            <a:prstGeom prst="ellipse">
              <a:avLst/>
            </a:prstGeom>
            <a:noFill/>
            <a:ln>
              <a:solidFill>
                <a:schemeClr val="tx1">
                  <a:lumMod val="95000"/>
                  <a:lumOff val="5000"/>
                </a:schemeClr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de-CH" sz="1100"/>
            </a:p>
          </xdr:txBody>
        </xdr:sp>
        <xdr:grpSp>
          <xdr:nvGrpSpPr>
            <xdr:cNvPr id="25" name="Gruppieren 24">
              <a:extLst>
                <a:ext uri="{FF2B5EF4-FFF2-40B4-BE49-F238E27FC236}">
                  <a16:creationId xmlns:a16="http://schemas.microsoft.com/office/drawing/2014/main" id="{2F9E4CA6-F566-AC5E-20F8-F4960F51CFEA}"/>
                </a:ext>
              </a:extLst>
            </xdr:cNvPr>
            <xdr:cNvGrpSpPr/>
          </xdr:nvGrpSpPr>
          <xdr:grpSpPr>
            <a:xfrm>
              <a:off x="425580" y="12912143"/>
              <a:ext cx="958400" cy="1209135"/>
              <a:chOff x="1336226" y="1200539"/>
              <a:chExt cx="961684" cy="1199412"/>
            </a:xfrm>
          </xdr:grpSpPr>
          <xdr:grpSp>
            <xdr:nvGrpSpPr>
              <xdr:cNvPr id="50" name="Gruppieren 49">
                <a:extLst>
                  <a:ext uri="{FF2B5EF4-FFF2-40B4-BE49-F238E27FC236}">
                    <a16:creationId xmlns:a16="http://schemas.microsoft.com/office/drawing/2014/main" id="{1865C0F0-C569-3C80-720A-EC7405C52D2F}"/>
                  </a:ext>
                </a:extLst>
              </xdr:cNvPr>
              <xdr:cNvGrpSpPr/>
            </xdr:nvGrpSpPr>
            <xdr:grpSpPr>
              <a:xfrm>
                <a:off x="1762453" y="1200539"/>
                <a:ext cx="535457" cy="1199412"/>
                <a:chOff x="1249760" y="11120448"/>
                <a:chExt cx="542131" cy="1188901"/>
              </a:xfrm>
            </xdr:grpSpPr>
            <xdr:cxnSp macro="">
              <xdr:nvCxnSpPr>
                <xdr:cNvPr id="56" name="Gerader Verbinder 55">
                  <a:extLst>
                    <a:ext uri="{FF2B5EF4-FFF2-40B4-BE49-F238E27FC236}">
                      <a16:creationId xmlns:a16="http://schemas.microsoft.com/office/drawing/2014/main" id="{1974C1F1-1B7C-7B63-CFCE-3C9B258C060C}"/>
                    </a:ext>
                  </a:extLst>
                </xdr:cNvPr>
                <xdr:cNvCxnSpPr>
                  <a:cxnSpLocks/>
                  <a:endCxn id="48" idx="3"/>
                </xdr:cNvCxnSpPr>
              </xdr:nvCxnSpPr>
              <xdr:spPr>
                <a:xfrm flipH="1" flipV="1">
                  <a:off x="1524581" y="11120448"/>
                  <a:ext cx="8546" cy="395816"/>
                </a:xfrm>
                <a:prstGeom prst="line">
                  <a:avLst/>
                </a:prstGeom>
                <a:ln w="19050">
                  <a:solidFill>
                    <a:schemeClr val="tx1">
                      <a:lumMod val="95000"/>
                      <a:lumOff val="5000"/>
                    </a:schemeClr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57" name="Gerader Verbinder 56">
                  <a:extLst>
                    <a:ext uri="{FF2B5EF4-FFF2-40B4-BE49-F238E27FC236}">
                      <a16:creationId xmlns:a16="http://schemas.microsoft.com/office/drawing/2014/main" id="{774307B5-9CEF-D376-4207-F085E9F16ACD}"/>
                    </a:ext>
                  </a:extLst>
                </xdr:cNvPr>
                <xdr:cNvCxnSpPr/>
              </xdr:nvCxnSpPr>
              <xdr:spPr>
                <a:xfrm>
                  <a:off x="1264841" y="11524995"/>
                  <a:ext cx="527050" cy="0"/>
                </a:xfrm>
                <a:prstGeom prst="line">
                  <a:avLst/>
                </a:prstGeom>
                <a:ln w="19050">
                  <a:solidFill>
                    <a:schemeClr val="tx1">
                      <a:lumMod val="95000"/>
                      <a:lumOff val="5000"/>
                    </a:schemeClr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58" name="Gerader Verbinder 57">
                  <a:extLst>
                    <a:ext uri="{FF2B5EF4-FFF2-40B4-BE49-F238E27FC236}">
                      <a16:creationId xmlns:a16="http://schemas.microsoft.com/office/drawing/2014/main" id="{F7B9C860-9927-E9D3-FFBC-727E57CE79E4}"/>
                    </a:ext>
                  </a:extLst>
                </xdr:cNvPr>
                <xdr:cNvCxnSpPr/>
              </xdr:nvCxnSpPr>
              <xdr:spPr>
                <a:xfrm>
                  <a:off x="1249760" y="11878476"/>
                  <a:ext cx="533400" cy="0"/>
                </a:xfrm>
                <a:prstGeom prst="line">
                  <a:avLst/>
                </a:prstGeom>
                <a:ln w="19050">
                  <a:solidFill>
                    <a:schemeClr val="tx1">
                      <a:lumMod val="95000"/>
                      <a:lumOff val="5000"/>
                    </a:schemeClr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60" name="Gerader Verbinder 59">
                  <a:extLst>
                    <a:ext uri="{FF2B5EF4-FFF2-40B4-BE49-F238E27FC236}">
                      <a16:creationId xmlns:a16="http://schemas.microsoft.com/office/drawing/2014/main" id="{09A2D4EB-1571-EA78-01EC-0780CD8E3338}"/>
                    </a:ext>
                  </a:extLst>
                </xdr:cNvPr>
                <xdr:cNvCxnSpPr/>
              </xdr:nvCxnSpPr>
              <xdr:spPr>
                <a:xfrm>
                  <a:off x="1401763" y="11581352"/>
                  <a:ext cx="247649" cy="396"/>
                </a:xfrm>
                <a:prstGeom prst="line">
                  <a:avLst/>
                </a:prstGeom>
                <a:ln w="19050">
                  <a:solidFill>
                    <a:schemeClr val="tx1">
                      <a:lumMod val="95000"/>
                      <a:lumOff val="5000"/>
                    </a:schemeClr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61" name="Gerader Verbinder 60">
                  <a:extLst>
                    <a:ext uri="{FF2B5EF4-FFF2-40B4-BE49-F238E27FC236}">
                      <a16:creationId xmlns:a16="http://schemas.microsoft.com/office/drawing/2014/main" id="{21A1D833-E6A2-6D17-0FD2-460754ADC11C}"/>
                    </a:ext>
                  </a:extLst>
                </xdr:cNvPr>
                <xdr:cNvCxnSpPr/>
              </xdr:nvCxnSpPr>
              <xdr:spPr>
                <a:xfrm>
                  <a:off x="1380729" y="11925705"/>
                  <a:ext cx="247649" cy="396"/>
                </a:xfrm>
                <a:prstGeom prst="line">
                  <a:avLst/>
                </a:prstGeom>
                <a:ln w="19050">
                  <a:solidFill>
                    <a:schemeClr val="tx1">
                      <a:lumMod val="95000"/>
                      <a:lumOff val="5000"/>
                    </a:schemeClr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62" name="Gerader Verbinder 61">
                  <a:extLst>
                    <a:ext uri="{FF2B5EF4-FFF2-40B4-BE49-F238E27FC236}">
                      <a16:creationId xmlns:a16="http://schemas.microsoft.com/office/drawing/2014/main" id="{87773C77-22B5-C6DA-6B18-FB7E9AE04D81}"/>
                    </a:ext>
                  </a:extLst>
                </xdr:cNvPr>
                <xdr:cNvCxnSpPr/>
              </xdr:nvCxnSpPr>
              <xdr:spPr>
                <a:xfrm>
                  <a:off x="1524000" y="11593654"/>
                  <a:ext cx="0" cy="282044"/>
                </a:xfrm>
                <a:prstGeom prst="line">
                  <a:avLst/>
                </a:prstGeom>
                <a:ln w="19050">
                  <a:solidFill>
                    <a:schemeClr val="tx1">
                      <a:lumMod val="95000"/>
                      <a:lumOff val="5000"/>
                    </a:schemeClr>
                  </a:solidFill>
                  <a:prstDash val="sysDash"/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63" name="Gerader Verbinder 62">
                  <a:extLst>
                    <a:ext uri="{FF2B5EF4-FFF2-40B4-BE49-F238E27FC236}">
                      <a16:creationId xmlns:a16="http://schemas.microsoft.com/office/drawing/2014/main" id="{257DCFCA-85E1-489A-9551-1ED7DEBCAF80}"/>
                    </a:ext>
                  </a:extLst>
                </xdr:cNvPr>
                <xdr:cNvCxnSpPr/>
              </xdr:nvCxnSpPr>
              <xdr:spPr>
                <a:xfrm flipV="1">
                  <a:off x="1516459" y="11935230"/>
                  <a:ext cx="4762" cy="374119"/>
                </a:xfrm>
                <a:prstGeom prst="line">
                  <a:avLst/>
                </a:prstGeom>
                <a:ln w="19050">
                  <a:solidFill>
                    <a:schemeClr val="tx1">
                      <a:lumMod val="95000"/>
                      <a:lumOff val="5000"/>
                    </a:schemeClr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</xdr:grpSp>
          <xdr:cxnSp macro="">
            <xdr:nvCxnSpPr>
              <xdr:cNvPr id="54" name="Gerader Verbinder 53">
                <a:extLst>
                  <a:ext uri="{FF2B5EF4-FFF2-40B4-BE49-F238E27FC236}">
                    <a16:creationId xmlns:a16="http://schemas.microsoft.com/office/drawing/2014/main" id="{90713F77-D4F9-2AEA-BACC-8D07C386BCFC}"/>
                  </a:ext>
                </a:extLst>
              </xdr:cNvPr>
              <xdr:cNvCxnSpPr>
                <a:cxnSpLocks/>
              </xdr:cNvCxnSpPr>
            </xdr:nvCxnSpPr>
            <xdr:spPr>
              <a:xfrm flipH="1">
                <a:off x="1683719" y="1550335"/>
                <a:ext cx="11193" cy="525911"/>
              </a:xfrm>
              <a:prstGeom prst="line">
                <a:avLst/>
              </a:prstGeom>
              <a:ln w="19050">
                <a:solidFill>
                  <a:srgbClr val="00B0F0"/>
                </a:solidFill>
                <a:headEnd type="none"/>
                <a:tailEnd type="triangle"/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sp macro="" textlink="">
            <xdr:nvSpPr>
              <xdr:cNvPr id="55" name="Textfeld 54">
                <a:extLst>
                  <a:ext uri="{FF2B5EF4-FFF2-40B4-BE49-F238E27FC236}">
                    <a16:creationId xmlns:a16="http://schemas.microsoft.com/office/drawing/2014/main" id="{5C16E237-2A55-754D-984D-6571AF910C11}"/>
                  </a:ext>
                </a:extLst>
              </xdr:cNvPr>
              <xdr:cNvSpPr txBox="1"/>
            </xdr:nvSpPr>
            <xdr:spPr>
              <a:xfrm>
                <a:off x="1336226" y="1658195"/>
                <a:ext cx="402647" cy="263573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rtlCol="0" anchor="t">
                <a:noAutofit/>
              </a:bodyPr>
              <a:lstStyle/>
              <a:p>
                <a:r>
                  <a:rPr lang="de-CH" sz="1100">
                    <a:solidFill>
                      <a:srgbClr val="00B0F0"/>
                    </a:solidFill>
                  </a:rPr>
                  <a:t>U</a:t>
                </a:r>
                <a:r>
                  <a:rPr lang="de-CH" sz="1100" baseline="-25000">
                    <a:solidFill>
                      <a:srgbClr val="00B0F0"/>
                    </a:solidFill>
                  </a:rPr>
                  <a:t>10</a:t>
                </a:r>
                <a:endParaRPr lang="de-CH" sz="1100">
                  <a:solidFill>
                    <a:srgbClr val="00B0F0"/>
                  </a:solidFill>
                </a:endParaRPr>
              </a:p>
            </xdr:txBody>
          </xdr:sp>
        </xdr:grpSp>
        <xdr:grpSp>
          <xdr:nvGrpSpPr>
            <xdr:cNvPr id="26" name="Gruppieren 25">
              <a:extLst>
                <a:ext uri="{FF2B5EF4-FFF2-40B4-BE49-F238E27FC236}">
                  <a16:creationId xmlns:a16="http://schemas.microsoft.com/office/drawing/2014/main" id="{18AAE599-D7FF-FA54-694A-DBBE9201F83A}"/>
                </a:ext>
              </a:extLst>
            </xdr:cNvPr>
            <xdr:cNvGrpSpPr/>
          </xdr:nvGrpSpPr>
          <xdr:grpSpPr>
            <a:xfrm>
              <a:off x="562950" y="11806957"/>
              <a:ext cx="1329886" cy="1180542"/>
              <a:chOff x="3389773" y="1388885"/>
              <a:chExt cx="1313268" cy="1173051"/>
            </a:xfrm>
          </xdr:grpSpPr>
          <xdr:grpSp>
            <xdr:nvGrpSpPr>
              <xdr:cNvPr id="31" name="Gruppieren 30">
                <a:extLst>
                  <a:ext uri="{FF2B5EF4-FFF2-40B4-BE49-F238E27FC236}">
                    <a16:creationId xmlns:a16="http://schemas.microsoft.com/office/drawing/2014/main" id="{F7E27D8A-1116-1CCB-E946-A7D02F344658}"/>
                  </a:ext>
                </a:extLst>
              </xdr:cNvPr>
              <xdr:cNvGrpSpPr/>
            </xdr:nvGrpSpPr>
            <xdr:grpSpPr>
              <a:xfrm>
                <a:off x="3808276" y="1388885"/>
                <a:ext cx="264875" cy="1098171"/>
                <a:chOff x="3540807" y="10262874"/>
                <a:chExt cx="264875" cy="1083113"/>
              </a:xfrm>
            </xdr:grpSpPr>
            <xdr:cxnSp macro="">
              <xdr:nvCxnSpPr>
                <xdr:cNvPr id="45" name="Gerader Verbinder 44">
                  <a:extLst>
                    <a:ext uri="{FF2B5EF4-FFF2-40B4-BE49-F238E27FC236}">
                      <a16:creationId xmlns:a16="http://schemas.microsoft.com/office/drawing/2014/main" id="{0F8E489D-B2C6-A73A-73C2-95A4526ED770}"/>
                    </a:ext>
                  </a:extLst>
                </xdr:cNvPr>
                <xdr:cNvCxnSpPr>
                  <a:cxnSpLocks/>
                  <a:endCxn id="48" idx="1"/>
                </xdr:cNvCxnSpPr>
              </xdr:nvCxnSpPr>
              <xdr:spPr>
                <a:xfrm flipH="1">
                  <a:off x="3673246" y="10262874"/>
                  <a:ext cx="2037" cy="387038"/>
                </a:xfrm>
                <a:prstGeom prst="line">
                  <a:avLst/>
                </a:prstGeom>
                <a:ln w="19050">
                  <a:solidFill>
                    <a:schemeClr val="tx1">
                      <a:lumMod val="95000"/>
                      <a:lumOff val="5000"/>
                    </a:schemeClr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sp macro="" textlink="">
              <xdr:nvSpPr>
                <xdr:cNvPr id="48" name="Textfeld 47">
                  <a:extLst>
                    <a:ext uri="{FF2B5EF4-FFF2-40B4-BE49-F238E27FC236}">
                      <a16:creationId xmlns:a16="http://schemas.microsoft.com/office/drawing/2014/main" id="{F88CBFF4-CF55-359D-0603-21456F4B5214}"/>
                    </a:ext>
                  </a:extLst>
                </xdr:cNvPr>
                <xdr:cNvSpPr txBox="1"/>
              </xdr:nvSpPr>
              <xdr:spPr>
                <a:xfrm rot="5400000" flipV="1">
                  <a:off x="3325208" y="10865513"/>
                  <a:ext cx="696073" cy="264875"/>
                </a:xfrm>
                <a:prstGeom prst="rect">
                  <a:avLst/>
                </a:prstGeom>
                <a:solidFill>
                  <a:schemeClr val="lt1"/>
                </a:solidFill>
                <a:ln w="12700" cmpd="sng">
                  <a:solidFill>
                    <a:schemeClr val="tx1">
                      <a:lumMod val="95000"/>
                      <a:lumOff val="5000"/>
                    </a:schemeClr>
                  </a:solidFill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de-CH" sz="900"/>
                    <a:t>R</a:t>
                  </a:r>
                  <a:r>
                    <a:rPr lang="de-CH" sz="900" baseline="-25000"/>
                    <a:t>i1</a:t>
                  </a:r>
                </a:p>
              </xdr:txBody>
            </xdr:sp>
          </xdr:grpSp>
          <xdr:cxnSp macro="">
            <xdr:nvCxnSpPr>
              <xdr:cNvPr id="32" name="Gerader Verbinder 31">
                <a:extLst>
                  <a:ext uri="{FF2B5EF4-FFF2-40B4-BE49-F238E27FC236}">
                    <a16:creationId xmlns:a16="http://schemas.microsoft.com/office/drawing/2014/main" id="{2ABCF7B8-2F2C-16B1-23D8-8A986D1F4642}"/>
                  </a:ext>
                </a:extLst>
              </xdr:cNvPr>
              <xdr:cNvCxnSpPr>
                <a:cxnSpLocks/>
              </xdr:cNvCxnSpPr>
            </xdr:nvCxnSpPr>
            <xdr:spPr>
              <a:xfrm flipV="1">
                <a:off x="3736398" y="1669184"/>
                <a:ext cx="4329" cy="892752"/>
              </a:xfrm>
              <a:prstGeom prst="line">
                <a:avLst/>
              </a:prstGeom>
              <a:ln w="19050">
                <a:solidFill>
                  <a:srgbClr val="00B0F0"/>
                </a:solidFill>
                <a:headEnd type="none"/>
                <a:tailEnd type="triangle"/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sp macro="" textlink="">
            <xdr:nvSpPr>
              <xdr:cNvPr id="37" name="Textfeld 36">
                <a:extLst>
                  <a:ext uri="{FF2B5EF4-FFF2-40B4-BE49-F238E27FC236}">
                    <a16:creationId xmlns:a16="http://schemas.microsoft.com/office/drawing/2014/main" id="{20F3D513-F53E-F3C8-1D14-5914C538DE70}"/>
                  </a:ext>
                </a:extLst>
              </xdr:cNvPr>
              <xdr:cNvSpPr txBox="1"/>
            </xdr:nvSpPr>
            <xdr:spPr>
              <a:xfrm>
                <a:off x="3389773" y="1932004"/>
                <a:ext cx="371883" cy="260398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rtlCol="0" anchor="t">
                <a:noAutofit/>
              </a:bodyPr>
              <a:lstStyle/>
              <a:p>
                <a:r>
                  <a:rPr lang="de-CH" sz="1100">
                    <a:solidFill>
                      <a:srgbClr val="00B0F0"/>
                    </a:solidFill>
                  </a:rPr>
                  <a:t>U</a:t>
                </a:r>
                <a:r>
                  <a:rPr lang="de-CH" sz="1100" baseline="-25000">
                    <a:solidFill>
                      <a:srgbClr val="00B0F0"/>
                    </a:solidFill>
                  </a:rPr>
                  <a:t>Ri1</a:t>
                </a:r>
                <a:endParaRPr lang="de-CH" sz="1100">
                  <a:solidFill>
                    <a:srgbClr val="00B0F0"/>
                  </a:solidFill>
                </a:endParaRPr>
              </a:p>
            </xdr:txBody>
          </xdr:sp>
          <xdr:cxnSp macro="">
            <xdr:nvCxnSpPr>
              <xdr:cNvPr id="38" name="Gerade Verbindung mit Pfeil 37">
                <a:extLst>
                  <a:ext uri="{FF2B5EF4-FFF2-40B4-BE49-F238E27FC236}">
                    <a16:creationId xmlns:a16="http://schemas.microsoft.com/office/drawing/2014/main" id="{0CAA68E4-0571-E0D2-C1FE-57BBC9FE1A8C}"/>
                  </a:ext>
                </a:extLst>
              </xdr:cNvPr>
              <xdr:cNvCxnSpPr/>
            </xdr:nvCxnSpPr>
            <xdr:spPr>
              <a:xfrm flipV="1">
                <a:off x="3942074" y="1528835"/>
                <a:ext cx="0" cy="95604"/>
              </a:xfrm>
              <a:prstGeom prst="straightConnector1">
                <a:avLst/>
              </a:prstGeom>
              <a:ln>
                <a:solidFill>
                  <a:srgbClr val="FF0000"/>
                </a:solidFill>
                <a:tailEnd type="triangle"/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sp macro="" textlink="">
            <xdr:nvSpPr>
              <xdr:cNvPr id="44" name="Textfeld 43">
                <a:extLst>
                  <a:ext uri="{FF2B5EF4-FFF2-40B4-BE49-F238E27FC236}">
                    <a16:creationId xmlns:a16="http://schemas.microsoft.com/office/drawing/2014/main" id="{1A02718A-2F6C-0618-B2AD-DD8BCE95BE25}"/>
                  </a:ext>
                </a:extLst>
              </xdr:cNvPr>
              <xdr:cNvSpPr txBox="1"/>
            </xdr:nvSpPr>
            <xdr:spPr>
              <a:xfrm>
                <a:off x="3998631" y="1422154"/>
                <a:ext cx="704410" cy="271635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rtlCol="0" anchor="t">
                <a:noAutofit/>
              </a:bodyPr>
              <a:lstStyle/>
              <a:p>
                <a:r>
                  <a:rPr lang="de-CH" sz="1100">
                    <a:solidFill>
                      <a:srgbClr val="FF0000"/>
                    </a:solidFill>
                  </a:rPr>
                  <a:t>I</a:t>
                </a:r>
                <a:r>
                  <a:rPr lang="de-CH" sz="1100" baseline="-25000">
                    <a:solidFill>
                      <a:srgbClr val="FF0000"/>
                    </a:solidFill>
                  </a:rPr>
                  <a:t>1</a:t>
                </a:r>
                <a:endParaRPr lang="de-CH" sz="1100">
                  <a:solidFill>
                    <a:srgbClr val="FF0000"/>
                  </a:solidFill>
                </a:endParaRPr>
              </a:p>
            </xdr:txBody>
          </xdr:sp>
        </xdr:grpSp>
        <xdr:sp macro="" textlink="">
          <xdr:nvSpPr>
            <xdr:cNvPr id="27" name="Textfeld 26">
              <a:extLst>
                <a:ext uri="{FF2B5EF4-FFF2-40B4-BE49-F238E27FC236}">
                  <a16:creationId xmlns:a16="http://schemas.microsoft.com/office/drawing/2014/main" id="{D4F1B7BF-B8E7-835B-4DFC-5C9E655C3D91}"/>
                </a:ext>
              </a:extLst>
            </xdr:cNvPr>
            <xdr:cNvSpPr txBox="1"/>
          </xdr:nvSpPr>
          <xdr:spPr>
            <a:xfrm>
              <a:off x="3012843" y="11768610"/>
              <a:ext cx="702779" cy="25948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de-CH" sz="1100">
                  <a:solidFill>
                    <a:srgbClr val="FF0000"/>
                  </a:solidFill>
                </a:rPr>
                <a:t>I</a:t>
              </a:r>
              <a:r>
                <a:rPr lang="de-CH" sz="1100" baseline="-25000">
                  <a:solidFill>
                    <a:srgbClr val="FF0000"/>
                  </a:solidFill>
                </a:rPr>
                <a:t>i</a:t>
              </a:r>
              <a:endParaRPr lang="de-CH" sz="1100">
                <a:solidFill>
                  <a:srgbClr val="FF0000"/>
                </a:solidFill>
              </a:endParaRPr>
            </a:p>
          </xdr:txBody>
        </xdr:sp>
        <xdr:cxnSp macro="">
          <xdr:nvCxnSpPr>
            <xdr:cNvPr id="28" name="Gerade Verbindung mit Pfeil 27">
              <a:extLst>
                <a:ext uri="{FF2B5EF4-FFF2-40B4-BE49-F238E27FC236}">
                  <a16:creationId xmlns:a16="http://schemas.microsoft.com/office/drawing/2014/main" id="{EC83BB0C-D723-2D06-160D-070B3441DEFD}"/>
                </a:ext>
              </a:extLst>
            </xdr:cNvPr>
            <xdr:cNvCxnSpPr/>
          </xdr:nvCxnSpPr>
          <xdr:spPr>
            <a:xfrm>
              <a:off x="3165368" y="11788061"/>
              <a:ext cx="103290" cy="0"/>
            </a:xfrm>
            <a:prstGeom prst="straightConnector1">
              <a:avLst/>
            </a:prstGeom>
            <a:ln>
              <a:solidFill>
                <a:srgbClr val="FF0000"/>
              </a:solidFill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9" name="Gerader Verbinder 28">
              <a:extLst>
                <a:ext uri="{FF2B5EF4-FFF2-40B4-BE49-F238E27FC236}">
                  <a16:creationId xmlns:a16="http://schemas.microsoft.com/office/drawing/2014/main" id="{FE04CB6C-72B6-EE8D-869C-A16DA3513B9E}"/>
                </a:ext>
              </a:extLst>
            </xdr:cNvPr>
            <xdr:cNvCxnSpPr>
              <a:cxnSpLocks/>
            </xdr:cNvCxnSpPr>
          </xdr:nvCxnSpPr>
          <xdr:spPr>
            <a:xfrm>
              <a:off x="4278283" y="11998606"/>
              <a:ext cx="1498" cy="1918361"/>
            </a:xfrm>
            <a:prstGeom prst="line">
              <a:avLst/>
            </a:prstGeom>
            <a:ln w="19050">
              <a:solidFill>
                <a:srgbClr val="00B0F0"/>
              </a:solidFill>
              <a:headEnd type="none"/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30" name="Textfeld 29">
              <a:extLst>
                <a:ext uri="{FF2B5EF4-FFF2-40B4-BE49-F238E27FC236}">
                  <a16:creationId xmlns:a16="http://schemas.microsoft.com/office/drawing/2014/main" id="{EA7C51F1-4E89-C626-10AE-EDF5382DD851}"/>
                </a:ext>
              </a:extLst>
            </xdr:cNvPr>
            <xdr:cNvSpPr txBox="1"/>
          </xdr:nvSpPr>
          <xdr:spPr>
            <a:xfrm>
              <a:off x="3997911" y="12707746"/>
              <a:ext cx="313807" cy="266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de-CH" sz="1100">
                  <a:solidFill>
                    <a:srgbClr val="00B0F0"/>
                  </a:solidFill>
                </a:rPr>
                <a:t>U</a:t>
              </a:r>
              <a:r>
                <a:rPr lang="de-CH" sz="1100" baseline="-25000">
                  <a:solidFill>
                    <a:srgbClr val="00B0F0"/>
                  </a:solidFill>
                </a:rPr>
                <a:t>K</a:t>
              </a:r>
              <a:endParaRPr lang="de-CH" sz="1100">
                <a:solidFill>
                  <a:srgbClr val="00B0F0"/>
                </a:solidFill>
              </a:endParaRPr>
            </a:p>
          </xdr:txBody>
        </xdr:sp>
        <xdr:grpSp>
          <xdr:nvGrpSpPr>
            <xdr:cNvPr id="67" name="Gruppieren 66">
              <a:extLst>
                <a:ext uri="{FF2B5EF4-FFF2-40B4-BE49-F238E27FC236}">
                  <a16:creationId xmlns:a16="http://schemas.microsoft.com/office/drawing/2014/main" id="{F82CCFA7-CB75-4099-8908-9F27FC8B0A04}"/>
                </a:ext>
              </a:extLst>
            </xdr:cNvPr>
            <xdr:cNvGrpSpPr/>
          </xdr:nvGrpSpPr>
          <xdr:grpSpPr>
            <a:xfrm>
              <a:off x="1827990" y="12893349"/>
              <a:ext cx="931826" cy="1204469"/>
              <a:chOff x="1361132" y="1201950"/>
              <a:chExt cx="936778" cy="1197995"/>
            </a:xfrm>
          </xdr:grpSpPr>
          <xdr:grpSp>
            <xdr:nvGrpSpPr>
              <xdr:cNvPr id="68" name="Gruppieren 67">
                <a:extLst>
                  <a:ext uri="{FF2B5EF4-FFF2-40B4-BE49-F238E27FC236}">
                    <a16:creationId xmlns:a16="http://schemas.microsoft.com/office/drawing/2014/main" id="{DEDBA141-7ED3-4201-7657-0DAEC287D466}"/>
                  </a:ext>
                </a:extLst>
              </xdr:cNvPr>
              <xdr:cNvGrpSpPr/>
            </xdr:nvGrpSpPr>
            <xdr:grpSpPr>
              <a:xfrm>
                <a:off x="1762453" y="1201950"/>
                <a:ext cx="535457" cy="1197995"/>
                <a:chOff x="1249760" y="11121852"/>
                <a:chExt cx="542131" cy="1187497"/>
              </a:xfrm>
            </xdr:grpSpPr>
            <xdr:cxnSp macro="">
              <xdr:nvCxnSpPr>
                <xdr:cNvPr id="84" name="Gerader Verbinder 83">
                  <a:extLst>
                    <a:ext uri="{FF2B5EF4-FFF2-40B4-BE49-F238E27FC236}">
                      <a16:creationId xmlns:a16="http://schemas.microsoft.com/office/drawing/2014/main" id="{B5124811-44C7-7C9A-8429-F90BF91BC4A6}"/>
                    </a:ext>
                  </a:extLst>
                </xdr:cNvPr>
                <xdr:cNvCxnSpPr>
                  <a:cxnSpLocks/>
                  <a:endCxn id="201" idx="3"/>
                </xdr:cNvCxnSpPr>
              </xdr:nvCxnSpPr>
              <xdr:spPr>
                <a:xfrm flipH="1" flipV="1">
                  <a:off x="1528047" y="11121852"/>
                  <a:ext cx="5080" cy="394412"/>
                </a:xfrm>
                <a:prstGeom prst="line">
                  <a:avLst/>
                </a:prstGeom>
                <a:ln w="19050">
                  <a:solidFill>
                    <a:schemeClr val="tx1">
                      <a:lumMod val="95000"/>
                      <a:lumOff val="5000"/>
                    </a:schemeClr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85" name="Gerader Verbinder 84">
                  <a:extLst>
                    <a:ext uri="{FF2B5EF4-FFF2-40B4-BE49-F238E27FC236}">
                      <a16:creationId xmlns:a16="http://schemas.microsoft.com/office/drawing/2014/main" id="{FA2CABDD-444A-BC1D-E9C0-7CC4DEADABFA}"/>
                    </a:ext>
                  </a:extLst>
                </xdr:cNvPr>
                <xdr:cNvCxnSpPr/>
              </xdr:nvCxnSpPr>
              <xdr:spPr>
                <a:xfrm>
                  <a:off x="1264841" y="11524995"/>
                  <a:ext cx="527050" cy="0"/>
                </a:xfrm>
                <a:prstGeom prst="line">
                  <a:avLst/>
                </a:prstGeom>
                <a:ln w="19050">
                  <a:solidFill>
                    <a:schemeClr val="tx1">
                      <a:lumMod val="95000"/>
                      <a:lumOff val="5000"/>
                    </a:schemeClr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87" name="Gerader Verbinder 86">
                  <a:extLst>
                    <a:ext uri="{FF2B5EF4-FFF2-40B4-BE49-F238E27FC236}">
                      <a16:creationId xmlns:a16="http://schemas.microsoft.com/office/drawing/2014/main" id="{7F5C60D3-433E-4910-1AC2-128EC22B85DE}"/>
                    </a:ext>
                  </a:extLst>
                </xdr:cNvPr>
                <xdr:cNvCxnSpPr/>
              </xdr:nvCxnSpPr>
              <xdr:spPr>
                <a:xfrm>
                  <a:off x="1249760" y="11878476"/>
                  <a:ext cx="533400" cy="0"/>
                </a:xfrm>
                <a:prstGeom prst="line">
                  <a:avLst/>
                </a:prstGeom>
                <a:ln w="19050">
                  <a:solidFill>
                    <a:schemeClr val="tx1">
                      <a:lumMod val="95000"/>
                      <a:lumOff val="5000"/>
                    </a:schemeClr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88" name="Gerader Verbinder 87">
                  <a:extLst>
                    <a:ext uri="{FF2B5EF4-FFF2-40B4-BE49-F238E27FC236}">
                      <a16:creationId xmlns:a16="http://schemas.microsoft.com/office/drawing/2014/main" id="{375A207D-02DB-C40E-5A9D-03D9BCB62A4F}"/>
                    </a:ext>
                  </a:extLst>
                </xdr:cNvPr>
                <xdr:cNvCxnSpPr/>
              </xdr:nvCxnSpPr>
              <xdr:spPr>
                <a:xfrm>
                  <a:off x="1401763" y="11581352"/>
                  <a:ext cx="247649" cy="396"/>
                </a:xfrm>
                <a:prstGeom prst="line">
                  <a:avLst/>
                </a:prstGeom>
                <a:ln w="19050">
                  <a:solidFill>
                    <a:schemeClr val="tx1">
                      <a:lumMod val="95000"/>
                      <a:lumOff val="5000"/>
                    </a:schemeClr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95" name="Gerader Verbinder 94">
                  <a:extLst>
                    <a:ext uri="{FF2B5EF4-FFF2-40B4-BE49-F238E27FC236}">
                      <a16:creationId xmlns:a16="http://schemas.microsoft.com/office/drawing/2014/main" id="{12C42FCE-ED86-0903-86F4-A8D139380012}"/>
                    </a:ext>
                  </a:extLst>
                </xdr:cNvPr>
                <xdr:cNvCxnSpPr/>
              </xdr:nvCxnSpPr>
              <xdr:spPr>
                <a:xfrm>
                  <a:off x="1380729" y="11925705"/>
                  <a:ext cx="247649" cy="396"/>
                </a:xfrm>
                <a:prstGeom prst="line">
                  <a:avLst/>
                </a:prstGeom>
                <a:ln w="19050">
                  <a:solidFill>
                    <a:schemeClr val="tx1">
                      <a:lumMod val="95000"/>
                      <a:lumOff val="5000"/>
                    </a:schemeClr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97" name="Gerader Verbinder 96">
                  <a:extLst>
                    <a:ext uri="{FF2B5EF4-FFF2-40B4-BE49-F238E27FC236}">
                      <a16:creationId xmlns:a16="http://schemas.microsoft.com/office/drawing/2014/main" id="{7979AD8E-CE16-FA77-3102-BD8845ACB638}"/>
                    </a:ext>
                  </a:extLst>
                </xdr:cNvPr>
                <xdr:cNvCxnSpPr/>
              </xdr:nvCxnSpPr>
              <xdr:spPr>
                <a:xfrm>
                  <a:off x="1524000" y="11593654"/>
                  <a:ext cx="0" cy="282044"/>
                </a:xfrm>
                <a:prstGeom prst="line">
                  <a:avLst/>
                </a:prstGeom>
                <a:ln w="19050">
                  <a:solidFill>
                    <a:schemeClr val="tx1">
                      <a:lumMod val="95000"/>
                      <a:lumOff val="5000"/>
                    </a:schemeClr>
                  </a:solidFill>
                  <a:prstDash val="sysDash"/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98" name="Gerader Verbinder 97">
                  <a:extLst>
                    <a:ext uri="{FF2B5EF4-FFF2-40B4-BE49-F238E27FC236}">
                      <a16:creationId xmlns:a16="http://schemas.microsoft.com/office/drawing/2014/main" id="{B8053798-982F-C0A8-E7A2-758606B8D10D}"/>
                    </a:ext>
                  </a:extLst>
                </xdr:cNvPr>
                <xdr:cNvCxnSpPr/>
              </xdr:nvCxnSpPr>
              <xdr:spPr>
                <a:xfrm flipV="1">
                  <a:off x="1516459" y="11935230"/>
                  <a:ext cx="4762" cy="374119"/>
                </a:xfrm>
                <a:prstGeom prst="line">
                  <a:avLst/>
                </a:prstGeom>
                <a:ln w="19050">
                  <a:solidFill>
                    <a:schemeClr val="tx1">
                      <a:lumMod val="95000"/>
                      <a:lumOff val="5000"/>
                    </a:schemeClr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</xdr:grpSp>
          <xdr:cxnSp macro="">
            <xdr:nvCxnSpPr>
              <xdr:cNvPr id="70" name="Gerader Verbinder 69">
                <a:extLst>
                  <a:ext uri="{FF2B5EF4-FFF2-40B4-BE49-F238E27FC236}">
                    <a16:creationId xmlns:a16="http://schemas.microsoft.com/office/drawing/2014/main" id="{67E94443-24EA-041D-75F7-421616ABD657}"/>
                  </a:ext>
                </a:extLst>
              </xdr:cNvPr>
              <xdr:cNvCxnSpPr>
                <a:cxnSpLocks/>
              </xdr:cNvCxnSpPr>
            </xdr:nvCxnSpPr>
            <xdr:spPr>
              <a:xfrm flipH="1">
                <a:off x="1683719" y="1550335"/>
                <a:ext cx="11193" cy="525911"/>
              </a:xfrm>
              <a:prstGeom prst="line">
                <a:avLst/>
              </a:prstGeom>
              <a:ln w="19050">
                <a:solidFill>
                  <a:srgbClr val="00B0F0"/>
                </a:solidFill>
                <a:headEnd type="none"/>
                <a:tailEnd type="triangle"/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sp macro="" textlink="">
            <xdr:nvSpPr>
              <xdr:cNvPr id="74" name="Textfeld 73">
                <a:extLst>
                  <a:ext uri="{FF2B5EF4-FFF2-40B4-BE49-F238E27FC236}">
                    <a16:creationId xmlns:a16="http://schemas.microsoft.com/office/drawing/2014/main" id="{7DB76939-BA46-E623-7FDE-CC4998FE5480}"/>
                  </a:ext>
                </a:extLst>
              </xdr:cNvPr>
              <xdr:cNvSpPr txBox="1"/>
            </xdr:nvSpPr>
            <xdr:spPr>
              <a:xfrm>
                <a:off x="1361132" y="1629976"/>
                <a:ext cx="374875" cy="263573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rtlCol="0" anchor="t">
                <a:noAutofit/>
              </a:bodyPr>
              <a:lstStyle/>
              <a:p>
                <a:r>
                  <a:rPr lang="de-CH" sz="1100">
                    <a:solidFill>
                      <a:srgbClr val="00B0F0"/>
                    </a:solidFill>
                  </a:rPr>
                  <a:t>U</a:t>
                </a:r>
                <a:r>
                  <a:rPr lang="de-CH" sz="1100" baseline="-25000">
                    <a:solidFill>
                      <a:srgbClr val="00B0F0"/>
                    </a:solidFill>
                  </a:rPr>
                  <a:t>20</a:t>
                </a:r>
                <a:endParaRPr lang="de-CH" sz="1100">
                  <a:solidFill>
                    <a:srgbClr val="00B0F0"/>
                  </a:solidFill>
                </a:endParaRPr>
              </a:p>
            </xdr:txBody>
          </xdr:sp>
        </xdr:grpSp>
        <xdr:grpSp>
          <xdr:nvGrpSpPr>
            <xdr:cNvPr id="99" name="Gruppieren 98">
              <a:extLst>
                <a:ext uri="{FF2B5EF4-FFF2-40B4-BE49-F238E27FC236}">
                  <a16:creationId xmlns:a16="http://schemas.microsoft.com/office/drawing/2014/main" id="{42EC4B96-6C7E-4AE8-98D7-6BCA5F3CAA6B}"/>
                </a:ext>
              </a:extLst>
            </xdr:cNvPr>
            <xdr:cNvGrpSpPr/>
          </xdr:nvGrpSpPr>
          <xdr:grpSpPr>
            <a:xfrm>
              <a:off x="1950023" y="11786675"/>
              <a:ext cx="1324077" cy="1179178"/>
              <a:chOff x="3400673" y="1388885"/>
              <a:chExt cx="1302368" cy="1173051"/>
            </a:xfrm>
          </xdr:grpSpPr>
          <xdr:grpSp>
            <xdr:nvGrpSpPr>
              <xdr:cNvPr id="103" name="Gruppieren 102">
                <a:extLst>
                  <a:ext uri="{FF2B5EF4-FFF2-40B4-BE49-F238E27FC236}">
                    <a16:creationId xmlns:a16="http://schemas.microsoft.com/office/drawing/2014/main" id="{B8886CA8-22EE-C6ED-BCDA-64150730F0EC}"/>
                  </a:ext>
                </a:extLst>
              </xdr:cNvPr>
              <xdr:cNvGrpSpPr/>
            </xdr:nvGrpSpPr>
            <xdr:grpSpPr>
              <a:xfrm>
                <a:off x="3808276" y="1388885"/>
                <a:ext cx="264875" cy="1098171"/>
                <a:chOff x="3540807" y="10262874"/>
                <a:chExt cx="264875" cy="1083113"/>
              </a:xfrm>
            </xdr:grpSpPr>
            <xdr:cxnSp macro="">
              <xdr:nvCxnSpPr>
                <xdr:cNvPr id="200" name="Gerader Verbinder 199">
                  <a:extLst>
                    <a:ext uri="{FF2B5EF4-FFF2-40B4-BE49-F238E27FC236}">
                      <a16:creationId xmlns:a16="http://schemas.microsoft.com/office/drawing/2014/main" id="{066EF383-1411-5DA4-C45B-16AE65E81BB4}"/>
                    </a:ext>
                  </a:extLst>
                </xdr:cNvPr>
                <xdr:cNvCxnSpPr>
                  <a:cxnSpLocks/>
                  <a:endCxn id="201" idx="1"/>
                </xdr:cNvCxnSpPr>
              </xdr:nvCxnSpPr>
              <xdr:spPr>
                <a:xfrm flipH="1">
                  <a:off x="3673246" y="10262874"/>
                  <a:ext cx="2037" cy="387038"/>
                </a:xfrm>
                <a:prstGeom prst="line">
                  <a:avLst/>
                </a:prstGeom>
                <a:ln w="19050">
                  <a:solidFill>
                    <a:schemeClr val="tx1">
                      <a:lumMod val="95000"/>
                      <a:lumOff val="5000"/>
                    </a:schemeClr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sp macro="" textlink="">
              <xdr:nvSpPr>
                <xdr:cNvPr id="201" name="Textfeld 200">
                  <a:extLst>
                    <a:ext uri="{FF2B5EF4-FFF2-40B4-BE49-F238E27FC236}">
                      <a16:creationId xmlns:a16="http://schemas.microsoft.com/office/drawing/2014/main" id="{EA7A6752-9137-EFE6-507E-EEC353866F0F}"/>
                    </a:ext>
                  </a:extLst>
                </xdr:cNvPr>
                <xdr:cNvSpPr txBox="1"/>
              </xdr:nvSpPr>
              <xdr:spPr>
                <a:xfrm rot="5400000" flipV="1">
                  <a:off x="3325208" y="10865513"/>
                  <a:ext cx="696073" cy="264875"/>
                </a:xfrm>
                <a:prstGeom prst="rect">
                  <a:avLst/>
                </a:prstGeom>
                <a:solidFill>
                  <a:schemeClr val="lt1"/>
                </a:solidFill>
                <a:ln w="12700" cmpd="sng">
                  <a:solidFill>
                    <a:schemeClr val="tx1">
                      <a:lumMod val="95000"/>
                      <a:lumOff val="5000"/>
                    </a:schemeClr>
                  </a:solidFill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de-CH" sz="900"/>
                    <a:t>R</a:t>
                  </a:r>
                  <a:r>
                    <a:rPr lang="de-CH" sz="900" baseline="-25000"/>
                    <a:t>i2</a:t>
                  </a:r>
                </a:p>
              </xdr:txBody>
            </xdr:sp>
          </xdr:grpSp>
          <xdr:cxnSp macro="">
            <xdr:nvCxnSpPr>
              <xdr:cNvPr id="117" name="Gerader Verbinder 116">
                <a:extLst>
                  <a:ext uri="{FF2B5EF4-FFF2-40B4-BE49-F238E27FC236}">
                    <a16:creationId xmlns:a16="http://schemas.microsoft.com/office/drawing/2014/main" id="{29668C3D-6091-30D5-818D-14E5CAB17EDB}"/>
                  </a:ext>
                </a:extLst>
              </xdr:cNvPr>
              <xdr:cNvCxnSpPr>
                <a:cxnSpLocks/>
              </xdr:cNvCxnSpPr>
            </xdr:nvCxnSpPr>
            <xdr:spPr>
              <a:xfrm flipV="1">
                <a:off x="3736398" y="1669184"/>
                <a:ext cx="4329" cy="892752"/>
              </a:xfrm>
              <a:prstGeom prst="line">
                <a:avLst/>
              </a:prstGeom>
              <a:ln w="19050">
                <a:solidFill>
                  <a:srgbClr val="00B0F0"/>
                </a:solidFill>
                <a:headEnd type="none"/>
                <a:tailEnd type="triangle"/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sp macro="" textlink="">
            <xdr:nvSpPr>
              <xdr:cNvPr id="135" name="Textfeld 134">
                <a:extLst>
                  <a:ext uri="{FF2B5EF4-FFF2-40B4-BE49-F238E27FC236}">
                    <a16:creationId xmlns:a16="http://schemas.microsoft.com/office/drawing/2014/main" id="{8D5C6AFB-19DD-206B-BD58-3C91DBD87ECE}"/>
                  </a:ext>
                </a:extLst>
              </xdr:cNvPr>
              <xdr:cNvSpPr txBox="1"/>
            </xdr:nvSpPr>
            <xdr:spPr>
              <a:xfrm>
                <a:off x="3400673" y="1923796"/>
                <a:ext cx="343970" cy="260398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rtlCol="0" anchor="t">
                <a:noAutofit/>
              </a:bodyPr>
              <a:lstStyle/>
              <a:p>
                <a:r>
                  <a:rPr lang="de-CH" sz="1100">
                    <a:solidFill>
                      <a:srgbClr val="00B0F0"/>
                    </a:solidFill>
                  </a:rPr>
                  <a:t>U</a:t>
                </a:r>
                <a:r>
                  <a:rPr lang="de-CH" sz="1100" baseline="-25000">
                    <a:solidFill>
                      <a:srgbClr val="00B0F0"/>
                    </a:solidFill>
                  </a:rPr>
                  <a:t>Ri2</a:t>
                </a:r>
                <a:endParaRPr lang="de-CH" sz="1100">
                  <a:solidFill>
                    <a:srgbClr val="00B0F0"/>
                  </a:solidFill>
                </a:endParaRPr>
              </a:p>
            </xdr:txBody>
          </xdr:sp>
          <xdr:cxnSp macro="">
            <xdr:nvCxnSpPr>
              <xdr:cNvPr id="136" name="Gerade Verbindung mit Pfeil 135">
                <a:extLst>
                  <a:ext uri="{FF2B5EF4-FFF2-40B4-BE49-F238E27FC236}">
                    <a16:creationId xmlns:a16="http://schemas.microsoft.com/office/drawing/2014/main" id="{1AC04036-BA99-D09B-96C1-3AB685F2DD2B}"/>
                  </a:ext>
                </a:extLst>
              </xdr:cNvPr>
              <xdr:cNvCxnSpPr/>
            </xdr:nvCxnSpPr>
            <xdr:spPr>
              <a:xfrm flipV="1">
                <a:off x="3942074" y="1528835"/>
                <a:ext cx="0" cy="95604"/>
              </a:xfrm>
              <a:prstGeom prst="straightConnector1">
                <a:avLst/>
              </a:prstGeom>
              <a:ln>
                <a:solidFill>
                  <a:srgbClr val="FF0000"/>
                </a:solidFill>
                <a:tailEnd type="triangle"/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sp macro="" textlink="">
            <xdr:nvSpPr>
              <xdr:cNvPr id="199" name="Textfeld 198">
                <a:extLst>
                  <a:ext uri="{FF2B5EF4-FFF2-40B4-BE49-F238E27FC236}">
                    <a16:creationId xmlns:a16="http://schemas.microsoft.com/office/drawing/2014/main" id="{8F9E3F21-7465-2B92-7972-0F24FD54AAE0}"/>
                  </a:ext>
                </a:extLst>
              </xdr:cNvPr>
              <xdr:cNvSpPr txBox="1"/>
            </xdr:nvSpPr>
            <xdr:spPr>
              <a:xfrm>
                <a:off x="3998631" y="1422154"/>
                <a:ext cx="704410" cy="271635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rtlCol="0" anchor="t">
                <a:noAutofit/>
              </a:bodyPr>
              <a:lstStyle/>
              <a:p>
                <a:r>
                  <a:rPr lang="de-CH" sz="1100">
                    <a:solidFill>
                      <a:srgbClr val="FF0000"/>
                    </a:solidFill>
                  </a:rPr>
                  <a:t>I</a:t>
                </a:r>
                <a:r>
                  <a:rPr lang="de-CH" sz="1100" baseline="-25000">
                    <a:solidFill>
                      <a:srgbClr val="FF0000"/>
                    </a:solidFill>
                  </a:rPr>
                  <a:t>2</a:t>
                </a:r>
                <a:endParaRPr lang="de-CH" sz="1100">
                  <a:solidFill>
                    <a:srgbClr val="FF0000"/>
                  </a:solidFill>
                </a:endParaRPr>
              </a:p>
            </xdr:txBody>
          </xdr:sp>
        </xdr:grpSp>
        <xdr:sp macro="" textlink="">
          <xdr:nvSpPr>
            <xdr:cNvPr id="205" name="Ellipse 204">
              <a:extLst>
                <a:ext uri="{FF2B5EF4-FFF2-40B4-BE49-F238E27FC236}">
                  <a16:creationId xmlns:a16="http://schemas.microsoft.com/office/drawing/2014/main" id="{F0EE9F45-0BAF-0418-A7E3-087D7602E86C}"/>
                </a:ext>
              </a:extLst>
            </xdr:cNvPr>
            <xdr:cNvSpPr/>
          </xdr:nvSpPr>
          <xdr:spPr>
            <a:xfrm>
              <a:off x="2465619" y="11750203"/>
              <a:ext cx="74855" cy="64852"/>
            </a:xfrm>
            <a:prstGeom prst="ellipse">
              <a:avLst/>
            </a:prstGeom>
            <a:solidFill>
              <a:schemeClr val="tx1">
                <a:lumMod val="95000"/>
                <a:lumOff val="5000"/>
              </a:schemeClr>
            </a:solidFill>
            <a:ln>
              <a:solidFill>
                <a:schemeClr val="tx1">
                  <a:lumMod val="95000"/>
                  <a:lumOff val="5000"/>
                </a:schemeClr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de-CH" sz="1100"/>
            </a:p>
          </xdr:txBody>
        </xdr:sp>
        <xdr:sp macro="" textlink="">
          <xdr:nvSpPr>
            <xdr:cNvPr id="206" name="Ellipse 205">
              <a:extLst>
                <a:ext uri="{FF2B5EF4-FFF2-40B4-BE49-F238E27FC236}">
                  <a16:creationId xmlns:a16="http://schemas.microsoft.com/office/drawing/2014/main" id="{989226B5-9B2B-4A03-BF5B-A95E9550E824}"/>
                </a:ext>
              </a:extLst>
            </xdr:cNvPr>
            <xdr:cNvSpPr/>
          </xdr:nvSpPr>
          <xdr:spPr>
            <a:xfrm>
              <a:off x="2446231" y="14068629"/>
              <a:ext cx="74855" cy="68027"/>
            </a:xfrm>
            <a:prstGeom prst="ellipse">
              <a:avLst/>
            </a:prstGeom>
            <a:solidFill>
              <a:schemeClr val="tx1">
                <a:lumMod val="95000"/>
                <a:lumOff val="5000"/>
              </a:schemeClr>
            </a:solidFill>
            <a:ln>
              <a:solidFill>
                <a:schemeClr val="tx1">
                  <a:lumMod val="95000"/>
                  <a:lumOff val="5000"/>
                </a:schemeClr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de-CH" sz="1100"/>
            </a:p>
          </xdr:txBody>
        </xdr:sp>
      </xdr:grpSp>
    </xdr:grpSp>
    <xdr:clientData/>
  </xdr:twoCellAnchor>
  <xdr:twoCellAnchor>
    <xdr:from>
      <xdr:col>0</xdr:col>
      <xdr:colOff>48985</xdr:colOff>
      <xdr:row>102</xdr:row>
      <xdr:rowOff>7049</xdr:rowOff>
    </xdr:from>
    <xdr:to>
      <xdr:col>1</xdr:col>
      <xdr:colOff>255593</xdr:colOff>
      <xdr:row>115</xdr:row>
      <xdr:rowOff>69396</xdr:rowOff>
    </xdr:to>
    <xdr:grpSp>
      <xdr:nvGrpSpPr>
        <xdr:cNvPr id="221" name="Gruppieren 220">
          <a:extLst>
            <a:ext uri="{FF2B5EF4-FFF2-40B4-BE49-F238E27FC236}">
              <a16:creationId xmlns:a16="http://schemas.microsoft.com/office/drawing/2014/main" id="{2830173A-AE66-CAEA-8ADA-9AAB3904A2AA}"/>
            </a:ext>
          </a:extLst>
        </xdr:cNvPr>
        <xdr:cNvGrpSpPr/>
      </xdr:nvGrpSpPr>
      <xdr:grpSpPr>
        <a:xfrm>
          <a:off x="48985" y="19540626"/>
          <a:ext cx="968608" cy="2538847"/>
          <a:chOff x="1325223" y="1550335"/>
          <a:chExt cx="972689" cy="2419470"/>
        </a:xfrm>
      </xdr:grpSpPr>
      <xdr:grpSp>
        <xdr:nvGrpSpPr>
          <xdr:cNvPr id="255" name="Gruppieren 254">
            <a:extLst>
              <a:ext uri="{FF2B5EF4-FFF2-40B4-BE49-F238E27FC236}">
                <a16:creationId xmlns:a16="http://schemas.microsoft.com/office/drawing/2014/main" id="{E1EB3474-20D9-EA9C-5145-C28D2DF02B61}"/>
              </a:ext>
            </a:extLst>
          </xdr:cNvPr>
          <xdr:cNvGrpSpPr/>
        </xdr:nvGrpSpPr>
        <xdr:grpSpPr>
          <a:xfrm>
            <a:off x="1325223" y="1608663"/>
            <a:ext cx="972689" cy="2361142"/>
            <a:chOff x="807079" y="11524995"/>
            <a:chExt cx="984812" cy="2340450"/>
          </a:xfrm>
        </xdr:grpSpPr>
        <xdr:cxnSp macro="">
          <xdr:nvCxnSpPr>
            <xdr:cNvPr id="258" name="Gerader Verbinder 257">
              <a:extLst>
                <a:ext uri="{FF2B5EF4-FFF2-40B4-BE49-F238E27FC236}">
                  <a16:creationId xmlns:a16="http://schemas.microsoft.com/office/drawing/2014/main" id="{0AF28147-A593-CD11-A49E-05698F2AE758}"/>
                </a:ext>
              </a:extLst>
            </xdr:cNvPr>
            <xdr:cNvCxnSpPr>
              <a:cxnSpLocks/>
              <a:endCxn id="254" idx="3"/>
            </xdr:cNvCxnSpPr>
          </xdr:nvCxnSpPr>
          <xdr:spPr>
            <a:xfrm flipH="1" flipV="1">
              <a:off x="807079" y="13469629"/>
              <a:ext cx="8559" cy="395816"/>
            </a:xfrm>
            <a:prstGeom prst="line">
              <a:avLst/>
            </a:prstGeom>
            <a:ln w="19050">
              <a:solidFill>
                <a:schemeClr val="tx1">
                  <a:lumMod val="95000"/>
                  <a:lumOff val="5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59" name="Gerader Verbinder 258">
              <a:extLst>
                <a:ext uri="{FF2B5EF4-FFF2-40B4-BE49-F238E27FC236}">
                  <a16:creationId xmlns:a16="http://schemas.microsoft.com/office/drawing/2014/main" id="{719468F0-B463-23B1-EFC3-CFED9FA87D30}"/>
                </a:ext>
              </a:extLst>
            </xdr:cNvPr>
            <xdr:cNvCxnSpPr/>
          </xdr:nvCxnSpPr>
          <xdr:spPr>
            <a:xfrm>
              <a:off x="1264841" y="11524995"/>
              <a:ext cx="527050" cy="0"/>
            </a:xfrm>
            <a:prstGeom prst="line">
              <a:avLst/>
            </a:prstGeom>
            <a:ln w="19050">
              <a:solidFill>
                <a:schemeClr val="tx1">
                  <a:lumMod val="95000"/>
                  <a:lumOff val="5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60" name="Gerader Verbinder 259">
              <a:extLst>
                <a:ext uri="{FF2B5EF4-FFF2-40B4-BE49-F238E27FC236}">
                  <a16:creationId xmlns:a16="http://schemas.microsoft.com/office/drawing/2014/main" id="{554A26B4-8ADF-E318-26A6-E5F2D87FDC8E}"/>
                </a:ext>
              </a:extLst>
            </xdr:cNvPr>
            <xdr:cNvCxnSpPr/>
          </xdr:nvCxnSpPr>
          <xdr:spPr>
            <a:xfrm>
              <a:off x="1249760" y="11878476"/>
              <a:ext cx="533400" cy="0"/>
            </a:xfrm>
            <a:prstGeom prst="line">
              <a:avLst/>
            </a:prstGeom>
            <a:ln w="19050">
              <a:solidFill>
                <a:schemeClr val="tx1">
                  <a:lumMod val="95000"/>
                  <a:lumOff val="5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61" name="Gerader Verbinder 260">
              <a:extLst>
                <a:ext uri="{FF2B5EF4-FFF2-40B4-BE49-F238E27FC236}">
                  <a16:creationId xmlns:a16="http://schemas.microsoft.com/office/drawing/2014/main" id="{D1C7040F-7678-9534-49CD-502107F744FF}"/>
                </a:ext>
              </a:extLst>
            </xdr:cNvPr>
            <xdr:cNvCxnSpPr/>
          </xdr:nvCxnSpPr>
          <xdr:spPr>
            <a:xfrm>
              <a:off x="1401763" y="11581352"/>
              <a:ext cx="247649" cy="396"/>
            </a:xfrm>
            <a:prstGeom prst="line">
              <a:avLst/>
            </a:prstGeom>
            <a:ln w="19050">
              <a:solidFill>
                <a:schemeClr val="tx1">
                  <a:lumMod val="95000"/>
                  <a:lumOff val="5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62" name="Gerader Verbinder 261">
              <a:extLst>
                <a:ext uri="{FF2B5EF4-FFF2-40B4-BE49-F238E27FC236}">
                  <a16:creationId xmlns:a16="http://schemas.microsoft.com/office/drawing/2014/main" id="{1AC3808A-744C-C9AB-2AF6-3DD5E3BE1105}"/>
                </a:ext>
              </a:extLst>
            </xdr:cNvPr>
            <xdr:cNvCxnSpPr/>
          </xdr:nvCxnSpPr>
          <xdr:spPr>
            <a:xfrm>
              <a:off x="1380729" y="11925705"/>
              <a:ext cx="247649" cy="396"/>
            </a:xfrm>
            <a:prstGeom prst="line">
              <a:avLst/>
            </a:prstGeom>
            <a:ln w="19050">
              <a:solidFill>
                <a:schemeClr val="tx1">
                  <a:lumMod val="95000"/>
                  <a:lumOff val="5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63" name="Gerader Verbinder 262">
              <a:extLst>
                <a:ext uri="{FF2B5EF4-FFF2-40B4-BE49-F238E27FC236}">
                  <a16:creationId xmlns:a16="http://schemas.microsoft.com/office/drawing/2014/main" id="{5AB602D2-F522-6600-4EF5-9ABAE4D758E9}"/>
                </a:ext>
              </a:extLst>
            </xdr:cNvPr>
            <xdr:cNvCxnSpPr/>
          </xdr:nvCxnSpPr>
          <xdr:spPr>
            <a:xfrm>
              <a:off x="1524000" y="11593654"/>
              <a:ext cx="0" cy="282044"/>
            </a:xfrm>
            <a:prstGeom prst="line">
              <a:avLst/>
            </a:prstGeom>
            <a:ln w="19050">
              <a:solidFill>
                <a:schemeClr val="tx1">
                  <a:lumMod val="95000"/>
                  <a:lumOff val="5000"/>
                </a:schemeClr>
              </a:solidFill>
              <a:prstDash val="sysDash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64" name="Gerader Verbinder 263">
              <a:extLst>
                <a:ext uri="{FF2B5EF4-FFF2-40B4-BE49-F238E27FC236}">
                  <a16:creationId xmlns:a16="http://schemas.microsoft.com/office/drawing/2014/main" id="{95F67400-0FB1-EC06-F39D-F2FE986EE224}"/>
                </a:ext>
              </a:extLst>
            </xdr:cNvPr>
            <xdr:cNvCxnSpPr/>
          </xdr:nvCxnSpPr>
          <xdr:spPr>
            <a:xfrm flipV="1">
              <a:off x="1516459" y="11935230"/>
              <a:ext cx="4762" cy="374119"/>
            </a:xfrm>
            <a:prstGeom prst="line">
              <a:avLst/>
            </a:prstGeom>
            <a:ln w="19050">
              <a:solidFill>
                <a:schemeClr val="tx1">
                  <a:lumMod val="95000"/>
                  <a:lumOff val="5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cxnSp macro="">
        <xdr:nvCxnSpPr>
          <xdr:cNvPr id="256" name="Gerader Verbinder 255">
            <a:extLst>
              <a:ext uri="{FF2B5EF4-FFF2-40B4-BE49-F238E27FC236}">
                <a16:creationId xmlns:a16="http://schemas.microsoft.com/office/drawing/2014/main" id="{045C6240-C155-737F-812D-376BC6D5368F}"/>
              </a:ext>
            </a:extLst>
          </xdr:cNvPr>
          <xdr:cNvCxnSpPr>
            <a:cxnSpLocks/>
          </xdr:cNvCxnSpPr>
        </xdr:nvCxnSpPr>
        <xdr:spPr>
          <a:xfrm flipH="1">
            <a:off x="1683719" y="1550335"/>
            <a:ext cx="11193" cy="525911"/>
          </a:xfrm>
          <a:prstGeom prst="line">
            <a:avLst/>
          </a:prstGeom>
          <a:ln w="19050">
            <a:solidFill>
              <a:srgbClr val="00B0F0"/>
            </a:solidFill>
            <a:headEnd type="non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57" name="Textfeld 256">
            <a:extLst>
              <a:ext uri="{FF2B5EF4-FFF2-40B4-BE49-F238E27FC236}">
                <a16:creationId xmlns:a16="http://schemas.microsoft.com/office/drawing/2014/main" id="{ACFE5BE4-852A-FA9A-3BE9-7E7E8B6BC0E3}"/>
              </a:ext>
            </a:extLst>
          </xdr:cNvPr>
          <xdr:cNvSpPr txBox="1"/>
        </xdr:nvSpPr>
        <xdr:spPr>
          <a:xfrm>
            <a:off x="1336226" y="1658195"/>
            <a:ext cx="402647" cy="263573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de-CH" sz="1100">
                <a:solidFill>
                  <a:srgbClr val="00B0F0"/>
                </a:solidFill>
              </a:rPr>
              <a:t>U</a:t>
            </a:r>
            <a:r>
              <a:rPr lang="de-CH" sz="1100" baseline="-25000">
                <a:solidFill>
                  <a:srgbClr val="00B0F0"/>
                </a:solidFill>
              </a:rPr>
              <a:t>10</a:t>
            </a:r>
            <a:endParaRPr lang="de-CH" sz="1100">
              <a:solidFill>
                <a:srgbClr val="00B0F0"/>
              </a:solidFill>
            </a:endParaRPr>
          </a:p>
        </xdr:txBody>
      </xdr:sp>
    </xdr:grpSp>
    <xdr:clientData/>
  </xdr:twoCellAnchor>
  <xdr:twoCellAnchor>
    <xdr:from>
      <xdr:col>0</xdr:col>
      <xdr:colOff>105560</xdr:colOff>
      <xdr:row>79</xdr:row>
      <xdr:rowOff>107732</xdr:rowOff>
    </xdr:from>
    <xdr:to>
      <xdr:col>7</xdr:col>
      <xdr:colOff>336397</xdr:colOff>
      <xdr:row>106</xdr:row>
      <xdr:rowOff>164903</xdr:rowOff>
    </xdr:to>
    <xdr:grpSp>
      <xdr:nvGrpSpPr>
        <xdr:cNvPr id="291" name="Gruppieren 290">
          <a:extLst>
            <a:ext uri="{FF2B5EF4-FFF2-40B4-BE49-F238E27FC236}">
              <a16:creationId xmlns:a16="http://schemas.microsoft.com/office/drawing/2014/main" id="{F3F10C94-B624-2CE1-E2E5-D57486DEC8E3}"/>
            </a:ext>
          </a:extLst>
        </xdr:cNvPr>
        <xdr:cNvGrpSpPr/>
      </xdr:nvGrpSpPr>
      <xdr:grpSpPr>
        <a:xfrm>
          <a:off x="105560" y="15259809"/>
          <a:ext cx="5564837" cy="5200671"/>
          <a:chOff x="105564" y="14197927"/>
          <a:chExt cx="5562698" cy="4840084"/>
        </a:xfrm>
      </xdr:grpSpPr>
      <xdr:sp macro="" textlink="">
        <xdr:nvSpPr>
          <xdr:cNvPr id="215" name="Rechteck 214">
            <a:extLst>
              <a:ext uri="{FF2B5EF4-FFF2-40B4-BE49-F238E27FC236}">
                <a16:creationId xmlns:a16="http://schemas.microsoft.com/office/drawing/2014/main" id="{AD4F6D2F-2C28-FBD7-7F48-DD32538883EE}"/>
              </a:ext>
            </a:extLst>
          </xdr:cNvPr>
          <xdr:cNvSpPr/>
        </xdr:nvSpPr>
        <xdr:spPr>
          <a:xfrm>
            <a:off x="137710" y="14197927"/>
            <a:ext cx="1124178" cy="2274662"/>
          </a:xfrm>
          <a:prstGeom prst="rect">
            <a:avLst/>
          </a:prstGeom>
          <a:solidFill>
            <a:srgbClr val="FFFF0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de-CH" sz="600">
                <a:solidFill>
                  <a:schemeClr val="tx1">
                    <a:lumMod val="95000"/>
                    <a:lumOff val="5000"/>
                  </a:schemeClr>
                </a:solidFill>
              </a:rPr>
              <a:t>Reale Spannungsquelle</a:t>
            </a:r>
          </a:p>
        </xdr:txBody>
      </xdr:sp>
      <xdr:cxnSp macro="">
        <xdr:nvCxnSpPr>
          <xdr:cNvPr id="217" name="Gerader Verbinder 216">
            <a:extLst>
              <a:ext uri="{FF2B5EF4-FFF2-40B4-BE49-F238E27FC236}">
                <a16:creationId xmlns:a16="http://schemas.microsoft.com/office/drawing/2014/main" id="{D3542E16-9D4E-E579-89DC-3A86910E5868}"/>
              </a:ext>
            </a:extLst>
          </xdr:cNvPr>
          <xdr:cNvCxnSpPr>
            <a:cxnSpLocks/>
          </xdr:cNvCxnSpPr>
        </xdr:nvCxnSpPr>
        <xdr:spPr>
          <a:xfrm flipV="1">
            <a:off x="788276" y="14329289"/>
            <a:ext cx="3066815" cy="11109"/>
          </a:xfrm>
          <a:prstGeom prst="line">
            <a:avLst/>
          </a:prstGeom>
          <a:ln w="19050"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18" name="Gerader Verbinder 217">
            <a:extLst>
              <a:ext uri="{FF2B5EF4-FFF2-40B4-BE49-F238E27FC236}">
                <a16:creationId xmlns:a16="http://schemas.microsoft.com/office/drawing/2014/main" id="{2F1A1F42-657E-C117-67D3-B9396E1CDE45}"/>
              </a:ext>
            </a:extLst>
          </xdr:cNvPr>
          <xdr:cNvCxnSpPr>
            <a:cxnSpLocks/>
          </xdr:cNvCxnSpPr>
        </xdr:nvCxnSpPr>
        <xdr:spPr>
          <a:xfrm flipV="1">
            <a:off x="773481" y="16575035"/>
            <a:ext cx="3085650" cy="10058"/>
          </a:xfrm>
          <a:prstGeom prst="line">
            <a:avLst/>
          </a:prstGeom>
          <a:ln w="19050"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19" name="Ellipse 218">
            <a:extLst>
              <a:ext uri="{FF2B5EF4-FFF2-40B4-BE49-F238E27FC236}">
                <a16:creationId xmlns:a16="http://schemas.microsoft.com/office/drawing/2014/main" id="{81B60DFA-EF37-C34C-1F00-1A50EB655DE4}"/>
              </a:ext>
            </a:extLst>
          </xdr:cNvPr>
          <xdr:cNvSpPr/>
        </xdr:nvSpPr>
        <xdr:spPr>
          <a:xfrm>
            <a:off x="3865072" y="14265408"/>
            <a:ext cx="136385" cy="133658"/>
          </a:xfrm>
          <a:prstGeom prst="ellipse">
            <a:avLst/>
          </a:prstGeom>
          <a:noFill/>
          <a:ln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  <xdr:sp macro="" textlink="">
        <xdr:nvSpPr>
          <xdr:cNvPr id="220" name="Ellipse 219">
            <a:extLst>
              <a:ext uri="{FF2B5EF4-FFF2-40B4-BE49-F238E27FC236}">
                <a16:creationId xmlns:a16="http://schemas.microsoft.com/office/drawing/2014/main" id="{D3130BEE-215A-61BB-795A-7F5FAFEBC1B5}"/>
              </a:ext>
            </a:extLst>
          </xdr:cNvPr>
          <xdr:cNvSpPr/>
        </xdr:nvSpPr>
        <xdr:spPr>
          <a:xfrm>
            <a:off x="3860217" y="16513087"/>
            <a:ext cx="130028" cy="124170"/>
          </a:xfrm>
          <a:prstGeom prst="ellipse">
            <a:avLst/>
          </a:prstGeom>
          <a:noFill/>
          <a:ln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  <xdr:grpSp>
        <xdr:nvGrpSpPr>
          <xdr:cNvPr id="222" name="Gruppieren 221">
            <a:extLst>
              <a:ext uri="{FF2B5EF4-FFF2-40B4-BE49-F238E27FC236}">
                <a16:creationId xmlns:a16="http://schemas.microsoft.com/office/drawing/2014/main" id="{88132987-0DF9-8535-29D1-DF8BAD5B5604}"/>
              </a:ext>
            </a:extLst>
          </xdr:cNvPr>
          <xdr:cNvGrpSpPr/>
        </xdr:nvGrpSpPr>
        <xdr:grpSpPr>
          <a:xfrm>
            <a:off x="200528" y="16599808"/>
            <a:ext cx="1330971" cy="1304971"/>
            <a:chOff x="3389773" y="1229688"/>
            <a:chExt cx="1313268" cy="1332248"/>
          </a:xfrm>
        </xdr:grpSpPr>
        <xdr:grpSp>
          <xdr:nvGrpSpPr>
            <xdr:cNvPr id="248" name="Gruppieren 247">
              <a:extLst>
                <a:ext uri="{FF2B5EF4-FFF2-40B4-BE49-F238E27FC236}">
                  <a16:creationId xmlns:a16="http://schemas.microsoft.com/office/drawing/2014/main" id="{7E37EAE0-80A8-F7CF-F99A-BD291E06DBA2}"/>
                </a:ext>
              </a:extLst>
            </xdr:cNvPr>
            <xdr:cNvGrpSpPr/>
          </xdr:nvGrpSpPr>
          <xdr:grpSpPr>
            <a:xfrm>
              <a:off x="3808276" y="1229688"/>
              <a:ext cx="264875" cy="1257369"/>
              <a:chOff x="3540807" y="10105859"/>
              <a:chExt cx="264875" cy="1240128"/>
            </a:xfrm>
          </xdr:grpSpPr>
          <xdr:cxnSp macro="">
            <xdr:nvCxnSpPr>
              <xdr:cNvPr id="253" name="Gerader Verbinder 252">
                <a:extLst>
                  <a:ext uri="{FF2B5EF4-FFF2-40B4-BE49-F238E27FC236}">
                    <a16:creationId xmlns:a16="http://schemas.microsoft.com/office/drawing/2014/main" id="{A64EDDCD-5192-F2FB-E2E1-505944B40D87}"/>
                  </a:ext>
                </a:extLst>
              </xdr:cNvPr>
              <xdr:cNvCxnSpPr>
                <a:cxnSpLocks/>
                <a:endCxn id="254" idx="1"/>
              </xdr:cNvCxnSpPr>
            </xdr:nvCxnSpPr>
            <xdr:spPr>
              <a:xfrm flipH="1">
                <a:off x="3673244" y="10105859"/>
                <a:ext cx="13805" cy="544055"/>
              </a:xfrm>
              <a:prstGeom prst="line">
                <a:avLst/>
              </a:prstGeom>
              <a:ln w="19050">
                <a:solidFill>
                  <a:schemeClr val="tx1">
                    <a:lumMod val="95000"/>
                    <a:lumOff val="5000"/>
                  </a:schemeClr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sp macro="" textlink="">
            <xdr:nvSpPr>
              <xdr:cNvPr id="254" name="Textfeld 253">
                <a:extLst>
                  <a:ext uri="{FF2B5EF4-FFF2-40B4-BE49-F238E27FC236}">
                    <a16:creationId xmlns:a16="http://schemas.microsoft.com/office/drawing/2014/main" id="{DC16F3A1-4649-E890-7669-E69DE652A338}"/>
                  </a:ext>
                </a:extLst>
              </xdr:cNvPr>
              <xdr:cNvSpPr txBox="1"/>
            </xdr:nvSpPr>
            <xdr:spPr>
              <a:xfrm rot="5400000" flipV="1">
                <a:off x="3325208" y="10865513"/>
                <a:ext cx="696073" cy="264875"/>
              </a:xfrm>
              <a:prstGeom prst="rect">
                <a:avLst/>
              </a:prstGeom>
              <a:solidFill>
                <a:schemeClr val="lt1"/>
              </a:solidFill>
              <a:ln w="12700" cmpd="sng">
                <a:solidFill>
                  <a:schemeClr val="tx1">
                    <a:lumMod val="95000"/>
                    <a:lumOff val="5000"/>
                  </a:schemeClr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ctr"/>
                <a:r>
                  <a:rPr lang="de-CH" sz="900"/>
                  <a:t>R</a:t>
                </a:r>
                <a:r>
                  <a:rPr lang="de-CH" sz="900" baseline="-25000"/>
                  <a:t>i1</a:t>
                </a:r>
              </a:p>
            </xdr:txBody>
          </xdr:sp>
        </xdr:grpSp>
        <xdr:cxnSp macro="">
          <xdr:nvCxnSpPr>
            <xdr:cNvPr id="249" name="Gerader Verbinder 248">
              <a:extLst>
                <a:ext uri="{FF2B5EF4-FFF2-40B4-BE49-F238E27FC236}">
                  <a16:creationId xmlns:a16="http://schemas.microsoft.com/office/drawing/2014/main" id="{80B8598D-9446-BBC3-6352-0A6551056D3D}"/>
                </a:ext>
              </a:extLst>
            </xdr:cNvPr>
            <xdr:cNvCxnSpPr>
              <a:cxnSpLocks/>
            </xdr:cNvCxnSpPr>
          </xdr:nvCxnSpPr>
          <xdr:spPr>
            <a:xfrm flipV="1">
              <a:off x="3736398" y="1669184"/>
              <a:ext cx="4329" cy="892752"/>
            </a:xfrm>
            <a:prstGeom prst="line">
              <a:avLst/>
            </a:prstGeom>
            <a:ln w="19050">
              <a:solidFill>
                <a:srgbClr val="00B0F0"/>
              </a:solidFill>
              <a:headEnd type="none"/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50" name="Textfeld 249">
              <a:extLst>
                <a:ext uri="{FF2B5EF4-FFF2-40B4-BE49-F238E27FC236}">
                  <a16:creationId xmlns:a16="http://schemas.microsoft.com/office/drawing/2014/main" id="{BCFE08F7-91A1-B0C1-95EE-E2944355CD78}"/>
                </a:ext>
              </a:extLst>
            </xdr:cNvPr>
            <xdr:cNvSpPr txBox="1"/>
          </xdr:nvSpPr>
          <xdr:spPr>
            <a:xfrm>
              <a:off x="3389773" y="1932004"/>
              <a:ext cx="371883" cy="2603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de-CH" sz="1100">
                  <a:solidFill>
                    <a:srgbClr val="00B0F0"/>
                  </a:solidFill>
                </a:rPr>
                <a:t>U</a:t>
              </a:r>
              <a:r>
                <a:rPr lang="de-CH" sz="1100" baseline="-25000">
                  <a:solidFill>
                    <a:srgbClr val="00B0F0"/>
                  </a:solidFill>
                </a:rPr>
                <a:t>Ri1</a:t>
              </a:r>
              <a:endParaRPr lang="de-CH" sz="1100">
                <a:solidFill>
                  <a:srgbClr val="00B0F0"/>
                </a:solidFill>
              </a:endParaRPr>
            </a:p>
          </xdr:txBody>
        </xdr:sp>
        <xdr:cxnSp macro="">
          <xdr:nvCxnSpPr>
            <xdr:cNvPr id="251" name="Gerade Verbindung mit Pfeil 250">
              <a:extLst>
                <a:ext uri="{FF2B5EF4-FFF2-40B4-BE49-F238E27FC236}">
                  <a16:creationId xmlns:a16="http://schemas.microsoft.com/office/drawing/2014/main" id="{60915B43-0989-36BC-D160-4AC593851307}"/>
                </a:ext>
              </a:extLst>
            </xdr:cNvPr>
            <xdr:cNvCxnSpPr/>
          </xdr:nvCxnSpPr>
          <xdr:spPr>
            <a:xfrm flipV="1">
              <a:off x="3942074" y="1528835"/>
              <a:ext cx="0" cy="95604"/>
            </a:xfrm>
            <a:prstGeom prst="straightConnector1">
              <a:avLst/>
            </a:prstGeom>
            <a:ln>
              <a:solidFill>
                <a:srgbClr val="FF0000"/>
              </a:solidFill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52" name="Textfeld 251">
              <a:extLst>
                <a:ext uri="{FF2B5EF4-FFF2-40B4-BE49-F238E27FC236}">
                  <a16:creationId xmlns:a16="http://schemas.microsoft.com/office/drawing/2014/main" id="{00E7F8C0-40F9-44B7-6587-1F71A788DFF1}"/>
                </a:ext>
              </a:extLst>
            </xdr:cNvPr>
            <xdr:cNvSpPr txBox="1"/>
          </xdr:nvSpPr>
          <xdr:spPr>
            <a:xfrm>
              <a:off x="3998631" y="1422154"/>
              <a:ext cx="704410" cy="27163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de-CH" sz="1100">
                  <a:solidFill>
                    <a:srgbClr val="FF0000"/>
                  </a:solidFill>
                </a:rPr>
                <a:t>I</a:t>
              </a:r>
              <a:r>
                <a:rPr lang="de-CH" sz="1100" baseline="-25000">
                  <a:solidFill>
                    <a:srgbClr val="FF0000"/>
                  </a:solidFill>
                </a:rPr>
                <a:t>1</a:t>
              </a:r>
              <a:endParaRPr lang="de-CH" sz="1100">
                <a:solidFill>
                  <a:srgbClr val="FF0000"/>
                </a:solidFill>
              </a:endParaRPr>
            </a:p>
          </xdr:txBody>
        </xdr:sp>
      </xdr:grpSp>
      <xdr:sp macro="" textlink="">
        <xdr:nvSpPr>
          <xdr:cNvPr id="223" name="Textfeld 222">
            <a:extLst>
              <a:ext uri="{FF2B5EF4-FFF2-40B4-BE49-F238E27FC236}">
                <a16:creationId xmlns:a16="http://schemas.microsoft.com/office/drawing/2014/main" id="{7BDAE850-AAA8-E99B-A146-B058E56607F3}"/>
              </a:ext>
            </a:extLst>
          </xdr:cNvPr>
          <xdr:cNvSpPr txBox="1"/>
        </xdr:nvSpPr>
        <xdr:spPr>
          <a:xfrm>
            <a:off x="3465674" y="14301031"/>
            <a:ext cx="325730" cy="25299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de-CH" sz="1100">
                <a:solidFill>
                  <a:srgbClr val="FF0000"/>
                </a:solidFill>
              </a:rPr>
              <a:t>I</a:t>
            </a:r>
          </a:p>
        </xdr:txBody>
      </xdr:sp>
      <xdr:cxnSp macro="">
        <xdr:nvCxnSpPr>
          <xdr:cNvPr id="224" name="Gerade Verbindung mit Pfeil 223">
            <a:extLst>
              <a:ext uri="{FF2B5EF4-FFF2-40B4-BE49-F238E27FC236}">
                <a16:creationId xmlns:a16="http://schemas.microsoft.com/office/drawing/2014/main" id="{6C073BD2-96EE-4469-67D1-6D2974C79E95}"/>
              </a:ext>
            </a:extLst>
          </xdr:cNvPr>
          <xdr:cNvCxnSpPr/>
        </xdr:nvCxnSpPr>
        <xdr:spPr>
          <a:xfrm>
            <a:off x="3583399" y="14321561"/>
            <a:ext cx="100199" cy="0"/>
          </a:xfrm>
          <a:prstGeom prst="straightConnector1">
            <a:avLst/>
          </a:prstGeom>
          <a:ln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25" name="Gerader Verbinder 224">
            <a:extLst>
              <a:ext uri="{FF2B5EF4-FFF2-40B4-BE49-F238E27FC236}">
                <a16:creationId xmlns:a16="http://schemas.microsoft.com/office/drawing/2014/main" id="{95D0ADEB-9420-2B6E-32EC-84C502141FA9}"/>
              </a:ext>
            </a:extLst>
          </xdr:cNvPr>
          <xdr:cNvCxnSpPr>
            <a:cxnSpLocks/>
          </xdr:cNvCxnSpPr>
        </xdr:nvCxnSpPr>
        <xdr:spPr>
          <a:xfrm>
            <a:off x="3915718" y="14510904"/>
            <a:ext cx="1499" cy="1863275"/>
          </a:xfrm>
          <a:prstGeom prst="line">
            <a:avLst/>
          </a:prstGeom>
          <a:ln w="19050">
            <a:solidFill>
              <a:srgbClr val="00B0F0"/>
            </a:solidFill>
            <a:headEnd type="non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26" name="Textfeld 225">
            <a:extLst>
              <a:ext uri="{FF2B5EF4-FFF2-40B4-BE49-F238E27FC236}">
                <a16:creationId xmlns:a16="http://schemas.microsoft.com/office/drawing/2014/main" id="{2C2D0276-A64D-E398-DB01-8FDDA6C0631F}"/>
              </a:ext>
            </a:extLst>
          </xdr:cNvPr>
          <xdr:cNvSpPr txBox="1"/>
        </xdr:nvSpPr>
        <xdr:spPr>
          <a:xfrm>
            <a:off x="3583864" y="15188876"/>
            <a:ext cx="314063" cy="253427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de-CH" sz="1100">
                <a:solidFill>
                  <a:srgbClr val="00B0F0"/>
                </a:solidFill>
              </a:rPr>
              <a:t>U</a:t>
            </a:r>
            <a:r>
              <a:rPr lang="de-CH" sz="1100" baseline="-25000">
                <a:solidFill>
                  <a:srgbClr val="00B0F0"/>
                </a:solidFill>
              </a:rPr>
              <a:t>2K</a:t>
            </a:r>
            <a:endParaRPr lang="de-CH" sz="1100">
              <a:solidFill>
                <a:srgbClr val="00B0F0"/>
              </a:solidFill>
            </a:endParaRPr>
          </a:p>
        </xdr:txBody>
      </xdr:sp>
      <xdr:grpSp>
        <xdr:nvGrpSpPr>
          <xdr:cNvPr id="227" name="Gruppieren 226">
            <a:extLst>
              <a:ext uri="{FF2B5EF4-FFF2-40B4-BE49-F238E27FC236}">
                <a16:creationId xmlns:a16="http://schemas.microsoft.com/office/drawing/2014/main" id="{8547832F-8AC7-BF9D-07BC-AAEAB2531F48}"/>
              </a:ext>
            </a:extLst>
          </xdr:cNvPr>
          <xdr:cNvGrpSpPr/>
        </xdr:nvGrpSpPr>
        <xdr:grpSpPr>
          <a:xfrm>
            <a:off x="105564" y="15404444"/>
            <a:ext cx="934487" cy="2845935"/>
            <a:chOff x="1361132" y="1207430"/>
            <a:chExt cx="936778" cy="2881244"/>
          </a:xfrm>
        </xdr:grpSpPr>
        <xdr:grpSp>
          <xdr:nvGrpSpPr>
            <xdr:cNvPr id="238" name="Gruppieren 237">
              <a:extLst>
                <a:ext uri="{FF2B5EF4-FFF2-40B4-BE49-F238E27FC236}">
                  <a16:creationId xmlns:a16="http://schemas.microsoft.com/office/drawing/2014/main" id="{CCB31EE9-0BBB-95F0-5893-C92288AC445C}"/>
                </a:ext>
              </a:extLst>
            </xdr:cNvPr>
            <xdr:cNvGrpSpPr/>
          </xdr:nvGrpSpPr>
          <xdr:grpSpPr>
            <a:xfrm>
              <a:off x="1762453" y="1207430"/>
              <a:ext cx="535457" cy="2881244"/>
              <a:chOff x="1249760" y="11127284"/>
              <a:chExt cx="542131" cy="2855996"/>
            </a:xfrm>
          </xdr:grpSpPr>
          <xdr:cxnSp macro="">
            <xdr:nvCxnSpPr>
              <xdr:cNvPr id="241" name="Gerader Verbinder 240">
                <a:extLst>
                  <a:ext uri="{FF2B5EF4-FFF2-40B4-BE49-F238E27FC236}">
                    <a16:creationId xmlns:a16="http://schemas.microsoft.com/office/drawing/2014/main" id="{8D38DCDA-2F31-3B6F-C533-80A5F539B196}"/>
                  </a:ext>
                </a:extLst>
              </xdr:cNvPr>
              <xdr:cNvCxnSpPr>
                <a:cxnSpLocks/>
              </xdr:cNvCxnSpPr>
            </xdr:nvCxnSpPr>
            <xdr:spPr>
              <a:xfrm flipH="1" flipV="1">
                <a:off x="1519806" y="11127284"/>
                <a:ext cx="5080" cy="394412"/>
              </a:xfrm>
              <a:prstGeom prst="line">
                <a:avLst/>
              </a:prstGeom>
              <a:ln w="19050">
                <a:solidFill>
                  <a:schemeClr val="tx1">
                    <a:lumMod val="95000"/>
                    <a:lumOff val="5000"/>
                  </a:schemeClr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242" name="Gerader Verbinder 241">
                <a:extLst>
                  <a:ext uri="{FF2B5EF4-FFF2-40B4-BE49-F238E27FC236}">
                    <a16:creationId xmlns:a16="http://schemas.microsoft.com/office/drawing/2014/main" id="{CD1B6C94-5780-3FFC-4DEA-86315C2C5861}"/>
                  </a:ext>
                </a:extLst>
              </xdr:cNvPr>
              <xdr:cNvCxnSpPr/>
            </xdr:nvCxnSpPr>
            <xdr:spPr>
              <a:xfrm>
                <a:off x="1264841" y="11524995"/>
                <a:ext cx="527050" cy="0"/>
              </a:xfrm>
              <a:prstGeom prst="line">
                <a:avLst/>
              </a:prstGeom>
              <a:ln w="19050">
                <a:solidFill>
                  <a:schemeClr val="tx1">
                    <a:lumMod val="95000"/>
                    <a:lumOff val="5000"/>
                  </a:schemeClr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243" name="Gerader Verbinder 242">
                <a:extLst>
                  <a:ext uri="{FF2B5EF4-FFF2-40B4-BE49-F238E27FC236}">
                    <a16:creationId xmlns:a16="http://schemas.microsoft.com/office/drawing/2014/main" id="{8D72B658-E211-4CE6-FB86-E55C73130413}"/>
                  </a:ext>
                </a:extLst>
              </xdr:cNvPr>
              <xdr:cNvCxnSpPr/>
            </xdr:nvCxnSpPr>
            <xdr:spPr>
              <a:xfrm>
                <a:off x="1249760" y="11878476"/>
                <a:ext cx="533400" cy="0"/>
              </a:xfrm>
              <a:prstGeom prst="line">
                <a:avLst/>
              </a:prstGeom>
              <a:ln w="19050">
                <a:solidFill>
                  <a:schemeClr val="tx1">
                    <a:lumMod val="95000"/>
                    <a:lumOff val="5000"/>
                  </a:schemeClr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244" name="Gerader Verbinder 243">
                <a:extLst>
                  <a:ext uri="{FF2B5EF4-FFF2-40B4-BE49-F238E27FC236}">
                    <a16:creationId xmlns:a16="http://schemas.microsoft.com/office/drawing/2014/main" id="{8CDB74EF-86C9-43FB-D5FF-A2E3982C51F7}"/>
                  </a:ext>
                </a:extLst>
              </xdr:cNvPr>
              <xdr:cNvCxnSpPr/>
            </xdr:nvCxnSpPr>
            <xdr:spPr>
              <a:xfrm>
                <a:off x="1401763" y="11581352"/>
                <a:ext cx="247649" cy="396"/>
              </a:xfrm>
              <a:prstGeom prst="line">
                <a:avLst/>
              </a:prstGeom>
              <a:ln w="19050">
                <a:solidFill>
                  <a:schemeClr val="tx1">
                    <a:lumMod val="95000"/>
                    <a:lumOff val="5000"/>
                  </a:schemeClr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245" name="Gerader Verbinder 244">
                <a:extLst>
                  <a:ext uri="{FF2B5EF4-FFF2-40B4-BE49-F238E27FC236}">
                    <a16:creationId xmlns:a16="http://schemas.microsoft.com/office/drawing/2014/main" id="{0529CD13-9944-4592-7AD0-F02E41AD29D3}"/>
                  </a:ext>
                </a:extLst>
              </xdr:cNvPr>
              <xdr:cNvCxnSpPr/>
            </xdr:nvCxnSpPr>
            <xdr:spPr>
              <a:xfrm>
                <a:off x="1380729" y="11925705"/>
                <a:ext cx="247649" cy="396"/>
              </a:xfrm>
              <a:prstGeom prst="line">
                <a:avLst/>
              </a:prstGeom>
              <a:ln w="19050">
                <a:solidFill>
                  <a:schemeClr val="tx1">
                    <a:lumMod val="95000"/>
                    <a:lumOff val="5000"/>
                  </a:schemeClr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246" name="Gerader Verbinder 245">
                <a:extLst>
                  <a:ext uri="{FF2B5EF4-FFF2-40B4-BE49-F238E27FC236}">
                    <a16:creationId xmlns:a16="http://schemas.microsoft.com/office/drawing/2014/main" id="{6A63DACF-AF3C-B9B4-58B8-E09A8181175A}"/>
                  </a:ext>
                </a:extLst>
              </xdr:cNvPr>
              <xdr:cNvCxnSpPr/>
            </xdr:nvCxnSpPr>
            <xdr:spPr>
              <a:xfrm>
                <a:off x="1524000" y="11593654"/>
                <a:ext cx="0" cy="282044"/>
              </a:xfrm>
              <a:prstGeom prst="line">
                <a:avLst/>
              </a:prstGeom>
              <a:ln w="19050">
                <a:solidFill>
                  <a:schemeClr val="tx1">
                    <a:lumMod val="95000"/>
                    <a:lumOff val="5000"/>
                  </a:schemeClr>
                </a:solidFill>
                <a:prstDash val="sysDash"/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247" name="Gerader Verbinder 246">
                <a:extLst>
                  <a:ext uri="{FF2B5EF4-FFF2-40B4-BE49-F238E27FC236}">
                    <a16:creationId xmlns:a16="http://schemas.microsoft.com/office/drawing/2014/main" id="{8E30738F-F18D-0DED-DF10-8928EB1F7CA4}"/>
                  </a:ext>
                </a:extLst>
              </xdr:cNvPr>
              <xdr:cNvCxnSpPr/>
            </xdr:nvCxnSpPr>
            <xdr:spPr>
              <a:xfrm flipV="1">
                <a:off x="1516459" y="11935230"/>
                <a:ext cx="4762" cy="374119"/>
              </a:xfrm>
              <a:prstGeom prst="line">
                <a:avLst/>
              </a:prstGeom>
              <a:ln w="19050">
                <a:solidFill>
                  <a:schemeClr val="tx1">
                    <a:lumMod val="95000"/>
                    <a:lumOff val="5000"/>
                  </a:schemeClr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265" name="Gerader Verbinder 264">
                <a:extLst>
                  <a:ext uri="{FF2B5EF4-FFF2-40B4-BE49-F238E27FC236}">
                    <a16:creationId xmlns:a16="http://schemas.microsoft.com/office/drawing/2014/main" id="{960A7459-F692-40D5-F35E-7449087B1B40}"/>
                  </a:ext>
                </a:extLst>
              </xdr:cNvPr>
              <xdr:cNvCxnSpPr/>
            </xdr:nvCxnSpPr>
            <xdr:spPr>
              <a:xfrm flipV="1">
                <a:off x="1492875" y="13568795"/>
                <a:ext cx="5866" cy="414485"/>
              </a:xfrm>
              <a:prstGeom prst="line">
                <a:avLst/>
              </a:prstGeom>
              <a:ln w="19050">
                <a:solidFill>
                  <a:schemeClr val="tx1">
                    <a:lumMod val="95000"/>
                    <a:lumOff val="5000"/>
                  </a:schemeClr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</xdr:grpSp>
        <xdr:cxnSp macro="">
          <xdr:nvCxnSpPr>
            <xdr:cNvPr id="239" name="Gerader Verbinder 238">
              <a:extLst>
                <a:ext uri="{FF2B5EF4-FFF2-40B4-BE49-F238E27FC236}">
                  <a16:creationId xmlns:a16="http://schemas.microsoft.com/office/drawing/2014/main" id="{47E27C3F-1095-04D1-A716-7E499894F19C}"/>
                </a:ext>
              </a:extLst>
            </xdr:cNvPr>
            <xdr:cNvCxnSpPr>
              <a:cxnSpLocks/>
            </xdr:cNvCxnSpPr>
          </xdr:nvCxnSpPr>
          <xdr:spPr>
            <a:xfrm flipH="1">
              <a:off x="1683719" y="1550335"/>
              <a:ext cx="11193" cy="525911"/>
            </a:xfrm>
            <a:prstGeom prst="line">
              <a:avLst/>
            </a:prstGeom>
            <a:ln w="19050">
              <a:solidFill>
                <a:srgbClr val="00B0F0"/>
              </a:solidFill>
              <a:headEnd type="none"/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40" name="Textfeld 239">
              <a:extLst>
                <a:ext uri="{FF2B5EF4-FFF2-40B4-BE49-F238E27FC236}">
                  <a16:creationId xmlns:a16="http://schemas.microsoft.com/office/drawing/2014/main" id="{01CD1F18-F519-6E6C-6FB3-4AD9940669B5}"/>
                </a:ext>
              </a:extLst>
            </xdr:cNvPr>
            <xdr:cNvSpPr txBox="1"/>
          </xdr:nvSpPr>
          <xdr:spPr>
            <a:xfrm>
              <a:off x="1361132" y="1629976"/>
              <a:ext cx="374875" cy="26357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de-CH" sz="1100">
                  <a:solidFill>
                    <a:srgbClr val="00B0F0"/>
                  </a:solidFill>
                </a:rPr>
                <a:t>U</a:t>
              </a:r>
              <a:r>
                <a:rPr lang="de-CH" sz="1100" baseline="-25000">
                  <a:solidFill>
                    <a:srgbClr val="00B0F0"/>
                  </a:solidFill>
                </a:rPr>
                <a:t>20</a:t>
              </a:r>
              <a:endParaRPr lang="de-CH" sz="1100">
                <a:solidFill>
                  <a:srgbClr val="00B0F0"/>
                </a:solidFill>
              </a:endParaRPr>
            </a:p>
          </xdr:txBody>
        </xdr:sp>
      </xdr:grpSp>
      <xdr:grpSp>
        <xdr:nvGrpSpPr>
          <xdr:cNvPr id="228" name="Gruppieren 227">
            <a:extLst>
              <a:ext uri="{FF2B5EF4-FFF2-40B4-BE49-F238E27FC236}">
                <a16:creationId xmlns:a16="http://schemas.microsoft.com/office/drawing/2014/main" id="{D28A0212-973D-E4DB-DC83-33C2F2033A92}"/>
              </a:ext>
            </a:extLst>
          </xdr:cNvPr>
          <xdr:cNvGrpSpPr/>
        </xdr:nvGrpSpPr>
        <xdr:grpSpPr>
          <a:xfrm>
            <a:off x="236637" y="14331988"/>
            <a:ext cx="1318807" cy="1145717"/>
            <a:chOff x="3400673" y="1388885"/>
            <a:chExt cx="1302368" cy="1173051"/>
          </a:xfrm>
        </xdr:grpSpPr>
        <xdr:grpSp>
          <xdr:nvGrpSpPr>
            <xdr:cNvPr id="231" name="Gruppieren 230">
              <a:extLst>
                <a:ext uri="{FF2B5EF4-FFF2-40B4-BE49-F238E27FC236}">
                  <a16:creationId xmlns:a16="http://schemas.microsoft.com/office/drawing/2014/main" id="{CC94E3CD-39C2-964F-889C-9CB74C7BE4B9}"/>
                </a:ext>
              </a:extLst>
            </xdr:cNvPr>
            <xdr:cNvGrpSpPr/>
          </xdr:nvGrpSpPr>
          <xdr:grpSpPr>
            <a:xfrm>
              <a:off x="3808276" y="1388885"/>
              <a:ext cx="264875" cy="1098171"/>
              <a:chOff x="3540807" y="10262874"/>
              <a:chExt cx="264875" cy="1083113"/>
            </a:xfrm>
          </xdr:grpSpPr>
          <xdr:cxnSp macro="">
            <xdr:nvCxnSpPr>
              <xdr:cNvPr id="236" name="Gerader Verbinder 235">
                <a:extLst>
                  <a:ext uri="{FF2B5EF4-FFF2-40B4-BE49-F238E27FC236}">
                    <a16:creationId xmlns:a16="http://schemas.microsoft.com/office/drawing/2014/main" id="{6B45B9A1-71F0-83D5-788D-37F3A63EE65D}"/>
                  </a:ext>
                </a:extLst>
              </xdr:cNvPr>
              <xdr:cNvCxnSpPr>
                <a:cxnSpLocks/>
                <a:endCxn id="237" idx="1"/>
              </xdr:cNvCxnSpPr>
            </xdr:nvCxnSpPr>
            <xdr:spPr>
              <a:xfrm flipH="1">
                <a:off x="3673246" y="10262874"/>
                <a:ext cx="2037" cy="387038"/>
              </a:xfrm>
              <a:prstGeom prst="line">
                <a:avLst/>
              </a:prstGeom>
              <a:ln w="19050">
                <a:solidFill>
                  <a:schemeClr val="tx1">
                    <a:lumMod val="95000"/>
                    <a:lumOff val="5000"/>
                  </a:schemeClr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sp macro="" textlink="">
            <xdr:nvSpPr>
              <xdr:cNvPr id="237" name="Textfeld 236">
                <a:extLst>
                  <a:ext uri="{FF2B5EF4-FFF2-40B4-BE49-F238E27FC236}">
                    <a16:creationId xmlns:a16="http://schemas.microsoft.com/office/drawing/2014/main" id="{13FEF215-A5E2-8C6C-0AA2-1203600DEE9E}"/>
                  </a:ext>
                </a:extLst>
              </xdr:cNvPr>
              <xdr:cNvSpPr txBox="1"/>
            </xdr:nvSpPr>
            <xdr:spPr>
              <a:xfrm rot="5400000" flipV="1">
                <a:off x="3325208" y="10865513"/>
                <a:ext cx="696073" cy="264875"/>
              </a:xfrm>
              <a:prstGeom prst="rect">
                <a:avLst/>
              </a:prstGeom>
              <a:solidFill>
                <a:schemeClr val="lt1"/>
              </a:solidFill>
              <a:ln w="12700" cmpd="sng">
                <a:solidFill>
                  <a:schemeClr val="tx1">
                    <a:lumMod val="95000"/>
                    <a:lumOff val="5000"/>
                  </a:schemeClr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ctr"/>
                <a:r>
                  <a:rPr lang="de-CH" sz="900"/>
                  <a:t>R</a:t>
                </a:r>
                <a:r>
                  <a:rPr lang="de-CH" sz="900" baseline="-25000"/>
                  <a:t>i2</a:t>
                </a:r>
              </a:p>
            </xdr:txBody>
          </xdr:sp>
        </xdr:grpSp>
        <xdr:cxnSp macro="">
          <xdr:nvCxnSpPr>
            <xdr:cNvPr id="232" name="Gerader Verbinder 231">
              <a:extLst>
                <a:ext uri="{FF2B5EF4-FFF2-40B4-BE49-F238E27FC236}">
                  <a16:creationId xmlns:a16="http://schemas.microsoft.com/office/drawing/2014/main" id="{AC6B4C58-7F65-A6C1-C886-7AAAE532D1DE}"/>
                </a:ext>
              </a:extLst>
            </xdr:cNvPr>
            <xdr:cNvCxnSpPr>
              <a:cxnSpLocks/>
            </xdr:cNvCxnSpPr>
          </xdr:nvCxnSpPr>
          <xdr:spPr>
            <a:xfrm flipV="1">
              <a:off x="3736398" y="1669184"/>
              <a:ext cx="4329" cy="892752"/>
            </a:xfrm>
            <a:prstGeom prst="line">
              <a:avLst/>
            </a:prstGeom>
            <a:ln w="19050">
              <a:solidFill>
                <a:srgbClr val="00B0F0"/>
              </a:solidFill>
              <a:headEnd type="none"/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33" name="Textfeld 232">
              <a:extLst>
                <a:ext uri="{FF2B5EF4-FFF2-40B4-BE49-F238E27FC236}">
                  <a16:creationId xmlns:a16="http://schemas.microsoft.com/office/drawing/2014/main" id="{203B50B4-2679-A298-2915-EF7163658747}"/>
                </a:ext>
              </a:extLst>
            </xdr:cNvPr>
            <xdr:cNvSpPr txBox="1"/>
          </xdr:nvSpPr>
          <xdr:spPr>
            <a:xfrm>
              <a:off x="3400673" y="1923796"/>
              <a:ext cx="343970" cy="2603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de-CH" sz="1100">
                  <a:solidFill>
                    <a:srgbClr val="00B0F0"/>
                  </a:solidFill>
                </a:rPr>
                <a:t>U</a:t>
              </a:r>
              <a:r>
                <a:rPr lang="de-CH" sz="1100" baseline="-25000">
                  <a:solidFill>
                    <a:srgbClr val="00B0F0"/>
                  </a:solidFill>
                </a:rPr>
                <a:t>Ri2</a:t>
              </a:r>
              <a:endParaRPr lang="de-CH" sz="1100">
                <a:solidFill>
                  <a:srgbClr val="00B0F0"/>
                </a:solidFill>
              </a:endParaRPr>
            </a:p>
          </xdr:txBody>
        </xdr:sp>
        <xdr:cxnSp macro="">
          <xdr:nvCxnSpPr>
            <xdr:cNvPr id="234" name="Gerade Verbindung mit Pfeil 233">
              <a:extLst>
                <a:ext uri="{FF2B5EF4-FFF2-40B4-BE49-F238E27FC236}">
                  <a16:creationId xmlns:a16="http://schemas.microsoft.com/office/drawing/2014/main" id="{68950211-EE6D-75E0-971A-22550B1D8696}"/>
                </a:ext>
              </a:extLst>
            </xdr:cNvPr>
            <xdr:cNvCxnSpPr/>
          </xdr:nvCxnSpPr>
          <xdr:spPr>
            <a:xfrm flipV="1">
              <a:off x="3942074" y="1528835"/>
              <a:ext cx="0" cy="95604"/>
            </a:xfrm>
            <a:prstGeom prst="straightConnector1">
              <a:avLst/>
            </a:prstGeom>
            <a:ln>
              <a:solidFill>
                <a:srgbClr val="FF0000"/>
              </a:solidFill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35" name="Textfeld 234">
              <a:extLst>
                <a:ext uri="{FF2B5EF4-FFF2-40B4-BE49-F238E27FC236}">
                  <a16:creationId xmlns:a16="http://schemas.microsoft.com/office/drawing/2014/main" id="{63D89B14-9146-9DCF-6CA0-E3948ED9EA8F}"/>
                </a:ext>
              </a:extLst>
            </xdr:cNvPr>
            <xdr:cNvSpPr txBox="1"/>
          </xdr:nvSpPr>
          <xdr:spPr>
            <a:xfrm>
              <a:off x="3998631" y="1422154"/>
              <a:ext cx="704410" cy="27163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de-CH" sz="1100">
                  <a:solidFill>
                    <a:srgbClr val="FF0000"/>
                  </a:solidFill>
                </a:rPr>
                <a:t>I</a:t>
              </a:r>
              <a:r>
                <a:rPr lang="de-CH" sz="1100" baseline="-25000">
                  <a:solidFill>
                    <a:srgbClr val="FF0000"/>
                  </a:solidFill>
                </a:rPr>
                <a:t>2</a:t>
              </a:r>
              <a:endParaRPr lang="de-CH" sz="1100">
                <a:solidFill>
                  <a:srgbClr val="FF0000"/>
                </a:solidFill>
              </a:endParaRPr>
            </a:p>
          </xdr:txBody>
        </xdr:sp>
      </xdr:grpSp>
      <xdr:sp macro="" textlink="">
        <xdr:nvSpPr>
          <xdr:cNvPr id="230" name="Ellipse 229">
            <a:extLst>
              <a:ext uri="{FF2B5EF4-FFF2-40B4-BE49-F238E27FC236}">
                <a16:creationId xmlns:a16="http://schemas.microsoft.com/office/drawing/2014/main" id="{F12D02FD-D72F-AEA2-1E8C-E8C507CC1619}"/>
              </a:ext>
            </a:extLst>
          </xdr:cNvPr>
          <xdr:cNvSpPr/>
        </xdr:nvSpPr>
        <xdr:spPr>
          <a:xfrm>
            <a:off x="733250" y="16569903"/>
            <a:ext cx="74916" cy="67492"/>
          </a:xfrm>
          <a:prstGeom prst="ellipse">
            <a:avLst/>
          </a:prstGeom>
          <a:solidFill>
            <a:schemeClr val="tx1">
              <a:lumMod val="95000"/>
              <a:lumOff val="5000"/>
            </a:schemeClr>
          </a:solidFill>
          <a:ln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  <xdr:cxnSp macro="">
        <xdr:nvCxnSpPr>
          <xdr:cNvPr id="269" name="Gerader Verbinder 268">
            <a:extLst>
              <a:ext uri="{FF2B5EF4-FFF2-40B4-BE49-F238E27FC236}">
                <a16:creationId xmlns:a16="http://schemas.microsoft.com/office/drawing/2014/main" id="{BF1CC884-1680-97F1-AA36-C3F35BFE965C}"/>
              </a:ext>
            </a:extLst>
          </xdr:cNvPr>
          <xdr:cNvCxnSpPr>
            <a:cxnSpLocks/>
          </xdr:cNvCxnSpPr>
        </xdr:nvCxnSpPr>
        <xdr:spPr>
          <a:xfrm flipV="1">
            <a:off x="732206" y="18977603"/>
            <a:ext cx="3085650" cy="19130"/>
          </a:xfrm>
          <a:prstGeom prst="line">
            <a:avLst/>
          </a:prstGeom>
          <a:ln w="19050"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70" name="Gerader Verbinder 269">
            <a:extLst>
              <a:ext uri="{FF2B5EF4-FFF2-40B4-BE49-F238E27FC236}">
                <a16:creationId xmlns:a16="http://schemas.microsoft.com/office/drawing/2014/main" id="{B4465B27-6D14-8222-E471-0801FB03FEFA}"/>
              </a:ext>
            </a:extLst>
          </xdr:cNvPr>
          <xdr:cNvCxnSpPr>
            <a:cxnSpLocks/>
          </xdr:cNvCxnSpPr>
        </xdr:nvCxnSpPr>
        <xdr:spPr>
          <a:xfrm>
            <a:off x="3907100" y="16714353"/>
            <a:ext cx="8582" cy="2104779"/>
          </a:xfrm>
          <a:prstGeom prst="line">
            <a:avLst/>
          </a:prstGeom>
          <a:ln w="19050">
            <a:solidFill>
              <a:srgbClr val="00B0F0"/>
            </a:solidFill>
            <a:headEnd type="non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71" name="Textfeld 270">
            <a:extLst>
              <a:ext uri="{FF2B5EF4-FFF2-40B4-BE49-F238E27FC236}">
                <a16:creationId xmlns:a16="http://schemas.microsoft.com/office/drawing/2014/main" id="{080DEF13-1B3D-D7D8-51BB-E2C9F3A72E1E}"/>
              </a:ext>
            </a:extLst>
          </xdr:cNvPr>
          <xdr:cNvSpPr txBox="1"/>
        </xdr:nvSpPr>
        <xdr:spPr>
          <a:xfrm>
            <a:off x="3578421" y="17395500"/>
            <a:ext cx="310888" cy="24753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de-CH" sz="1100">
                <a:solidFill>
                  <a:srgbClr val="00B0F0"/>
                </a:solidFill>
              </a:rPr>
              <a:t>U</a:t>
            </a:r>
            <a:r>
              <a:rPr lang="de-CH" sz="1100" baseline="-25000">
                <a:solidFill>
                  <a:srgbClr val="00B0F0"/>
                </a:solidFill>
              </a:rPr>
              <a:t>1K</a:t>
            </a:r>
            <a:endParaRPr lang="de-CH" sz="1100">
              <a:solidFill>
                <a:srgbClr val="00B0F0"/>
              </a:solidFill>
            </a:endParaRPr>
          </a:p>
        </xdr:txBody>
      </xdr:sp>
      <xdr:sp macro="" textlink="">
        <xdr:nvSpPr>
          <xdr:cNvPr id="272" name="Ellipse 271">
            <a:extLst>
              <a:ext uri="{FF2B5EF4-FFF2-40B4-BE49-F238E27FC236}">
                <a16:creationId xmlns:a16="http://schemas.microsoft.com/office/drawing/2014/main" id="{0D21DE3A-4AA7-1FA5-EB0C-9EDA96474552}"/>
              </a:ext>
            </a:extLst>
          </xdr:cNvPr>
          <xdr:cNvSpPr/>
        </xdr:nvSpPr>
        <xdr:spPr>
          <a:xfrm>
            <a:off x="3818942" y="18904769"/>
            <a:ext cx="136378" cy="133242"/>
          </a:xfrm>
          <a:prstGeom prst="ellipse">
            <a:avLst/>
          </a:prstGeom>
          <a:noFill/>
          <a:ln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  <xdr:cxnSp macro="">
        <xdr:nvCxnSpPr>
          <xdr:cNvPr id="275" name="Gerader Verbinder 274">
            <a:extLst>
              <a:ext uri="{FF2B5EF4-FFF2-40B4-BE49-F238E27FC236}">
                <a16:creationId xmlns:a16="http://schemas.microsoft.com/office/drawing/2014/main" id="{6106D9B9-DBF8-DE7B-A1C0-135B2EAAE020}"/>
              </a:ext>
            </a:extLst>
          </xdr:cNvPr>
          <xdr:cNvCxnSpPr>
            <a:cxnSpLocks/>
          </xdr:cNvCxnSpPr>
        </xdr:nvCxnSpPr>
        <xdr:spPr>
          <a:xfrm>
            <a:off x="4209632" y="14519522"/>
            <a:ext cx="35797" cy="4299610"/>
          </a:xfrm>
          <a:prstGeom prst="line">
            <a:avLst/>
          </a:prstGeom>
          <a:ln w="19050">
            <a:solidFill>
              <a:srgbClr val="00B0F0"/>
            </a:solidFill>
            <a:headEnd type="non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76" name="Textfeld 275">
            <a:extLst>
              <a:ext uri="{FF2B5EF4-FFF2-40B4-BE49-F238E27FC236}">
                <a16:creationId xmlns:a16="http://schemas.microsoft.com/office/drawing/2014/main" id="{147CBEFF-F486-1DB0-7635-41144FDDD4A5}"/>
              </a:ext>
            </a:extLst>
          </xdr:cNvPr>
          <xdr:cNvSpPr txBox="1"/>
        </xdr:nvSpPr>
        <xdr:spPr>
          <a:xfrm>
            <a:off x="4154457" y="16723761"/>
            <a:ext cx="323588" cy="25388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de-CH" sz="1100">
                <a:solidFill>
                  <a:srgbClr val="00B0F0"/>
                </a:solidFill>
              </a:rPr>
              <a:t>U</a:t>
            </a:r>
            <a:r>
              <a:rPr lang="de-CH" sz="1100" baseline="-25000">
                <a:solidFill>
                  <a:srgbClr val="00B0F0"/>
                </a:solidFill>
              </a:rPr>
              <a:t>K</a:t>
            </a:r>
            <a:endParaRPr lang="de-CH" sz="1100">
              <a:solidFill>
                <a:srgbClr val="00B0F0"/>
              </a:solidFill>
            </a:endParaRPr>
          </a:p>
        </xdr:txBody>
      </xdr:sp>
      <xdr:cxnSp macro="">
        <xdr:nvCxnSpPr>
          <xdr:cNvPr id="280" name="Gerader Verbinder 279">
            <a:extLst>
              <a:ext uri="{FF2B5EF4-FFF2-40B4-BE49-F238E27FC236}">
                <a16:creationId xmlns:a16="http://schemas.microsoft.com/office/drawing/2014/main" id="{3552D80F-0FB3-442D-A889-BA1EF685AFF6}"/>
              </a:ext>
            </a:extLst>
          </xdr:cNvPr>
          <xdr:cNvCxnSpPr>
            <a:cxnSpLocks/>
            <a:endCxn id="281" idx="1"/>
          </xdr:cNvCxnSpPr>
        </xdr:nvCxnSpPr>
        <xdr:spPr>
          <a:xfrm>
            <a:off x="5326289" y="14333764"/>
            <a:ext cx="842" cy="1939957"/>
          </a:xfrm>
          <a:prstGeom prst="line">
            <a:avLst/>
          </a:prstGeom>
          <a:ln w="19050"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81" name="Textfeld 280">
            <a:extLst>
              <a:ext uri="{FF2B5EF4-FFF2-40B4-BE49-F238E27FC236}">
                <a16:creationId xmlns:a16="http://schemas.microsoft.com/office/drawing/2014/main" id="{C0C14C80-6765-453D-A836-77A3F1291D1D}"/>
              </a:ext>
            </a:extLst>
          </xdr:cNvPr>
          <xdr:cNvSpPr txBox="1"/>
        </xdr:nvSpPr>
        <xdr:spPr>
          <a:xfrm rot="5400000" flipV="1">
            <a:off x="4982251" y="16480598"/>
            <a:ext cx="683407" cy="269653"/>
          </a:xfrm>
          <a:prstGeom prst="rect">
            <a:avLst/>
          </a:prstGeom>
          <a:solidFill>
            <a:schemeClr val="lt1"/>
          </a:solidFill>
          <a:ln w="12700" cmpd="sng"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de-CH" sz="900"/>
              <a:t>R</a:t>
            </a:r>
            <a:r>
              <a:rPr lang="de-CH" sz="900" baseline="-25000"/>
              <a:t>Last</a:t>
            </a:r>
          </a:p>
        </xdr:txBody>
      </xdr:sp>
      <xdr:cxnSp macro="">
        <xdr:nvCxnSpPr>
          <xdr:cNvPr id="282" name="Gerader Verbinder 281">
            <a:extLst>
              <a:ext uri="{FF2B5EF4-FFF2-40B4-BE49-F238E27FC236}">
                <a16:creationId xmlns:a16="http://schemas.microsoft.com/office/drawing/2014/main" id="{CD34F892-81C9-4D3C-903C-B6508AB8ABF3}"/>
              </a:ext>
            </a:extLst>
          </xdr:cNvPr>
          <xdr:cNvCxnSpPr>
            <a:cxnSpLocks/>
            <a:endCxn id="281" idx="3"/>
          </xdr:cNvCxnSpPr>
        </xdr:nvCxnSpPr>
        <xdr:spPr>
          <a:xfrm flipH="1" flipV="1">
            <a:off x="5327131" y="16953953"/>
            <a:ext cx="15487" cy="2025744"/>
          </a:xfrm>
          <a:prstGeom prst="line">
            <a:avLst/>
          </a:prstGeom>
          <a:ln w="19050"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83" name="Gerader Verbinder 282">
            <a:extLst>
              <a:ext uri="{FF2B5EF4-FFF2-40B4-BE49-F238E27FC236}">
                <a16:creationId xmlns:a16="http://schemas.microsoft.com/office/drawing/2014/main" id="{49B9F133-EED3-44CA-BDDE-94E747980E1D}"/>
              </a:ext>
            </a:extLst>
          </xdr:cNvPr>
          <xdr:cNvCxnSpPr>
            <a:cxnSpLocks/>
          </xdr:cNvCxnSpPr>
        </xdr:nvCxnSpPr>
        <xdr:spPr>
          <a:xfrm>
            <a:off x="4000500" y="14330222"/>
            <a:ext cx="1341211" cy="3542"/>
          </a:xfrm>
          <a:prstGeom prst="line">
            <a:avLst/>
          </a:prstGeom>
          <a:ln w="19050"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84" name="Gerader Verbinder 283">
            <a:extLst>
              <a:ext uri="{FF2B5EF4-FFF2-40B4-BE49-F238E27FC236}">
                <a16:creationId xmlns:a16="http://schemas.microsoft.com/office/drawing/2014/main" id="{5E98A7A9-3951-4B9B-B441-EAB1F491A918}"/>
              </a:ext>
            </a:extLst>
          </xdr:cNvPr>
          <xdr:cNvCxnSpPr>
            <a:cxnSpLocks/>
          </xdr:cNvCxnSpPr>
        </xdr:nvCxnSpPr>
        <xdr:spPr>
          <a:xfrm flipV="1">
            <a:off x="3950607" y="18957018"/>
            <a:ext cx="1399722" cy="22673"/>
          </a:xfrm>
          <a:prstGeom prst="line">
            <a:avLst/>
          </a:prstGeom>
          <a:ln w="19050"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85" name="Gerader Verbinder 284">
            <a:extLst>
              <a:ext uri="{FF2B5EF4-FFF2-40B4-BE49-F238E27FC236}">
                <a16:creationId xmlns:a16="http://schemas.microsoft.com/office/drawing/2014/main" id="{88399B4C-1299-4C48-A38E-82E86E3C43D1}"/>
              </a:ext>
            </a:extLst>
          </xdr:cNvPr>
          <xdr:cNvCxnSpPr>
            <a:cxnSpLocks/>
          </xdr:cNvCxnSpPr>
        </xdr:nvCxnSpPr>
        <xdr:spPr>
          <a:xfrm flipV="1">
            <a:off x="4961308" y="16213336"/>
            <a:ext cx="706954" cy="568310"/>
          </a:xfrm>
          <a:prstGeom prst="line">
            <a:avLst/>
          </a:prstGeom>
          <a:ln w="19050">
            <a:solidFill>
              <a:schemeClr val="tx1">
                <a:lumMod val="95000"/>
                <a:lumOff val="5000"/>
              </a:schemeClr>
            </a:solidFill>
            <a:headEnd type="none" w="med" len="med"/>
            <a:tailEnd type="triangle" w="med" len="me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8283</xdr:colOff>
      <xdr:row>4</xdr:row>
      <xdr:rowOff>24848</xdr:rowOff>
    </xdr:from>
    <xdr:to>
      <xdr:col>14</xdr:col>
      <xdr:colOff>11458</xdr:colOff>
      <xdr:row>12</xdr:row>
      <xdr:rowOff>74543</xdr:rowOff>
    </xdr:to>
    <xdr:grpSp>
      <xdr:nvGrpSpPr>
        <xdr:cNvPr id="19" name="Gruppieren 18">
          <a:extLst>
            <a:ext uri="{FF2B5EF4-FFF2-40B4-BE49-F238E27FC236}">
              <a16:creationId xmlns:a16="http://schemas.microsoft.com/office/drawing/2014/main" id="{D4BD43DB-10D6-3AD1-A0CA-9A8DC6324104}"/>
            </a:ext>
          </a:extLst>
        </xdr:cNvPr>
        <xdr:cNvGrpSpPr/>
      </xdr:nvGrpSpPr>
      <xdr:grpSpPr>
        <a:xfrm>
          <a:off x="9152283" y="889425"/>
          <a:ext cx="589329" cy="1573695"/>
          <a:chOff x="9152283" y="870192"/>
          <a:chExt cx="614363" cy="1510195"/>
        </a:xfrm>
      </xdr:grpSpPr>
      <xdr:cxnSp macro="">
        <xdr:nvCxnSpPr>
          <xdr:cNvPr id="24" name="Gerader Verbinder 23">
            <a:extLst>
              <a:ext uri="{FF2B5EF4-FFF2-40B4-BE49-F238E27FC236}">
                <a16:creationId xmlns:a16="http://schemas.microsoft.com/office/drawing/2014/main" id="{7BE249C2-7891-474F-9A79-C43994FA7BE5}"/>
              </a:ext>
            </a:extLst>
          </xdr:cNvPr>
          <xdr:cNvCxnSpPr>
            <a:cxnSpLocks/>
          </xdr:cNvCxnSpPr>
        </xdr:nvCxnSpPr>
        <xdr:spPr>
          <a:xfrm flipV="1">
            <a:off x="9449594" y="870192"/>
            <a:ext cx="0" cy="696774"/>
          </a:xfrm>
          <a:prstGeom prst="line">
            <a:avLst/>
          </a:prstGeom>
          <a:ln w="19050"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9" name="Gerader Verbinder 68">
            <a:extLst>
              <a:ext uri="{FF2B5EF4-FFF2-40B4-BE49-F238E27FC236}">
                <a16:creationId xmlns:a16="http://schemas.microsoft.com/office/drawing/2014/main" id="{1BEDE7B8-0A3D-B18F-794F-3610D901B4C7}"/>
              </a:ext>
            </a:extLst>
          </xdr:cNvPr>
          <xdr:cNvCxnSpPr>
            <a:cxnSpLocks/>
          </xdr:cNvCxnSpPr>
        </xdr:nvCxnSpPr>
        <xdr:spPr>
          <a:xfrm flipV="1">
            <a:off x="9449594" y="1686442"/>
            <a:ext cx="0" cy="693945"/>
          </a:xfrm>
          <a:prstGeom prst="line">
            <a:avLst/>
          </a:prstGeom>
          <a:ln w="19050"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1" name="Gerader Verbinder 70">
            <a:extLst>
              <a:ext uri="{FF2B5EF4-FFF2-40B4-BE49-F238E27FC236}">
                <a16:creationId xmlns:a16="http://schemas.microsoft.com/office/drawing/2014/main" id="{478BEEDF-8779-75D1-B146-65C23DD135BC}"/>
              </a:ext>
            </a:extLst>
          </xdr:cNvPr>
          <xdr:cNvCxnSpPr>
            <a:cxnSpLocks/>
          </xdr:cNvCxnSpPr>
        </xdr:nvCxnSpPr>
        <xdr:spPr>
          <a:xfrm>
            <a:off x="9155458" y="1578769"/>
            <a:ext cx="608013" cy="0"/>
          </a:xfrm>
          <a:prstGeom prst="line">
            <a:avLst/>
          </a:prstGeom>
          <a:ln w="19050"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69" name="Gerader Verbinder 168">
            <a:extLst>
              <a:ext uri="{FF2B5EF4-FFF2-40B4-BE49-F238E27FC236}">
                <a16:creationId xmlns:a16="http://schemas.microsoft.com/office/drawing/2014/main" id="{9D314197-3948-07BE-FC3D-4A1739F43189}"/>
              </a:ext>
            </a:extLst>
          </xdr:cNvPr>
          <xdr:cNvCxnSpPr>
            <a:cxnSpLocks/>
          </xdr:cNvCxnSpPr>
        </xdr:nvCxnSpPr>
        <xdr:spPr>
          <a:xfrm>
            <a:off x="9152283" y="1681335"/>
            <a:ext cx="614363" cy="0"/>
          </a:xfrm>
          <a:prstGeom prst="line">
            <a:avLst/>
          </a:prstGeom>
          <a:ln w="19050"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 editAs="oneCell">
    <xdr:from>
      <xdr:col>11</xdr:col>
      <xdr:colOff>463826</xdr:colOff>
      <xdr:row>20</xdr:row>
      <xdr:rowOff>2067</xdr:rowOff>
    </xdr:from>
    <xdr:to>
      <xdr:col>14</xdr:col>
      <xdr:colOff>276777</xdr:colOff>
      <xdr:row>23</xdr:row>
      <xdr:rowOff>47071</xdr:rowOff>
    </xdr:to>
    <xdr:pic>
      <xdr:nvPicPr>
        <xdr:cNvPr id="171" name="Grafik 170">
          <a:extLst>
            <a:ext uri="{FF2B5EF4-FFF2-40B4-BE49-F238E27FC236}">
              <a16:creationId xmlns:a16="http://schemas.microsoft.com/office/drawing/2014/main" id="{4DEC3567-96EB-0B1D-036F-7C83FBCFB7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45826" y="3762371"/>
          <a:ext cx="1187864" cy="5916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311283</xdr:colOff>
      <xdr:row>15</xdr:row>
      <xdr:rowOff>115011</xdr:rowOff>
    </xdr:from>
    <xdr:to>
      <xdr:col>9</xdr:col>
      <xdr:colOff>461374</xdr:colOff>
      <xdr:row>20</xdr:row>
      <xdr:rowOff>57284</xdr:rowOff>
    </xdr:to>
    <xdr:sp macro="" textlink="">
      <xdr:nvSpPr>
        <xdr:cNvPr id="49" name="Ellipse 48">
          <a:extLst>
            <a:ext uri="{FF2B5EF4-FFF2-40B4-BE49-F238E27FC236}">
              <a16:creationId xmlns:a16="http://schemas.microsoft.com/office/drawing/2014/main" id="{09280A74-4B4E-5781-5FA2-46335BD268F5}"/>
            </a:ext>
          </a:extLst>
        </xdr:cNvPr>
        <xdr:cNvSpPr/>
      </xdr:nvSpPr>
      <xdr:spPr>
        <a:xfrm>
          <a:off x="6407283" y="3011588"/>
          <a:ext cx="912091" cy="870350"/>
        </a:xfrm>
        <a:prstGeom prst="ellipse">
          <a:avLst/>
        </a:prstGeom>
        <a:noFill/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e-CH" sz="1100"/>
            <a:t>G </a:t>
          </a:r>
          <a:r>
            <a:rPr lang="de-CH" sz="1400">
              <a:solidFill>
                <a:schemeClr val="tx1">
                  <a:lumMod val="95000"/>
                  <a:lumOff val="5000"/>
                </a:schemeClr>
              </a:solidFill>
            </a:rPr>
            <a:t>G</a:t>
          </a:r>
          <a:br>
            <a:rPr lang="de-CH" sz="1400">
              <a:solidFill>
                <a:schemeClr val="tx1">
                  <a:lumMod val="95000"/>
                  <a:lumOff val="5000"/>
                </a:schemeClr>
              </a:solidFill>
            </a:rPr>
          </a:br>
          <a:r>
            <a:rPr lang="de-CH" sz="1400" baseline="0">
              <a:solidFill>
                <a:schemeClr val="tx1">
                  <a:lumMod val="95000"/>
                  <a:lumOff val="5000"/>
                </a:schemeClr>
              </a:solidFill>
            </a:rPr>
            <a:t>    </a:t>
          </a:r>
          <a:r>
            <a:rPr lang="de-CH" sz="1400">
              <a:solidFill>
                <a:schemeClr val="tx1">
                  <a:lumMod val="95000"/>
                  <a:lumOff val="5000"/>
                </a:schemeClr>
              </a:solidFill>
            </a:rPr>
            <a:t>~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419100</xdr:colOff>
      <xdr:row>0</xdr:row>
      <xdr:rowOff>101600</xdr:rowOff>
    </xdr:from>
    <xdr:to>
      <xdr:col>1</xdr:col>
      <xdr:colOff>260350</xdr:colOff>
      <xdr:row>2</xdr:row>
      <xdr:rowOff>156028</xdr:rowOff>
    </xdr:to>
    <xdr:sp macro="" textlink="">
      <xdr:nvSpPr>
        <xdr:cNvPr id="2" name="Pfeil: nach recht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C0C2E71-8B9D-48C3-8FCF-9BB5E22D4011}"/>
            </a:ext>
          </a:extLst>
        </xdr:cNvPr>
        <xdr:cNvSpPr/>
      </xdr:nvSpPr>
      <xdr:spPr>
        <a:xfrm rot="10800000">
          <a:off x="419100" y="104775"/>
          <a:ext cx="600075" cy="530678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 editAs="oneCell">
    <xdr:from>
      <xdr:col>1</xdr:col>
      <xdr:colOff>293034</xdr:colOff>
      <xdr:row>69</xdr:row>
      <xdr:rowOff>103654</xdr:rowOff>
    </xdr:from>
    <xdr:to>
      <xdr:col>11</xdr:col>
      <xdr:colOff>1373468</xdr:colOff>
      <xdr:row>112</xdr:row>
      <xdr:rowOff>84468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6CEC005E-C2D5-CFE2-9C16-52F50B1625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55034" y="11925860"/>
          <a:ext cx="10996519" cy="7704069"/>
        </a:xfrm>
        <a:prstGeom prst="rect">
          <a:avLst/>
        </a:prstGeom>
      </xdr:spPr>
    </xdr:pic>
    <xdr:clientData/>
  </xdr:twoCellAnchor>
  <xdr:twoCellAnchor editAs="oneCell">
    <xdr:from>
      <xdr:col>25</xdr:col>
      <xdr:colOff>682626</xdr:colOff>
      <xdr:row>17</xdr:row>
      <xdr:rowOff>37777</xdr:rowOff>
    </xdr:from>
    <xdr:to>
      <xdr:col>26</xdr:col>
      <xdr:colOff>1139826</xdr:colOff>
      <xdr:row>23</xdr:row>
      <xdr:rowOff>120650</xdr:rowOff>
    </xdr:to>
    <xdr:pic>
      <xdr:nvPicPr>
        <xdr:cNvPr id="4" name="Grafik 3">
          <a:extLst>
            <a:ext uri="{FF2B5EF4-FFF2-40B4-BE49-F238E27FC236}">
              <a16:creationId xmlns:a16="http://schemas.microsoft.com/office/drawing/2014/main" id="{A8F63450-8159-636A-419B-790261DB13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341851" y="875977"/>
          <a:ext cx="1219200" cy="1476698"/>
        </a:xfrm>
        <a:prstGeom prst="rect">
          <a:avLst/>
        </a:prstGeom>
      </xdr:spPr>
    </xdr:pic>
    <xdr:clientData/>
  </xdr:twoCellAnchor>
  <xdr:twoCellAnchor>
    <xdr:from>
      <xdr:col>31</xdr:col>
      <xdr:colOff>121790</xdr:colOff>
      <xdr:row>0</xdr:row>
      <xdr:rowOff>161585</xdr:rowOff>
    </xdr:from>
    <xdr:to>
      <xdr:col>40</xdr:col>
      <xdr:colOff>425823</xdr:colOff>
      <xdr:row>30</xdr:row>
      <xdr:rowOff>44824</xdr:rowOff>
    </xdr:to>
    <xdr:graphicFrame macro="">
      <xdr:nvGraphicFramePr>
        <xdr:cNvPr id="5" name="Diagramm 4">
          <a:extLst>
            <a:ext uri="{FF2B5EF4-FFF2-40B4-BE49-F238E27FC236}">
              <a16:creationId xmlns:a16="http://schemas.microsoft.com/office/drawing/2014/main" id="{7DFCE484-4FE5-CA7F-7B3B-8BCFF2E4D2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25</xdr:col>
      <xdr:colOff>660401</xdr:colOff>
      <xdr:row>35</xdr:row>
      <xdr:rowOff>88901</xdr:rowOff>
    </xdr:from>
    <xdr:to>
      <xdr:col>26</xdr:col>
      <xdr:colOff>939800</xdr:colOff>
      <xdr:row>41</xdr:row>
      <xdr:rowOff>39088</xdr:rowOff>
    </xdr:to>
    <xdr:pic>
      <xdr:nvPicPr>
        <xdr:cNvPr id="6" name="Grafik 5">
          <a:extLst>
            <a:ext uri="{FF2B5EF4-FFF2-40B4-BE49-F238E27FC236}">
              <a16:creationId xmlns:a16="http://schemas.microsoft.com/office/drawing/2014/main" id="{39E7E903-2B9C-CCD1-A668-816E903114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7335501" y="3136901"/>
          <a:ext cx="1041399" cy="1486887"/>
        </a:xfrm>
        <a:prstGeom prst="rect">
          <a:avLst/>
        </a:prstGeom>
      </xdr:spPr>
    </xdr:pic>
    <xdr:clientData/>
  </xdr:twoCellAnchor>
  <xdr:twoCellAnchor>
    <xdr:from>
      <xdr:col>31</xdr:col>
      <xdr:colOff>182424</xdr:colOff>
      <xdr:row>31</xdr:row>
      <xdr:rowOff>156056</xdr:rowOff>
    </xdr:from>
    <xdr:to>
      <xdr:col>40</xdr:col>
      <xdr:colOff>497087</xdr:colOff>
      <xdr:row>49</xdr:row>
      <xdr:rowOff>156107</xdr:rowOff>
    </xdr:to>
    <xdr:graphicFrame macro="">
      <xdr:nvGraphicFramePr>
        <xdr:cNvPr id="8" name="Diagramm 7">
          <a:extLst>
            <a:ext uri="{FF2B5EF4-FFF2-40B4-BE49-F238E27FC236}">
              <a16:creationId xmlns:a16="http://schemas.microsoft.com/office/drawing/2014/main" id="{A293EE6D-7B60-4E21-93A6-5811FF9056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25</xdr:col>
      <xdr:colOff>368300</xdr:colOff>
      <xdr:row>56</xdr:row>
      <xdr:rowOff>133349</xdr:rowOff>
    </xdr:from>
    <xdr:to>
      <xdr:col>26</xdr:col>
      <xdr:colOff>665694</xdr:colOff>
      <xdr:row>64</xdr:row>
      <xdr:rowOff>202573</xdr:rowOff>
    </xdr:to>
    <xdr:pic>
      <xdr:nvPicPr>
        <xdr:cNvPr id="9" name="Grafik 8">
          <a:extLst>
            <a:ext uri="{FF2B5EF4-FFF2-40B4-BE49-F238E27FC236}">
              <a16:creationId xmlns:a16="http://schemas.microsoft.com/office/drawing/2014/main" id="{799C8367-350E-B2AC-A831-DCAD73E306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7046575" y="9363074"/>
          <a:ext cx="1059394" cy="1810033"/>
        </a:xfrm>
        <a:prstGeom prst="rect">
          <a:avLst/>
        </a:prstGeom>
      </xdr:spPr>
    </xdr:pic>
    <xdr:clientData/>
  </xdr:twoCellAnchor>
  <xdr:twoCellAnchor>
    <xdr:from>
      <xdr:col>31</xdr:col>
      <xdr:colOff>172035</xdr:colOff>
      <xdr:row>53</xdr:row>
      <xdr:rowOff>153679</xdr:rowOff>
    </xdr:from>
    <xdr:to>
      <xdr:col>40</xdr:col>
      <xdr:colOff>449007</xdr:colOff>
      <xdr:row>75</xdr:row>
      <xdr:rowOff>61578</xdr:rowOff>
    </xdr:to>
    <xdr:graphicFrame macro="">
      <xdr:nvGraphicFramePr>
        <xdr:cNvPr id="10" name="Diagramm 9">
          <a:extLst>
            <a:ext uri="{FF2B5EF4-FFF2-40B4-BE49-F238E27FC236}">
              <a16:creationId xmlns:a16="http://schemas.microsoft.com/office/drawing/2014/main" id="{B846391A-2FB4-683C-A04A-843723B356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58</xdr:col>
      <xdr:colOff>452600</xdr:colOff>
      <xdr:row>36</xdr:row>
      <xdr:rowOff>289849</xdr:rowOff>
    </xdr:from>
    <xdr:to>
      <xdr:col>58</xdr:col>
      <xdr:colOff>486440</xdr:colOff>
      <xdr:row>37</xdr:row>
      <xdr:rowOff>11229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7" name="Freihand 6">
              <a:extLst>
                <a:ext uri="{FF2B5EF4-FFF2-40B4-BE49-F238E27FC236}">
                  <a16:creationId xmlns:a16="http://schemas.microsoft.com/office/drawing/2014/main" id="{E709A5C4-E54F-CEF0-DA6C-8AF0A66B8160}"/>
                </a:ext>
              </a:extLst>
            </xdr14:cNvPr>
            <xdr14:cNvContentPartPr/>
          </xdr14:nvContentPartPr>
          <xdr14:nvPr macro=""/>
          <xdr14:xfrm>
            <a:off x="47569600" y="8036849"/>
            <a:ext cx="33840" cy="38880"/>
          </xdr14:xfrm>
        </xdr:contentPart>
      </mc:Choice>
      <mc:Fallback xmlns="">
        <xdr:pic>
          <xdr:nvPicPr>
            <xdr:cNvPr id="7" name="Freihand 6">
              <a:extLst>
                <a:ext uri="{FF2B5EF4-FFF2-40B4-BE49-F238E27FC236}">
                  <a16:creationId xmlns:a16="http://schemas.microsoft.com/office/drawing/2014/main" id="{E709A5C4-E54F-CEF0-DA6C-8AF0A66B8160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35364209" y="1056600"/>
              <a:ext cx="42480" cy="47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58</xdr:col>
      <xdr:colOff>374480</xdr:colOff>
      <xdr:row>36</xdr:row>
      <xdr:rowOff>52106</xdr:rowOff>
    </xdr:from>
    <xdr:to>
      <xdr:col>59</xdr:col>
      <xdr:colOff>620710</xdr:colOff>
      <xdr:row>39</xdr:row>
      <xdr:rowOff>45013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">
          <xdr14:nvContentPartPr>
            <xdr14:cNvPr id="15" name="Freihand 14">
              <a:extLst>
                <a:ext uri="{FF2B5EF4-FFF2-40B4-BE49-F238E27FC236}">
                  <a16:creationId xmlns:a16="http://schemas.microsoft.com/office/drawing/2014/main" id="{198D8AF2-C8F8-F413-8CD7-0D7FBA09F1E5}"/>
                </a:ext>
              </a:extLst>
            </xdr14:cNvPr>
            <xdr14:cNvContentPartPr/>
          </xdr14:nvContentPartPr>
          <xdr14:nvPr macro=""/>
          <xdr14:xfrm>
            <a:off x="47491480" y="7799106"/>
            <a:ext cx="1001880" cy="824757"/>
          </xdr14:xfrm>
        </xdr:contentPart>
      </mc:Choice>
      <mc:Fallback xmlns="">
        <xdr:pic>
          <xdr:nvPicPr>
            <xdr:cNvPr id="15" name="Freihand 14">
              <a:extLst>
                <a:ext uri="{FF2B5EF4-FFF2-40B4-BE49-F238E27FC236}">
                  <a16:creationId xmlns:a16="http://schemas.microsoft.com/office/drawing/2014/main" id="{198D8AF2-C8F8-F413-8CD7-0D7FBA09F1E5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35272415" y="823320"/>
              <a:ext cx="1037507" cy="815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58</xdr:col>
      <xdr:colOff>402568</xdr:colOff>
      <xdr:row>42</xdr:row>
      <xdr:rowOff>64869</xdr:rowOff>
    </xdr:from>
    <xdr:to>
      <xdr:col>59</xdr:col>
      <xdr:colOff>619278</xdr:colOff>
      <xdr:row>44</xdr:row>
      <xdr:rowOff>152685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">
          <xdr14:nvContentPartPr>
            <xdr14:cNvPr id="25" name="Freihand 24">
              <a:extLst>
                <a:ext uri="{FF2B5EF4-FFF2-40B4-BE49-F238E27FC236}">
                  <a16:creationId xmlns:a16="http://schemas.microsoft.com/office/drawing/2014/main" id="{A80F7FF3-B90C-2921-4A59-F38874B6AC3E}"/>
                </a:ext>
              </a:extLst>
            </xdr14:cNvPr>
            <xdr14:cNvContentPartPr/>
          </xdr14:nvContentPartPr>
          <xdr14:nvPr macro=""/>
          <xdr14:xfrm>
            <a:off x="47519568" y="9335869"/>
            <a:ext cx="972360" cy="529702"/>
          </xdr14:xfrm>
        </xdr:contentPart>
      </mc:Choice>
      <mc:Fallback xmlns="">
        <xdr:pic>
          <xdr:nvPicPr>
            <xdr:cNvPr id="25" name="Freihand 24">
              <a:extLst>
                <a:ext uri="{FF2B5EF4-FFF2-40B4-BE49-F238E27FC236}">
                  <a16:creationId xmlns:a16="http://schemas.microsoft.com/office/drawing/2014/main" id="{A80F7FF3-B90C-2921-4A59-F38874B6AC3E}"/>
                </a:ext>
              </a:extLst>
            </xdr:cNvPr>
            <xdr:cNvPicPr/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35300857" y="2278440"/>
              <a:ext cx="1008000" cy="547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60</xdr:col>
      <xdr:colOff>240808</xdr:colOff>
      <xdr:row>41</xdr:row>
      <xdr:rowOff>178977</xdr:rowOff>
    </xdr:from>
    <xdr:to>
      <xdr:col>61</xdr:col>
      <xdr:colOff>733768</xdr:colOff>
      <xdr:row>44</xdr:row>
      <xdr:rowOff>54467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">
          <xdr14:nvContentPartPr>
            <xdr14:cNvPr id="33" name="Freihand 32">
              <a:extLst>
                <a:ext uri="{FF2B5EF4-FFF2-40B4-BE49-F238E27FC236}">
                  <a16:creationId xmlns:a16="http://schemas.microsoft.com/office/drawing/2014/main" id="{A5F1C871-720E-C990-E08F-DBD2B11792B8}"/>
                </a:ext>
              </a:extLst>
            </xdr14:cNvPr>
            <xdr14:cNvContentPartPr/>
          </xdr14:nvContentPartPr>
          <xdr14:nvPr macro=""/>
          <xdr14:xfrm>
            <a:off x="48881808" y="9259477"/>
            <a:ext cx="1254960" cy="568654"/>
          </xdr14:xfrm>
        </xdr:contentPart>
      </mc:Choice>
      <mc:Fallback xmlns="">
        <xdr:pic>
          <xdr:nvPicPr>
            <xdr:cNvPr id="33" name="Freihand 32">
              <a:extLst>
                <a:ext uri="{FF2B5EF4-FFF2-40B4-BE49-F238E27FC236}">
                  <a16:creationId xmlns:a16="http://schemas.microsoft.com/office/drawing/2014/main" id="{A5F1C871-720E-C990-E08F-DBD2B11792B8}"/>
                </a:ext>
              </a:extLst>
            </xdr:cNvPr>
            <xdr:cNvPicPr/>
          </xdr:nvPicPr>
          <xdr:blipFill>
            <a:blip xmlns:r="http://schemas.openxmlformats.org/officeDocument/2006/relationships" r:embed="rId16"/>
            <a:stretch>
              <a:fillRect/>
            </a:stretch>
          </xdr:blipFill>
          <xdr:spPr>
            <a:xfrm>
              <a:off x="36662737" y="2211480"/>
              <a:ext cx="1290600" cy="577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67</xdr:col>
      <xdr:colOff>529400</xdr:colOff>
      <xdr:row>35</xdr:row>
      <xdr:rowOff>170814</xdr:rowOff>
    </xdr:from>
    <xdr:to>
      <xdr:col>69</xdr:col>
      <xdr:colOff>411200</xdr:colOff>
      <xdr:row>38</xdr:row>
      <xdr:rowOff>140051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">
          <xdr14:nvContentPartPr>
            <xdr14:cNvPr id="64" name="Freihand 63">
              <a:extLst>
                <a:ext uri="{FF2B5EF4-FFF2-40B4-BE49-F238E27FC236}">
                  <a16:creationId xmlns:a16="http://schemas.microsoft.com/office/drawing/2014/main" id="{062D94BC-0AB1-6791-744F-0DCA4E107811}"/>
                </a:ext>
              </a:extLst>
            </xdr14:cNvPr>
            <xdr14:cNvContentPartPr/>
          </xdr14:nvContentPartPr>
          <xdr14:nvPr macro=""/>
          <xdr14:xfrm>
            <a:off x="54504400" y="7600314"/>
            <a:ext cx="1405800" cy="858237"/>
          </xdr14:xfrm>
        </xdr:contentPart>
      </mc:Choice>
      <mc:Fallback xmlns="">
        <xdr:pic>
          <xdr:nvPicPr>
            <xdr:cNvPr id="64" name="Freihand 63">
              <a:extLst>
                <a:ext uri="{FF2B5EF4-FFF2-40B4-BE49-F238E27FC236}">
                  <a16:creationId xmlns:a16="http://schemas.microsoft.com/office/drawing/2014/main" id="{062D94BC-0AB1-6791-744F-0DCA4E107811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42285329" y="633960"/>
              <a:ext cx="1441440" cy="848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64</xdr:col>
      <xdr:colOff>143120</xdr:colOff>
      <xdr:row>36</xdr:row>
      <xdr:rowOff>94297</xdr:rowOff>
    </xdr:from>
    <xdr:to>
      <xdr:col>67</xdr:col>
      <xdr:colOff>220750</xdr:colOff>
      <xdr:row>38</xdr:row>
      <xdr:rowOff>218531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">
          <xdr14:nvContentPartPr>
            <xdr14:cNvPr id="65" name="Freihand 64">
              <a:extLst>
                <a:ext uri="{FF2B5EF4-FFF2-40B4-BE49-F238E27FC236}">
                  <a16:creationId xmlns:a16="http://schemas.microsoft.com/office/drawing/2014/main" id="{A2E9AE68-6218-C54D-A113-4BA64A52DA51}"/>
                </a:ext>
              </a:extLst>
            </xdr14:cNvPr>
            <xdr14:cNvContentPartPr/>
          </xdr14:nvContentPartPr>
          <xdr14:nvPr macro=""/>
          <xdr14:xfrm>
            <a:off x="51832120" y="7841297"/>
            <a:ext cx="2357280" cy="695734"/>
          </xdr14:xfrm>
        </xdr:contentPart>
      </mc:Choice>
      <mc:Fallback xmlns="">
        <xdr:pic>
          <xdr:nvPicPr>
            <xdr:cNvPr id="65" name="Freihand 64">
              <a:extLst>
                <a:ext uri="{FF2B5EF4-FFF2-40B4-BE49-F238E27FC236}">
                  <a16:creationId xmlns:a16="http://schemas.microsoft.com/office/drawing/2014/main" id="{A2E9AE68-6218-C54D-A113-4BA64A52DA51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39613409" y="856800"/>
              <a:ext cx="2392920" cy="704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58</xdr:col>
      <xdr:colOff>232400</xdr:colOff>
      <xdr:row>36</xdr:row>
      <xdr:rowOff>6386</xdr:rowOff>
    </xdr:from>
    <xdr:to>
      <xdr:col>66</xdr:col>
      <xdr:colOff>190160</xdr:colOff>
      <xdr:row>46</xdr:row>
      <xdr:rowOff>48592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">
          <xdr14:nvContentPartPr>
            <xdr14:cNvPr id="86" name="Freihand 85">
              <a:extLst>
                <a:ext uri="{FF2B5EF4-FFF2-40B4-BE49-F238E27FC236}">
                  <a16:creationId xmlns:a16="http://schemas.microsoft.com/office/drawing/2014/main" id="{B9100471-1197-3150-1A9B-FC1EF3D18DCD}"/>
                </a:ext>
              </a:extLst>
            </xdr14:cNvPr>
            <xdr14:cNvContentPartPr/>
          </xdr14:nvContentPartPr>
          <xdr14:nvPr macro=""/>
          <xdr14:xfrm>
            <a:off x="47349400" y="7753386"/>
            <a:ext cx="6053760" cy="2533888"/>
          </xdr14:xfrm>
        </xdr:contentPart>
      </mc:Choice>
      <mc:Fallback xmlns="">
        <xdr:pic>
          <xdr:nvPicPr>
            <xdr:cNvPr id="86" name="Freihand 85">
              <a:extLst>
                <a:ext uri="{FF2B5EF4-FFF2-40B4-BE49-F238E27FC236}">
                  <a16:creationId xmlns:a16="http://schemas.microsoft.com/office/drawing/2014/main" id="{B9100471-1197-3150-1A9B-FC1EF3D18DCD}"/>
                </a:ext>
              </a:extLst>
            </xdr:cNvPr>
            <xdr:cNvPicPr/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35130329" y="777960"/>
              <a:ext cx="6089400" cy="2451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61</xdr:col>
      <xdr:colOff>17120</xdr:colOff>
      <xdr:row>50</xdr:row>
      <xdr:rowOff>8657</xdr:rowOff>
    </xdr:from>
    <xdr:to>
      <xdr:col>62</xdr:col>
      <xdr:colOff>10040</xdr:colOff>
      <xdr:row>53</xdr:row>
      <xdr:rowOff>46134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">
          <xdr14:nvContentPartPr>
            <xdr14:cNvPr id="91" name="Freihand 90">
              <a:extLst>
                <a:ext uri="{FF2B5EF4-FFF2-40B4-BE49-F238E27FC236}">
                  <a16:creationId xmlns:a16="http://schemas.microsoft.com/office/drawing/2014/main" id="{3AB3EC81-5E61-3B60-3C0F-E25E3DB912D1}"/>
                </a:ext>
              </a:extLst>
            </xdr14:cNvPr>
            <xdr14:cNvContentPartPr/>
          </xdr14:nvContentPartPr>
          <xdr14:nvPr macro=""/>
          <xdr14:xfrm>
            <a:off x="49420120" y="10803657"/>
            <a:ext cx="754920" cy="608977"/>
          </xdr14:xfrm>
        </xdr:contentPart>
      </mc:Choice>
      <mc:Fallback xmlns="">
        <xdr:pic>
          <xdr:nvPicPr>
            <xdr:cNvPr id="91" name="Freihand 90">
              <a:extLst>
                <a:ext uri="{FF2B5EF4-FFF2-40B4-BE49-F238E27FC236}">
                  <a16:creationId xmlns:a16="http://schemas.microsoft.com/office/drawing/2014/main" id="{3AB3EC81-5E61-3B60-3C0F-E25E3DB912D1}"/>
                </a:ext>
              </a:extLst>
            </xdr:cNvPr>
            <xdr:cNvPicPr/>
          </xdr:nvPicPr>
          <xdr:blipFill>
            <a:blip xmlns:r="http://schemas.openxmlformats.org/officeDocument/2006/relationships" r:embed="rId24"/>
            <a:stretch>
              <a:fillRect/>
            </a:stretch>
          </xdr:blipFill>
          <xdr:spPr>
            <a:xfrm>
              <a:off x="37201049" y="3691800"/>
              <a:ext cx="790560" cy="662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62</xdr:col>
      <xdr:colOff>398120</xdr:colOff>
      <xdr:row>47</xdr:row>
      <xdr:rowOff>96894</xdr:rowOff>
    </xdr:from>
    <xdr:to>
      <xdr:col>63</xdr:col>
      <xdr:colOff>201680</xdr:colOff>
      <xdr:row>50</xdr:row>
      <xdr:rowOff>2262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">
          <xdr14:nvContentPartPr>
            <xdr14:cNvPr id="95" name="Freihand 94">
              <a:extLst>
                <a:ext uri="{FF2B5EF4-FFF2-40B4-BE49-F238E27FC236}">
                  <a16:creationId xmlns:a16="http://schemas.microsoft.com/office/drawing/2014/main" id="{CD56C02E-6FFF-7B80-38C2-1D0C80FD7C2F}"/>
                </a:ext>
              </a:extLst>
            </xdr14:cNvPr>
            <xdr14:cNvContentPartPr/>
          </xdr14:nvContentPartPr>
          <xdr14:nvPr macro=""/>
          <xdr14:xfrm>
            <a:off x="50563120" y="10320394"/>
            <a:ext cx="565560" cy="544103"/>
          </xdr14:xfrm>
        </xdr:contentPart>
      </mc:Choice>
      <mc:Fallback xmlns="">
        <xdr:pic>
          <xdr:nvPicPr>
            <xdr:cNvPr id="95" name="Freihand 94">
              <a:extLst>
                <a:ext uri="{FF2B5EF4-FFF2-40B4-BE49-F238E27FC236}">
                  <a16:creationId xmlns:a16="http://schemas.microsoft.com/office/drawing/2014/main" id="{CD56C02E-6FFF-7B80-38C2-1D0C80FD7C2F}"/>
                </a:ext>
              </a:extLst>
            </xdr:cNvPr>
            <xdr:cNvPicPr/>
          </xdr:nvPicPr>
          <xdr:blipFill>
            <a:blip xmlns:r="http://schemas.openxmlformats.org/officeDocument/2006/relationships" r:embed="rId26"/>
            <a:stretch>
              <a:fillRect/>
            </a:stretch>
          </xdr:blipFill>
          <xdr:spPr>
            <a:xfrm>
              <a:off x="38344049" y="3226680"/>
              <a:ext cx="601200" cy="561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67</xdr:col>
      <xdr:colOff>218608</xdr:colOff>
      <xdr:row>33</xdr:row>
      <xdr:rowOff>11600</xdr:rowOff>
    </xdr:from>
    <xdr:to>
      <xdr:col>70</xdr:col>
      <xdr:colOff>174328</xdr:colOff>
      <xdr:row>40</xdr:row>
      <xdr:rowOff>74339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">
          <xdr14:nvContentPartPr>
            <xdr14:cNvPr id="99" name="Freihand 98">
              <a:extLst>
                <a:ext uri="{FF2B5EF4-FFF2-40B4-BE49-F238E27FC236}">
                  <a16:creationId xmlns:a16="http://schemas.microsoft.com/office/drawing/2014/main" id="{96A2EEA7-192C-5E2F-CC7D-7D07E74B5A2C}"/>
                </a:ext>
              </a:extLst>
            </xdr14:cNvPr>
            <xdr14:cNvContentPartPr/>
          </xdr14:nvContentPartPr>
          <xdr14:nvPr macro=""/>
          <xdr14:xfrm>
            <a:off x="54193608" y="7060100"/>
            <a:ext cx="2241720" cy="1843914"/>
          </xdr14:xfrm>
        </xdr:contentPart>
      </mc:Choice>
      <mc:Fallback xmlns="">
        <xdr:pic>
          <xdr:nvPicPr>
            <xdr:cNvPr id="99" name="Freihand 98">
              <a:extLst>
                <a:ext uri="{FF2B5EF4-FFF2-40B4-BE49-F238E27FC236}">
                  <a16:creationId xmlns:a16="http://schemas.microsoft.com/office/drawing/2014/main" id="{96A2EEA7-192C-5E2F-CC7D-7D07E74B5A2C}"/>
                </a:ext>
              </a:extLst>
            </xdr:cNvPr>
            <xdr:cNvPicPr/>
          </xdr:nvPicPr>
          <xdr:blipFill>
            <a:blip xmlns:r="http://schemas.openxmlformats.org/officeDocument/2006/relationships" r:embed="rId28"/>
            <a:stretch>
              <a:fillRect/>
            </a:stretch>
          </xdr:blipFill>
          <xdr:spPr>
            <a:xfrm>
              <a:off x="41974537" y="120600"/>
              <a:ext cx="2277360" cy="1788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65</xdr:col>
      <xdr:colOff>353368</xdr:colOff>
      <xdr:row>49</xdr:row>
      <xdr:rowOff>726</xdr:rowOff>
    </xdr:from>
    <xdr:to>
      <xdr:col>66</xdr:col>
      <xdr:colOff>344488</xdr:colOff>
      <xdr:row>53</xdr:row>
      <xdr:rowOff>38213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">
          <xdr14:nvContentPartPr>
            <xdr14:cNvPr id="104" name="Freihand 103">
              <a:extLst>
                <a:ext uri="{FF2B5EF4-FFF2-40B4-BE49-F238E27FC236}">
                  <a16:creationId xmlns:a16="http://schemas.microsoft.com/office/drawing/2014/main" id="{400B8F56-1914-6A8C-8554-FF5346114DAC}"/>
                </a:ext>
              </a:extLst>
            </xdr14:cNvPr>
            <xdr14:cNvContentPartPr/>
          </xdr14:nvContentPartPr>
          <xdr14:nvPr macro=""/>
          <xdr14:xfrm>
            <a:off x="52804368" y="10605226"/>
            <a:ext cx="753120" cy="799488"/>
          </xdr14:xfrm>
        </xdr:contentPart>
      </mc:Choice>
      <mc:Fallback xmlns="">
        <xdr:pic>
          <xdr:nvPicPr>
            <xdr:cNvPr id="104" name="Freihand 103">
              <a:extLst>
                <a:ext uri="{FF2B5EF4-FFF2-40B4-BE49-F238E27FC236}">
                  <a16:creationId xmlns:a16="http://schemas.microsoft.com/office/drawing/2014/main" id="{400B8F56-1914-6A8C-8554-FF5346114DAC}"/>
                </a:ext>
              </a:extLst>
            </xdr:cNvPr>
            <xdr:cNvPicPr/>
          </xdr:nvPicPr>
          <xdr:blipFill>
            <a:blip xmlns:r="http://schemas.openxmlformats.org/officeDocument/2006/relationships" r:embed="rId30"/>
            <a:stretch>
              <a:fillRect/>
            </a:stretch>
          </xdr:blipFill>
          <xdr:spPr>
            <a:xfrm>
              <a:off x="40585288" y="3502792"/>
              <a:ext cx="788777" cy="84421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66</xdr:col>
      <xdr:colOff>732568</xdr:colOff>
      <xdr:row>47</xdr:row>
      <xdr:rowOff>190494</xdr:rowOff>
    </xdr:from>
    <xdr:to>
      <xdr:col>68</xdr:col>
      <xdr:colOff>685288</xdr:colOff>
      <xdr:row>51</xdr:row>
      <xdr:rowOff>144979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">
          <xdr14:nvContentPartPr>
            <xdr14:cNvPr id="112" name="Freihand 111">
              <a:extLst>
                <a:ext uri="{FF2B5EF4-FFF2-40B4-BE49-F238E27FC236}">
                  <a16:creationId xmlns:a16="http://schemas.microsoft.com/office/drawing/2014/main" id="{29EEA610-8F6B-D786-82B1-632EAE360972}"/>
                </a:ext>
              </a:extLst>
            </xdr14:cNvPr>
            <xdr14:cNvContentPartPr/>
          </xdr14:nvContentPartPr>
          <xdr14:nvPr macro=""/>
          <xdr14:xfrm>
            <a:off x="53945568" y="10413994"/>
            <a:ext cx="1476720" cy="783720"/>
          </xdr14:xfrm>
        </xdr:contentPart>
      </mc:Choice>
      <mc:Fallback xmlns="">
        <xdr:pic>
          <xdr:nvPicPr>
            <xdr:cNvPr id="112" name="Freihand 111">
              <a:extLst>
                <a:ext uri="{FF2B5EF4-FFF2-40B4-BE49-F238E27FC236}">
                  <a16:creationId xmlns:a16="http://schemas.microsoft.com/office/drawing/2014/main" id="{29EEA610-8F6B-D786-82B1-632EAE360972}"/>
                </a:ext>
              </a:extLst>
            </xdr:cNvPr>
            <xdr:cNvPicPr/>
          </xdr:nvPicPr>
          <xdr:blipFill>
            <a:blip xmlns:r="http://schemas.openxmlformats.org/officeDocument/2006/relationships" r:embed="rId32"/>
            <a:stretch>
              <a:fillRect/>
            </a:stretch>
          </xdr:blipFill>
          <xdr:spPr>
            <a:xfrm>
              <a:off x="41726857" y="3320632"/>
              <a:ext cx="1512360" cy="81937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57</xdr:col>
      <xdr:colOff>592745</xdr:colOff>
      <xdr:row>56</xdr:row>
      <xdr:rowOff>112563</xdr:rowOff>
    </xdr:from>
    <xdr:to>
      <xdr:col>58</xdr:col>
      <xdr:colOff>447065</xdr:colOff>
      <xdr:row>59</xdr:row>
      <xdr:rowOff>29309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">
          <xdr14:nvContentPartPr>
            <xdr14:cNvPr id="118" name="Freihand 117">
              <a:extLst>
                <a:ext uri="{FF2B5EF4-FFF2-40B4-BE49-F238E27FC236}">
                  <a16:creationId xmlns:a16="http://schemas.microsoft.com/office/drawing/2014/main" id="{A6A94D19-7886-CC36-99D1-CFF30F304D75}"/>
                </a:ext>
              </a:extLst>
            </xdr14:cNvPr>
            <xdr14:cNvContentPartPr/>
          </xdr14:nvContentPartPr>
          <xdr14:nvPr macro=""/>
          <xdr14:xfrm>
            <a:off x="46947745" y="12050563"/>
            <a:ext cx="616320" cy="481897"/>
          </xdr14:xfrm>
        </xdr:contentPart>
      </mc:Choice>
      <mc:Fallback xmlns="">
        <xdr:pic>
          <xdr:nvPicPr>
            <xdr:cNvPr id="118" name="Freihand 117">
              <a:extLst>
                <a:ext uri="{FF2B5EF4-FFF2-40B4-BE49-F238E27FC236}">
                  <a16:creationId xmlns:a16="http://schemas.microsoft.com/office/drawing/2014/main" id="{A6A94D19-7886-CC36-99D1-CFF30F304D75}"/>
                </a:ext>
              </a:extLst>
            </xdr:cNvPr>
            <xdr:cNvPicPr/>
          </xdr:nvPicPr>
          <xdr:blipFill>
            <a:blip xmlns:r="http://schemas.openxmlformats.org/officeDocument/2006/relationships" r:embed="rId34"/>
            <a:stretch>
              <a:fillRect/>
            </a:stretch>
          </xdr:blipFill>
          <xdr:spPr>
            <a:xfrm>
              <a:off x="34729034" y="4984063"/>
              <a:ext cx="651960" cy="535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58</xdr:col>
      <xdr:colOff>636785</xdr:colOff>
      <xdr:row>56</xdr:row>
      <xdr:rowOff>27603</xdr:rowOff>
    </xdr:from>
    <xdr:to>
      <xdr:col>60</xdr:col>
      <xdr:colOff>256505</xdr:colOff>
      <xdr:row>58</xdr:row>
      <xdr:rowOff>140379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">
          <xdr14:nvContentPartPr>
            <xdr14:cNvPr id="123" name="Freihand 122">
              <a:extLst>
                <a:ext uri="{FF2B5EF4-FFF2-40B4-BE49-F238E27FC236}">
                  <a16:creationId xmlns:a16="http://schemas.microsoft.com/office/drawing/2014/main" id="{BC9318C6-C2A0-A73E-8B0E-2F52463F2235}"/>
                </a:ext>
              </a:extLst>
            </xdr14:cNvPr>
            <xdr14:cNvContentPartPr/>
          </xdr14:nvContentPartPr>
          <xdr14:nvPr macro=""/>
          <xdr14:xfrm>
            <a:off x="47753785" y="11965603"/>
            <a:ext cx="1143720" cy="493777"/>
          </xdr14:xfrm>
        </xdr:contentPart>
      </mc:Choice>
      <mc:Fallback xmlns="">
        <xdr:pic>
          <xdr:nvPicPr>
            <xdr:cNvPr id="123" name="Freihand 122">
              <a:extLst>
                <a:ext uri="{FF2B5EF4-FFF2-40B4-BE49-F238E27FC236}">
                  <a16:creationId xmlns:a16="http://schemas.microsoft.com/office/drawing/2014/main" id="{BC9318C6-C2A0-A73E-8B0E-2F52463F2235}"/>
                </a:ext>
              </a:extLst>
            </xdr:cNvPr>
            <xdr:cNvPicPr/>
          </xdr:nvPicPr>
          <xdr:blipFill>
            <a:blip xmlns:r="http://schemas.openxmlformats.org/officeDocument/2006/relationships" r:embed="rId36"/>
            <a:stretch>
              <a:fillRect/>
            </a:stretch>
          </xdr:blipFill>
          <xdr:spPr>
            <a:xfrm>
              <a:off x="35534714" y="4899116"/>
              <a:ext cx="1179360" cy="54753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61</xdr:col>
      <xdr:colOff>434105</xdr:colOff>
      <xdr:row>51</xdr:row>
      <xdr:rowOff>63606</xdr:rowOff>
    </xdr:from>
    <xdr:to>
      <xdr:col>66</xdr:col>
      <xdr:colOff>140715</xdr:colOff>
      <xdr:row>60</xdr:row>
      <xdr:rowOff>183478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">
          <xdr14:nvContentPartPr>
            <xdr14:cNvPr id="148" name="Freihand 147">
              <a:extLst>
                <a:ext uri="{FF2B5EF4-FFF2-40B4-BE49-F238E27FC236}">
                  <a16:creationId xmlns:a16="http://schemas.microsoft.com/office/drawing/2014/main" id="{2F7BFBAD-7B27-6133-EFE0-41238B0D0222}"/>
                </a:ext>
              </a:extLst>
            </xdr14:cNvPr>
            <xdr14:cNvContentPartPr/>
          </xdr14:nvContentPartPr>
          <xdr14:nvPr macro=""/>
          <xdr14:xfrm>
            <a:off x="49837105" y="11049106"/>
            <a:ext cx="3522960" cy="1891523"/>
          </xdr14:xfrm>
        </xdr:contentPart>
      </mc:Choice>
      <mc:Fallback xmlns="">
        <xdr:pic>
          <xdr:nvPicPr>
            <xdr:cNvPr id="148" name="Freihand 147">
              <a:extLst>
                <a:ext uri="{FF2B5EF4-FFF2-40B4-BE49-F238E27FC236}">
                  <a16:creationId xmlns:a16="http://schemas.microsoft.com/office/drawing/2014/main" id="{2F7BFBAD-7B27-6133-EFE0-41238B0D0222}"/>
                </a:ext>
              </a:extLst>
            </xdr:cNvPr>
            <xdr:cNvPicPr/>
          </xdr:nvPicPr>
          <xdr:blipFill>
            <a:blip xmlns:r="http://schemas.openxmlformats.org/officeDocument/2006/relationships" r:embed="rId38"/>
            <a:stretch>
              <a:fillRect/>
            </a:stretch>
          </xdr:blipFill>
          <xdr:spPr>
            <a:xfrm>
              <a:off x="37618034" y="3946325"/>
              <a:ext cx="3558600" cy="199065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57</xdr:col>
      <xdr:colOff>351905</xdr:colOff>
      <xdr:row>54</xdr:row>
      <xdr:rowOff>4654</xdr:rowOff>
    </xdr:from>
    <xdr:to>
      <xdr:col>60</xdr:col>
      <xdr:colOff>620105</xdr:colOff>
      <xdr:row>60</xdr:row>
      <xdr:rowOff>64571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">
          <xdr14:nvContentPartPr>
            <xdr14:cNvPr id="151" name="Freihand 150">
              <a:extLst>
                <a:ext uri="{FF2B5EF4-FFF2-40B4-BE49-F238E27FC236}">
                  <a16:creationId xmlns:a16="http://schemas.microsoft.com/office/drawing/2014/main" id="{EBDD1D09-1033-325B-C751-35EC7E6CCC20}"/>
                </a:ext>
              </a:extLst>
            </xdr14:cNvPr>
            <xdr14:cNvContentPartPr/>
          </xdr14:nvContentPartPr>
          <xdr14:nvPr macro=""/>
          <xdr14:xfrm>
            <a:off x="46706905" y="11561654"/>
            <a:ext cx="2554200" cy="1263243"/>
          </xdr14:xfrm>
        </xdr:contentPart>
      </mc:Choice>
      <mc:Fallback xmlns="">
        <xdr:pic>
          <xdr:nvPicPr>
            <xdr:cNvPr id="151" name="Freihand 150">
              <a:extLst>
                <a:ext uri="{FF2B5EF4-FFF2-40B4-BE49-F238E27FC236}">
                  <a16:creationId xmlns:a16="http://schemas.microsoft.com/office/drawing/2014/main" id="{EBDD1D09-1033-325B-C751-35EC7E6CCC20}"/>
                </a:ext>
              </a:extLst>
            </xdr:cNvPr>
            <xdr:cNvPicPr/>
          </xdr:nvPicPr>
          <xdr:blipFill>
            <a:blip xmlns:r="http://schemas.openxmlformats.org/officeDocument/2006/relationships" r:embed="rId40"/>
            <a:stretch>
              <a:fillRect/>
            </a:stretch>
          </xdr:blipFill>
          <xdr:spPr>
            <a:xfrm>
              <a:off x="34488196" y="4477011"/>
              <a:ext cx="2589835" cy="1344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57</xdr:col>
      <xdr:colOff>404105</xdr:colOff>
      <xdr:row>61</xdr:row>
      <xdr:rowOff>138885</xdr:rowOff>
    </xdr:from>
    <xdr:to>
      <xdr:col>61</xdr:col>
      <xdr:colOff>296945</xdr:colOff>
      <xdr:row>65</xdr:row>
      <xdr:rowOff>16271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">
          <xdr14:nvContentPartPr>
            <xdr14:cNvPr id="173" name="Freihand 172">
              <a:extLst>
                <a:ext uri="{FF2B5EF4-FFF2-40B4-BE49-F238E27FC236}">
                  <a16:creationId xmlns:a16="http://schemas.microsoft.com/office/drawing/2014/main" id="{4AD6D00B-8E0C-B008-2EC4-EA459E4107F8}"/>
                </a:ext>
              </a:extLst>
            </xdr14:cNvPr>
            <xdr14:cNvContentPartPr/>
          </xdr14:nvContentPartPr>
          <xdr14:nvPr macro=""/>
          <xdr14:xfrm>
            <a:off x="46759105" y="13156385"/>
            <a:ext cx="2940840" cy="894746"/>
          </xdr14:xfrm>
        </xdr:contentPart>
      </mc:Choice>
      <mc:Fallback xmlns="">
        <xdr:pic>
          <xdr:nvPicPr>
            <xdr:cNvPr id="173" name="Freihand 172">
              <a:extLst>
                <a:ext uri="{FF2B5EF4-FFF2-40B4-BE49-F238E27FC236}">
                  <a16:creationId xmlns:a16="http://schemas.microsoft.com/office/drawing/2014/main" id="{4AD6D00B-8E0C-B008-2EC4-EA459E4107F8}"/>
                </a:ext>
              </a:extLst>
            </xdr:cNvPr>
            <xdr:cNvPicPr/>
          </xdr:nvPicPr>
          <xdr:blipFill>
            <a:blip xmlns:r="http://schemas.openxmlformats.org/officeDocument/2006/relationships" r:embed="rId42"/>
            <a:stretch>
              <a:fillRect/>
            </a:stretch>
          </xdr:blipFill>
          <xdr:spPr>
            <a:xfrm>
              <a:off x="34540034" y="6126171"/>
              <a:ext cx="2976480" cy="957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61</xdr:col>
      <xdr:colOff>491345</xdr:colOff>
      <xdr:row>62</xdr:row>
      <xdr:rowOff>192685</xdr:rowOff>
    </xdr:from>
    <xdr:to>
      <xdr:col>62</xdr:col>
      <xdr:colOff>113465</xdr:colOff>
      <xdr:row>63</xdr:row>
      <xdr:rowOff>130279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">
          <xdr14:nvContentPartPr>
            <xdr14:cNvPr id="176" name="Freihand 175">
              <a:extLst>
                <a:ext uri="{FF2B5EF4-FFF2-40B4-BE49-F238E27FC236}">
                  <a16:creationId xmlns:a16="http://schemas.microsoft.com/office/drawing/2014/main" id="{FB583499-BC33-AEF4-B70C-53E531DCD6B6}"/>
                </a:ext>
              </a:extLst>
            </xdr14:cNvPr>
            <xdr14:cNvContentPartPr/>
          </xdr14:nvContentPartPr>
          <xdr14:nvPr macro=""/>
          <xdr14:xfrm>
            <a:off x="49894345" y="13464185"/>
            <a:ext cx="384120" cy="191592"/>
          </xdr14:xfrm>
        </xdr:contentPart>
      </mc:Choice>
      <mc:Fallback xmlns="">
        <xdr:pic>
          <xdr:nvPicPr>
            <xdr:cNvPr id="176" name="Freihand 175">
              <a:extLst>
                <a:ext uri="{FF2B5EF4-FFF2-40B4-BE49-F238E27FC236}">
                  <a16:creationId xmlns:a16="http://schemas.microsoft.com/office/drawing/2014/main" id="{FB583499-BC33-AEF4-B70C-53E531DCD6B6}"/>
                </a:ext>
              </a:extLst>
            </xdr:cNvPr>
            <xdr:cNvPicPr/>
          </xdr:nvPicPr>
          <xdr:blipFill>
            <a:blip xmlns:r="http://schemas.openxmlformats.org/officeDocument/2006/relationships" r:embed="rId44"/>
            <a:stretch>
              <a:fillRect/>
            </a:stretch>
          </xdr:blipFill>
          <xdr:spPr>
            <a:xfrm>
              <a:off x="37675634" y="6434331"/>
              <a:ext cx="419760" cy="218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62</xdr:col>
      <xdr:colOff>336928</xdr:colOff>
      <xdr:row>61</xdr:row>
      <xdr:rowOff>186405</xdr:rowOff>
    </xdr:from>
    <xdr:to>
      <xdr:col>63</xdr:col>
      <xdr:colOff>202638</xdr:colOff>
      <xdr:row>63</xdr:row>
      <xdr:rowOff>235168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">
          <xdr14:nvContentPartPr>
            <xdr14:cNvPr id="181" name="Freihand 180">
              <a:extLst>
                <a:ext uri="{FF2B5EF4-FFF2-40B4-BE49-F238E27FC236}">
                  <a16:creationId xmlns:a16="http://schemas.microsoft.com/office/drawing/2014/main" id="{9ED50838-28E8-7B66-6893-B013A85743A4}"/>
                </a:ext>
              </a:extLst>
            </xdr14:cNvPr>
            <xdr14:cNvContentPartPr/>
          </xdr14:nvContentPartPr>
          <xdr14:nvPr macro=""/>
          <xdr14:xfrm>
            <a:off x="50501928" y="13203905"/>
            <a:ext cx="621360" cy="563112"/>
          </xdr14:xfrm>
        </xdr:contentPart>
      </mc:Choice>
      <mc:Fallback xmlns="">
        <xdr:pic>
          <xdr:nvPicPr>
            <xdr:cNvPr id="181" name="Freihand 180">
              <a:extLst>
                <a:ext uri="{FF2B5EF4-FFF2-40B4-BE49-F238E27FC236}">
                  <a16:creationId xmlns:a16="http://schemas.microsoft.com/office/drawing/2014/main" id="{9ED50838-28E8-7B66-6893-B013A85743A4}"/>
                </a:ext>
              </a:extLst>
            </xdr:cNvPr>
            <xdr:cNvPicPr/>
          </xdr:nvPicPr>
          <xdr:blipFill>
            <a:blip xmlns:r="http://schemas.openxmlformats.org/officeDocument/2006/relationships" r:embed="rId46"/>
            <a:stretch>
              <a:fillRect/>
            </a:stretch>
          </xdr:blipFill>
          <xdr:spPr>
            <a:xfrm>
              <a:off x="38282857" y="6173691"/>
              <a:ext cx="657000" cy="589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63</xdr:col>
      <xdr:colOff>317968</xdr:colOff>
      <xdr:row>61</xdr:row>
      <xdr:rowOff>63645</xdr:rowOff>
    </xdr:from>
    <xdr:to>
      <xdr:col>65</xdr:col>
      <xdr:colOff>11358</xdr:colOff>
      <xdr:row>64</xdr:row>
      <xdr:rowOff>149733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">
          <xdr14:nvContentPartPr>
            <xdr14:cNvPr id="190" name="Freihand 189">
              <a:extLst>
                <a:ext uri="{FF2B5EF4-FFF2-40B4-BE49-F238E27FC236}">
                  <a16:creationId xmlns:a16="http://schemas.microsoft.com/office/drawing/2014/main" id="{7C6D1D6A-38C9-29EE-83E0-F3B2CF73EA55}"/>
                </a:ext>
              </a:extLst>
            </xdr14:cNvPr>
            <xdr14:cNvContentPartPr/>
          </xdr14:nvContentPartPr>
          <xdr14:nvPr macro=""/>
          <xdr14:xfrm>
            <a:off x="51244968" y="13081145"/>
            <a:ext cx="1211040" cy="848089"/>
          </xdr14:xfrm>
        </xdr:contentPart>
      </mc:Choice>
      <mc:Fallback xmlns="">
        <xdr:pic>
          <xdr:nvPicPr>
            <xdr:cNvPr id="190" name="Freihand 189">
              <a:extLst>
                <a:ext uri="{FF2B5EF4-FFF2-40B4-BE49-F238E27FC236}">
                  <a16:creationId xmlns:a16="http://schemas.microsoft.com/office/drawing/2014/main" id="{7C6D1D6A-38C9-29EE-83E0-F3B2CF73EA55}"/>
                </a:ext>
              </a:extLst>
            </xdr:cNvPr>
            <xdr:cNvPicPr/>
          </xdr:nvPicPr>
          <xdr:blipFill>
            <a:blip xmlns:r="http://schemas.openxmlformats.org/officeDocument/2006/relationships" r:embed="rId48"/>
            <a:stretch>
              <a:fillRect/>
            </a:stretch>
          </xdr:blipFill>
          <xdr:spPr>
            <a:xfrm>
              <a:off x="39026257" y="6051291"/>
              <a:ext cx="1246680" cy="892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65</xdr:col>
      <xdr:colOff>317848</xdr:colOff>
      <xdr:row>58</xdr:row>
      <xdr:rowOff>49200</xdr:rowOff>
    </xdr:from>
    <xdr:to>
      <xdr:col>72</xdr:col>
      <xdr:colOff>486558</xdr:colOff>
      <xdr:row>65</xdr:row>
      <xdr:rowOff>49751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">
          <xdr14:nvContentPartPr>
            <xdr14:cNvPr id="231" name="Freihand 230">
              <a:extLst>
                <a:ext uri="{FF2B5EF4-FFF2-40B4-BE49-F238E27FC236}">
                  <a16:creationId xmlns:a16="http://schemas.microsoft.com/office/drawing/2014/main" id="{32E0FDFA-E9FD-2418-63C3-4AE8D13A318C}"/>
                </a:ext>
              </a:extLst>
            </xdr14:cNvPr>
            <xdr14:cNvContentPartPr/>
          </xdr14:nvContentPartPr>
          <xdr14:nvPr macro=""/>
          <xdr14:xfrm>
            <a:off x="52768848" y="12368200"/>
            <a:ext cx="5496360" cy="1716411"/>
          </xdr14:xfrm>
        </xdr:contentPart>
      </mc:Choice>
      <mc:Fallback xmlns="">
        <xdr:pic>
          <xdr:nvPicPr>
            <xdr:cNvPr id="231" name="Freihand 230">
              <a:extLst>
                <a:ext uri="{FF2B5EF4-FFF2-40B4-BE49-F238E27FC236}">
                  <a16:creationId xmlns:a16="http://schemas.microsoft.com/office/drawing/2014/main" id="{32E0FDFA-E9FD-2418-63C3-4AE8D13A318C}"/>
                </a:ext>
              </a:extLst>
            </xdr:cNvPr>
            <xdr:cNvPicPr/>
          </xdr:nvPicPr>
          <xdr:blipFill>
            <a:blip xmlns:r="http://schemas.openxmlformats.org/officeDocument/2006/relationships" r:embed="rId50"/>
            <a:stretch>
              <a:fillRect/>
            </a:stretch>
          </xdr:blipFill>
          <xdr:spPr>
            <a:xfrm>
              <a:off x="40549777" y="5310767"/>
              <a:ext cx="5531999" cy="180648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61</xdr:col>
      <xdr:colOff>689266</xdr:colOff>
      <xdr:row>86</xdr:row>
      <xdr:rowOff>25802</xdr:rowOff>
    </xdr:from>
    <xdr:to>
      <xdr:col>62</xdr:col>
      <xdr:colOff>88776</xdr:colOff>
      <xdr:row>87</xdr:row>
      <xdr:rowOff>9181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">
          <xdr14:nvContentPartPr>
            <xdr14:cNvPr id="253" name="Freihand 252">
              <a:extLst>
                <a:ext uri="{FF2B5EF4-FFF2-40B4-BE49-F238E27FC236}">
                  <a16:creationId xmlns:a16="http://schemas.microsoft.com/office/drawing/2014/main" id="{B07F1A4D-77CB-4D73-842C-6C83B20436D7}"/>
                </a:ext>
              </a:extLst>
            </xdr14:cNvPr>
            <xdr14:cNvContentPartPr/>
          </xdr14:nvContentPartPr>
          <xdr14:nvPr macro=""/>
          <xdr14:xfrm>
            <a:off x="50092266" y="17996302"/>
            <a:ext cx="155160" cy="160272"/>
          </xdr14:xfrm>
        </xdr:contentPart>
      </mc:Choice>
      <mc:Fallback xmlns="">
        <xdr:pic>
          <xdr:nvPicPr>
            <xdr:cNvPr id="253" name="Freihand 252">
              <a:extLst>
                <a:ext uri="{FF2B5EF4-FFF2-40B4-BE49-F238E27FC236}">
                  <a16:creationId xmlns:a16="http://schemas.microsoft.com/office/drawing/2014/main" id="{B07F1A4D-77CB-4D73-842C-6C83B20436D7}"/>
                </a:ext>
              </a:extLst>
            </xdr:cNvPr>
            <xdr:cNvPicPr/>
          </xdr:nvPicPr>
          <xdr:blipFill>
            <a:blip xmlns:r="http://schemas.openxmlformats.org/officeDocument/2006/relationships" r:embed="rId52"/>
            <a:stretch>
              <a:fillRect/>
            </a:stretch>
          </xdr:blipFill>
          <xdr:spPr>
            <a:xfrm>
              <a:off x="37873514" y="10820945"/>
              <a:ext cx="190883" cy="186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57</xdr:col>
      <xdr:colOff>630466</xdr:colOff>
      <xdr:row>85</xdr:row>
      <xdr:rowOff>2751</xdr:rowOff>
    </xdr:from>
    <xdr:to>
      <xdr:col>61</xdr:col>
      <xdr:colOff>388076</xdr:colOff>
      <xdr:row>88</xdr:row>
      <xdr:rowOff>73705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3">
          <xdr14:nvContentPartPr>
            <xdr14:cNvPr id="254" name="Freihand 253">
              <a:extLst>
                <a:ext uri="{FF2B5EF4-FFF2-40B4-BE49-F238E27FC236}">
                  <a16:creationId xmlns:a16="http://schemas.microsoft.com/office/drawing/2014/main" id="{3A688A8A-6833-D4CF-356D-F13393C12D62}"/>
                </a:ext>
              </a:extLst>
            </xdr14:cNvPr>
            <xdr14:cNvContentPartPr/>
          </xdr14:nvContentPartPr>
          <xdr14:nvPr macro=""/>
          <xdr14:xfrm>
            <a:off x="46985466" y="17782751"/>
            <a:ext cx="2811960" cy="642454"/>
          </xdr14:xfrm>
        </xdr:contentPart>
      </mc:Choice>
      <mc:Fallback xmlns="">
        <xdr:pic>
          <xdr:nvPicPr>
            <xdr:cNvPr id="254" name="Freihand 253">
              <a:extLst>
                <a:ext uri="{FF2B5EF4-FFF2-40B4-BE49-F238E27FC236}">
                  <a16:creationId xmlns:a16="http://schemas.microsoft.com/office/drawing/2014/main" id="{3A688A8A-6833-D4CF-356D-F13393C12D62}"/>
                </a:ext>
              </a:extLst>
            </xdr:cNvPr>
            <xdr:cNvPicPr/>
          </xdr:nvPicPr>
          <xdr:blipFill>
            <a:blip xmlns:r="http://schemas.openxmlformats.org/officeDocument/2006/relationships" r:embed="rId54"/>
            <a:stretch>
              <a:fillRect/>
            </a:stretch>
          </xdr:blipFill>
          <xdr:spPr>
            <a:xfrm>
              <a:off x="34766755" y="10616465"/>
              <a:ext cx="2847600" cy="650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62</xdr:col>
      <xdr:colOff>512266</xdr:colOff>
      <xdr:row>83</xdr:row>
      <xdr:rowOff>136359</xdr:rowOff>
    </xdr:from>
    <xdr:to>
      <xdr:col>65</xdr:col>
      <xdr:colOff>75586</xdr:colOff>
      <xdr:row>87</xdr:row>
      <xdr:rowOff>121415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5">
          <xdr14:nvContentPartPr>
            <xdr14:cNvPr id="261" name="Freihand 260">
              <a:extLst>
                <a:ext uri="{FF2B5EF4-FFF2-40B4-BE49-F238E27FC236}">
                  <a16:creationId xmlns:a16="http://schemas.microsoft.com/office/drawing/2014/main" id="{28ED8352-9AC7-5142-7442-80F0203AB3B1}"/>
                </a:ext>
              </a:extLst>
            </xdr14:cNvPr>
            <xdr14:cNvContentPartPr/>
          </xdr14:nvContentPartPr>
          <xdr14:nvPr macro=""/>
          <xdr14:xfrm>
            <a:off x="50677266" y="17535359"/>
            <a:ext cx="1849320" cy="753406"/>
          </xdr14:xfrm>
        </xdr:contentPart>
      </mc:Choice>
      <mc:Fallback xmlns="">
        <xdr:pic>
          <xdr:nvPicPr>
            <xdr:cNvPr id="261" name="Freihand 260">
              <a:extLst>
                <a:ext uri="{FF2B5EF4-FFF2-40B4-BE49-F238E27FC236}">
                  <a16:creationId xmlns:a16="http://schemas.microsoft.com/office/drawing/2014/main" id="{28ED8352-9AC7-5142-7442-80F0203AB3B1}"/>
                </a:ext>
              </a:extLst>
            </xdr:cNvPr>
            <xdr:cNvPicPr/>
          </xdr:nvPicPr>
          <xdr:blipFill>
            <a:blip xmlns:r="http://schemas.openxmlformats.org/officeDocument/2006/relationships" r:embed="rId56"/>
            <a:stretch>
              <a:fillRect/>
            </a:stretch>
          </xdr:blipFill>
          <xdr:spPr>
            <a:xfrm>
              <a:off x="38458555" y="10378514"/>
              <a:ext cx="1884960" cy="75274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65</xdr:col>
      <xdr:colOff>486346</xdr:colOff>
      <xdr:row>86</xdr:row>
      <xdr:rowOff>170594</xdr:rowOff>
    </xdr:from>
    <xdr:to>
      <xdr:col>65</xdr:col>
      <xdr:colOff>714226</xdr:colOff>
      <xdr:row>87</xdr:row>
      <xdr:rowOff>141805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7">
          <xdr14:nvContentPartPr>
            <xdr14:cNvPr id="264" name="Freihand 263">
              <a:extLst>
                <a:ext uri="{FF2B5EF4-FFF2-40B4-BE49-F238E27FC236}">
                  <a16:creationId xmlns:a16="http://schemas.microsoft.com/office/drawing/2014/main" id="{A3569F34-FD9D-70A6-9BB1-2628E2772EA1}"/>
                </a:ext>
              </a:extLst>
            </xdr14:cNvPr>
            <xdr14:cNvContentPartPr/>
          </xdr14:nvContentPartPr>
          <xdr14:nvPr macro=""/>
          <xdr14:xfrm>
            <a:off x="52937346" y="18141094"/>
            <a:ext cx="227880" cy="161711"/>
          </xdr14:xfrm>
        </xdr:contentPart>
      </mc:Choice>
      <mc:Fallback xmlns="">
        <xdr:pic>
          <xdr:nvPicPr>
            <xdr:cNvPr id="264" name="Freihand 263">
              <a:extLst>
                <a:ext uri="{FF2B5EF4-FFF2-40B4-BE49-F238E27FC236}">
                  <a16:creationId xmlns:a16="http://schemas.microsoft.com/office/drawing/2014/main" id="{A3569F34-FD9D-70A6-9BB1-2628E2772EA1}"/>
                </a:ext>
              </a:extLst>
            </xdr:cNvPr>
            <xdr:cNvPicPr/>
          </xdr:nvPicPr>
          <xdr:blipFill>
            <a:blip xmlns:r="http://schemas.openxmlformats.org/officeDocument/2006/relationships" r:embed="rId58"/>
            <a:stretch>
              <a:fillRect/>
            </a:stretch>
          </xdr:blipFill>
          <xdr:spPr>
            <a:xfrm>
              <a:off x="40718275" y="10956707"/>
              <a:ext cx="263520" cy="18819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50</xdr:col>
      <xdr:colOff>355811</xdr:colOff>
      <xdr:row>47</xdr:row>
      <xdr:rowOff>153803</xdr:rowOff>
    </xdr:from>
    <xdr:to>
      <xdr:col>52</xdr:col>
      <xdr:colOff>325091</xdr:colOff>
      <xdr:row>59</xdr:row>
      <xdr:rowOff>83396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9">
          <xdr14:nvContentPartPr>
            <xdr14:cNvPr id="292" name="Freihand 291">
              <a:extLst>
                <a:ext uri="{FF2B5EF4-FFF2-40B4-BE49-F238E27FC236}">
                  <a16:creationId xmlns:a16="http://schemas.microsoft.com/office/drawing/2014/main" id="{81F617A9-4A8E-34BA-34E5-BACF0506E2ED}"/>
                </a:ext>
              </a:extLst>
            </xdr14:cNvPr>
            <xdr14:cNvContentPartPr/>
          </xdr14:nvContentPartPr>
          <xdr14:nvPr macro=""/>
          <xdr14:xfrm>
            <a:off x="41376811" y="10377303"/>
            <a:ext cx="1493280" cy="2286003"/>
          </xdr14:xfrm>
        </xdr:contentPart>
      </mc:Choice>
      <mc:Fallback xmlns="">
        <xdr:pic>
          <xdr:nvPicPr>
            <xdr:cNvPr id="292" name="Freihand 291">
              <a:extLst>
                <a:ext uri="{FF2B5EF4-FFF2-40B4-BE49-F238E27FC236}">
                  <a16:creationId xmlns:a16="http://schemas.microsoft.com/office/drawing/2014/main" id="{81F617A9-4A8E-34BA-34E5-BACF0506E2ED}"/>
                </a:ext>
              </a:extLst>
            </xdr:cNvPr>
            <xdr:cNvPicPr/>
          </xdr:nvPicPr>
          <xdr:blipFill>
            <a:blip xmlns:r="http://schemas.openxmlformats.org/officeDocument/2006/relationships" r:embed="rId60"/>
            <a:stretch>
              <a:fillRect/>
            </a:stretch>
          </xdr:blipFill>
          <xdr:spPr>
            <a:xfrm>
              <a:off x="29158100" y="3283589"/>
              <a:ext cx="1528920" cy="2367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50</xdr:col>
      <xdr:colOff>390731</xdr:colOff>
      <xdr:row>46</xdr:row>
      <xdr:rowOff>141552</xdr:rowOff>
    </xdr:from>
    <xdr:to>
      <xdr:col>52</xdr:col>
      <xdr:colOff>601931</xdr:colOff>
      <xdr:row>48</xdr:row>
      <xdr:rowOff>105799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1">
          <xdr14:nvContentPartPr>
            <xdr14:cNvPr id="295" name="Freihand 294">
              <a:extLst>
                <a:ext uri="{FF2B5EF4-FFF2-40B4-BE49-F238E27FC236}">
                  <a16:creationId xmlns:a16="http://schemas.microsoft.com/office/drawing/2014/main" id="{4BFBF693-A558-8F61-FD2F-E612A77A3DEA}"/>
                </a:ext>
              </a:extLst>
            </xdr14:cNvPr>
            <xdr14:cNvContentPartPr/>
          </xdr14:nvContentPartPr>
          <xdr14:nvPr macro=""/>
          <xdr14:xfrm>
            <a:off x="41411731" y="10174552"/>
            <a:ext cx="1735200" cy="429263"/>
          </xdr14:xfrm>
        </xdr:contentPart>
      </mc:Choice>
      <mc:Fallback xmlns="">
        <xdr:pic>
          <xdr:nvPicPr>
            <xdr:cNvPr id="295" name="Freihand 294">
              <a:extLst>
                <a:ext uri="{FF2B5EF4-FFF2-40B4-BE49-F238E27FC236}">
                  <a16:creationId xmlns:a16="http://schemas.microsoft.com/office/drawing/2014/main" id="{4BFBF693-A558-8F61-FD2F-E612A77A3DEA}"/>
                </a:ext>
              </a:extLst>
            </xdr:cNvPr>
            <xdr:cNvPicPr/>
          </xdr:nvPicPr>
          <xdr:blipFill>
            <a:blip xmlns:r="http://schemas.openxmlformats.org/officeDocument/2006/relationships" r:embed="rId62"/>
            <a:stretch>
              <a:fillRect/>
            </a:stretch>
          </xdr:blipFill>
          <xdr:spPr>
            <a:xfrm>
              <a:off x="29193020" y="3090269"/>
              <a:ext cx="1770840" cy="446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54</xdr:col>
      <xdr:colOff>72611</xdr:colOff>
      <xdr:row>41</xdr:row>
      <xdr:rowOff>132566</xdr:rowOff>
    </xdr:from>
    <xdr:to>
      <xdr:col>55</xdr:col>
      <xdr:colOff>647291</xdr:colOff>
      <xdr:row>45</xdr:row>
      <xdr:rowOff>140180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3">
          <xdr14:nvContentPartPr>
            <xdr14:cNvPr id="305" name="Freihand 304">
              <a:extLst>
                <a:ext uri="{FF2B5EF4-FFF2-40B4-BE49-F238E27FC236}">
                  <a16:creationId xmlns:a16="http://schemas.microsoft.com/office/drawing/2014/main" id="{A9E78D70-709C-3D8D-07F1-2090E865F920}"/>
                </a:ext>
              </a:extLst>
            </xdr14:cNvPr>
            <xdr14:cNvContentPartPr/>
          </xdr14:nvContentPartPr>
          <xdr14:nvPr macro=""/>
          <xdr14:xfrm>
            <a:off x="44141611" y="9213066"/>
            <a:ext cx="1336680" cy="931246"/>
          </xdr14:xfrm>
        </xdr:contentPart>
      </mc:Choice>
      <mc:Fallback xmlns="">
        <xdr:pic>
          <xdr:nvPicPr>
            <xdr:cNvPr id="305" name="Freihand 304">
              <a:extLst>
                <a:ext uri="{FF2B5EF4-FFF2-40B4-BE49-F238E27FC236}">
                  <a16:creationId xmlns:a16="http://schemas.microsoft.com/office/drawing/2014/main" id="{A9E78D70-709C-3D8D-07F1-2090E865F920}"/>
                </a:ext>
              </a:extLst>
            </xdr:cNvPr>
            <xdr:cNvPicPr/>
          </xdr:nvPicPr>
          <xdr:blipFill>
            <a:blip xmlns:r="http://schemas.openxmlformats.org/officeDocument/2006/relationships" r:embed="rId64"/>
            <a:stretch>
              <a:fillRect/>
            </a:stretch>
          </xdr:blipFill>
          <xdr:spPr>
            <a:xfrm>
              <a:off x="31922540" y="2165069"/>
              <a:ext cx="1372320" cy="930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52</xdr:col>
      <xdr:colOff>133931</xdr:colOff>
      <xdr:row>43</xdr:row>
      <xdr:rowOff>132949</xdr:rowOff>
    </xdr:from>
    <xdr:to>
      <xdr:col>52</xdr:col>
      <xdr:colOff>373201</xdr:colOff>
      <xdr:row>45</xdr:row>
      <xdr:rowOff>47017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5">
          <xdr14:nvContentPartPr>
            <xdr14:cNvPr id="308" name="Freihand 307">
              <a:extLst>
                <a:ext uri="{FF2B5EF4-FFF2-40B4-BE49-F238E27FC236}">
                  <a16:creationId xmlns:a16="http://schemas.microsoft.com/office/drawing/2014/main" id="{AFDAEFE1-3FF8-5311-2CE5-BB8DAF9ED497}"/>
                </a:ext>
              </a:extLst>
            </xdr14:cNvPr>
            <xdr14:cNvContentPartPr/>
          </xdr14:nvContentPartPr>
          <xdr14:nvPr macro=""/>
          <xdr14:xfrm>
            <a:off x="42678931" y="9594449"/>
            <a:ext cx="232920" cy="362303"/>
          </xdr14:xfrm>
        </xdr:contentPart>
      </mc:Choice>
      <mc:Fallback xmlns="">
        <xdr:pic>
          <xdr:nvPicPr>
            <xdr:cNvPr id="308" name="Freihand 307">
              <a:extLst>
                <a:ext uri="{FF2B5EF4-FFF2-40B4-BE49-F238E27FC236}">
                  <a16:creationId xmlns:a16="http://schemas.microsoft.com/office/drawing/2014/main" id="{AFDAEFE1-3FF8-5311-2CE5-BB8DAF9ED497}"/>
                </a:ext>
              </a:extLst>
            </xdr:cNvPr>
            <xdr:cNvPicPr/>
          </xdr:nvPicPr>
          <xdr:blipFill>
            <a:blip xmlns:r="http://schemas.openxmlformats.org/officeDocument/2006/relationships" r:embed="rId66"/>
            <a:stretch>
              <a:fillRect/>
            </a:stretch>
          </xdr:blipFill>
          <xdr:spPr>
            <a:xfrm>
              <a:off x="30460220" y="2528309"/>
              <a:ext cx="268560" cy="379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51</xdr:col>
      <xdr:colOff>123011</xdr:colOff>
      <xdr:row>59</xdr:row>
      <xdr:rowOff>47246</xdr:rowOff>
    </xdr:from>
    <xdr:to>
      <xdr:col>51</xdr:col>
      <xdr:colOff>393601</xdr:colOff>
      <xdr:row>60</xdr:row>
      <xdr:rowOff>132654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7">
          <xdr14:nvContentPartPr>
            <xdr14:cNvPr id="309" name="Freihand 308">
              <a:extLst>
                <a:ext uri="{FF2B5EF4-FFF2-40B4-BE49-F238E27FC236}">
                  <a16:creationId xmlns:a16="http://schemas.microsoft.com/office/drawing/2014/main" id="{B2EC23E1-F32A-B6C0-74C3-34518D4A4926}"/>
                </a:ext>
              </a:extLst>
            </xdr14:cNvPr>
            <xdr14:cNvContentPartPr/>
          </xdr14:nvContentPartPr>
          <xdr14:nvPr macro=""/>
          <xdr14:xfrm>
            <a:off x="41906011" y="12556746"/>
            <a:ext cx="264240" cy="339409"/>
          </xdr14:xfrm>
        </xdr:contentPart>
      </mc:Choice>
      <mc:Fallback xmlns="">
        <xdr:pic>
          <xdr:nvPicPr>
            <xdr:cNvPr id="309" name="Freihand 308">
              <a:extLst>
                <a:ext uri="{FF2B5EF4-FFF2-40B4-BE49-F238E27FC236}">
                  <a16:creationId xmlns:a16="http://schemas.microsoft.com/office/drawing/2014/main" id="{B2EC23E1-F32A-B6C0-74C3-34518D4A4926}"/>
                </a:ext>
              </a:extLst>
            </xdr:cNvPr>
            <xdr:cNvPicPr/>
          </xdr:nvPicPr>
          <xdr:blipFill>
            <a:blip xmlns:r="http://schemas.openxmlformats.org/officeDocument/2006/relationships" r:embed="rId68"/>
            <a:stretch>
              <a:fillRect/>
            </a:stretch>
          </xdr:blipFill>
          <xdr:spPr>
            <a:xfrm>
              <a:off x="29686940" y="5508749"/>
              <a:ext cx="299880" cy="384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56</xdr:col>
      <xdr:colOff>49091</xdr:colOff>
      <xdr:row>45</xdr:row>
      <xdr:rowOff>72492</xdr:rowOff>
    </xdr:from>
    <xdr:to>
      <xdr:col>56</xdr:col>
      <xdr:colOff>352801</xdr:colOff>
      <xdr:row>46</xdr:row>
      <xdr:rowOff>197628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9">
          <xdr14:nvContentPartPr>
            <xdr14:cNvPr id="310" name="Freihand 309">
              <a:extLst>
                <a:ext uri="{FF2B5EF4-FFF2-40B4-BE49-F238E27FC236}">
                  <a16:creationId xmlns:a16="http://schemas.microsoft.com/office/drawing/2014/main" id="{D9804259-856C-D48D-0F1A-31090D77DC29}"/>
                </a:ext>
              </a:extLst>
            </xdr14:cNvPr>
            <xdr14:cNvContentPartPr/>
          </xdr14:nvContentPartPr>
          <xdr14:nvPr macro=""/>
          <xdr14:xfrm>
            <a:off x="45642091" y="9914992"/>
            <a:ext cx="297360" cy="348480"/>
          </xdr14:xfrm>
        </xdr:contentPart>
      </mc:Choice>
      <mc:Fallback xmlns="">
        <xdr:pic>
          <xdr:nvPicPr>
            <xdr:cNvPr id="310" name="Freihand 309">
              <a:extLst>
                <a:ext uri="{FF2B5EF4-FFF2-40B4-BE49-F238E27FC236}">
                  <a16:creationId xmlns:a16="http://schemas.microsoft.com/office/drawing/2014/main" id="{D9804259-856C-D48D-0F1A-31090D77DC29}"/>
                </a:ext>
              </a:extLst>
            </xdr:cNvPr>
            <xdr:cNvPicPr/>
          </xdr:nvPicPr>
          <xdr:blipFill>
            <a:blip xmlns:r="http://schemas.openxmlformats.org/officeDocument/2006/relationships" r:embed="rId70"/>
            <a:stretch>
              <a:fillRect/>
            </a:stretch>
          </xdr:blipFill>
          <xdr:spPr>
            <a:xfrm>
              <a:off x="33423380" y="2830349"/>
              <a:ext cx="333000" cy="384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56</xdr:col>
      <xdr:colOff>12371</xdr:colOff>
      <xdr:row>43</xdr:row>
      <xdr:rowOff>136909</xdr:rowOff>
    </xdr:from>
    <xdr:to>
      <xdr:col>57</xdr:col>
      <xdr:colOff>11281</xdr:colOff>
      <xdr:row>43</xdr:row>
      <xdr:rowOff>174349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1">
          <xdr14:nvContentPartPr>
            <xdr14:cNvPr id="312" name="Freihand 311">
              <a:extLst>
                <a:ext uri="{FF2B5EF4-FFF2-40B4-BE49-F238E27FC236}">
                  <a16:creationId xmlns:a16="http://schemas.microsoft.com/office/drawing/2014/main" id="{9F8FDE03-3C29-A278-142A-237C32B6B471}"/>
                </a:ext>
              </a:extLst>
            </xdr14:cNvPr>
            <xdr14:cNvContentPartPr/>
          </xdr14:nvContentPartPr>
          <xdr14:nvPr macro=""/>
          <xdr14:xfrm>
            <a:off x="45605371" y="9598409"/>
            <a:ext cx="754560" cy="37440"/>
          </xdr14:xfrm>
        </xdr:contentPart>
      </mc:Choice>
      <mc:Fallback xmlns="">
        <xdr:pic>
          <xdr:nvPicPr>
            <xdr:cNvPr id="312" name="Freihand 311">
              <a:extLst>
                <a:ext uri="{FF2B5EF4-FFF2-40B4-BE49-F238E27FC236}">
                  <a16:creationId xmlns:a16="http://schemas.microsoft.com/office/drawing/2014/main" id="{9F8FDE03-3C29-A278-142A-237C32B6B471}"/>
                </a:ext>
              </a:extLst>
            </xdr:cNvPr>
            <xdr:cNvPicPr/>
          </xdr:nvPicPr>
          <xdr:blipFill>
            <a:blip xmlns:r="http://schemas.openxmlformats.org/officeDocument/2006/relationships" r:embed="rId72"/>
            <a:stretch>
              <a:fillRect/>
            </a:stretch>
          </xdr:blipFill>
          <xdr:spPr>
            <a:xfrm>
              <a:off x="33386300" y="2531909"/>
              <a:ext cx="790200" cy="73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56</xdr:col>
      <xdr:colOff>195251</xdr:colOff>
      <xdr:row>40</xdr:row>
      <xdr:rowOff>211895</xdr:rowOff>
    </xdr:from>
    <xdr:to>
      <xdr:col>56</xdr:col>
      <xdr:colOff>431411</xdr:colOff>
      <xdr:row>42</xdr:row>
      <xdr:rowOff>17375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3">
          <xdr14:nvContentPartPr>
            <xdr14:cNvPr id="315" name="Freihand 314">
              <a:extLst>
                <a:ext uri="{FF2B5EF4-FFF2-40B4-BE49-F238E27FC236}">
                  <a16:creationId xmlns:a16="http://schemas.microsoft.com/office/drawing/2014/main" id="{BA4F7AF0-F90E-F283-67C5-2D2E4DC7B4DC}"/>
                </a:ext>
              </a:extLst>
            </xdr14:cNvPr>
            <xdr14:cNvContentPartPr/>
          </xdr14:nvContentPartPr>
          <xdr14:nvPr macro=""/>
          <xdr14:xfrm>
            <a:off x="45788251" y="9038395"/>
            <a:ext cx="236160" cy="307583"/>
          </xdr14:xfrm>
        </xdr:contentPart>
      </mc:Choice>
      <mc:Fallback xmlns="">
        <xdr:pic>
          <xdr:nvPicPr>
            <xdr:cNvPr id="315" name="Freihand 314">
              <a:extLst>
                <a:ext uri="{FF2B5EF4-FFF2-40B4-BE49-F238E27FC236}">
                  <a16:creationId xmlns:a16="http://schemas.microsoft.com/office/drawing/2014/main" id="{BA4F7AF0-F90E-F283-67C5-2D2E4DC7B4DC}"/>
                </a:ext>
              </a:extLst>
            </xdr:cNvPr>
            <xdr:cNvPicPr/>
          </xdr:nvPicPr>
          <xdr:blipFill>
            <a:blip xmlns:r="http://schemas.openxmlformats.org/officeDocument/2006/relationships" r:embed="rId74"/>
            <a:stretch>
              <a:fillRect/>
            </a:stretch>
          </xdr:blipFill>
          <xdr:spPr>
            <a:xfrm>
              <a:off x="33569540" y="1999469"/>
              <a:ext cx="271800" cy="325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53</xdr:col>
      <xdr:colOff>405491</xdr:colOff>
      <xdr:row>50</xdr:row>
      <xdr:rowOff>140015</xdr:rowOff>
    </xdr:from>
    <xdr:to>
      <xdr:col>54</xdr:col>
      <xdr:colOff>332531</xdr:colOff>
      <xdr:row>52</xdr:row>
      <xdr:rowOff>132983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5">
          <xdr14:nvContentPartPr>
            <xdr14:cNvPr id="319" name="Freihand 318">
              <a:extLst>
                <a:ext uri="{FF2B5EF4-FFF2-40B4-BE49-F238E27FC236}">
                  <a16:creationId xmlns:a16="http://schemas.microsoft.com/office/drawing/2014/main" id="{53B8DA24-6FB5-34F3-A93D-895DCA69DB4A}"/>
                </a:ext>
              </a:extLst>
            </xdr14:cNvPr>
            <xdr14:cNvContentPartPr/>
          </xdr14:nvContentPartPr>
          <xdr14:nvPr macro=""/>
          <xdr14:xfrm>
            <a:off x="43712491" y="10935015"/>
            <a:ext cx="689040" cy="373968"/>
          </xdr14:xfrm>
        </xdr:contentPart>
      </mc:Choice>
      <mc:Fallback xmlns="">
        <xdr:pic>
          <xdr:nvPicPr>
            <xdr:cNvPr id="319" name="Freihand 318">
              <a:extLst>
                <a:ext uri="{FF2B5EF4-FFF2-40B4-BE49-F238E27FC236}">
                  <a16:creationId xmlns:a16="http://schemas.microsoft.com/office/drawing/2014/main" id="{53B8DA24-6FB5-34F3-A93D-895DCA69DB4A}"/>
                </a:ext>
              </a:extLst>
            </xdr:cNvPr>
            <xdr:cNvPicPr/>
          </xdr:nvPicPr>
          <xdr:blipFill>
            <a:blip xmlns:r="http://schemas.openxmlformats.org/officeDocument/2006/relationships" r:embed="rId76"/>
            <a:stretch>
              <a:fillRect/>
            </a:stretch>
          </xdr:blipFill>
          <xdr:spPr>
            <a:xfrm>
              <a:off x="31493780" y="3832589"/>
              <a:ext cx="724680" cy="418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54</xdr:col>
      <xdr:colOff>435131</xdr:colOff>
      <xdr:row>49</xdr:row>
      <xdr:rowOff>122506</xdr:rowOff>
    </xdr:from>
    <xdr:to>
      <xdr:col>57</xdr:col>
      <xdr:colOff>274571</xdr:colOff>
      <xdr:row>54</xdr:row>
      <xdr:rowOff>50711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7">
          <xdr14:nvContentPartPr>
            <xdr14:cNvPr id="335" name="Freihand 334">
              <a:extLst>
                <a:ext uri="{FF2B5EF4-FFF2-40B4-BE49-F238E27FC236}">
                  <a16:creationId xmlns:a16="http://schemas.microsoft.com/office/drawing/2014/main" id="{038E922C-12C5-B0A1-D2DD-B9BC3DFC6E4F}"/>
                </a:ext>
              </a:extLst>
            </xdr14:cNvPr>
            <xdr14:cNvContentPartPr/>
          </xdr14:nvContentPartPr>
          <xdr14:nvPr macro=""/>
          <xdr14:xfrm>
            <a:off x="44504131" y="10727006"/>
            <a:ext cx="2125440" cy="880706"/>
          </xdr14:xfrm>
        </xdr:contentPart>
      </mc:Choice>
      <mc:Fallback xmlns="">
        <xdr:pic>
          <xdr:nvPicPr>
            <xdr:cNvPr id="335" name="Freihand 334">
              <a:extLst>
                <a:ext uri="{FF2B5EF4-FFF2-40B4-BE49-F238E27FC236}">
                  <a16:creationId xmlns:a16="http://schemas.microsoft.com/office/drawing/2014/main" id="{038E922C-12C5-B0A1-D2DD-B9BC3DFC6E4F}"/>
                </a:ext>
              </a:extLst>
            </xdr:cNvPr>
            <xdr:cNvPicPr/>
          </xdr:nvPicPr>
          <xdr:blipFill>
            <a:blip xmlns:r="http://schemas.openxmlformats.org/officeDocument/2006/relationships" r:embed="rId78"/>
            <a:stretch>
              <a:fillRect/>
            </a:stretch>
          </xdr:blipFill>
          <xdr:spPr>
            <a:xfrm>
              <a:off x="32285417" y="3615149"/>
              <a:ext cx="2161086" cy="943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66</xdr:col>
      <xdr:colOff>321328</xdr:colOff>
      <xdr:row>84</xdr:row>
      <xdr:rowOff>169112</xdr:rowOff>
    </xdr:from>
    <xdr:to>
      <xdr:col>66</xdr:col>
      <xdr:colOff>761608</xdr:colOff>
      <xdr:row>87</xdr:row>
      <xdr:rowOff>2878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9">
          <xdr14:nvContentPartPr>
            <xdr14:cNvPr id="338" name="Freihand 337">
              <a:extLst>
                <a:ext uri="{FF2B5EF4-FFF2-40B4-BE49-F238E27FC236}">
                  <a16:creationId xmlns:a16="http://schemas.microsoft.com/office/drawing/2014/main" id="{90CEE0D9-7541-05A7-CF51-77098008A78E}"/>
                </a:ext>
              </a:extLst>
            </xdr14:cNvPr>
            <xdr14:cNvContentPartPr/>
          </xdr14:nvContentPartPr>
          <xdr14:nvPr macro=""/>
          <xdr14:xfrm>
            <a:off x="53534328" y="17758612"/>
            <a:ext cx="440280" cy="401183"/>
          </xdr14:xfrm>
        </xdr:contentPart>
      </mc:Choice>
      <mc:Fallback xmlns="">
        <xdr:pic>
          <xdr:nvPicPr>
            <xdr:cNvPr id="338" name="Freihand 337">
              <a:extLst>
                <a:ext uri="{FF2B5EF4-FFF2-40B4-BE49-F238E27FC236}">
                  <a16:creationId xmlns:a16="http://schemas.microsoft.com/office/drawing/2014/main" id="{90CEE0D9-7541-05A7-CF51-77098008A78E}"/>
                </a:ext>
              </a:extLst>
            </xdr:cNvPr>
            <xdr:cNvPicPr/>
          </xdr:nvPicPr>
          <xdr:blipFill>
            <a:blip xmlns:r="http://schemas.openxmlformats.org/officeDocument/2006/relationships" r:embed="rId80"/>
            <a:stretch>
              <a:fillRect/>
            </a:stretch>
          </xdr:blipFill>
          <xdr:spPr>
            <a:xfrm>
              <a:off x="41315617" y="10592326"/>
              <a:ext cx="475920" cy="418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67</xdr:col>
      <xdr:colOff>263128</xdr:colOff>
      <xdr:row>82</xdr:row>
      <xdr:rowOff>171609</xdr:rowOff>
    </xdr:from>
    <xdr:to>
      <xdr:col>69</xdr:col>
      <xdr:colOff>297798</xdr:colOff>
      <xdr:row>88</xdr:row>
      <xdr:rowOff>29996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1">
          <xdr14:nvContentPartPr>
            <xdr14:cNvPr id="346" name="Freihand 345">
              <a:extLst>
                <a:ext uri="{FF2B5EF4-FFF2-40B4-BE49-F238E27FC236}">
                  <a16:creationId xmlns:a16="http://schemas.microsoft.com/office/drawing/2014/main" id="{B4637990-99C8-E498-978D-C261F7154A88}"/>
                </a:ext>
              </a:extLst>
            </xdr14:cNvPr>
            <xdr14:cNvContentPartPr/>
          </xdr14:nvContentPartPr>
          <xdr14:nvPr macro=""/>
          <xdr14:xfrm>
            <a:off x="54238128" y="17380109"/>
            <a:ext cx="1552320" cy="995037"/>
          </xdr14:xfrm>
        </xdr:contentPart>
      </mc:Choice>
      <mc:Fallback xmlns="">
        <xdr:pic>
          <xdr:nvPicPr>
            <xdr:cNvPr id="346" name="Freihand 345">
              <a:extLst>
                <a:ext uri="{FF2B5EF4-FFF2-40B4-BE49-F238E27FC236}">
                  <a16:creationId xmlns:a16="http://schemas.microsoft.com/office/drawing/2014/main" id="{B4637990-99C8-E498-978D-C261F7154A88}"/>
                </a:ext>
              </a:extLst>
            </xdr:cNvPr>
            <xdr:cNvPicPr/>
          </xdr:nvPicPr>
          <xdr:blipFill>
            <a:blip xmlns:r="http://schemas.openxmlformats.org/officeDocument/2006/relationships" r:embed="rId82"/>
            <a:stretch>
              <a:fillRect/>
            </a:stretch>
          </xdr:blipFill>
          <xdr:spPr>
            <a:xfrm>
              <a:off x="42019057" y="10231966"/>
              <a:ext cx="1587960" cy="985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65</xdr:col>
      <xdr:colOff>523528</xdr:colOff>
      <xdr:row>86</xdr:row>
      <xdr:rowOff>163735</xdr:rowOff>
    </xdr:from>
    <xdr:to>
      <xdr:col>65</xdr:col>
      <xdr:colOff>629728</xdr:colOff>
      <xdr:row>87</xdr:row>
      <xdr:rowOff>6715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3">
          <xdr14:nvContentPartPr>
            <xdr14:cNvPr id="347" name="Freihand 346">
              <a:extLst>
                <a:ext uri="{FF2B5EF4-FFF2-40B4-BE49-F238E27FC236}">
                  <a16:creationId xmlns:a16="http://schemas.microsoft.com/office/drawing/2014/main" id="{4F8E3F6A-EF9E-CB8E-A3E4-E2D44C209BB2}"/>
                </a:ext>
              </a:extLst>
            </xdr14:cNvPr>
            <xdr14:cNvContentPartPr/>
          </xdr14:nvContentPartPr>
          <xdr14:nvPr macro=""/>
          <xdr14:xfrm>
            <a:off x="52974528" y="18134235"/>
            <a:ext cx="106200" cy="33480"/>
          </xdr14:xfrm>
        </xdr:contentPart>
      </mc:Choice>
      <mc:Fallback xmlns="">
        <xdr:pic>
          <xdr:nvPicPr>
            <xdr:cNvPr id="347" name="Freihand 346">
              <a:extLst>
                <a:ext uri="{FF2B5EF4-FFF2-40B4-BE49-F238E27FC236}">
                  <a16:creationId xmlns:a16="http://schemas.microsoft.com/office/drawing/2014/main" id="{4F8E3F6A-EF9E-CB8E-A3E4-E2D44C209BB2}"/>
                </a:ext>
              </a:extLst>
            </xdr:cNvPr>
            <xdr:cNvPicPr/>
          </xdr:nvPicPr>
          <xdr:blipFill>
            <a:blip xmlns:r="http://schemas.openxmlformats.org/officeDocument/2006/relationships" r:embed="rId84"/>
            <a:stretch>
              <a:fillRect/>
            </a:stretch>
          </xdr:blipFill>
          <xdr:spPr>
            <a:xfrm>
              <a:off x="40755457" y="10949806"/>
              <a:ext cx="141840" cy="69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69</xdr:col>
      <xdr:colOff>388320</xdr:colOff>
      <xdr:row>85</xdr:row>
      <xdr:rowOff>107492</xdr:rowOff>
    </xdr:from>
    <xdr:to>
      <xdr:col>69</xdr:col>
      <xdr:colOff>733560</xdr:colOff>
      <xdr:row>86</xdr:row>
      <xdr:rowOff>143935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5">
          <xdr14:nvContentPartPr>
            <xdr14:cNvPr id="350" name="Freihand 349">
              <a:extLst>
                <a:ext uri="{FF2B5EF4-FFF2-40B4-BE49-F238E27FC236}">
                  <a16:creationId xmlns:a16="http://schemas.microsoft.com/office/drawing/2014/main" id="{A4E753FB-642C-E3DC-C9B7-3B06D3436BC1}"/>
                </a:ext>
              </a:extLst>
            </xdr14:cNvPr>
            <xdr14:cNvContentPartPr/>
          </xdr14:nvContentPartPr>
          <xdr14:nvPr macro=""/>
          <xdr14:xfrm>
            <a:off x="55887320" y="17887492"/>
            <a:ext cx="345240" cy="226943"/>
          </xdr14:xfrm>
        </xdr:contentPart>
      </mc:Choice>
      <mc:Fallback xmlns="">
        <xdr:pic>
          <xdr:nvPicPr>
            <xdr:cNvPr id="350" name="Freihand 349">
              <a:extLst>
                <a:ext uri="{FF2B5EF4-FFF2-40B4-BE49-F238E27FC236}">
                  <a16:creationId xmlns:a16="http://schemas.microsoft.com/office/drawing/2014/main" id="{A4E753FB-642C-E3DC-C9B7-3B06D3436BC1}"/>
                </a:ext>
              </a:extLst>
            </xdr:cNvPr>
            <xdr:cNvPicPr/>
          </xdr:nvPicPr>
          <xdr:blipFill>
            <a:blip xmlns:r="http://schemas.openxmlformats.org/officeDocument/2006/relationships" r:embed="rId86"/>
            <a:stretch>
              <a:fillRect/>
            </a:stretch>
          </xdr:blipFill>
          <xdr:spPr>
            <a:xfrm>
              <a:off x="43668249" y="10721206"/>
              <a:ext cx="380880" cy="244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70</xdr:col>
      <xdr:colOff>127440</xdr:colOff>
      <xdr:row>83</xdr:row>
      <xdr:rowOff>107537</xdr:rowOff>
    </xdr:from>
    <xdr:to>
      <xdr:col>73</xdr:col>
      <xdr:colOff>330970</xdr:colOff>
      <xdr:row>87</xdr:row>
      <xdr:rowOff>45303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7">
          <xdr14:nvContentPartPr>
            <xdr14:cNvPr id="367" name="Freihand 366">
              <a:extLst>
                <a:ext uri="{FF2B5EF4-FFF2-40B4-BE49-F238E27FC236}">
                  <a16:creationId xmlns:a16="http://schemas.microsoft.com/office/drawing/2014/main" id="{E53DD29E-3EA8-B935-2576-B0F9979E8D35}"/>
                </a:ext>
              </a:extLst>
            </xdr14:cNvPr>
            <xdr14:cNvContentPartPr/>
          </xdr14:nvContentPartPr>
          <xdr14:nvPr macro=""/>
          <xdr14:xfrm>
            <a:off x="56388440" y="17506537"/>
            <a:ext cx="2495880" cy="699766"/>
          </xdr14:xfrm>
        </xdr:contentPart>
      </mc:Choice>
      <mc:Fallback xmlns="">
        <xdr:pic>
          <xdr:nvPicPr>
            <xdr:cNvPr id="367" name="Freihand 366">
              <a:extLst>
                <a:ext uri="{FF2B5EF4-FFF2-40B4-BE49-F238E27FC236}">
                  <a16:creationId xmlns:a16="http://schemas.microsoft.com/office/drawing/2014/main" id="{E53DD29E-3EA8-B935-2576-B0F9979E8D35}"/>
                </a:ext>
              </a:extLst>
            </xdr:cNvPr>
            <xdr:cNvPicPr/>
          </xdr:nvPicPr>
          <xdr:blipFill>
            <a:blip xmlns:r="http://schemas.openxmlformats.org/officeDocument/2006/relationships" r:embed="rId88"/>
            <a:stretch>
              <a:fillRect/>
            </a:stretch>
          </xdr:blipFill>
          <xdr:spPr>
            <a:xfrm>
              <a:off x="44169372" y="10358394"/>
              <a:ext cx="2531515" cy="699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73</xdr:col>
      <xdr:colOff>334288</xdr:colOff>
      <xdr:row>83</xdr:row>
      <xdr:rowOff>187134</xdr:rowOff>
    </xdr:from>
    <xdr:to>
      <xdr:col>74</xdr:col>
      <xdr:colOff>238648</xdr:colOff>
      <xdr:row>86</xdr:row>
      <xdr:rowOff>1459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9">
          <xdr14:nvContentPartPr>
            <xdr14:cNvPr id="373" name="Freihand 372">
              <a:extLst>
                <a:ext uri="{FF2B5EF4-FFF2-40B4-BE49-F238E27FC236}">
                  <a16:creationId xmlns:a16="http://schemas.microsoft.com/office/drawing/2014/main" id="{443D893D-24FB-9841-D3E9-829962B54064}"/>
                </a:ext>
              </a:extLst>
            </xdr14:cNvPr>
            <xdr14:cNvContentPartPr/>
          </xdr14:nvContentPartPr>
          <xdr14:nvPr macro=""/>
          <xdr14:xfrm>
            <a:off x="58881288" y="17586134"/>
            <a:ext cx="666360" cy="381743"/>
          </xdr14:xfrm>
        </xdr:contentPart>
      </mc:Choice>
      <mc:Fallback xmlns="">
        <xdr:pic>
          <xdr:nvPicPr>
            <xdr:cNvPr id="373" name="Freihand 372">
              <a:extLst>
                <a:ext uri="{FF2B5EF4-FFF2-40B4-BE49-F238E27FC236}">
                  <a16:creationId xmlns:a16="http://schemas.microsoft.com/office/drawing/2014/main" id="{443D893D-24FB-9841-D3E9-829962B54064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46662227" y="10429280"/>
              <a:ext cx="701981" cy="399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74</xdr:col>
      <xdr:colOff>247720</xdr:colOff>
      <xdr:row>83</xdr:row>
      <xdr:rowOff>82886</xdr:rowOff>
    </xdr:from>
    <xdr:to>
      <xdr:col>75</xdr:col>
      <xdr:colOff>616418</xdr:colOff>
      <xdr:row>87</xdr:row>
      <xdr:rowOff>10082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1">
          <xdr14:nvContentPartPr>
            <xdr14:cNvPr id="382" name="Freihand 381">
              <a:extLst>
                <a:ext uri="{FF2B5EF4-FFF2-40B4-BE49-F238E27FC236}">
                  <a16:creationId xmlns:a16="http://schemas.microsoft.com/office/drawing/2014/main" id="{3542600C-A185-A31E-8F6C-014FC80FE21A}"/>
                </a:ext>
              </a:extLst>
            </xdr14:cNvPr>
            <xdr14:cNvContentPartPr/>
          </xdr14:nvContentPartPr>
          <xdr14:nvPr macro=""/>
          <xdr14:xfrm>
            <a:off x="59556720" y="17481886"/>
            <a:ext cx="1137048" cy="682846"/>
          </xdr14:xfrm>
        </xdr:contentPart>
      </mc:Choice>
      <mc:Fallback xmlns="">
        <xdr:pic>
          <xdr:nvPicPr>
            <xdr:cNvPr id="382" name="Freihand 381">
              <a:extLst>
                <a:ext uri="{FF2B5EF4-FFF2-40B4-BE49-F238E27FC236}">
                  <a16:creationId xmlns:a16="http://schemas.microsoft.com/office/drawing/2014/main" id="{3542600C-A185-A31E-8F6C-014FC80FE21A}"/>
                </a:ext>
              </a:extLst>
            </xdr:cNvPr>
            <xdr:cNvPicPr/>
          </xdr:nvPicPr>
          <xdr:blipFill>
            <a:blip xmlns:r="http://schemas.openxmlformats.org/officeDocument/2006/relationships" r:embed="rId92"/>
            <a:stretch>
              <a:fillRect/>
            </a:stretch>
          </xdr:blipFill>
          <xdr:spPr>
            <a:xfrm>
              <a:off x="47337652" y="10334103"/>
              <a:ext cx="1172682" cy="682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75</xdr:col>
      <xdr:colOff>699808</xdr:colOff>
      <xdr:row>84</xdr:row>
      <xdr:rowOff>32857</xdr:rowOff>
    </xdr:from>
    <xdr:to>
      <xdr:col>76</xdr:col>
      <xdr:colOff>446258</xdr:colOff>
      <xdr:row>86</xdr:row>
      <xdr:rowOff>47411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3">
          <xdr14:nvContentPartPr>
            <xdr14:cNvPr id="390" name="Freihand 389">
              <a:extLst>
                <a:ext uri="{FF2B5EF4-FFF2-40B4-BE49-F238E27FC236}">
                  <a16:creationId xmlns:a16="http://schemas.microsoft.com/office/drawing/2014/main" id="{5B1F61CF-87F7-E056-9F85-2C351B4F4775}"/>
                </a:ext>
              </a:extLst>
            </xdr14:cNvPr>
            <xdr14:cNvContentPartPr/>
          </xdr14:nvContentPartPr>
          <xdr14:nvPr macro=""/>
          <xdr14:xfrm>
            <a:off x="60770808" y="17622357"/>
            <a:ext cx="514800" cy="401903"/>
          </xdr14:xfrm>
        </xdr:contentPart>
      </mc:Choice>
      <mc:Fallback xmlns="">
        <xdr:pic>
          <xdr:nvPicPr>
            <xdr:cNvPr id="390" name="Freihand 389">
              <a:extLst>
                <a:ext uri="{FF2B5EF4-FFF2-40B4-BE49-F238E27FC236}">
                  <a16:creationId xmlns:a16="http://schemas.microsoft.com/office/drawing/2014/main" id="{5B1F61CF-87F7-E056-9F85-2C351B4F4775}"/>
                </a:ext>
              </a:extLst>
            </xdr:cNvPr>
            <xdr:cNvPicPr/>
          </xdr:nvPicPr>
          <xdr:blipFill>
            <a:blip xmlns:r="http://schemas.openxmlformats.org/officeDocument/2006/relationships" r:embed="rId94"/>
            <a:stretch>
              <a:fillRect/>
            </a:stretch>
          </xdr:blipFill>
          <xdr:spPr>
            <a:xfrm>
              <a:off x="48551737" y="10465143"/>
              <a:ext cx="550440" cy="419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76</xdr:col>
      <xdr:colOff>683360</xdr:colOff>
      <xdr:row>83</xdr:row>
      <xdr:rowOff>133357</xdr:rowOff>
    </xdr:from>
    <xdr:to>
      <xdr:col>77</xdr:col>
      <xdr:colOff>332610</xdr:colOff>
      <xdr:row>86</xdr:row>
      <xdr:rowOff>9710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5">
          <xdr14:nvContentPartPr>
            <xdr14:cNvPr id="391" name="Freihand 390">
              <a:extLst>
                <a:ext uri="{FF2B5EF4-FFF2-40B4-BE49-F238E27FC236}">
                  <a16:creationId xmlns:a16="http://schemas.microsoft.com/office/drawing/2014/main" id="{A71B5EBE-787C-B5AF-F611-1BAD04D57DCF}"/>
                </a:ext>
              </a:extLst>
            </xdr14:cNvPr>
            <xdr14:cNvContentPartPr/>
          </xdr14:nvContentPartPr>
          <xdr14:nvPr macro=""/>
          <xdr14:xfrm>
            <a:off x="61516360" y="17532357"/>
            <a:ext cx="417600" cy="441503"/>
          </xdr14:xfrm>
        </xdr:contentPart>
      </mc:Choice>
      <mc:Fallback xmlns="">
        <xdr:pic>
          <xdr:nvPicPr>
            <xdr:cNvPr id="391" name="Freihand 390">
              <a:extLst>
                <a:ext uri="{FF2B5EF4-FFF2-40B4-BE49-F238E27FC236}">
                  <a16:creationId xmlns:a16="http://schemas.microsoft.com/office/drawing/2014/main" id="{A71B5EBE-787C-B5AF-F611-1BAD04D57DCF}"/>
                </a:ext>
              </a:extLst>
            </xdr:cNvPr>
            <xdr:cNvPicPr/>
          </xdr:nvPicPr>
          <xdr:blipFill>
            <a:blip xmlns:r="http://schemas.openxmlformats.org/officeDocument/2006/relationships" r:embed="rId96"/>
            <a:stretch>
              <a:fillRect/>
            </a:stretch>
          </xdr:blipFill>
          <xdr:spPr>
            <a:xfrm>
              <a:off x="49297649" y="10375143"/>
              <a:ext cx="453240" cy="459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75</xdr:col>
      <xdr:colOff>414320</xdr:colOff>
      <xdr:row>87</xdr:row>
      <xdr:rowOff>22812</xdr:rowOff>
    </xdr:from>
    <xdr:to>
      <xdr:col>77</xdr:col>
      <xdr:colOff>349890</xdr:colOff>
      <xdr:row>88</xdr:row>
      <xdr:rowOff>48383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7">
          <xdr14:nvContentPartPr>
            <xdr14:cNvPr id="394" name="Freihand 393">
              <a:extLst>
                <a:ext uri="{FF2B5EF4-FFF2-40B4-BE49-F238E27FC236}">
                  <a16:creationId xmlns:a16="http://schemas.microsoft.com/office/drawing/2014/main" id="{AA910E4F-AE05-4BE4-44A9-69E8297E3656}"/>
                </a:ext>
              </a:extLst>
            </xdr14:cNvPr>
            <xdr14:cNvContentPartPr/>
          </xdr14:nvContentPartPr>
          <xdr14:nvPr macro=""/>
          <xdr14:xfrm>
            <a:off x="60485320" y="18183812"/>
            <a:ext cx="1465920" cy="216071"/>
          </xdr14:xfrm>
        </xdr:contentPart>
      </mc:Choice>
      <mc:Fallback xmlns="">
        <xdr:pic>
          <xdr:nvPicPr>
            <xdr:cNvPr id="394" name="Freihand 393">
              <a:extLst>
                <a:ext uri="{FF2B5EF4-FFF2-40B4-BE49-F238E27FC236}">
                  <a16:creationId xmlns:a16="http://schemas.microsoft.com/office/drawing/2014/main" id="{AA910E4F-AE05-4BE4-44A9-69E8297E3656}"/>
                </a:ext>
              </a:extLst>
            </xdr:cNvPr>
            <xdr:cNvPicPr/>
          </xdr:nvPicPr>
          <xdr:blipFill>
            <a:blip xmlns:r="http://schemas.openxmlformats.org/officeDocument/2006/relationships" r:embed="rId98"/>
            <a:stretch>
              <a:fillRect/>
            </a:stretch>
          </xdr:blipFill>
          <xdr:spPr>
            <a:xfrm>
              <a:off x="48266609" y="10999383"/>
              <a:ext cx="1501560" cy="242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52</xdr:col>
      <xdr:colOff>164260</xdr:colOff>
      <xdr:row>47</xdr:row>
      <xdr:rowOff>105168</xdr:rowOff>
    </xdr:from>
    <xdr:to>
      <xdr:col>52</xdr:col>
      <xdr:colOff>530740</xdr:colOff>
      <xdr:row>59</xdr:row>
      <xdr:rowOff>40686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9">
          <xdr14:nvContentPartPr>
            <xdr14:cNvPr id="397" name="Freihand 396">
              <a:extLst>
                <a:ext uri="{FF2B5EF4-FFF2-40B4-BE49-F238E27FC236}">
                  <a16:creationId xmlns:a16="http://schemas.microsoft.com/office/drawing/2014/main" id="{A2FD35C3-4860-8215-4B02-9C9448422EB7}"/>
                </a:ext>
              </a:extLst>
            </xdr14:cNvPr>
            <xdr14:cNvContentPartPr/>
          </xdr14:nvContentPartPr>
          <xdr14:nvPr macro=""/>
          <xdr14:xfrm>
            <a:off x="42709260" y="10328668"/>
            <a:ext cx="366480" cy="2282403"/>
          </xdr14:xfrm>
        </xdr:contentPart>
      </mc:Choice>
      <mc:Fallback xmlns="">
        <xdr:pic>
          <xdr:nvPicPr>
            <xdr:cNvPr id="397" name="Freihand 396">
              <a:extLst>
                <a:ext uri="{FF2B5EF4-FFF2-40B4-BE49-F238E27FC236}">
                  <a16:creationId xmlns:a16="http://schemas.microsoft.com/office/drawing/2014/main" id="{A2FD35C3-4860-8215-4B02-9C9448422EB7}"/>
                </a:ext>
              </a:extLst>
            </xdr:cNvPr>
            <xdr:cNvPicPr/>
          </xdr:nvPicPr>
          <xdr:blipFill>
            <a:blip xmlns:r="http://schemas.openxmlformats.org/officeDocument/2006/relationships" r:embed="rId100"/>
            <a:stretch>
              <a:fillRect/>
            </a:stretch>
          </xdr:blipFill>
          <xdr:spPr>
            <a:xfrm>
              <a:off x="30490207" y="3235314"/>
              <a:ext cx="402085" cy="2363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61</xdr:col>
      <xdr:colOff>715060</xdr:colOff>
      <xdr:row>91</xdr:row>
      <xdr:rowOff>84089</xdr:rowOff>
    </xdr:from>
    <xdr:to>
      <xdr:col>62</xdr:col>
      <xdr:colOff>254380</xdr:colOff>
      <xdr:row>92</xdr:row>
      <xdr:rowOff>107011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1">
          <xdr14:nvContentPartPr>
            <xdr14:cNvPr id="421" name="Freihand 420">
              <a:extLst>
                <a:ext uri="{FF2B5EF4-FFF2-40B4-BE49-F238E27FC236}">
                  <a16:creationId xmlns:a16="http://schemas.microsoft.com/office/drawing/2014/main" id="{D8821B14-1660-FFA9-DC63-16CBF12E4C1A}"/>
                </a:ext>
              </a:extLst>
            </xdr14:cNvPr>
            <xdr14:cNvContentPartPr/>
          </xdr14:nvContentPartPr>
          <xdr14:nvPr macro=""/>
          <xdr14:xfrm>
            <a:off x="50118060" y="19007089"/>
            <a:ext cx="301320" cy="207071"/>
          </xdr14:xfrm>
        </xdr:contentPart>
      </mc:Choice>
      <mc:Fallback xmlns="">
        <xdr:pic>
          <xdr:nvPicPr>
            <xdr:cNvPr id="421" name="Freihand 420">
              <a:extLst>
                <a:ext uri="{FF2B5EF4-FFF2-40B4-BE49-F238E27FC236}">
                  <a16:creationId xmlns:a16="http://schemas.microsoft.com/office/drawing/2014/main" id="{D8821B14-1660-FFA9-DC63-16CBF12E4C1A}"/>
                </a:ext>
              </a:extLst>
            </xdr:cNvPr>
            <xdr:cNvPicPr/>
          </xdr:nvPicPr>
          <xdr:blipFill>
            <a:blip xmlns:r="http://schemas.openxmlformats.org/officeDocument/2006/relationships" r:embed="rId102"/>
            <a:stretch>
              <a:fillRect/>
            </a:stretch>
          </xdr:blipFill>
          <xdr:spPr>
            <a:xfrm>
              <a:off x="37899349" y="11795446"/>
              <a:ext cx="336960" cy="233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57</xdr:col>
      <xdr:colOff>621700</xdr:colOff>
      <xdr:row>89</xdr:row>
      <xdr:rowOff>185369</xdr:rowOff>
    </xdr:from>
    <xdr:to>
      <xdr:col>61</xdr:col>
      <xdr:colOff>380260</xdr:colOff>
      <xdr:row>93</xdr:row>
      <xdr:rowOff>152583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3">
          <xdr14:nvContentPartPr>
            <xdr14:cNvPr id="422" name="Freihand 421">
              <a:extLst>
                <a:ext uri="{FF2B5EF4-FFF2-40B4-BE49-F238E27FC236}">
                  <a16:creationId xmlns:a16="http://schemas.microsoft.com/office/drawing/2014/main" id="{C3C892F5-7698-4C94-A3D9-187B13B5C9D2}"/>
                </a:ext>
              </a:extLst>
            </xdr14:cNvPr>
            <xdr14:cNvContentPartPr/>
          </xdr14:nvContentPartPr>
          <xdr14:nvPr macro=""/>
          <xdr14:xfrm>
            <a:off x="46976700" y="18727369"/>
            <a:ext cx="2806560" cy="729214"/>
          </xdr14:xfrm>
        </xdr:contentPart>
      </mc:Choice>
      <mc:Fallback xmlns="">
        <xdr:pic>
          <xdr:nvPicPr>
            <xdr:cNvPr id="422" name="Freihand 421">
              <a:extLst>
                <a:ext uri="{FF2B5EF4-FFF2-40B4-BE49-F238E27FC236}">
                  <a16:creationId xmlns:a16="http://schemas.microsoft.com/office/drawing/2014/main" id="{C3C892F5-7698-4C94-A3D9-187B13B5C9D2}"/>
                </a:ext>
              </a:extLst>
            </xdr:cNvPr>
            <xdr:cNvPicPr/>
          </xdr:nvPicPr>
          <xdr:blipFill>
            <a:blip xmlns:r="http://schemas.openxmlformats.org/officeDocument/2006/relationships" r:embed="rId104"/>
            <a:stretch>
              <a:fillRect/>
            </a:stretch>
          </xdr:blipFill>
          <xdr:spPr>
            <a:xfrm>
              <a:off x="34757629" y="11515726"/>
              <a:ext cx="2842200" cy="737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62</xdr:col>
      <xdr:colOff>427900</xdr:colOff>
      <xdr:row>90</xdr:row>
      <xdr:rowOff>53189</xdr:rowOff>
    </xdr:from>
    <xdr:to>
      <xdr:col>63</xdr:col>
      <xdr:colOff>597580</xdr:colOff>
      <xdr:row>93</xdr:row>
      <xdr:rowOff>67062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5">
          <xdr14:nvContentPartPr>
            <xdr14:cNvPr id="428" name="Freihand 427">
              <a:extLst>
                <a:ext uri="{FF2B5EF4-FFF2-40B4-BE49-F238E27FC236}">
                  <a16:creationId xmlns:a16="http://schemas.microsoft.com/office/drawing/2014/main" id="{2341E965-F3FA-64AB-E459-A9B5F9A9ED2F}"/>
                </a:ext>
              </a:extLst>
            </xdr14:cNvPr>
            <xdr14:cNvContentPartPr/>
          </xdr14:nvContentPartPr>
          <xdr14:nvPr macro=""/>
          <xdr14:xfrm>
            <a:off x="50592900" y="18785689"/>
            <a:ext cx="931680" cy="579023"/>
          </xdr14:xfrm>
        </xdr:contentPart>
      </mc:Choice>
      <mc:Fallback xmlns="">
        <xdr:pic>
          <xdr:nvPicPr>
            <xdr:cNvPr id="428" name="Freihand 427">
              <a:extLst>
                <a:ext uri="{FF2B5EF4-FFF2-40B4-BE49-F238E27FC236}">
                  <a16:creationId xmlns:a16="http://schemas.microsoft.com/office/drawing/2014/main" id="{2341E965-F3FA-64AB-E459-A9B5F9A9ED2F}"/>
                </a:ext>
              </a:extLst>
            </xdr:cNvPr>
            <xdr:cNvPicPr/>
          </xdr:nvPicPr>
          <xdr:blipFill>
            <a:blip xmlns:r="http://schemas.openxmlformats.org/officeDocument/2006/relationships" r:embed="rId106"/>
            <a:stretch>
              <a:fillRect/>
            </a:stretch>
          </xdr:blipFill>
          <xdr:spPr>
            <a:xfrm>
              <a:off x="38373829" y="11574395"/>
              <a:ext cx="967320" cy="59654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63</xdr:col>
      <xdr:colOff>749860</xdr:colOff>
      <xdr:row>90</xdr:row>
      <xdr:rowOff>33389</xdr:rowOff>
    </xdr:from>
    <xdr:to>
      <xdr:col>65</xdr:col>
      <xdr:colOff>230620</xdr:colOff>
      <xdr:row>93</xdr:row>
      <xdr:rowOff>45232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7">
          <xdr14:nvContentPartPr>
            <xdr14:cNvPr id="436" name="Freihand 435">
              <a:extLst>
                <a:ext uri="{FF2B5EF4-FFF2-40B4-BE49-F238E27FC236}">
                  <a16:creationId xmlns:a16="http://schemas.microsoft.com/office/drawing/2014/main" id="{1A3E1103-C42A-B069-114A-18DDDF886B3F}"/>
                </a:ext>
              </a:extLst>
            </xdr14:cNvPr>
            <xdr14:cNvContentPartPr/>
          </xdr14:nvContentPartPr>
          <xdr14:nvPr macro=""/>
          <xdr14:xfrm>
            <a:off x="51676860" y="18765889"/>
            <a:ext cx="1004760" cy="583343"/>
          </xdr14:xfrm>
        </xdr:contentPart>
      </mc:Choice>
      <mc:Fallback xmlns="">
        <xdr:pic>
          <xdr:nvPicPr>
            <xdr:cNvPr id="436" name="Freihand 435">
              <a:extLst>
                <a:ext uri="{FF2B5EF4-FFF2-40B4-BE49-F238E27FC236}">
                  <a16:creationId xmlns:a16="http://schemas.microsoft.com/office/drawing/2014/main" id="{1A3E1103-C42A-B069-114A-18DDDF886B3F}"/>
                </a:ext>
              </a:extLst>
            </xdr:cNvPr>
            <xdr:cNvPicPr/>
          </xdr:nvPicPr>
          <xdr:blipFill>
            <a:blip xmlns:r="http://schemas.openxmlformats.org/officeDocument/2006/relationships" r:embed="rId108"/>
            <a:stretch>
              <a:fillRect/>
            </a:stretch>
          </xdr:blipFill>
          <xdr:spPr>
            <a:xfrm>
              <a:off x="39457795" y="11554606"/>
              <a:ext cx="1040387" cy="600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65</xdr:col>
      <xdr:colOff>490900</xdr:colOff>
      <xdr:row>91</xdr:row>
      <xdr:rowOff>53489</xdr:rowOff>
    </xdr:from>
    <xdr:to>
      <xdr:col>65</xdr:col>
      <xdr:colOff>694430</xdr:colOff>
      <xdr:row>92</xdr:row>
      <xdr:rowOff>6758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9">
          <xdr14:nvContentPartPr>
            <xdr14:cNvPr id="439" name="Freihand 438">
              <a:extLst>
                <a:ext uri="{FF2B5EF4-FFF2-40B4-BE49-F238E27FC236}">
                  <a16:creationId xmlns:a16="http://schemas.microsoft.com/office/drawing/2014/main" id="{F4B3BF4B-3207-B2A5-7E4B-34BDE6DFF76E}"/>
                </a:ext>
              </a:extLst>
            </xdr14:cNvPr>
            <xdr14:cNvContentPartPr/>
          </xdr14:nvContentPartPr>
          <xdr14:nvPr macro=""/>
          <xdr14:xfrm>
            <a:off x="52941900" y="18976489"/>
            <a:ext cx="209880" cy="136511"/>
          </xdr14:xfrm>
        </xdr:contentPart>
      </mc:Choice>
      <mc:Fallback xmlns="">
        <xdr:pic>
          <xdr:nvPicPr>
            <xdr:cNvPr id="439" name="Freihand 438">
              <a:extLst>
                <a:ext uri="{FF2B5EF4-FFF2-40B4-BE49-F238E27FC236}">
                  <a16:creationId xmlns:a16="http://schemas.microsoft.com/office/drawing/2014/main" id="{F4B3BF4B-3207-B2A5-7E4B-34BDE6DFF76E}"/>
                </a:ext>
              </a:extLst>
            </xdr:cNvPr>
            <xdr:cNvPicPr/>
          </xdr:nvPicPr>
          <xdr:blipFill>
            <a:blip xmlns:r="http://schemas.openxmlformats.org/officeDocument/2006/relationships" r:embed="rId110"/>
            <a:stretch>
              <a:fillRect/>
            </a:stretch>
          </xdr:blipFill>
          <xdr:spPr>
            <a:xfrm>
              <a:off x="40723159" y="11765206"/>
              <a:ext cx="245581" cy="163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66</xdr:col>
      <xdr:colOff>222974</xdr:colOff>
      <xdr:row>88</xdr:row>
      <xdr:rowOff>34806</xdr:rowOff>
    </xdr:from>
    <xdr:to>
      <xdr:col>73</xdr:col>
      <xdr:colOff>607574</xdr:colOff>
      <xdr:row>93</xdr:row>
      <xdr:rowOff>84472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1">
          <xdr14:nvContentPartPr>
            <xdr14:cNvPr id="466" name="Freihand 465">
              <a:extLst>
                <a:ext uri="{FF2B5EF4-FFF2-40B4-BE49-F238E27FC236}">
                  <a16:creationId xmlns:a16="http://schemas.microsoft.com/office/drawing/2014/main" id="{4AB01DBD-4E01-64ED-A6D4-1C9BE7C6AADA}"/>
                </a:ext>
              </a:extLst>
            </xdr14:cNvPr>
            <xdr14:cNvContentPartPr/>
          </xdr14:nvContentPartPr>
          <xdr14:nvPr macro=""/>
          <xdr14:xfrm>
            <a:off x="53435974" y="18386306"/>
            <a:ext cx="5718600" cy="1002166"/>
          </xdr14:xfrm>
        </xdr:contentPart>
      </mc:Choice>
      <mc:Fallback xmlns="">
        <xdr:pic>
          <xdr:nvPicPr>
            <xdr:cNvPr id="466" name="Freihand 465">
              <a:extLst>
                <a:ext uri="{FF2B5EF4-FFF2-40B4-BE49-F238E27FC236}">
                  <a16:creationId xmlns:a16="http://schemas.microsoft.com/office/drawing/2014/main" id="{4AB01DBD-4E01-64ED-A6D4-1C9BE7C6AADA}"/>
                </a:ext>
              </a:extLst>
            </xdr:cNvPr>
            <xdr:cNvPicPr/>
          </xdr:nvPicPr>
          <xdr:blipFill>
            <a:blip xmlns:r="http://schemas.openxmlformats.org/officeDocument/2006/relationships" r:embed="rId112"/>
            <a:stretch>
              <a:fillRect/>
            </a:stretch>
          </xdr:blipFill>
          <xdr:spPr>
            <a:xfrm>
              <a:off x="41217263" y="11193166"/>
              <a:ext cx="5754240" cy="1001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73</xdr:col>
      <xdr:colOff>631168</xdr:colOff>
      <xdr:row>88</xdr:row>
      <xdr:rowOff>38406</xdr:rowOff>
    </xdr:from>
    <xdr:to>
      <xdr:col>79</xdr:col>
      <xdr:colOff>313778</xdr:colOff>
      <xdr:row>93</xdr:row>
      <xdr:rowOff>54952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3">
          <xdr14:nvContentPartPr>
            <xdr14:cNvPr id="493" name="Freihand 492">
              <a:extLst>
                <a:ext uri="{FF2B5EF4-FFF2-40B4-BE49-F238E27FC236}">
                  <a16:creationId xmlns:a16="http://schemas.microsoft.com/office/drawing/2014/main" id="{EF916773-7DF7-C566-D450-B18D5254AA9C}"/>
                </a:ext>
              </a:extLst>
            </xdr14:cNvPr>
            <xdr14:cNvContentPartPr/>
          </xdr14:nvContentPartPr>
          <xdr14:nvPr macro=""/>
          <xdr14:xfrm>
            <a:off x="59178168" y="18389906"/>
            <a:ext cx="4260960" cy="969046"/>
          </xdr14:xfrm>
        </xdr:contentPart>
      </mc:Choice>
      <mc:Fallback xmlns="">
        <xdr:pic>
          <xdr:nvPicPr>
            <xdr:cNvPr id="493" name="Freihand 492">
              <a:extLst>
                <a:ext uri="{FF2B5EF4-FFF2-40B4-BE49-F238E27FC236}">
                  <a16:creationId xmlns:a16="http://schemas.microsoft.com/office/drawing/2014/main" id="{EF916773-7DF7-C566-D450-B18D5254AA9C}"/>
                </a:ext>
              </a:extLst>
            </xdr:cNvPr>
            <xdr:cNvPicPr/>
          </xdr:nvPicPr>
          <xdr:blipFill>
            <a:blip xmlns:r="http://schemas.openxmlformats.org/officeDocument/2006/relationships" r:embed="rId114"/>
            <a:stretch>
              <a:fillRect/>
            </a:stretch>
          </xdr:blipFill>
          <xdr:spPr>
            <a:xfrm>
              <a:off x="46959457" y="11196406"/>
              <a:ext cx="4296600" cy="968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69</xdr:col>
      <xdr:colOff>108808</xdr:colOff>
      <xdr:row>96</xdr:row>
      <xdr:rowOff>24283</xdr:rowOff>
    </xdr:from>
    <xdr:to>
      <xdr:col>75</xdr:col>
      <xdr:colOff>391638</xdr:colOff>
      <xdr:row>102</xdr:row>
      <xdr:rowOff>45936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5">
          <xdr14:nvContentPartPr>
            <xdr14:cNvPr id="498" name="Freihand 497">
              <a:extLst>
                <a:ext uri="{FF2B5EF4-FFF2-40B4-BE49-F238E27FC236}">
                  <a16:creationId xmlns:a16="http://schemas.microsoft.com/office/drawing/2014/main" id="{36BE2C4B-833C-3675-83F5-1F0FF0726228}"/>
                </a:ext>
              </a:extLst>
            </xdr14:cNvPr>
            <xdr14:cNvContentPartPr/>
          </xdr14:nvContentPartPr>
          <xdr14:nvPr macro=""/>
          <xdr14:xfrm>
            <a:off x="55607808" y="19899783"/>
            <a:ext cx="4848480" cy="1171003"/>
          </xdr14:xfrm>
        </xdr:contentPart>
      </mc:Choice>
      <mc:Fallback xmlns="">
        <xdr:pic>
          <xdr:nvPicPr>
            <xdr:cNvPr id="498" name="Freihand 497">
              <a:extLst>
                <a:ext uri="{FF2B5EF4-FFF2-40B4-BE49-F238E27FC236}">
                  <a16:creationId xmlns:a16="http://schemas.microsoft.com/office/drawing/2014/main" id="{36BE2C4B-833C-3675-83F5-1F0FF0726228}"/>
                </a:ext>
              </a:extLst>
            </xdr:cNvPr>
            <xdr:cNvPicPr/>
          </xdr:nvPicPr>
          <xdr:blipFill>
            <a:blip xmlns:r="http://schemas.openxmlformats.org/officeDocument/2006/relationships" r:embed="rId116"/>
            <a:stretch>
              <a:fillRect/>
            </a:stretch>
          </xdr:blipFill>
          <xdr:spPr>
            <a:xfrm>
              <a:off x="43389096" y="12643143"/>
              <a:ext cx="4884123" cy="1125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71</xdr:col>
      <xdr:colOff>471928</xdr:colOff>
      <xdr:row>96</xdr:row>
      <xdr:rowOff>183186</xdr:rowOff>
    </xdr:from>
    <xdr:to>
      <xdr:col>75</xdr:col>
      <xdr:colOff>20248</xdr:colOff>
      <xdr:row>103</xdr:row>
      <xdr:rowOff>7743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7">
          <xdr14:nvContentPartPr>
            <xdr14:cNvPr id="499" name="Freihand 498">
              <a:extLst>
                <a:ext uri="{FF2B5EF4-FFF2-40B4-BE49-F238E27FC236}">
                  <a16:creationId xmlns:a16="http://schemas.microsoft.com/office/drawing/2014/main" id="{DA7CA505-1603-B2BD-5619-55CBFD8C611C}"/>
                </a:ext>
              </a:extLst>
            </xdr14:cNvPr>
            <xdr14:cNvContentPartPr/>
          </xdr14:nvContentPartPr>
          <xdr14:nvPr macro=""/>
          <xdr14:xfrm>
            <a:off x="57494928" y="20058686"/>
            <a:ext cx="2596320" cy="1138100"/>
          </xdr14:xfrm>
        </xdr:contentPart>
      </mc:Choice>
      <mc:Fallback xmlns="">
        <xdr:pic>
          <xdr:nvPicPr>
            <xdr:cNvPr id="499" name="Freihand 498">
              <a:extLst>
                <a:ext uri="{FF2B5EF4-FFF2-40B4-BE49-F238E27FC236}">
                  <a16:creationId xmlns:a16="http://schemas.microsoft.com/office/drawing/2014/main" id="{DA7CA505-1603-B2BD-5619-55CBFD8C611C}"/>
                </a:ext>
              </a:extLst>
            </xdr:cNvPr>
            <xdr:cNvPicPr/>
          </xdr:nvPicPr>
          <xdr:blipFill>
            <a:blip xmlns:r="http://schemas.openxmlformats.org/officeDocument/2006/relationships" r:embed="rId118"/>
            <a:stretch>
              <a:fillRect/>
            </a:stretch>
          </xdr:blipFill>
          <xdr:spPr>
            <a:xfrm>
              <a:off x="45276217" y="12783543"/>
              <a:ext cx="2631960" cy="1110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70</xdr:col>
      <xdr:colOff>754048</xdr:colOff>
      <xdr:row>98</xdr:row>
      <xdr:rowOff>110849</xdr:rowOff>
    </xdr:from>
    <xdr:to>
      <xdr:col>71</xdr:col>
      <xdr:colOff>27328</xdr:colOff>
      <xdr:row>100</xdr:row>
      <xdr:rowOff>30233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9">
          <xdr14:nvContentPartPr>
            <xdr14:cNvPr id="500" name="Freihand 499">
              <a:extLst>
                <a:ext uri="{FF2B5EF4-FFF2-40B4-BE49-F238E27FC236}">
                  <a16:creationId xmlns:a16="http://schemas.microsoft.com/office/drawing/2014/main" id="{2C8C2238-A66F-F05B-5D7B-A279E59B3578}"/>
                </a:ext>
              </a:extLst>
            </xdr14:cNvPr>
            <xdr14:cNvContentPartPr/>
          </xdr14:nvContentPartPr>
          <xdr14:nvPr macro=""/>
          <xdr14:xfrm>
            <a:off x="57015048" y="20367349"/>
            <a:ext cx="35280" cy="300383"/>
          </xdr14:xfrm>
        </xdr:contentPart>
      </mc:Choice>
      <mc:Fallback xmlns="">
        <xdr:pic>
          <xdr:nvPicPr>
            <xdr:cNvPr id="500" name="Freihand 499">
              <a:extLst>
                <a:ext uri="{FF2B5EF4-FFF2-40B4-BE49-F238E27FC236}">
                  <a16:creationId xmlns:a16="http://schemas.microsoft.com/office/drawing/2014/main" id="{2C8C2238-A66F-F05B-5D7B-A279E59B3578}"/>
                </a:ext>
              </a:extLst>
            </xdr:cNvPr>
            <xdr:cNvPicPr/>
          </xdr:nvPicPr>
          <xdr:blipFill>
            <a:blip xmlns:r="http://schemas.openxmlformats.org/officeDocument/2006/relationships" r:embed="rId120"/>
            <a:stretch>
              <a:fillRect/>
            </a:stretch>
          </xdr:blipFill>
          <xdr:spPr>
            <a:xfrm>
              <a:off x="44796337" y="13074423"/>
              <a:ext cx="70920" cy="317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67</xdr:col>
      <xdr:colOff>195688</xdr:colOff>
      <xdr:row>96</xdr:row>
      <xdr:rowOff>79146</xdr:rowOff>
    </xdr:from>
    <xdr:to>
      <xdr:col>71</xdr:col>
      <xdr:colOff>485608</xdr:colOff>
      <xdr:row>102</xdr:row>
      <xdr:rowOff>144676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1">
          <xdr14:nvContentPartPr>
            <xdr14:cNvPr id="503" name="Freihand 502">
              <a:extLst>
                <a:ext uri="{FF2B5EF4-FFF2-40B4-BE49-F238E27FC236}">
                  <a16:creationId xmlns:a16="http://schemas.microsoft.com/office/drawing/2014/main" id="{50BEBE41-FD85-264B-48D7-139C4FFDBBCE}"/>
                </a:ext>
              </a:extLst>
            </xdr14:cNvPr>
            <xdr14:cNvContentPartPr/>
          </xdr14:nvContentPartPr>
          <xdr14:nvPr macro=""/>
          <xdr14:xfrm>
            <a:off x="54170688" y="19954646"/>
            <a:ext cx="3337920" cy="1202180"/>
          </xdr14:xfrm>
        </xdr:contentPart>
      </mc:Choice>
      <mc:Fallback xmlns="">
        <xdr:pic>
          <xdr:nvPicPr>
            <xdr:cNvPr id="503" name="Freihand 502">
              <a:extLst>
                <a:ext uri="{FF2B5EF4-FFF2-40B4-BE49-F238E27FC236}">
                  <a16:creationId xmlns:a16="http://schemas.microsoft.com/office/drawing/2014/main" id="{50BEBE41-FD85-264B-48D7-139C4FFDBBCE}"/>
                </a:ext>
              </a:extLst>
            </xdr:cNvPr>
            <xdr:cNvPicPr/>
          </xdr:nvPicPr>
          <xdr:blipFill>
            <a:blip xmlns:r="http://schemas.openxmlformats.org/officeDocument/2006/relationships" r:embed="rId122"/>
            <a:stretch>
              <a:fillRect/>
            </a:stretch>
          </xdr:blipFill>
          <xdr:spPr>
            <a:xfrm>
              <a:off x="41951619" y="12679503"/>
              <a:ext cx="3373556" cy="1174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70</xdr:col>
      <xdr:colOff>761248</xdr:colOff>
      <xdr:row>98</xdr:row>
      <xdr:rowOff>150449</xdr:rowOff>
    </xdr:from>
    <xdr:to>
      <xdr:col>71</xdr:col>
      <xdr:colOff>27688</xdr:colOff>
      <xdr:row>102</xdr:row>
      <xdr:rowOff>54807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3">
          <xdr14:nvContentPartPr>
            <xdr14:cNvPr id="504" name="Freihand 503">
              <a:extLst>
                <a:ext uri="{FF2B5EF4-FFF2-40B4-BE49-F238E27FC236}">
                  <a16:creationId xmlns:a16="http://schemas.microsoft.com/office/drawing/2014/main" id="{DD758CE1-D718-1844-A839-F7F0E5D0F670}"/>
                </a:ext>
              </a:extLst>
            </xdr14:cNvPr>
            <xdr14:cNvContentPartPr/>
          </xdr14:nvContentPartPr>
          <xdr14:nvPr macro=""/>
          <xdr14:xfrm>
            <a:off x="57022248" y="20406949"/>
            <a:ext cx="28440" cy="666357"/>
          </xdr14:xfrm>
        </xdr:contentPart>
      </mc:Choice>
      <mc:Fallback xmlns="">
        <xdr:pic>
          <xdr:nvPicPr>
            <xdr:cNvPr id="504" name="Freihand 503">
              <a:extLst>
                <a:ext uri="{FF2B5EF4-FFF2-40B4-BE49-F238E27FC236}">
                  <a16:creationId xmlns:a16="http://schemas.microsoft.com/office/drawing/2014/main" id="{DD758CE1-D718-1844-A839-F7F0E5D0F670}"/>
                </a:ext>
              </a:extLst>
            </xdr:cNvPr>
            <xdr:cNvPicPr/>
          </xdr:nvPicPr>
          <xdr:blipFill>
            <a:blip xmlns:r="http://schemas.openxmlformats.org/officeDocument/2006/relationships" r:embed="rId124"/>
            <a:stretch>
              <a:fillRect/>
            </a:stretch>
          </xdr:blipFill>
          <xdr:spPr>
            <a:xfrm>
              <a:off x="44803537" y="13113663"/>
              <a:ext cx="64080" cy="656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72</xdr:col>
      <xdr:colOff>173248</xdr:colOff>
      <xdr:row>97</xdr:row>
      <xdr:rowOff>36966</xdr:rowOff>
    </xdr:from>
    <xdr:to>
      <xdr:col>72</xdr:col>
      <xdr:colOff>209968</xdr:colOff>
      <xdr:row>99</xdr:row>
      <xdr:rowOff>162412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5">
          <xdr14:nvContentPartPr>
            <xdr14:cNvPr id="505" name="Freihand 504">
              <a:extLst>
                <a:ext uri="{FF2B5EF4-FFF2-40B4-BE49-F238E27FC236}">
                  <a16:creationId xmlns:a16="http://schemas.microsoft.com/office/drawing/2014/main" id="{8A042CA3-655E-BF84-F207-1995101E6A3D}"/>
                </a:ext>
              </a:extLst>
            </xdr14:cNvPr>
            <xdr14:cNvContentPartPr/>
          </xdr14:nvContentPartPr>
          <xdr14:nvPr macro=""/>
          <xdr14:xfrm>
            <a:off x="57958248" y="20102966"/>
            <a:ext cx="36720" cy="506446"/>
          </xdr14:xfrm>
        </xdr:contentPart>
      </mc:Choice>
      <mc:Fallback xmlns="">
        <xdr:pic>
          <xdr:nvPicPr>
            <xdr:cNvPr id="505" name="Freihand 504">
              <a:extLst>
                <a:ext uri="{FF2B5EF4-FFF2-40B4-BE49-F238E27FC236}">
                  <a16:creationId xmlns:a16="http://schemas.microsoft.com/office/drawing/2014/main" id="{8A042CA3-655E-BF84-F207-1995101E6A3D}"/>
                </a:ext>
              </a:extLst>
            </xdr:cNvPr>
            <xdr:cNvPicPr/>
          </xdr:nvPicPr>
          <xdr:blipFill>
            <a:blip xmlns:r="http://schemas.openxmlformats.org/officeDocument/2006/relationships" r:embed="rId126"/>
            <a:stretch>
              <a:fillRect/>
            </a:stretch>
          </xdr:blipFill>
          <xdr:spPr>
            <a:xfrm>
              <a:off x="45739177" y="12828183"/>
              <a:ext cx="72360" cy="505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74</xdr:col>
      <xdr:colOff>703408</xdr:colOff>
      <xdr:row>76</xdr:row>
      <xdr:rowOff>100877</xdr:rowOff>
    </xdr:from>
    <xdr:to>
      <xdr:col>80</xdr:col>
      <xdr:colOff>639198</xdr:colOff>
      <xdr:row>81</xdr:row>
      <xdr:rowOff>131894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7">
          <xdr14:nvContentPartPr>
            <xdr14:cNvPr id="508" name="Freihand 507">
              <a:extLst>
                <a:ext uri="{FF2B5EF4-FFF2-40B4-BE49-F238E27FC236}">
                  <a16:creationId xmlns:a16="http://schemas.microsoft.com/office/drawing/2014/main" id="{5DCC06FF-F04C-D982-557B-55F157C1E896}"/>
                </a:ext>
              </a:extLst>
            </xdr14:cNvPr>
            <xdr14:cNvContentPartPr/>
          </xdr14:nvContentPartPr>
          <xdr14:nvPr macro=""/>
          <xdr14:xfrm>
            <a:off x="60012408" y="16166377"/>
            <a:ext cx="4501440" cy="983517"/>
          </xdr14:xfrm>
        </xdr:contentPart>
      </mc:Choice>
      <mc:Fallback xmlns="">
        <xdr:pic>
          <xdr:nvPicPr>
            <xdr:cNvPr id="508" name="Freihand 507">
              <a:extLst>
                <a:ext uri="{FF2B5EF4-FFF2-40B4-BE49-F238E27FC236}">
                  <a16:creationId xmlns:a16="http://schemas.microsoft.com/office/drawing/2014/main" id="{5DCC06FF-F04C-D982-557B-55F157C1E896}"/>
                </a:ext>
              </a:extLst>
            </xdr:cNvPr>
            <xdr:cNvPicPr/>
          </xdr:nvPicPr>
          <xdr:blipFill>
            <a:blip xmlns:r="http://schemas.openxmlformats.org/officeDocument/2006/relationships" r:embed="rId128"/>
            <a:stretch>
              <a:fillRect/>
            </a:stretch>
          </xdr:blipFill>
          <xdr:spPr>
            <a:xfrm>
              <a:off x="47793337" y="9073023"/>
              <a:ext cx="4537080" cy="973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80</xdr:col>
      <xdr:colOff>636088</xdr:colOff>
      <xdr:row>78</xdr:row>
      <xdr:rowOff>157420</xdr:rowOff>
    </xdr:from>
    <xdr:to>
      <xdr:col>81</xdr:col>
      <xdr:colOff>84098</xdr:colOff>
      <xdr:row>80</xdr:row>
      <xdr:rowOff>10362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9">
          <xdr14:nvContentPartPr>
            <xdr14:cNvPr id="509" name="Freihand 508">
              <a:extLst>
                <a:ext uri="{FF2B5EF4-FFF2-40B4-BE49-F238E27FC236}">
                  <a16:creationId xmlns:a16="http://schemas.microsoft.com/office/drawing/2014/main" id="{92CF0D3F-16ED-A87F-1897-4094C133F9AE}"/>
                </a:ext>
              </a:extLst>
            </xdr14:cNvPr>
            <xdr14:cNvContentPartPr/>
          </xdr14:nvContentPartPr>
          <xdr14:nvPr macro=""/>
          <xdr14:xfrm>
            <a:off x="64517088" y="16603920"/>
            <a:ext cx="216360" cy="227592"/>
          </xdr14:xfrm>
        </xdr:contentPart>
      </mc:Choice>
      <mc:Fallback xmlns="">
        <xdr:pic>
          <xdr:nvPicPr>
            <xdr:cNvPr id="509" name="Freihand 508">
              <a:extLst>
                <a:ext uri="{FF2B5EF4-FFF2-40B4-BE49-F238E27FC236}">
                  <a16:creationId xmlns:a16="http://schemas.microsoft.com/office/drawing/2014/main" id="{92CF0D3F-16ED-A87F-1897-4094C133F9AE}"/>
                </a:ext>
              </a:extLst>
            </xdr:cNvPr>
            <xdr:cNvPicPr/>
          </xdr:nvPicPr>
          <xdr:blipFill>
            <a:blip xmlns:r="http://schemas.openxmlformats.org/officeDocument/2006/relationships" r:embed="rId130"/>
            <a:stretch>
              <a:fillRect/>
            </a:stretch>
          </xdr:blipFill>
          <xdr:spPr>
            <a:xfrm>
              <a:off x="52298377" y="9492063"/>
              <a:ext cx="252000" cy="254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77</xdr:col>
      <xdr:colOff>197968</xdr:colOff>
      <xdr:row>76</xdr:row>
      <xdr:rowOff>176117</xdr:rowOff>
    </xdr:from>
    <xdr:to>
      <xdr:col>79</xdr:col>
      <xdr:colOff>648928</xdr:colOff>
      <xdr:row>82</xdr:row>
      <xdr:rowOff>64644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1">
          <xdr14:nvContentPartPr>
            <xdr14:cNvPr id="510" name="Freihand 509">
              <a:extLst>
                <a:ext uri="{FF2B5EF4-FFF2-40B4-BE49-F238E27FC236}">
                  <a16:creationId xmlns:a16="http://schemas.microsoft.com/office/drawing/2014/main" id="{17DC1982-CCA8-B284-BB57-FB1E7EBA1877}"/>
                </a:ext>
              </a:extLst>
            </xdr14:cNvPr>
            <xdr14:cNvContentPartPr/>
          </xdr14:nvContentPartPr>
          <xdr14:nvPr macro=""/>
          <xdr14:xfrm>
            <a:off x="61792968" y="16241617"/>
            <a:ext cx="1974960" cy="1037877"/>
          </xdr14:xfrm>
        </xdr:contentPart>
      </mc:Choice>
      <mc:Fallback xmlns="">
        <xdr:pic>
          <xdr:nvPicPr>
            <xdr:cNvPr id="510" name="Freihand 509">
              <a:extLst>
                <a:ext uri="{FF2B5EF4-FFF2-40B4-BE49-F238E27FC236}">
                  <a16:creationId xmlns:a16="http://schemas.microsoft.com/office/drawing/2014/main" id="{17DC1982-CCA8-B284-BB57-FB1E7EBA1877}"/>
                </a:ext>
              </a:extLst>
            </xdr:cNvPr>
            <xdr:cNvPicPr/>
          </xdr:nvPicPr>
          <xdr:blipFill>
            <a:blip xmlns:r="http://schemas.openxmlformats.org/officeDocument/2006/relationships" r:embed="rId132"/>
            <a:stretch>
              <a:fillRect/>
            </a:stretch>
          </xdr:blipFill>
          <xdr:spPr>
            <a:xfrm>
              <a:off x="49574257" y="9147903"/>
              <a:ext cx="2010600" cy="1028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75</xdr:col>
      <xdr:colOff>18448</xdr:colOff>
      <xdr:row>76</xdr:row>
      <xdr:rowOff>148757</xdr:rowOff>
    </xdr:from>
    <xdr:to>
      <xdr:col>77</xdr:col>
      <xdr:colOff>549328</xdr:colOff>
      <xdr:row>81</xdr:row>
      <xdr:rowOff>122664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3">
          <xdr14:nvContentPartPr>
            <xdr14:cNvPr id="517" name="Freihand 516">
              <a:extLst>
                <a:ext uri="{FF2B5EF4-FFF2-40B4-BE49-F238E27FC236}">
                  <a16:creationId xmlns:a16="http://schemas.microsoft.com/office/drawing/2014/main" id="{9C3E718C-9EFB-594A-9854-2DC7953BD08B}"/>
                </a:ext>
              </a:extLst>
            </xdr14:cNvPr>
            <xdr14:cNvContentPartPr/>
          </xdr14:nvContentPartPr>
          <xdr14:nvPr macro=""/>
          <xdr14:xfrm>
            <a:off x="60089448" y="16214257"/>
            <a:ext cx="2054880" cy="932757"/>
          </xdr14:xfrm>
        </xdr:contentPart>
      </mc:Choice>
      <mc:Fallback xmlns="">
        <xdr:pic>
          <xdr:nvPicPr>
            <xdr:cNvPr id="517" name="Freihand 516">
              <a:extLst>
                <a:ext uri="{FF2B5EF4-FFF2-40B4-BE49-F238E27FC236}">
                  <a16:creationId xmlns:a16="http://schemas.microsoft.com/office/drawing/2014/main" id="{9C3E718C-9EFB-594A-9854-2DC7953BD08B}"/>
                </a:ext>
              </a:extLst>
            </xdr:cNvPr>
            <xdr:cNvPicPr/>
          </xdr:nvPicPr>
          <xdr:blipFill>
            <a:blip xmlns:r="http://schemas.openxmlformats.org/officeDocument/2006/relationships" r:embed="rId134"/>
            <a:stretch>
              <a:fillRect/>
            </a:stretch>
          </xdr:blipFill>
          <xdr:spPr>
            <a:xfrm>
              <a:off x="47870737" y="9120550"/>
              <a:ext cx="2090520" cy="92302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78</xdr:col>
      <xdr:colOff>341728</xdr:colOff>
      <xdr:row>81</xdr:row>
      <xdr:rowOff>184814</xdr:rowOff>
    </xdr:from>
    <xdr:to>
      <xdr:col>81</xdr:col>
      <xdr:colOff>521858</xdr:colOff>
      <xdr:row>86</xdr:row>
      <xdr:rowOff>1920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5">
          <xdr14:nvContentPartPr>
            <xdr14:cNvPr id="535" name="Freihand 534">
              <a:extLst>
                <a:ext uri="{FF2B5EF4-FFF2-40B4-BE49-F238E27FC236}">
                  <a16:creationId xmlns:a16="http://schemas.microsoft.com/office/drawing/2014/main" id="{BD57C663-4AC2-6829-B4CE-A853C9266ACB}"/>
                </a:ext>
              </a:extLst>
            </xdr14:cNvPr>
            <xdr14:cNvContentPartPr/>
          </xdr14:nvContentPartPr>
          <xdr14:nvPr macro=""/>
          <xdr14:xfrm>
            <a:off x="62698728" y="17202814"/>
            <a:ext cx="2472480" cy="769606"/>
          </xdr14:xfrm>
        </xdr:contentPart>
      </mc:Choice>
      <mc:Fallback xmlns="">
        <xdr:pic>
          <xdr:nvPicPr>
            <xdr:cNvPr id="535" name="Freihand 534">
              <a:extLst>
                <a:ext uri="{FF2B5EF4-FFF2-40B4-BE49-F238E27FC236}">
                  <a16:creationId xmlns:a16="http://schemas.microsoft.com/office/drawing/2014/main" id="{BD57C663-4AC2-6829-B4CE-A853C9266ACB}"/>
                </a:ext>
              </a:extLst>
            </xdr:cNvPr>
            <xdr:cNvPicPr/>
          </xdr:nvPicPr>
          <xdr:blipFill>
            <a:blip xmlns:r="http://schemas.openxmlformats.org/officeDocument/2006/relationships" r:embed="rId136"/>
            <a:stretch>
              <a:fillRect/>
            </a:stretch>
          </xdr:blipFill>
          <xdr:spPr>
            <a:xfrm>
              <a:off x="50480017" y="10063743"/>
              <a:ext cx="2508120" cy="768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81</xdr:col>
      <xdr:colOff>613288</xdr:colOff>
      <xdr:row>81</xdr:row>
      <xdr:rowOff>41103</xdr:rowOff>
    </xdr:from>
    <xdr:to>
      <xdr:col>82</xdr:col>
      <xdr:colOff>10998</xdr:colOff>
      <xdr:row>86</xdr:row>
      <xdr:rowOff>102490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7">
          <xdr14:nvContentPartPr>
            <xdr14:cNvPr id="536" name="Freihand 535">
              <a:extLst>
                <a:ext uri="{FF2B5EF4-FFF2-40B4-BE49-F238E27FC236}">
                  <a16:creationId xmlns:a16="http://schemas.microsoft.com/office/drawing/2014/main" id="{1F3E5A9E-696D-49EE-8862-DEC57E9AAAD3}"/>
                </a:ext>
              </a:extLst>
            </xdr14:cNvPr>
            <xdr14:cNvContentPartPr/>
          </xdr14:nvContentPartPr>
          <xdr14:nvPr macro=""/>
          <xdr14:xfrm>
            <a:off x="65256288" y="17059103"/>
            <a:ext cx="153360" cy="1020237"/>
          </xdr14:xfrm>
        </xdr:contentPart>
      </mc:Choice>
      <mc:Fallback xmlns="">
        <xdr:pic>
          <xdr:nvPicPr>
            <xdr:cNvPr id="536" name="Freihand 535">
              <a:extLst>
                <a:ext uri="{FF2B5EF4-FFF2-40B4-BE49-F238E27FC236}">
                  <a16:creationId xmlns:a16="http://schemas.microsoft.com/office/drawing/2014/main" id="{1F3E5A9E-696D-49EE-8862-DEC57E9AAAD3}"/>
                </a:ext>
              </a:extLst>
            </xdr:cNvPr>
            <xdr:cNvPicPr/>
          </xdr:nvPicPr>
          <xdr:blipFill>
            <a:blip xmlns:r="http://schemas.openxmlformats.org/officeDocument/2006/relationships" r:embed="rId138"/>
            <a:stretch>
              <a:fillRect/>
            </a:stretch>
          </xdr:blipFill>
          <xdr:spPr>
            <a:xfrm>
              <a:off x="53037577" y="9929103"/>
              <a:ext cx="189000" cy="1010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57</xdr:col>
      <xdr:colOff>752834</xdr:colOff>
      <xdr:row>102</xdr:row>
      <xdr:rowOff>48909</xdr:rowOff>
    </xdr:from>
    <xdr:to>
      <xdr:col>61</xdr:col>
      <xdr:colOff>600544</xdr:colOff>
      <xdr:row>106</xdr:row>
      <xdr:rowOff>114835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9">
          <xdr14:nvContentPartPr>
            <xdr14:cNvPr id="555" name="Freihand 554">
              <a:extLst>
                <a:ext uri="{FF2B5EF4-FFF2-40B4-BE49-F238E27FC236}">
                  <a16:creationId xmlns:a16="http://schemas.microsoft.com/office/drawing/2014/main" id="{A8073191-E78B-9B54-A845-F8A4682776ED}"/>
                </a:ext>
              </a:extLst>
            </xdr14:cNvPr>
            <xdr14:cNvContentPartPr/>
          </xdr14:nvContentPartPr>
          <xdr14:nvPr macro=""/>
          <xdr14:xfrm>
            <a:off x="47107834" y="21067409"/>
            <a:ext cx="2889360" cy="827926"/>
          </xdr14:xfrm>
        </xdr:contentPart>
      </mc:Choice>
      <mc:Fallback xmlns="">
        <xdr:pic>
          <xdr:nvPicPr>
            <xdr:cNvPr id="555" name="Freihand 554">
              <a:extLst>
                <a:ext uri="{FF2B5EF4-FFF2-40B4-BE49-F238E27FC236}">
                  <a16:creationId xmlns:a16="http://schemas.microsoft.com/office/drawing/2014/main" id="{A8073191-E78B-9B54-A845-F8A4682776ED}"/>
                </a:ext>
              </a:extLst>
            </xdr:cNvPr>
            <xdr:cNvPicPr/>
          </xdr:nvPicPr>
          <xdr:blipFill>
            <a:blip xmlns:r="http://schemas.openxmlformats.org/officeDocument/2006/relationships" r:embed="rId140"/>
            <a:stretch>
              <a:fillRect/>
            </a:stretch>
          </xdr:blipFill>
          <xdr:spPr>
            <a:xfrm>
              <a:off x="34889121" y="13729126"/>
              <a:ext cx="2925004" cy="827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62</xdr:col>
      <xdr:colOff>146114</xdr:colOff>
      <xdr:row>100</xdr:row>
      <xdr:rowOff>166317</xdr:rowOff>
    </xdr:from>
    <xdr:to>
      <xdr:col>65</xdr:col>
      <xdr:colOff>380474</xdr:colOff>
      <xdr:row>105</xdr:row>
      <xdr:rowOff>125492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1">
          <xdr14:nvContentPartPr>
            <xdr14:cNvPr id="566" name="Freihand 565">
              <a:extLst>
                <a:ext uri="{FF2B5EF4-FFF2-40B4-BE49-F238E27FC236}">
                  <a16:creationId xmlns:a16="http://schemas.microsoft.com/office/drawing/2014/main" id="{B04A1F4F-19F7-20BA-5223-BC62B31DCF29}"/>
                </a:ext>
              </a:extLst>
            </xdr14:cNvPr>
            <xdr14:cNvContentPartPr/>
          </xdr14:nvContentPartPr>
          <xdr14:nvPr macro=""/>
          <xdr14:xfrm>
            <a:off x="50311114" y="20803817"/>
            <a:ext cx="2520360" cy="905326"/>
          </xdr14:xfrm>
        </xdr:contentPart>
      </mc:Choice>
      <mc:Fallback xmlns="">
        <xdr:pic>
          <xdr:nvPicPr>
            <xdr:cNvPr id="566" name="Freihand 565">
              <a:extLst>
                <a:ext uri="{FF2B5EF4-FFF2-40B4-BE49-F238E27FC236}">
                  <a16:creationId xmlns:a16="http://schemas.microsoft.com/office/drawing/2014/main" id="{B04A1F4F-19F7-20BA-5223-BC62B31DCF29}"/>
                </a:ext>
              </a:extLst>
            </xdr:cNvPr>
            <xdr:cNvPicPr/>
          </xdr:nvPicPr>
          <xdr:blipFill>
            <a:blip xmlns:r="http://schemas.openxmlformats.org/officeDocument/2006/relationships" r:embed="rId142"/>
            <a:stretch>
              <a:fillRect/>
            </a:stretch>
          </xdr:blipFill>
          <xdr:spPr>
            <a:xfrm>
              <a:off x="38092043" y="13474606"/>
              <a:ext cx="2556000" cy="904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66</xdr:col>
      <xdr:colOff>43445</xdr:colOff>
      <xdr:row>101</xdr:row>
      <xdr:rowOff>176477</xdr:rowOff>
    </xdr:from>
    <xdr:to>
      <xdr:col>67</xdr:col>
      <xdr:colOff>102965</xdr:colOff>
      <xdr:row>104</xdr:row>
      <xdr:rowOff>151240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3">
          <xdr14:nvContentPartPr>
            <xdr14:cNvPr id="570" name="Freihand 569">
              <a:extLst>
                <a:ext uri="{FF2B5EF4-FFF2-40B4-BE49-F238E27FC236}">
                  <a16:creationId xmlns:a16="http://schemas.microsoft.com/office/drawing/2014/main" id="{065E4F09-9046-DC25-B380-56ECD13D0590}"/>
                </a:ext>
              </a:extLst>
            </xdr14:cNvPr>
            <xdr14:cNvContentPartPr/>
          </xdr14:nvContentPartPr>
          <xdr14:nvPr macro=""/>
          <xdr14:xfrm>
            <a:off x="53256445" y="21004477"/>
            <a:ext cx="821520" cy="546263"/>
          </xdr14:xfrm>
        </xdr:contentPart>
      </mc:Choice>
      <mc:Fallback xmlns="">
        <xdr:pic>
          <xdr:nvPicPr>
            <xdr:cNvPr id="570" name="Freihand 569">
              <a:extLst>
                <a:ext uri="{FF2B5EF4-FFF2-40B4-BE49-F238E27FC236}">
                  <a16:creationId xmlns:a16="http://schemas.microsoft.com/office/drawing/2014/main" id="{065E4F09-9046-DC25-B380-56ECD13D0590}"/>
                </a:ext>
              </a:extLst>
            </xdr:cNvPr>
            <xdr:cNvPicPr/>
          </xdr:nvPicPr>
          <xdr:blipFill>
            <a:blip xmlns:r="http://schemas.openxmlformats.org/officeDocument/2006/relationships" r:embed="rId144"/>
            <a:stretch>
              <a:fillRect/>
            </a:stretch>
          </xdr:blipFill>
          <xdr:spPr>
            <a:xfrm>
              <a:off x="41037374" y="13666194"/>
              <a:ext cx="857160" cy="563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65</xdr:col>
      <xdr:colOff>543365</xdr:colOff>
      <xdr:row>99</xdr:row>
      <xdr:rowOff>175663</xdr:rowOff>
    </xdr:from>
    <xdr:to>
      <xdr:col>71</xdr:col>
      <xdr:colOff>330245</xdr:colOff>
      <xdr:row>106</xdr:row>
      <xdr:rowOff>2733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5">
          <xdr14:nvContentPartPr>
            <xdr14:cNvPr id="593" name="Freihand 592">
              <a:extLst>
                <a:ext uri="{FF2B5EF4-FFF2-40B4-BE49-F238E27FC236}">
                  <a16:creationId xmlns:a16="http://schemas.microsoft.com/office/drawing/2014/main" id="{9A22937F-1F8C-8253-9416-C8C609135EF1}"/>
                </a:ext>
              </a:extLst>
            </xdr14:cNvPr>
            <xdr14:cNvContentPartPr/>
          </xdr14:nvContentPartPr>
          <xdr14:nvPr macro=""/>
          <xdr14:xfrm>
            <a:off x="52994365" y="20622663"/>
            <a:ext cx="4358880" cy="1143788"/>
          </xdr14:xfrm>
        </xdr:contentPart>
      </mc:Choice>
      <mc:Fallback xmlns="">
        <xdr:pic>
          <xdr:nvPicPr>
            <xdr:cNvPr id="593" name="Freihand 592">
              <a:extLst>
                <a:ext uri="{FF2B5EF4-FFF2-40B4-BE49-F238E27FC236}">
                  <a16:creationId xmlns:a16="http://schemas.microsoft.com/office/drawing/2014/main" id="{9A22937F-1F8C-8253-9416-C8C609135EF1}"/>
                </a:ext>
              </a:extLst>
            </xdr:cNvPr>
            <xdr:cNvPicPr/>
          </xdr:nvPicPr>
          <xdr:blipFill>
            <a:blip xmlns:r="http://schemas.openxmlformats.org/officeDocument/2006/relationships" r:embed="rId146"/>
            <a:stretch>
              <a:fillRect/>
            </a:stretch>
          </xdr:blipFill>
          <xdr:spPr>
            <a:xfrm>
              <a:off x="40775294" y="13311588"/>
              <a:ext cx="4394520" cy="112501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72</xdr:col>
      <xdr:colOff>39845</xdr:colOff>
      <xdr:row>102</xdr:row>
      <xdr:rowOff>175303</xdr:rowOff>
    </xdr:from>
    <xdr:to>
      <xdr:col>73</xdr:col>
      <xdr:colOff>302765</xdr:colOff>
      <xdr:row>105</xdr:row>
      <xdr:rowOff>83306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7">
          <xdr14:nvContentPartPr>
            <xdr14:cNvPr id="599" name="Freihand 598">
              <a:extLst>
                <a:ext uri="{FF2B5EF4-FFF2-40B4-BE49-F238E27FC236}">
                  <a16:creationId xmlns:a16="http://schemas.microsoft.com/office/drawing/2014/main" id="{8B31D48F-B1E6-32A8-E922-E9CBB8608DE3}"/>
                </a:ext>
              </a:extLst>
            </xdr14:cNvPr>
            <xdr14:cNvContentPartPr/>
          </xdr14:nvContentPartPr>
          <xdr14:nvPr macro=""/>
          <xdr14:xfrm>
            <a:off x="57824845" y="21193803"/>
            <a:ext cx="1024920" cy="485854"/>
          </xdr14:xfrm>
        </xdr:contentPart>
      </mc:Choice>
      <mc:Fallback xmlns="">
        <xdr:pic>
          <xdr:nvPicPr>
            <xdr:cNvPr id="599" name="Freihand 598">
              <a:extLst>
                <a:ext uri="{FF2B5EF4-FFF2-40B4-BE49-F238E27FC236}">
                  <a16:creationId xmlns:a16="http://schemas.microsoft.com/office/drawing/2014/main" id="{8B31D48F-B1E6-32A8-E922-E9CBB8608DE3}"/>
                </a:ext>
              </a:extLst>
            </xdr:cNvPr>
            <xdr:cNvPicPr/>
          </xdr:nvPicPr>
          <xdr:blipFill>
            <a:blip xmlns:r="http://schemas.openxmlformats.org/officeDocument/2006/relationships" r:embed="rId148"/>
            <a:stretch>
              <a:fillRect/>
            </a:stretch>
          </xdr:blipFill>
          <xdr:spPr>
            <a:xfrm>
              <a:off x="45605774" y="13855160"/>
              <a:ext cx="1060560" cy="494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71</xdr:col>
      <xdr:colOff>728405</xdr:colOff>
      <xdr:row>106</xdr:row>
      <xdr:rowOff>109109</xdr:rowOff>
    </xdr:from>
    <xdr:to>
      <xdr:col>74</xdr:col>
      <xdr:colOff>438245</xdr:colOff>
      <xdr:row>108</xdr:row>
      <xdr:rowOff>12580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9">
          <xdr14:nvContentPartPr>
            <xdr14:cNvPr id="605" name="Freihand 604">
              <a:extLst>
                <a:ext uri="{FF2B5EF4-FFF2-40B4-BE49-F238E27FC236}">
                  <a16:creationId xmlns:a16="http://schemas.microsoft.com/office/drawing/2014/main" id="{FDA32972-DD3E-DCB5-35F5-34476EAB59C9}"/>
                </a:ext>
              </a:extLst>
            </xdr14:cNvPr>
            <xdr14:cNvContentPartPr/>
          </xdr14:nvContentPartPr>
          <xdr14:nvPr macro=""/>
          <xdr14:xfrm>
            <a:off x="57751405" y="21889609"/>
            <a:ext cx="1995840" cy="284471"/>
          </xdr14:xfrm>
        </xdr:contentPart>
      </mc:Choice>
      <mc:Fallback xmlns="">
        <xdr:pic>
          <xdr:nvPicPr>
            <xdr:cNvPr id="605" name="Freihand 604">
              <a:extLst>
                <a:ext uri="{FF2B5EF4-FFF2-40B4-BE49-F238E27FC236}">
                  <a16:creationId xmlns:a16="http://schemas.microsoft.com/office/drawing/2014/main" id="{FDA32972-DD3E-DCB5-35F5-34476EAB59C9}"/>
                </a:ext>
              </a:extLst>
            </xdr:cNvPr>
            <xdr:cNvPicPr/>
          </xdr:nvPicPr>
          <xdr:blipFill>
            <a:blip xmlns:r="http://schemas.openxmlformats.org/officeDocument/2006/relationships" r:embed="rId150"/>
            <a:stretch>
              <a:fillRect/>
            </a:stretch>
          </xdr:blipFill>
          <xdr:spPr>
            <a:xfrm>
              <a:off x="45532694" y="14515017"/>
              <a:ext cx="2031480" cy="31108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73</xdr:col>
      <xdr:colOff>479525</xdr:colOff>
      <xdr:row>102</xdr:row>
      <xdr:rowOff>122023</xdr:rowOff>
    </xdr:from>
    <xdr:to>
      <xdr:col>74</xdr:col>
      <xdr:colOff>257395</xdr:colOff>
      <xdr:row>105</xdr:row>
      <xdr:rowOff>77056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1">
          <xdr14:nvContentPartPr>
            <xdr14:cNvPr id="606" name="Freihand 605">
              <a:extLst>
                <a:ext uri="{FF2B5EF4-FFF2-40B4-BE49-F238E27FC236}">
                  <a16:creationId xmlns:a16="http://schemas.microsoft.com/office/drawing/2014/main" id="{81333CC1-B02E-8F99-EB00-75D2D379C757}"/>
                </a:ext>
              </a:extLst>
            </xdr14:cNvPr>
            <xdr14:cNvContentPartPr/>
          </xdr14:nvContentPartPr>
          <xdr14:nvPr macro=""/>
          <xdr14:xfrm>
            <a:off x="59026525" y="21140523"/>
            <a:ext cx="533520" cy="526534"/>
          </xdr14:xfrm>
        </xdr:contentPart>
      </mc:Choice>
      <mc:Fallback xmlns="">
        <xdr:pic>
          <xdr:nvPicPr>
            <xdr:cNvPr id="606" name="Freihand 605">
              <a:extLst>
                <a:ext uri="{FF2B5EF4-FFF2-40B4-BE49-F238E27FC236}">
                  <a16:creationId xmlns:a16="http://schemas.microsoft.com/office/drawing/2014/main" id="{81333CC1-B02E-8F99-EB00-75D2D379C757}"/>
                </a:ext>
              </a:extLst>
            </xdr:cNvPr>
            <xdr:cNvPicPr/>
          </xdr:nvPicPr>
          <xdr:blipFill>
            <a:blip xmlns:r="http://schemas.openxmlformats.org/officeDocument/2006/relationships" r:embed="rId152"/>
            <a:stretch>
              <a:fillRect/>
            </a:stretch>
          </xdr:blipFill>
          <xdr:spPr>
            <a:xfrm>
              <a:off x="46807454" y="13802227"/>
              <a:ext cx="569160" cy="534986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2</xdr:col>
      <xdr:colOff>117661</xdr:colOff>
      <xdr:row>53</xdr:row>
      <xdr:rowOff>118781</xdr:rowOff>
    </xdr:from>
    <xdr:to>
      <xdr:col>10</xdr:col>
      <xdr:colOff>1367119</xdr:colOff>
      <xdr:row>66</xdr:row>
      <xdr:rowOff>49305</xdr:rowOff>
    </xdr:to>
    <xdr:graphicFrame macro="">
      <xdr:nvGraphicFramePr>
        <xdr:cNvPr id="11" name="Diagramm 10">
          <a:extLst>
            <a:ext uri="{FF2B5EF4-FFF2-40B4-BE49-F238E27FC236}">
              <a16:creationId xmlns:a16="http://schemas.microsoft.com/office/drawing/2014/main" id="{78AD1C4D-E336-CEDD-B6D8-5855E2F4A6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3"/>
        </a:graphicData>
      </a:graphic>
    </xdr:graphicFrame>
    <xdr:clientData/>
  </xdr:twoCellAnchor>
  <xdr:twoCellAnchor>
    <xdr:from>
      <xdr:col>11</xdr:col>
      <xdr:colOff>218513</xdr:colOff>
      <xdr:row>53</xdr:row>
      <xdr:rowOff>96369</xdr:rowOff>
    </xdr:from>
    <xdr:to>
      <xdr:col>19</xdr:col>
      <xdr:colOff>459442</xdr:colOff>
      <xdr:row>66</xdr:row>
      <xdr:rowOff>26893</xdr:rowOff>
    </xdr:to>
    <xdr:graphicFrame macro="">
      <xdr:nvGraphicFramePr>
        <xdr:cNvPr id="12" name="Diagramm 11">
          <a:extLst>
            <a:ext uri="{FF2B5EF4-FFF2-40B4-BE49-F238E27FC236}">
              <a16:creationId xmlns:a16="http://schemas.microsoft.com/office/drawing/2014/main" id="{94198174-0402-23EB-34CE-947962EA46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4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425450</xdr:colOff>
      <xdr:row>0</xdr:row>
      <xdr:rowOff>133350</xdr:rowOff>
    </xdr:from>
    <xdr:to>
      <xdr:col>1</xdr:col>
      <xdr:colOff>260350</xdr:colOff>
      <xdr:row>2</xdr:row>
      <xdr:rowOff>44450</xdr:rowOff>
    </xdr:to>
    <xdr:sp macro="" textlink="">
      <xdr:nvSpPr>
        <xdr:cNvPr id="3" name="Pfeil: nach recht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2BA6619-74A6-4376-B46E-F552AF59BE56}"/>
            </a:ext>
          </a:extLst>
        </xdr:cNvPr>
        <xdr:cNvSpPr/>
      </xdr:nvSpPr>
      <xdr:spPr>
        <a:xfrm rot="10800000">
          <a:off x="425450" y="133350"/>
          <a:ext cx="596900" cy="39370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1</xdr:col>
      <xdr:colOff>292101</xdr:colOff>
      <xdr:row>15</xdr:row>
      <xdr:rowOff>6350</xdr:rowOff>
    </xdr:from>
    <xdr:to>
      <xdr:col>6</xdr:col>
      <xdr:colOff>346364</xdr:colOff>
      <xdr:row>24</xdr:row>
      <xdr:rowOff>76063</xdr:rowOff>
    </xdr:to>
    <xdr:grpSp>
      <xdr:nvGrpSpPr>
        <xdr:cNvPr id="5" name="Gruppieren 4">
          <a:extLst>
            <a:ext uri="{FF2B5EF4-FFF2-40B4-BE49-F238E27FC236}">
              <a16:creationId xmlns:a16="http://schemas.microsoft.com/office/drawing/2014/main" id="{48C2AC25-9C44-4AA0-9DCB-BCE770BBE1A3}"/>
            </a:ext>
          </a:extLst>
        </xdr:cNvPr>
        <xdr:cNvGrpSpPr/>
      </xdr:nvGrpSpPr>
      <xdr:grpSpPr>
        <a:xfrm>
          <a:off x="1210983" y="3457762"/>
          <a:ext cx="4043557" cy="1963507"/>
          <a:chOff x="567866" y="3175875"/>
          <a:chExt cx="3864263" cy="1728825"/>
        </a:xfrm>
      </xdr:grpSpPr>
      <xdr:sp macro="" textlink="">
        <xdr:nvSpPr>
          <xdr:cNvPr id="6" name="Textfeld 5">
            <a:extLst>
              <a:ext uri="{FF2B5EF4-FFF2-40B4-BE49-F238E27FC236}">
                <a16:creationId xmlns:a16="http://schemas.microsoft.com/office/drawing/2014/main" id="{5D028F99-B037-A276-6063-F9BE1768DFE4}"/>
              </a:ext>
            </a:extLst>
          </xdr:cNvPr>
          <xdr:cNvSpPr txBox="1"/>
        </xdr:nvSpPr>
        <xdr:spPr>
          <a:xfrm>
            <a:off x="3315122" y="3627174"/>
            <a:ext cx="224544" cy="27109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de-CH" sz="1100">
                <a:solidFill>
                  <a:srgbClr val="FF0000"/>
                </a:solidFill>
              </a:rPr>
              <a:t>I</a:t>
            </a:r>
          </a:p>
        </xdr:txBody>
      </xdr:sp>
      <xdr:sp macro="" textlink="">
        <xdr:nvSpPr>
          <xdr:cNvPr id="7" name="Textfeld 6">
            <a:extLst>
              <a:ext uri="{FF2B5EF4-FFF2-40B4-BE49-F238E27FC236}">
                <a16:creationId xmlns:a16="http://schemas.microsoft.com/office/drawing/2014/main" id="{4F8939F4-FF71-2834-842E-688FBB86AE9B}"/>
              </a:ext>
            </a:extLst>
          </xdr:cNvPr>
          <xdr:cNvSpPr txBox="1"/>
        </xdr:nvSpPr>
        <xdr:spPr>
          <a:xfrm>
            <a:off x="2581757" y="3175875"/>
            <a:ext cx="626730" cy="26618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de-CH" sz="1100">
                <a:solidFill>
                  <a:srgbClr val="00B0F0"/>
                </a:solidFill>
              </a:rPr>
              <a:t>U</a:t>
            </a:r>
            <a:r>
              <a:rPr lang="de-CH" sz="1100" baseline="-25000">
                <a:solidFill>
                  <a:srgbClr val="00B0F0"/>
                </a:solidFill>
              </a:rPr>
              <a:t>R</a:t>
            </a:r>
            <a:endParaRPr lang="de-CH" sz="1100">
              <a:solidFill>
                <a:srgbClr val="00B0F0"/>
              </a:solidFill>
            </a:endParaRPr>
          </a:p>
        </xdr:txBody>
      </xdr:sp>
      <xdr:cxnSp macro="">
        <xdr:nvCxnSpPr>
          <xdr:cNvPr id="8" name="Gerader Verbinder 7">
            <a:extLst>
              <a:ext uri="{FF2B5EF4-FFF2-40B4-BE49-F238E27FC236}">
                <a16:creationId xmlns:a16="http://schemas.microsoft.com/office/drawing/2014/main" id="{2A6D5799-6C12-BA67-8408-554A636F300B}"/>
              </a:ext>
            </a:extLst>
          </xdr:cNvPr>
          <xdr:cNvCxnSpPr>
            <a:cxnSpLocks/>
            <a:stCxn id="9" idx="1"/>
          </xdr:cNvCxnSpPr>
        </xdr:nvCxnSpPr>
        <xdr:spPr>
          <a:xfrm flipV="1">
            <a:off x="3209818" y="3656195"/>
            <a:ext cx="1086463" cy="752"/>
          </a:xfrm>
          <a:prstGeom prst="line">
            <a:avLst/>
          </a:prstGeom>
          <a:ln w="19050"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9" name="Textfeld 8">
            <a:extLst>
              <a:ext uri="{FF2B5EF4-FFF2-40B4-BE49-F238E27FC236}">
                <a16:creationId xmlns:a16="http://schemas.microsoft.com/office/drawing/2014/main" id="{0F67DD2F-9100-60E6-C582-8D80A646793E}"/>
              </a:ext>
            </a:extLst>
          </xdr:cNvPr>
          <xdr:cNvSpPr txBox="1"/>
        </xdr:nvSpPr>
        <xdr:spPr>
          <a:xfrm rot="10800000" flipV="1">
            <a:off x="2487443" y="3521411"/>
            <a:ext cx="722374" cy="271072"/>
          </a:xfrm>
          <a:prstGeom prst="rect">
            <a:avLst/>
          </a:prstGeom>
          <a:solidFill>
            <a:schemeClr val="lt1"/>
          </a:solidFill>
          <a:ln w="12700" cmpd="sng"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de-CH" sz="900"/>
              <a:t>R</a:t>
            </a:r>
            <a:endParaRPr lang="de-CH" sz="900" baseline="-25000"/>
          </a:p>
        </xdr:txBody>
      </xdr:sp>
      <xdr:cxnSp macro="">
        <xdr:nvCxnSpPr>
          <xdr:cNvPr id="10" name="Gerader Verbinder 9">
            <a:extLst>
              <a:ext uri="{FF2B5EF4-FFF2-40B4-BE49-F238E27FC236}">
                <a16:creationId xmlns:a16="http://schemas.microsoft.com/office/drawing/2014/main" id="{688532FB-BFFB-EEF1-0D1A-A6202526189D}"/>
              </a:ext>
            </a:extLst>
          </xdr:cNvPr>
          <xdr:cNvCxnSpPr>
            <a:cxnSpLocks/>
            <a:endCxn id="9" idx="3"/>
          </xdr:cNvCxnSpPr>
        </xdr:nvCxnSpPr>
        <xdr:spPr>
          <a:xfrm>
            <a:off x="1235737" y="3653197"/>
            <a:ext cx="1251706" cy="3750"/>
          </a:xfrm>
          <a:prstGeom prst="line">
            <a:avLst/>
          </a:prstGeom>
          <a:ln w="19050"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" name="Gerader Verbinder 10">
            <a:extLst>
              <a:ext uri="{FF2B5EF4-FFF2-40B4-BE49-F238E27FC236}">
                <a16:creationId xmlns:a16="http://schemas.microsoft.com/office/drawing/2014/main" id="{ABB8F0CC-2065-2ACA-A766-97EF3A4245D0}"/>
              </a:ext>
            </a:extLst>
          </xdr:cNvPr>
          <xdr:cNvCxnSpPr>
            <a:cxnSpLocks/>
          </xdr:cNvCxnSpPr>
        </xdr:nvCxnSpPr>
        <xdr:spPr>
          <a:xfrm>
            <a:off x="2418323" y="3442422"/>
            <a:ext cx="925266" cy="4392"/>
          </a:xfrm>
          <a:prstGeom prst="line">
            <a:avLst/>
          </a:prstGeom>
          <a:ln w="19050">
            <a:solidFill>
              <a:srgbClr val="00B0F0"/>
            </a:solidFill>
            <a:headEnd type="non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2" name="Gerader Verbinder 11">
            <a:extLst>
              <a:ext uri="{FF2B5EF4-FFF2-40B4-BE49-F238E27FC236}">
                <a16:creationId xmlns:a16="http://schemas.microsoft.com/office/drawing/2014/main" id="{6FAFB402-31DD-302E-A6B8-7AFA45D49F0A}"/>
              </a:ext>
            </a:extLst>
          </xdr:cNvPr>
          <xdr:cNvCxnSpPr>
            <a:cxnSpLocks/>
          </xdr:cNvCxnSpPr>
        </xdr:nvCxnSpPr>
        <xdr:spPr>
          <a:xfrm flipV="1">
            <a:off x="1210724" y="4832233"/>
            <a:ext cx="3084766" cy="9837"/>
          </a:xfrm>
          <a:prstGeom prst="line">
            <a:avLst/>
          </a:prstGeom>
          <a:ln w="19050"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grpSp>
        <xdr:nvGrpSpPr>
          <xdr:cNvPr id="13" name="Gruppieren 12">
            <a:extLst>
              <a:ext uri="{FF2B5EF4-FFF2-40B4-BE49-F238E27FC236}">
                <a16:creationId xmlns:a16="http://schemas.microsoft.com/office/drawing/2014/main" id="{A5E6C920-293E-B4FA-420E-E7CD0DC28E27}"/>
              </a:ext>
            </a:extLst>
          </xdr:cNvPr>
          <xdr:cNvGrpSpPr/>
        </xdr:nvGrpSpPr>
        <xdr:grpSpPr>
          <a:xfrm>
            <a:off x="567866" y="3645614"/>
            <a:ext cx="930634" cy="1206540"/>
            <a:chOff x="1370602" y="1207509"/>
            <a:chExt cx="927308" cy="1209349"/>
          </a:xfrm>
        </xdr:grpSpPr>
        <xdr:grpSp>
          <xdr:nvGrpSpPr>
            <xdr:cNvPr id="17" name="Gruppieren 16">
              <a:extLst>
                <a:ext uri="{FF2B5EF4-FFF2-40B4-BE49-F238E27FC236}">
                  <a16:creationId xmlns:a16="http://schemas.microsoft.com/office/drawing/2014/main" id="{ECF54F3A-D35A-3E1A-A20A-440A21429994}"/>
                </a:ext>
              </a:extLst>
            </xdr:cNvPr>
            <xdr:cNvGrpSpPr/>
          </xdr:nvGrpSpPr>
          <xdr:grpSpPr>
            <a:xfrm>
              <a:off x="1762453" y="1207509"/>
              <a:ext cx="535457" cy="1209349"/>
              <a:chOff x="1249760" y="11127358"/>
              <a:chExt cx="542131" cy="1198751"/>
            </a:xfrm>
          </xdr:grpSpPr>
          <xdr:cxnSp macro="">
            <xdr:nvCxnSpPr>
              <xdr:cNvPr id="20" name="Gerader Verbinder 19">
                <a:extLst>
                  <a:ext uri="{FF2B5EF4-FFF2-40B4-BE49-F238E27FC236}">
                    <a16:creationId xmlns:a16="http://schemas.microsoft.com/office/drawing/2014/main" id="{0F540F90-48E7-3B71-4C60-E6BD0B05F6D8}"/>
                  </a:ext>
                </a:extLst>
              </xdr:cNvPr>
              <xdr:cNvCxnSpPr>
                <a:cxnSpLocks/>
              </xdr:cNvCxnSpPr>
            </xdr:nvCxnSpPr>
            <xdr:spPr>
              <a:xfrm flipH="1" flipV="1">
                <a:off x="1532310" y="11127358"/>
                <a:ext cx="817" cy="388906"/>
              </a:xfrm>
              <a:prstGeom prst="line">
                <a:avLst/>
              </a:prstGeom>
              <a:ln w="19050">
                <a:solidFill>
                  <a:schemeClr val="tx1">
                    <a:lumMod val="95000"/>
                    <a:lumOff val="5000"/>
                  </a:schemeClr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21" name="Gerader Verbinder 20">
                <a:extLst>
                  <a:ext uri="{FF2B5EF4-FFF2-40B4-BE49-F238E27FC236}">
                    <a16:creationId xmlns:a16="http://schemas.microsoft.com/office/drawing/2014/main" id="{6686810C-AF26-0554-C62A-3A76B981E4BF}"/>
                  </a:ext>
                </a:extLst>
              </xdr:cNvPr>
              <xdr:cNvCxnSpPr/>
            </xdr:nvCxnSpPr>
            <xdr:spPr>
              <a:xfrm>
                <a:off x="1264841" y="11524995"/>
                <a:ext cx="527050" cy="0"/>
              </a:xfrm>
              <a:prstGeom prst="line">
                <a:avLst/>
              </a:prstGeom>
              <a:ln w="19050">
                <a:solidFill>
                  <a:schemeClr val="tx1">
                    <a:lumMod val="95000"/>
                    <a:lumOff val="5000"/>
                  </a:schemeClr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22" name="Gerader Verbinder 21">
                <a:extLst>
                  <a:ext uri="{FF2B5EF4-FFF2-40B4-BE49-F238E27FC236}">
                    <a16:creationId xmlns:a16="http://schemas.microsoft.com/office/drawing/2014/main" id="{8AF529E7-4D85-78F9-62CB-57B691BF0538}"/>
                  </a:ext>
                </a:extLst>
              </xdr:cNvPr>
              <xdr:cNvCxnSpPr/>
            </xdr:nvCxnSpPr>
            <xdr:spPr>
              <a:xfrm>
                <a:off x="1249760" y="11878476"/>
                <a:ext cx="533400" cy="0"/>
              </a:xfrm>
              <a:prstGeom prst="line">
                <a:avLst/>
              </a:prstGeom>
              <a:ln w="19050">
                <a:solidFill>
                  <a:schemeClr val="tx1">
                    <a:lumMod val="95000"/>
                    <a:lumOff val="5000"/>
                  </a:schemeClr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23" name="Gerader Verbinder 22">
                <a:extLst>
                  <a:ext uri="{FF2B5EF4-FFF2-40B4-BE49-F238E27FC236}">
                    <a16:creationId xmlns:a16="http://schemas.microsoft.com/office/drawing/2014/main" id="{DA99A610-A8AB-2B1A-869C-78DBE29067BD}"/>
                  </a:ext>
                </a:extLst>
              </xdr:cNvPr>
              <xdr:cNvCxnSpPr/>
            </xdr:nvCxnSpPr>
            <xdr:spPr>
              <a:xfrm>
                <a:off x="1401763" y="11581352"/>
                <a:ext cx="247649" cy="396"/>
              </a:xfrm>
              <a:prstGeom prst="line">
                <a:avLst/>
              </a:prstGeom>
              <a:ln w="19050">
                <a:solidFill>
                  <a:schemeClr val="tx1">
                    <a:lumMod val="95000"/>
                    <a:lumOff val="5000"/>
                  </a:schemeClr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24" name="Gerader Verbinder 23">
                <a:extLst>
                  <a:ext uri="{FF2B5EF4-FFF2-40B4-BE49-F238E27FC236}">
                    <a16:creationId xmlns:a16="http://schemas.microsoft.com/office/drawing/2014/main" id="{14EC3BD5-C6CC-B0D9-E5EF-3D47A00648F7}"/>
                  </a:ext>
                </a:extLst>
              </xdr:cNvPr>
              <xdr:cNvCxnSpPr/>
            </xdr:nvCxnSpPr>
            <xdr:spPr>
              <a:xfrm>
                <a:off x="1380729" y="11925705"/>
                <a:ext cx="247649" cy="396"/>
              </a:xfrm>
              <a:prstGeom prst="line">
                <a:avLst/>
              </a:prstGeom>
              <a:ln w="19050">
                <a:solidFill>
                  <a:schemeClr val="tx1">
                    <a:lumMod val="95000"/>
                    <a:lumOff val="5000"/>
                  </a:schemeClr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25" name="Gerader Verbinder 24">
                <a:extLst>
                  <a:ext uri="{FF2B5EF4-FFF2-40B4-BE49-F238E27FC236}">
                    <a16:creationId xmlns:a16="http://schemas.microsoft.com/office/drawing/2014/main" id="{4F796AED-BDBF-20F9-095F-033560E6DB50}"/>
                  </a:ext>
                </a:extLst>
              </xdr:cNvPr>
              <xdr:cNvCxnSpPr/>
            </xdr:nvCxnSpPr>
            <xdr:spPr>
              <a:xfrm>
                <a:off x="1524000" y="11593654"/>
                <a:ext cx="0" cy="282044"/>
              </a:xfrm>
              <a:prstGeom prst="line">
                <a:avLst/>
              </a:prstGeom>
              <a:ln w="19050">
                <a:solidFill>
                  <a:schemeClr val="tx1">
                    <a:lumMod val="95000"/>
                    <a:lumOff val="5000"/>
                  </a:schemeClr>
                </a:solidFill>
                <a:prstDash val="sysDash"/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26" name="Gerader Verbinder 25">
                <a:extLst>
                  <a:ext uri="{FF2B5EF4-FFF2-40B4-BE49-F238E27FC236}">
                    <a16:creationId xmlns:a16="http://schemas.microsoft.com/office/drawing/2014/main" id="{5669CBB8-34FD-134D-4346-40E9B92A95E7}"/>
                  </a:ext>
                </a:extLst>
              </xdr:cNvPr>
              <xdr:cNvCxnSpPr/>
            </xdr:nvCxnSpPr>
            <xdr:spPr>
              <a:xfrm flipV="1">
                <a:off x="1521174" y="11935230"/>
                <a:ext cx="47" cy="390879"/>
              </a:xfrm>
              <a:prstGeom prst="line">
                <a:avLst/>
              </a:prstGeom>
              <a:ln w="19050">
                <a:solidFill>
                  <a:schemeClr val="tx1">
                    <a:lumMod val="95000"/>
                    <a:lumOff val="5000"/>
                  </a:schemeClr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</xdr:grpSp>
        <xdr:cxnSp macro="">
          <xdr:nvCxnSpPr>
            <xdr:cNvPr id="18" name="Gerader Verbinder 17">
              <a:extLst>
                <a:ext uri="{FF2B5EF4-FFF2-40B4-BE49-F238E27FC236}">
                  <a16:creationId xmlns:a16="http://schemas.microsoft.com/office/drawing/2014/main" id="{BF6B85DA-FB3C-23D1-C00F-BEFF850FB965}"/>
                </a:ext>
              </a:extLst>
            </xdr:cNvPr>
            <xdr:cNvCxnSpPr>
              <a:cxnSpLocks/>
            </xdr:cNvCxnSpPr>
          </xdr:nvCxnSpPr>
          <xdr:spPr>
            <a:xfrm flipH="1">
              <a:off x="1683719" y="1550335"/>
              <a:ext cx="11193" cy="525911"/>
            </a:xfrm>
            <a:prstGeom prst="line">
              <a:avLst/>
            </a:prstGeom>
            <a:ln w="19050">
              <a:solidFill>
                <a:srgbClr val="00B0F0"/>
              </a:solidFill>
              <a:headEnd type="none"/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9" name="Textfeld 18">
              <a:extLst>
                <a:ext uri="{FF2B5EF4-FFF2-40B4-BE49-F238E27FC236}">
                  <a16:creationId xmlns:a16="http://schemas.microsoft.com/office/drawing/2014/main" id="{0FAB47CA-31F6-485A-79A3-2BFD2E0C3493}"/>
                </a:ext>
              </a:extLst>
            </xdr:cNvPr>
            <xdr:cNvSpPr txBox="1"/>
          </xdr:nvSpPr>
          <xdr:spPr>
            <a:xfrm>
              <a:off x="1370602" y="1647792"/>
              <a:ext cx="291056" cy="26357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de-CH" sz="1100">
                  <a:solidFill>
                    <a:srgbClr val="00B0F0"/>
                  </a:solidFill>
                </a:rPr>
                <a:t>U</a:t>
              </a:r>
              <a:r>
                <a:rPr lang="de-CH" sz="1100" baseline="-25000">
                  <a:solidFill>
                    <a:srgbClr val="00B0F0"/>
                  </a:solidFill>
                </a:rPr>
                <a:t>0</a:t>
              </a:r>
              <a:endParaRPr lang="de-CH" sz="1100">
                <a:solidFill>
                  <a:srgbClr val="00B0F0"/>
                </a:solidFill>
              </a:endParaRPr>
            </a:p>
          </xdr:txBody>
        </xdr:sp>
      </xdr:grpSp>
      <xdr:cxnSp macro="">
        <xdr:nvCxnSpPr>
          <xdr:cNvPr id="14" name="Gerade Verbindung mit Pfeil 13">
            <a:extLst>
              <a:ext uri="{FF2B5EF4-FFF2-40B4-BE49-F238E27FC236}">
                <a16:creationId xmlns:a16="http://schemas.microsoft.com/office/drawing/2014/main" id="{6AD3CDE9-A1CD-1F94-B9C6-C7602A86201E}"/>
              </a:ext>
            </a:extLst>
          </xdr:cNvPr>
          <xdr:cNvCxnSpPr/>
        </xdr:nvCxnSpPr>
        <xdr:spPr>
          <a:xfrm>
            <a:off x="3324774" y="3665983"/>
            <a:ext cx="96942" cy="0"/>
          </a:xfrm>
          <a:prstGeom prst="straightConnector1">
            <a:avLst/>
          </a:prstGeom>
          <a:ln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5" name="Ellipse 14">
            <a:extLst>
              <a:ext uri="{FF2B5EF4-FFF2-40B4-BE49-F238E27FC236}">
                <a16:creationId xmlns:a16="http://schemas.microsoft.com/office/drawing/2014/main" id="{5E146038-46B8-CA83-E52F-EAFE3F81AA7C}"/>
              </a:ext>
            </a:extLst>
          </xdr:cNvPr>
          <xdr:cNvSpPr/>
        </xdr:nvSpPr>
        <xdr:spPr>
          <a:xfrm>
            <a:off x="4292879" y="3590616"/>
            <a:ext cx="136070" cy="150805"/>
          </a:xfrm>
          <a:prstGeom prst="ellipse">
            <a:avLst/>
          </a:prstGeom>
          <a:noFill/>
          <a:ln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  <xdr:sp macro="" textlink="">
        <xdr:nvSpPr>
          <xdr:cNvPr id="16" name="Ellipse 15">
            <a:extLst>
              <a:ext uri="{FF2B5EF4-FFF2-40B4-BE49-F238E27FC236}">
                <a16:creationId xmlns:a16="http://schemas.microsoft.com/office/drawing/2014/main" id="{EE6FD56A-E443-75D7-061A-3FD01E3B6928}"/>
              </a:ext>
            </a:extLst>
          </xdr:cNvPr>
          <xdr:cNvSpPr/>
        </xdr:nvSpPr>
        <xdr:spPr>
          <a:xfrm>
            <a:off x="4296048" y="4766630"/>
            <a:ext cx="136081" cy="138070"/>
          </a:xfrm>
          <a:prstGeom prst="ellipse">
            <a:avLst/>
          </a:prstGeom>
          <a:noFill/>
          <a:ln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</xdr:grpSp>
    <xdr:clientData/>
  </xdr:twoCellAnchor>
  <xdr:twoCellAnchor>
    <xdr:from>
      <xdr:col>6</xdr:col>
      <xdr:colOff>276363</xdr:colOff>
      <xdr:row>18</xdr:row>
      <xdr:rowOff>85341</xdr:rowOff>
    </xdr:from>
    <xdr:to>
      <xdr:col>6</xdr:col>
      <xdr:colOff>287671</xdr:colOff>
      <xdr:row>20</xdr:row>
      <xdr:rowOff>162339</xdr:rowOff>
    </xdr:to>
    <xdr:cxnSp macro="">
      <xdr:nvCxnSpPr>
        <xdr:cNvPr id="27" name="Gerader Verbinder 26">
          <a:extLst>
            <a:ext uri="{FF2B5EF4-FFF2-40B4-BE49-F238E27FC236}">
              <a16:creationId xmlns:a16="http://schemas.microsoft.com/office/drawing/2014/main" id="{DF73D88B-C616-4EE5-8217-1F722DC2769D}"/>
            </a:ext>
          </a:extLst>
        </xdr:cNvPr>
        <xdr:cNvCxnSpPr>
          <a:cxnSpLocks/>
          <a:endCxn id="15" idx="4"/>
        </xdr:cNvCxnSpPr>
      </xdr:nvCxnSpPr>
      <xdr:spPr>
        <a:xfrm flipV="1">
          <a:off x="5191263" y="3495291"/>
          <a:ext cx="11308" cy="546898"/>
        </a:xfrm>
        <a:prstGeom prst="line">
          <a:avLst/>
        </a:prstGeom>
        <a:ln w="19050">
          <a:solidFill>
            <a:schemeClr val="tx1">
              <a:lumMod val="95000"/>
              <a:lumOff val="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276363</xdr:colOff>
      <xdr:row>21</xdr:row>
      <xdr:rowOff>97320</xdr:rowOff>
    </xdr:from>
    <xdr:to>
      <xdr:col>6</xdr:col>
      <xdr:colOff>278324</xdr:colOff>
      <xdr:row>23</xdr:row>
      <xdr:rowOff>122284</xdr:rowOff>
    </xdr:to>
    <xdr:cxnSp macro="">
      <xdr:nvCxnSpPr>
        <xdr:cNvPr id="28" name="Gerader Verbinder 27">
          <a:extLst>
            <a:ext uri="{FF2B5EF4-FFF2-40B4-BE49-F238E27FC236}">
              <a16:creationId xmlns:a16="http://schemas.microsoft.com/office/drawing/2014/main" id="{BAA498C1-5F98-4969-9764-29B40105740A}"/>
            </a:ext>
          </a:extLst>
        </xdr:cNvPr>
        <xdr:cNvCxnSpPr>
          <a:cxnSpLocks/>
          <a:stCxn id="16" idx="0"/>
        </xdr:cNvCxnSpPr>
      </xdr:nvCxnSpPr>
      <xdr:spPr>
        <a:xfrm flipH="1" flipV="1">
          <a:off x="5191263" y="4212120"/>
          <a:ext cx="1961" cy="444064"/>
        </a:xfrm>
        <a:prstGeom prst="line">
          <a:avLst/>
        </a:prstGeom>
        <a:ln w="19050">
          <a:solidFill>
            <a:schemeClr val="tx1">
              <a:lumMod val="95000"/>
              <a:lumOff val="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733425</xdr:colOff>
      <xdr:row>20</xdr:row>
      <xdr:rowOff>167447</xdr:rowOff>
    </xdr:from>
    <xdr:to>
      <xdr:col>6</xdr:col>
      <xdr:colOff>575641</xdr:colOff>
      <xdr:row>20</xdr:row>
      <xdr:rowOff>167447</xdr:rowOff>
    </xdr:to>
    <xdr:cxnSp macro="">
      <xdr:nvCxnSpPr>
        <xdr:cNvPr id="29" name="Gerader Verbinder 28">
          <a:extLst>
            <a:ext uri="{FF2B5EF4-FFF2-40B4-BE49-F238E27FC236}">
              <a16:creationId xmlns:a16="http://schemas.microsoft.com/office/drawing/2014/main" id="{6AF247DE-63A5-41C5-9D5F-2F9D9C6DB945}"/>
            </a:ext>
          </a:extLst>
        </xdr:cNvPr>
        <xdr:cNvCxnSpPr>
          <a:cxnSpLocks/>
        </xdr:cNvCxnSpPr>
      </xdr:nvCxnSpPr>
      <xdr:spPr>
        <a:xfrm>
          <a:off x="4543425" y="2491547"/>
          <a:ext cx="604216" cy="0"/>
        </a:xfrm>
        <a:prstGeom prst="line">
          <a:avLst/>
        </a:prstGeom>
        <a:ln w="19050">
          <a:solidFill>
            <a:schemeClr val="tx1">
              <a:lumMod val="95000"/>
              <a:lumOff val="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730250</xdr:colOff>
      <xdr:row>21</xdr:row>
      <xdr:rowOff>85863</xdr:rowOff>
    </xdr:from>
    <xdr:to>
      <xdr:col>6</xdr:col>
      <xdr:colOff>578816</xdr:colOff>
      <xdr:row>21</xdr:row>
      <xdr:rowOff>85863</xdr:rowOff>
    </xdr:to>
    <xdr:cxnSp macro="">
      <xdr:nvCxnSpPr>
        <xdr:cNvPr id="30" name="Gerader Verbinder 29">
          <a:extLst>
            <a:ext uri="{FF2B5EF4-FFF2-40B4-BE49-F238E27FC236}">
              <a16:creationId xmlns:a16="http://schemas.microsoft.com/office/drawing/2014/main" id="{F7F5BDCC-75AD-4C3F-BEB6-47C9DFB6A974}"/>
            </a:ext>
          </a:extLst>
        </xdr:cNvPr>
        <xdr:cNvCxnSpPr>
          <a:cxnSpLocks/>
        </xdr:cNvCxnSpPr>
      </xdr:nvCxnSpPr>
      <xdr:spPr>
        <a:xfrm>
          <a:off x="4540250" y="2594113"/>
          <a:ext cx="610566" cy="0"/>
        </a:xfrm>
        <a:prstGeom prst="line">
          <a:avLst/>
        </a:prstGeom>
        <a:ln w="19050">
          <a:solidFill>
            <a:schemeClr val="tx1">
              <a:lumMod val="95000"/>
              <a:lumOff val="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91514</xdr:colOff>
      <xdr:row>35</xdr:row>
      <xdr:rowOff>51734</xdr:rowOff>
    </xdr:from>
    <xdr:to>
      <xdr:col>11</xdr:col>
      <xdr:colOff>802715</xdr:colOff>
      <xdr:row>60</xdr:row>
      <xdr:rowOff>37353</xdr:rowOff>
    </xdr:to>
    <xdr:graphicFrame macro="">
      <xdr:nvGraphicFramePr>
        <xdr:cNvPr id="32" name="Diagramm 31">
          <a:extLst>
            <a:ext uri="{FF2B5EF4-FFF2-40B4-BE49-F238E27FC236}">
              <a16:creationId xmlns:a16="http://schemas.microsoft.com/office/drawing/2014/main" id="{4393E375-E7B0-E1C5-FCAE-F3479A0EA7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1334620</xdr:colOff>
      <xdr:row>45</xdr:row>
      <xdr:rowOff>170703</xdr:rowOff>
    </xdr:from>
    <xdr:to>
      <xdr:col>24</xdr:col>
      <xdr:colOff>756770</xdr:colOff>
      <xdr:row>67</xdr:row>
      <xdr:rowOff>141942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17793A44-2C84-88CD-B7B4-7DF3A0188C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119529</xdr:colOff>
      <xdr:row>62</xdr:row>
      <xdr:rowOff>82178</xdr:rowOff>
    </xdr:from>
    <xdr:to>
      <xdr:col>11</xdr:col>
      <xdr:colOff>830730</xdr:colOff>
      <xdr:row>87</xdr:row>
      <xdr:rowOff>149973</xdr:rowOff>
    </xdr:to>
    <xdr:graphicFrame macro="">
      <xdr:nvGraphicFramePr>
        <xdr:cNvPr id="57" name="Diagramm 56">
          <a:extLst>
            <a:ext uri="{FF2B5EF4-FFF2-40B4-BE49-F238E27FC236}">
              <a16:creationId xmlns:a16="http://schemas.microsoft.com/office/drawing/2014/main" id="{D0424069-EBF1-42E9-AAD2-9893DE6D38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660452</xdr:colOff>
      <xdr:row>20</xdr:row>
      <xdr:rowOff>123265</xdr:rowOff>
    </xdr:from>
    <xdr:to>
      <xdr:col>7</xdr:col>
      <xdr:colOff>328146</xdr:colOff>
      <xdr:row>21</xdr:row>
      <xdr:rowOff>190664</xdr:rowOff>
    </xdr:to>
    <xdr:sp macro="" textlink="">
      <xdr:nvSpPr>
        <xdr:cNvPr id="4" name="Textfeld 3">
          <a:extLst>
            <a:ext uri="{FF2B5EF4-FFF2-40B4-BE49-F238E27FC236}">
              <a16:creationId xmlns:a16="http://schemas.microsoft.com/office/drawing/2014/main" id="{BE985966-4C8C-4E93-A5CF-B3AC0FD7F8C6}"/>
            </a:ext>
          </a:extLst>
        </xdr:cNvPr>
        <xdr:cNvSpPr txBox="1"/>
      </xdr:nvSpPr>
      <xdr:spPr>
        <a:xfrm>
          <a:off x="5803952" y="4560794"/>
          <a:ext cx="429694" cy="30272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de-CH" sz="1100">
              <a:solidFill>
                <a:srgbClr val="00B0F0"/>
              </a:solidFill>
            </a:rPr>
            <a:t>U</a:t>
          </a:r>
          <a:r>
            <a:rPr lang="de-CH" sz="1100" baseline="-25000">
              <a:solidFill>
                <a:srgbClr val="00B0F0"/>
              </a:solidFill>
            </a:rPr>
            <a:t>c</a:t>
          </a:r>
          <a:endParaRPr lang="de-CH" sz="1100">
            <a:solidFill>
              <a:srgbClr val="00B0F0"/>
            </a:solidFill>
          </a:endParaRPr>
        </a:p>
      </xdr:txBody>
    </xdr:sp>
    <xdr:clientData/>
  </xdr:twoCellAnchor>
  <xdr:twoCellAnchor>
    <xdr:from>
      <xdr:col>6</xdr:col>
      <xdr:colOff>672353</xdr:colOff>
      <xdr:row>19</xdr:row>
      <xdr:rowOff>100853</xdr:rowOff>
    </xdr:from>
    <xdr:to>
      <xdr:col>6</xdr:col>
      <xdr:colOff>675528</xdr:colOff>
      <xdr:row>22</xdr:row>
      <xdr:rowOff>126440</xdr:rowOff>
    </xdr:to>
    <xdr:cxnSp macro="">
      <xdr:nvCxnSpPr>
        <xdr:cNvPr id="31" name="Gerader Verbinder 30">
          <a:extLst>
            <a:ext uri="{FF2B5EF4-FFF2-40B4-BE49-F238E27FC236}">
              <a16:creationId xmlns:a16="http://schemas.microsoft.com/office/drawing/2014/main" id="{45EAFB6A-8C4D-4B2B-A2BB-31E7E261A198}"/>
            </a:ext>
          </a:extLst>
        </xdr:cNvPr>
        <xdr:cNvCxnSpPr>
          <a:cxnSpLocks/>
        </xdr:cNvCxnSpPr>
      </xdr:nvCxnSpPr>
      <xdr:spPr>
        <a:xfrm>
          <a:off x="5815853" y="4303059"/>
          <a:ext cx="3175" cy="731557"/>
        </a:xfrm>
        <a:prstGeom prst="line">
          <a:avLst/>
        </a:prstGeom>
        <a:ln w="19050">
          <a:solidFill>
            <a:srgbClr val="00B0F0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419100</xdr:colOff>
      <xdr:row>0</xdr:row>
      <xdr:rowOff>101600</xdr:rowOff>
    </xdr:from>
    <xdr:to>
      <xdr:col>1</xdr:col>
      <xdr:colOff>260350</xdr:colOff>
      <xdr:row>2</xdr:row>
      <xdr:rowOff>156028</xdr:rowOff>
    </xdr:to>
    <xdr:sp macro="" textlink="">
      <xdr:nvSpPr>
        <xdr:cNvPr id="2" name="Pfeil: nach recht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45DE25F-AACE-44A6-A9AF-235BE8B80F30}"/>
            </a:ext>
          </a:extLst>
        </xdr:cNvPr>
        <xdr:cNvSpPr/>
      </xdr:nvSpPr>
      <xdr:spPr>
        <a:xfrm rot="10800000">
          <a:off x="419100" y="101600"/>
          <a:ext cx="603250" cy="537028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123824</xdr:colOff>
      <xdr:row>26</xdr:row>
      <xdr:rowOff>174624</xdr:rowOff>
    </xdr:from>
    <xdr:to>
      <xdr:col>11</xdr:col>
      <xdr:colOff>311150</xdr:colOff>
      <xdr:row>52</xdr:row>
      <xdr:rowOff>107949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72051656-3FED-11C8-84A0-7E4B3B3540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731837</xdr:colOff>
      <xdr:row>26</xdr:row>
      <xdr:rowOff>168275</xdr:rowOff>
    </xdr:from>
    <xdr:to>
      <xdr:col>18</xdr:col>
      <xdr:colOff>333375</xdr:colOff>
      <xdr:row>47</xdr:row>
      <xdr:rowOff>114300</xdr:rowOff>
    </xdr:to>
    <xdr:graphicFrame macro="">
      <xdr:nvGraphicFramePr>
        <xdr:cNvPr id="5" name="Diagramm 4">
          <a:extLst>
            <a:ext uri="{FF2B5EF4-FFF2-40B4-BE49-F238E27FC236}">
              <a16:creationId xmlns:a16="http://schemas.microsoft.com/office/drawing/2014/main" id="{0CF15497-7602-D976-57C4-E1863758B6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236311</xdr:colOff>
      <xdr:row>4</xdr:row>
      <xdr:rowOff>9525</xdr:rowOff>
    </xdr:from>
    <xdr:to>
      <xdr:col>7</xdr:col>
      <xdr:colOff>476251</xdr:colOff>
      <xdr:row>13</xdr:row>
      <xdr:rowOff>27215</xdr:rowOff>
    </xdr:to>
    <xdr:grpSp>
      <xdr:nvGrpSpPr>
        <xdr:cNvPr id="165" name="Gruppieren 164">
          <a:extLst>
            <a:ext uri="{FF2B5EF4-FFF2-40B4-BE49-F238E27FC236}">
              <a16:creationId xmlns:a16="http://schemas.microsoft.com/office/drawing/2014/main" id="{A5784262-0CD4-C2BA-B56A-7C6F161A6EFD}"/>
            </a:ext>
          </a:extLst>
        </xdr:cNvPr>
        <xdr:cNvGrpSpPr/>
      </xdr:nvGrpSpPr>
      <xdr:grpSpPr>
        <a:xfrm>
          <a:off x="236311" y="880382"/>
          <a:ext cx="5573940" cy="2017940"/>
          <a:chOff x="4327071" y="11330668"/>
          <a:chExt cx="5132488" cy="1537916"/>
        </a:xfrm>
      </xdr:grpSpPr>
      <xdr:sp macro="" textlink="">
        <xdr:nvSpPr>
          <xdr:cNvPr id="134" name="Rechteck 133">
            <a:extLst>
              <a:ext uri="{FF2B5EF4-FFF2-40B4-BE49-F238E27FC236}">
                <a16:creationId xmlns:a16="http://schemas.microsoft.com/office/drawing/2014/main" id="{540B46FE-D008-4D48-A464-7AA6B9B0D482}"/>
              </a:ext>
            </a:extLst>
          </xdr:cNvPr>
          <xdr:cNvSpPr/>
        </xdr:nvSpPr>
        <xdr:spPr>
          <a:xfrm>
            <a:off x="4370237" y="11330668"/>
            <a:ext cx="3516414" cy="1537916"/>
          </a:xfrm>
          <a:prstGeom prst="rect">
            <a:avLst/>
          </a:prstGeom>
          <a:solidFill>
            <a:srgbClr val="FFFF0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de-CH" sz="600">
                <a:solidFill>
                  <a:schemeClr val="tx1">
                    <a:lumMod val="95000"/>
                    <a:lumOff val="5000"/>
                  </a:schemeClr>
                </a:solidFill>
              </a:rPr>
              <a:t>Reale Spannungsquelle</a:t>
            </a:r>
          </a:p>
        </xdr:txBody>
      </xdr:sp>
      <xdr:grpSp>
        <xdr:nvGrpSpPr>
          <xdr:cNvPr id="135" name="Gruppieren 134">
            <a:extLst>
              <a:ext uri="{FF2B5EF4-FFF2-40B4-BE49-F238E27FC236}">
                <a16:creationId xmlns:a16="http://schemas.microsoft.com/office/drawing/2014/main" id="{BA5E9CD4-61B1-4F9A-9638-E1562D8D72F4}"/>
              </a:ext>
            </a:extLst>
          </xdr:cNvPr>
          <xdr:cNvGrpSpPr/>
        </xdr:nvGrpSpPr>
        <xdr:grpSpPr>
          <a:xfrm>
            <a:off x="8146446" y="11495066"/>
            <a:ext cx="1313113" cy="1191360"/>
            <a:chOff x="2773378" y="10207571"/>
            <a:chExt cx="1254659" cy="1191913"/>
          </a:xfrm>
        </xdr:grpSpPr>
        <xdr:cxnSp macro="">
          <xdr:nvCxnSpPr>
            <xdr:cNvPr id="136" name="Gerader Verbinder 135">
              <a:extLst>
                <a:ext uri="{FF2B5EF4-FFF2-40B4-BE49-F238E27FC236}">
                  <a16:creationId xmlns:a16="http://schemas.microsoft.com/office/drawing/2014/main" id="{133C2A7F-39F8-DFE4-6773-908F7841EE29}"/>
                </a:ext>
              </a:extLst>
            </xdr:cNvPr>
            <xdr:cNvCxnSpPr>
              <a:cxnSpLocks/>
              <a:endCxn id="137" idx="1"/>
            </xdr:cNvCxnSpPr>
          </xdr:nvCxnSpPr>
          <xdr:spPr>
            <a:xfrm>
              <a:off x="3699145" y="10207571"/>
              <a:ext cx="2144" cy="254999"/>
            </a:xfrm>
            <a:prstGeom prst="line">
              <a:avLst/>
            </a:prstGeom>
            <a:ln w="19050">
              <a:solidFill>
                <a:schemeClr val="tx1">
                  <a:lumMod val="95000"/>
                  <a:lumOff val="5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37" name="Textfeld 136">
              <a:extLst>
                <a:ext uri="{FF2B5EF4-FFF2-40B4-BE49-F238E27FC236}">
                  <a16:creationId xmlns:a16="http://schemas.microsoft.com/office/drawing/2014/main" id="{27E3C1CD-6908-B4AA-6B11-76F29A97462C}"/>
                </a:ext>
              </a:extLst>
            </xdr:cNvPr>
            <xdr:cNvSpPr txBox="1"/>
          </xdr:nvSpPr>
          <xdr:spPr>
            <a:xfrm rot="5400000" flipV="1">
              <a:off x="3353253" y="10678425"/>
              <a:ext cx="696073" cy="264365"/>
            </a:xfrm>
            <a:prstGeom prst="rect">
              <a:avLst/>
            </a:prstGeom>
            <a:solidFill>
              <a:schemeClr val="lt1"/>
            </a:solidFill>
            <a:ln w="12700" cmpd="sng">
              <a:solidFill>
                <a:schemeClr val="tx1">
                  <a:lumMod val="95000"/>
                  <a:lumOff val="5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de-CH" sz="900"/>
                <a:t>R</a:t>
              </a:r>
              <a:r>
                <a:rPr lang="de-CH" sz="900" baseline="-25000"/>
                <a:t>Last</a:t>
              </a:r>
            </a:p>
          </xdr:txBody>
        </xdr:sp>
        <xdr:cxnSp macro="">
          <xdr:nvCxnSpPr>
            <xdr:cNvPr id="138" name="Gerader Verbinder 137">
              <a:extLst>
                <a:ext uri="{FF2B5EF4-FFF2-40B4-BE49-F238E27FC236}">
                  <a16:creationId xmlns:a16="http://schemas.microsoft.com/office/drawing/2014/main" id="{3368187F-68BA-753F-FC24-A00CBDDBD9A3}"/>
                </a:ext>
              </a:extLst>
            </xdr:cNvPr>
            <xdr:cNvCxnSpPr>
              <a:cxnSpLocks/>
              <a:endCxn id="137" idx="3"/>
            </xdr:cNvCxnSpPr>
          </xdr:nvCxnSpPr>
          <xdr:spPr>
            <a:xfrm flipV="1">
              <a:off x="3698763" y="11158643"/>
              <a:ext cx="2527" cy="240841"/>
            </a:xfrm>
            <a:prstGeom prst="line">
              <a:avLst/>
            </a:prstGeom>
            <a:ln w="19050">
              <a:solidFill>
                <a:schemeClr val="tx1">
                  <a:lumMod val="95000"/>
                  <a:lumOff val="5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39" name="Gerader Verbinder 138">
              <a:extLst>
                <a:ext uri="{FF2B5EF4-FFF2-40B4-BE49-F238E27FC236}">
                  <a16:creationId xmlns:a16="http://schemas.microsoft.com/office/drawing/2014/main" id="{FBD3C28F-9D22-DF37-E443-EF5EEA434AD6}"/>
                </a:ext>
              </a:extLst>
            </xdr:cNvPr>
            <xdr:cNvCxnSpPr>
              <a:cxnSpLocks/>
            </xdr:cNvCxnSpPr>
          </xdr:nvCxnSpPr>
          <xdr:spPr>
            <a:xfrm flipV="1">
              <a:off x="2787109" y="10208934"/>
              <a:ext cx="928419" cy="5285"/>
            </a:xfrm>
            <a:prstGeom prst="line">
              <a:avLst/>
            </a:prstGeom>
            <a:ln w="19050">
              <a:solidFill>
                <a:schemeClr val="tx1">
                  <a:lumMod val="95000"/>
                  <a:lumOff val="5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40" name="Gerader Verbinder 139">
              <a:extLst>
                <a:ext uri="{FF2B5EF4-FFF2-40B4-BE49-F238E27FC236}">
                  <a16:creationId xmlns:a16="http://schemas.microsoft.com/office/drawing/2014/main" id="{5D2AED45-C939-EFC9-034F-1FBB614790D7}"/>
                </a:ext>
              </a:extLst>
            </xdr:cNvPr>
            <xdr:cNvCxnSpPr>
              <a:cxnSpLocks/>
            </xdr:cNvCxnSpPr>
          </xdr:nvCxnSpPr>
          <xdr:spPr>
            <a:xfrm flipV="1">
              <a:off x="2773378" y="11389263"/>
              <a:ext cx="930563" cy="5284"/>
            </a:xfrm>
            <a:prstGeom prst="line">
              <a:avLst/>
            </a:prstGeom>
            <a:ln w="19050">
              <a:solidFill>
                <a:schemeClr val="tx1">
                  <a:lumMod val="95000"/>
                  <a:lumOff val="5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41" name="Gerader Verbinder 140">
              <a:extLst>
                <a:ext uri="{FF2B5EF4-FFF2-40B4-BE49-F238E27FC236}">
                  <a16:creationId xmlns:a16="http://schemas.microsoft.com/office/drawing/2014/main" id="{E3CFB17D-47E6-8112-708F-5B6653912586}"/>
                </a:ext>
              </a:extLst>
            </xdr:cNvPr>
            <xdr:cNvCxnSpPr>
              <a:cxnSpLocks/>
            </xdr:cNvCxnSpPr>
          </xdr:nvCxnSpPr>
          <xdr:spPr>
            <a:xfrm flipV="1">
              <a:off x="3356976" y="10398423"/>
              <a:ext cx="671061" cy="591985"/>
            </a:xfrm>
            <a:prstGeom prst="line">
              <a:avLst/>
            </a:prstGeom>
            <a:ln w="19050">
              <a:solidFill>
                <a:schemeClr val="tx1">
                  <a:lumMod val="95000"/>
                  <a:lumOff val="5000"/>
                </a:schemeClr>
              </a:solidFill>
              <a:headEnd type="none" w="med" len="med"/>
              <a:tailEnd type="triangle" w="med" len="med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42" name="Gruppieren 141">
            <a:extLst>
              <a:ext uri="{FF2B5EF4-FFF2-40B4-BE49-F238E27FC236}">
                <a16:creationId xmlns:a16="http://schemas.microsoft.com/office/drawing/2014/main" id="{304ECE6E-643A-4832-BDAD-9B21373F068B}"/>
              </a:ext>
            </a:extLst>
          </xdr:cNvPr>
          <xdr:cNvGrpSpPr/>
        </xdr:nvGrpSpPr>
        <xdr:grpSpPr>
          <a:xfrm>
            <a:off x="4327071" y="11359378"/>
            <a:ext cx="3828996" cy="1388069"/>
            <a:chOff x="1647691" y="3231319"/>
            <a:chExt cx="3829184" cy="1371297"/>
          </a:xfrm>
        </xdr:grpSpPr>
        <xdr:grpSp>
          <xdr:nvGrpSpPr>
            <xdr:cNvPr id="143" name="Gruppieren 142">
              <a:extLst>
                <a:ext uri="{FF2B5EF4-FFF2-40B4-BE49-F238E27FC236}">
                  <a16:creationId xmlns:a16="http://schemas.microsoft.com/office/drawing/2014/main" id="{3B96A9EE-680D-E377-0523-9FC21B6FD470}"/>
                </a:ext>
              </a:extLst>
            </xdr:cNvPr>
            <xdr:cNvGrpSpPr/>
          </xdr:nvGrpSpPr>
          <xdr:grpSpPr>
            <a:xfrm>
              <a:off x="2250055" y="3231319"/>
              <a:ext cx="3165174" cy="1309353"/>
              <a:chOff x="4427838" y="1387845"/>
              <a:chExt cx="3167127" cy="1304717"/>
            </a:xfrm>
          </xdr:grpSpPr>
          <xdr:sp macro="" textlink="">
            <xdr:nvSpPr>
              <xdr:cNvPr id="159" name="Textfeld 158">
                <a:extLst>
                  <a:ext uri="{FF2B5EF4-FFF2-40B4-BE49-F238E27FC236}">
                    <a16:creationId xmlns:a16="http://schemas.microsoft.com/office/drawing/2014/main" id="{072783A4-74EF-26B5-4CF4-9D6387261D8A}"/>
                  </a:ext>
                </a:extLst>
              </xdr:cNvPr>
              <xdr:cNvSpPr txBox="1"/>
            </xdr:nvSpPr>
            <xdr:spPr>
              <a:xfrm>
                <a:off x="7029444" y="1528263"/>
                <a:ext cx="202920" cy="264048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rtlCol="0" anchor="t">
                <a:noAutofit/>
              </a:bodyPr>
              <a:lstStyle/>
              <a:p>
                <a:r>
                  <a:rPr lang="de-CH" sz="1100">
                    <a:solidFill>
                      <a:srgbClr val="FF0000"/>
                    </a:solidFill>
                  </a:rPr>
                  <a:t>I</a:t>
                </a:r>
              </a:p>
            </xdr:txBody>
          </xdr:sp>
          <xdr:cxnSp macro="">
            <xdr:nvCxnSpPr>
              <xdr:cNvPr id="160" name="Gerader Verbinder 159">
                <a:extLst>
                  <a:ext uri="{FF2B5EF4-FFF2-40B4-BE49-F238E27FC236}">
                    <a16:creationId xmlns:a16="http://schemas.microsoft.com/office/drawing/2014/main" id="{F9AEA249-AA63-D12B-996F-C0BFEBA9EE70}"/>
                  </a:ext>
                </a:extLst>
              </xdr:cNvPr>
              <xdr:cNvCxnSpPr>
                <a:cxnSpLocks/>
                <a:stCxn id="161" idx="1"/>
              </xdr:cNvCxnSpPr>
            </xdr:nvCxnSpPr>
            <xdr:spPr>
              <a:xfrm flipV="1">
                <a:off x="6431532" y="1523812"/>
                <a:ext cx="1088963" cy="741"/>
              </a:xfrm>
              <a:prstGeom prst="line">
                <a:avLst/>
              </a:prstGeom>
              <a:ln w="19050">
                <a:solidFill>
                  <a:schemeClr val="tx1">
                    <a:lumMod val="95000"/>
                    <a:lumOff val="5000"/>
                  </a:schemeClr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sp macro="" textlink="">
            <xdr:nvSpPr>
              <xdr:cNvPr id="161" name="Textfeld 160">
                <a:extLst>
                  <a:ext uri="{FF2B5EF4-FFF2-40B4-BE49-F238E27FC236}">
                    <a16:creationId xmlns:a16="http://schemas.microsoft.com/office/drawing/2014/main" id="{370342E5-6692-7765-7662-B60AEB6791E2}"/>
                  </a:ext>
                </a:extLst>
              </xdr:cNvPr>
              <xdr:cNvSpPr txBox="1"/>
            </xdr:nvSpPr>
            <xdr:spPr>
              <a:xfrm rot="10800000" flipV="1">
                <a:off x="5707495" y="1387845"/>
                <a:ext cx="724036" cy="273416"/>
              </a:xfrm>
              <a:prstGeom prst="rect">
                <a:avLst/>
              </a:prstGeom>
              <a:solidFill>
                <a:schemeClr val="lt1"/>
              </a:solidFill>
              <a:ln w="12700" cmpd="sng">
                <a:solidFill>
                  <a:schemeClr val="tx1">
                    <a:lumMod val="95000"/>
                    <a:lumOff val="5000"/>
                  </a:schemeClr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ctr"/>
                <a:r>
                  <a:rPr lang="de-CH" sz="900"/>
                  <a:t>R</a:t>
                </a:r>
                <a:r>
                  <a:rPr lang="de-CH" sz="900" baseline="-25000"/>
                  <a:t>i</a:t>
                </a:r>
              </a:p>
            </xdr:txBody>
          </xdr:sp>
          <xdr:cxnSp macro="">
            <xdr:nvCxnSpPr>
              <xdr:cNvPr id="162" name="Gerader Verbinder 161">
                <a:extLst>
                  <a:ext uri="{FF2B5EF4-FFF2-40B4-BE49-F238E27FC236}">
                    <a16:creationId xmlns:a16="http://schemas.microsoft.com/office/drawing/2014/main" id="{A5A4107F-65E7-1A39-BA88-9CBD0558FFD4}"/>
                  </a:ext>
                </a:extLst>
              </xdr:cNvPr>
              <xdr:cNvCxnSpPr>
                <a:cxnSpLocks/>
                <a:endCxn id="161" idx="3"/>
              </xdr:cNvCxnSpPr>
            </xdr:nvCxnSpPr>
            <xdr:spPr>
              <a:xfrm>
                <a:off x="4456091" y="1520857"/>
                <a:ext cx="1251404" cy="3696"/>
              </a:xfrm>
              <a:prstGeom prst="line">
                <a:avLst/>
              </a:prstGeom>
              <a:ln w="19050">
                <a:solidFill>
                  <a:schemeClr val="tx1">
                    <a:lumMod val="95000"/>
                    <a:lumOff val="5000"/>
                  </a:schemeClr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63" name="Gerader Verbinder 162">
                <a:extLst>
                  <a:ext uri="{FF2B5EF4-FFF2-40B4-BE49-F238E27FC236}">
                    <a16:creationId xmlns:a16="http://schemas.microsoft.com/office/drawing/2014/main" id="{EBB1A4FB-E212-93A6-63F1-9B9E57367F78}"/>
                  </a:ext>
                </a:extLst>
              </xdr:cNvPr>
              <xdr:cNvCxnSpPr>
                <a:cxnSpLocks/>
              </xdr:cNvCxnSpPr>
            </xdr:nvCxnSpPr>
            <xdr:spPr>
              <a:xfrm>
                <a:off x="7592171" y="1832902"/>
                <a:ext cx="2794" cy="650796"/>
              </a:xfrm>
              <a:prstGeom prst="line">
                <a:avLst/>
              </a:prstGeom>
              <a:ln w="19050">
                <a:solidFill>
                  <a:srgbClr val="00B0F0"/>
                </a:solidFill>
                <a:headEnd type="none"/>
                <a:tailEnd type="triangle"/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64" name="Gerader Verbinder 163">
                <a:extLst>
                  <a:ext uri="{FF2B5EF4-FFF2-40B4-BE49-F238E27FC236}">
                    <a16:creationId xmlns:a16="http://schemas.microsoft.com/office/drawing/2014/main" id="{62E9CCE5-83D1-A4B4-4B10-7F757C58DF36}"/>
                  </a:ext>
                </a:extLst>
              </xdr:cNvPr>
              <xdr:cNvCxnSpPr>
                <a:cxnSpLocks/>
              </xdr:cNvCxnSpPr>
            </xdr:nvCxnSpPr>
            <xdr:spPr>
              <a:xfrm flipV="1">
                <a:off x="4427838" y="2679738"/>
                <a:ext cx="3091864" cy="12824"/>
              </a:xfrm>
              <a:prstGeom prst="line">
                <a:avLst/>
              </a:prstGeom>
              <a:ln w="19050">
                <a:solidFill>
                  <a:schemeClr val="tx1">
                    <a:lumMod val="95000"/>
                    <a:lumOff val="5000"/>
                  </a:schemeClr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</xdr:grpSp>
        <xdr:grpSp>
          <xdr:nvGrpSpPr>
            <xdr:cNvPr id="144" name="Gruppieren 143">
              <a:extLst>
                <a:ext uri="{FF2B5EF4-FFF2-40B4-BE49-F238E27FC236}">
                  <a16:creationId xmlns:a16="http://schemas.microsoft.com/office/drawing/2014/main" id="{074662E8-F800-D858-F0AA-43BC30F145E6}"/>
                </a:ext>
              </a:extLst>
            </xdr:cNvPr>
            <xdr:cNvGrpSpPr/>
          </xdr:nvGrpSpPr>
          <xdr:grpSpPr>
            <a:xfrm>
              <a:off x="1647691" y="3354163"/>
              <a:ext cx="3783279" cy="1193342"/>
              <a:chOff x="1413648" y="1207509"/>
              <a:chExt cx="3783279" cy="1209349"/>
            </a:xfrm>
          </xdr:grpSpPr>
          <xdr:grpSp>
            <xdr:nvGrpSpPr>
              <xdr:cNvPr id="148" name="Gruppieren 147">
                <a:extLst>
                  <a:ext uri="{FF2B5EF4-FFF2-40B4-BE49-F238E27FC236}">
                    <a16:creationId xmlns:a16="http://schemas.microsoft.com/office/drawing/2014/main" id="{F4F8D305-F4C4-E653-D139-52041AF23D9D}"/>
                  </a:ext>
                </a:extLst>
              </xdr:cNvPr>
              <xdr:cNvGrpSpPr/>
            </xdr:nvGrpSpPr>
            <xdr:grpSpPr>
              <a:xfrm>
                <a:off x="1762453" y="1207509"/>
                <a:ext cx="535457" cy="1209349"/>
                <a:chOff x="1249760" y="11127358"/>
                <a:chExt cx="542131" cy="1198751"/>
              </a:xfrm>
            </xdr:grpSpPr>
            <xdr:cxnSp macro="">
              <xdr:nvCxnSpPr>
                <xdr:cNvPr id="152" name="Gerader Verbinder 151">
                  <a:extLst>
                    <a:ext uri="{FF2B5EF4-FFF2-40B4-BE49-F238E27FC236}">
                      <a16:creationId xmlns:a16="http://schemas.microsoft.com/office/drawing/2014/main" id="{2F0D6B5C-2DAF-35E4-60C9-0E333B0F3491}"/>
                    </a:ext>
                  </a:extLst>
                </xdr:cNvPr>
                <xdr:cNvCxnSpPr>
                  <a:cxnSpLocks/>
                </xdr:cNvCxnSpPr>
              </xdr:nvCxnSpPr>
              <xdr:spPr>
                <a:xfrm flipH="1" flipV="1">
                  <a:off x="1532310" y="11127358"/>
                  <a:ext cx="817" cy="388906"/>
                </a:xfrm>
                <a:prstGeom prst="line">
                  <a:avLst/>
                </a:prstGeom>
                <a:ln w="19050">
                  <a:solidFill>
                    <a:schemeClr val="tx1">
                      <a:lumMod val="95000"/>
                      <a:lumOff val="5000"/>
                    </a:schemeClr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153" name="Gerader Verbinder 152">
                  <a:extLst>
                    <a:ext uri="{FF2B5EF4-FFF2-40B4-BE49-F238E27FC236}">
                      <a16:creationId xmlns:a16="http://schemas.microsoft.com/office/drawing/2014/main" id="{C575716C-04BA-2FA8-6197-4147AAC948F5}"/>
                    </a:ext>
                  </a:extLst>
                </xdr:cNvPr>
                <xdr:cNvCxnSpPr/>
              </xdr:nvCxnSpPr>
              <xdr:spPr>
                <a:xfrm>
                  <a:off x="1264841" y="11524995"/>
                  <a:ext cx="527050" cy="0"/>
                </a:xfrm>
                <a:prstGeom prst="line">
                  <a:avLst/>
                </a:prstGeom>
                <a:ln w="19050">
                  <a:solidFill>
                    <a:schemeClr val="tx1">
                      <a:lumMod val="95000"/>
                      <a:lumOff val="5000"/>
                    </a:schemeClr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154" name="Gerader Verbinder 153">
                  <a:extLst>
                    <a:ext uri="{FF2B5EF4-FFF2-40B4-BE49-F238E27FC236}">
                      <a16:creationId xmlns:a16="http://schemas.microsoft.com/office/drawing/2014/main" id="{AA4932F6-A8DA-379E-BFB9-609EA65EE91E}"/>
                    </a:ext>
                  </a:extLst>
                </xdr:cNvPr>
                <xdr:cNvCxnSpPr/>
              </xdr:nvCxnSpPr>
              <xdr:spPr>
                <a:xfrm>
                  <a:off x="1249760" y="11878476"/>
                  <a:ext cx="533400" cy="0"/>
                </a:xfrm>
                <a:prstGeom prst="line">
                  <a:avLst/>
                </a:prstGeom>
                <a:ln w="19050">
                  <a:solidFill>
                    <a:schemeClr val="tx1">
                      <a:lumMod val="95000"/>
                      <a:lumOff val="5000"/>
                    </a:schemeClr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155" name="Gerader Verbinder 154">
                  <a:extLst>
                    <a:ext uri="{FF2B5EF4-FFF2-40B4-BE49-F238E27FC236}">
                      <a16:creationId xmlns:a16="http://schemas.microsoft.com/office/drawing/2014/main" id="{EC7FF872-34FB-27A6-BFBD-C6F5CDB9D89E}"/>
                    </a:ext>
                  </a:extLst>
                </xdr:cNvPr>
                <xdr:cNvCxnSpPr/>
              </xdr:nvCxnSpPr>
              <xdr:spPr>
                <a:xfrm>
                  <a:off x="1401763" y="11581352"/>
                  <a:ext cx="247649" cy="396"/>
                </a:xfrm>
                <a:prstGeom prst="line">
                  <a:avLst/>
                </a:prstGeom>
                <a:ln w="19050">
                  <a:solidFill>
                    <a:schemeClr val="tx1">
                      <a:lumMod val="95000"/>
                      <a:lumOff val="5000"/>
                    </a:schemeClr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156" name="Gerader Verbinder 155">
                  <a:extLst>
                    <a:ext uri="{FF2B5EF4-FFF2-40B4-BE49-F238E27FC236}">
                      <a16:creationId xmlns:a16="http://schemas.microsoft.com/office/drawing/2014/main" id="{3CE566E1-C450-59E1-47D7-3D74FB6CBE99}"/>
                    </a:ext>
                  </a:extLst>
                </xdr:cNvPr>
                <xdr:cNvCxnSpPr/>
              </xdr:nvCxnSpPr>
              <xdr:spPr>
                <a:xfrm>
                  <a:off x="1380729" y="11925705"/>
                  <a:ext cx="247649" cy="396"/>
                </a:xfrm>
                <a:prstGeom prst="line">
                  <a:avLst/>
                </a:prstGeom>
                <a:ln w="19050">
                  <a:solidFill>
                    <a:schemeClr val="tx1">
                      <a:lumMod val="95000"/>
                      <a:lumOff val="5000"/>
                    </a:schemeClr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157" name="Gerader Verbinder 156">
                  <a:extLst>
                    <a:ext uri="{FF2B5EF4-FFF2-40B4-BE49-F238E27FC236}">
                      <a16:creationId xmlns:a16="http://schemas.microsoft.com/office/drawing/2014/main" id="{D694AFC5-C168-2B6B-DB10-C32C373B29CE}"/>
                    </a:ext>
                  </a:extLst>
                </xdr:cNvPr>
                <xdr:cNvCxnSpPr/>
              </xdr:nvCxnSpPr>
              <xdr:spPr>
                <a:xfrm>
                  <a:off x="1524000" y="11593654"/>
                  <a:ext cx="0" cy="282044"/>
                </a:xfrm>
                <a:prstGeom prst="line">
                  <a:avLst/>
                </a:prstGeom>
                <a:ln w="19050">
                  <a:solidFill>
                    <a:schemeClr val="tx1">
                      <a:lumMod val="95000"/>
                      <a:lumOff val="5000"/>
                    </a:schemeClr>
                  </a:solidFill>
                  <a:prstDash val="sysDash"/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158" name="Gerader Verbinder 157">
                  <a:extLst>
                    <a:ext uri="{FF2B5EF4-FFF2-40B4-BE49-F238E27FC236}">
                      <a16:creationId xmlns:a16="http://schemas.microsoft.com/office/drawing/2014/main" id="{07A3D4B2-A58E-42AF-A7F2-6F445ED81302}"/>
                    </a:ext>
                  </a:extLst>
                </xdr:cNvPr>
                <xdr:cNvCxnSpPr/>
              </xdr:nvCxnSpPr>
              <xdr:spPr>
                <a:xfrm flipV="1">
                  <a:off x="1521174" y="11935230"/>
                  <a:ext cx="47" cy="390879"/>
                </a:xfrm>
                <a:prstGeom prst="line">
                  <a:avLst/>
                </a:prstGeom>
                <a:ln w="19050">
                  <a:solidFill>
                    <a:schemeClr val="tx1">
                      <a:lumMod val="95000"/>
                      <a:lumOff val="5000"/>
                    </a:schemeClr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</xdr:grpSp>
          <xdr:cxnSp macro="">
            <xdr:nvCxnSpPr>
              <xdr:cNvPr id="149" name="Gerader Verbinder 148">
                <a:extLst>
                  <a:ext uri="{FF2B5EF4-FFF2-40B4-BE49-F238E27FC236}">
                    <a16:creationId xmlns:a16="http://schemas.microsoft.com/office/drawing/2014/main" id="{66DBF40F-F640-976D-20DF-9A6BF24AEA27}"/>
                  </a:ext>
                </a:extLst>
              </xdr:cNvPr>
              <xdr:cNvCxnSpPr>
                <a:cxnSpLocks/>
              </xdr:cNvCxnSpPr>
            </xdr:nvCxnSpPr>
            <xdr:spPr>
              <a:xfrm flipH="1">
                <a:off x="1683719" y="1550335"/>
                <a:ext cx="11193" cy="525911"/>
              </a:xfrm>
              <a:prstGeom prst="line">
                <a:avLst/>
              </a:prstGeom>
              <a:ln w="19050">
                <a:solidFill>
                  <a:srgbClr val="00B0F0"/>
                </a:solidFill>
                <a:headEnd type="none"/>
                <a:tailEnd type="triangle"/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sp macro="" textlink="">
            <xdr:nvSpPr>
              <xdr:cNvPr id="150" name="Textfeld 149">
                <a:extLst>
                  <a:ext uri="{FF2B5EF4-FFF2-40B4-BE49-F238E27FC236}">
                    <a16:creationId xmlns:a16="http://schemas.microsoft.com/office/drawing/2014/main" id="{1A3E3803-2B48-E958-F675-7347933B4BAE}"/>
                  </a:ext>
                </a:extLst>
              </xdr:cNvPr>
              <xdr:cNvSpPr txBox="1"/>
            </xdr:nvSpPr>
            <xdr:spPr>
              <a:xfrm>
                <a:off x="1413648" y="1665070"/>
                <a:ext cx="267149" cy="263573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rtlCol="0" anchor="t">
                <a:noAutofit/>
              </a:bodyPr>
              <a:lstStyle/>
              <a:p>
                <a:r>
                  <a:rPr lang="de-CH" sz="1100">
                    <a:solidFill>
                      <a:srgbClr val="00B0F0"/>
                    </a:solidFill>
                  </a:rPr>
                  <a:t>U</a:t>
                </a:r>
                <a:r>
                  <a:rPr lang="de-CH" sz="1100" baseline="-25000">
                    <a:solidFill>
                      <a:srgbClr val="00B0F0"/>
                    </a:solidFill>
                  </a:rPr>
                  <a:t>0</a:t>
                </a:r>
                <a:endParaRPr lang="de-CH" sz="1100">
                  <a:solidFill>
                    <a:srgbClr val="00B0F0"/>
                  </a:solidFill>
                </a:endParaRPr>
              </a:p>
            </xdr:txBody>
          </xdr:sp>
          <xdr:sp macro="" textlink="">
            <xdr:nvSpPr>
              <xdr:cNvPr id="151" name="Textfeld 150">
                <a:extLst>
                  <a:ext uri="{FF2B5EF4-FFF2-40B4-BE49-F238E27FC236}">
                    <a16:creationId xmlns:a16="http://schemas.microsoft.com/office/drawing/2014/main" id="{3A12F5FD-866A-7A90-6A60-9E1490500F5E}"/>
                  </a:ext>
                </a:extLst>
              </xdr:cNvPr>
              <xdr:cNvSpPr txBox="1"/>
            </xdr:nvSpPr>
            <xdr:spPr>
              <a:xfrm>
                <a:off x="4929778" y="1703221"/>
                <a:ext cx="267149" cy="263573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rtlCol="0" anchor="t">
                <a:noAutofit/>
              </a:bodyPr>
              <a:lstStyle/>
              <a:p>
                <a:r>
                  <a:rPr lang="de-CH" sz="1100">
                    <a:solidFill>
                      <a:srgbClr val="00B0F0"/>
                    </a:solidFill>
                  </a:rPr>
                  <a:t>U</a:t>
                </a:r>
                <a:r>
                  <a:rPr lang="de-CH" sz="1100" baseline="-25000">
                    <a:solidFill>
                      <a:srgbClr val="00B0F0"/>
                    </a:solidFill>
                  </a:rPr>
                  <a:t>K</a:t>
                </a:r>
              </a:p>
            </xdr:txBody>
          </xdr:sp>
        </xdr:grpSp>
        <xdr:cxnSp macro="">
          <xdr:nvCxnSpPr>
            <xdr:cNvPr id="145" name="Gerade Verbindung mit Pfeil 144">
              <a:extLst>
                <a:ext uri="{FF2B5EF4-FFF2-40B4-BE49-F238E27FC236}">
                  <a16:creationId xmlns:a16="http://schemas.microsoft.com/office/drawing/2014/main" id="{00303659-F03E-5C2C-43BE-45B9C2589978}"/>
                </a:ext>
              </a:extLst>
            </xdr:cNvPr>
            <xdr:cNvCxnSpPr/>
          </xdr:nvCxnSpPr>
          <xdr:spPr>
            <a:xfrm>
              <a:off x="4926977" y="3371169"/>
              <a:ext cx="97105" cy="0"/>
            </a:xfrm>
            <a:prstGeom prst="straightConnector1">
              <a:avLst/>
            </a:prstGeom>
            <a:ln>
              <a:solidFill>
                <a:srgbClr val="FF0000"/>
              </a:solidFill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46" name="Ellipse 145">
              <a:extLst>
                <a:ext uri="{FF2B5EF4-FFF2-40B4-BE49-F238E27FC236}">
                  <a16:creationId xmlns:a16="http://schemas.microsoft.com/office/drawing/2014/main" id="{817AFC8F-5D40-D122-AB9A-816BC3E805F5}"/>
                </a:ext>
              </a:extLst>
            </xdr:cNvPr>
            <xdr:cNvSpPr/>
          </xdr:nvSpPr>
          <xdr:spPr>
            <a:xfrm>
              <a:off x="5340576" y="3302907"/>
              <a:ext cx="136299" cy="142875"/>
            </a:xfrm>
            <a:prstGeom prst="ellipse">
              <a:avLst/>
            </a:prstGeom>
            <a:noFill/>
            <a:ln>
              <a:solidFill>
                <a:schemeClr val="tx1">
                  <a:lumMod val="95000"/>
                  <a:lumOff val="5000"/>
                </a:schemeClr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de-CH" sz="1100"/>
            </a:p>
          </xdr:txBody>
        </xdr:sp>
        <xdr:sp macro="" textlink="">
          <xdr:nvSpPr>
            <xdr:cNvPr id="147" name="Ellipse 146">
              <a:extLst>
                <a:ext uri="{FF2B5EF4-FFF2-40B4-BE49-F238E27FC236}">
                  <a16:creationId xmlns:a16="http://schemas.microsoft.com/office/drawing/2014/main" id="{15905085-8B87-1E48-D79D-9E4D25BE2058}"/>
                </a:ext>
              </a:extLst>
            </xdr:cNvPr>
            <xdr:cNvSpPr/>
          </xdr:nvSpPr>
          <xdr:spPr>
            <a:xfrm>
              <a:off x="5343751" y="4462916"/>
              <a:ext cx="129949" cy="139700"/>
            </a:xfrm>
            <a:prstGeom prst="ellipse">
              <a:avLst/>
            </a:prstGeom>
            <a:noFill/>
            <a:ln>
              <a:solidFill>
                <a:schemeClr val="tx1">
                  <a:lumMod val="95000"/>
                  <a:lumOff val="5000"/>
                </a:schemeClr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de-CH" sz="1100"/>
            </a:p>
          </xdr:txBody>
        </xdr:sp>
      </xdr:grpSp>
    </xdr:grp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293007</xdr:colOff>
      <xdr:row>0</xdr:row>
      <xdr:rowOff>143329</xdr:rowOff>
    </xdr:from>
    <xdr:to>
      <xdr:col>2</xdr:col>
      <xdr:colOff>50800</xdr:colOff>
      <xdr:row>0</xdr:row>
      <xdr:rowOff>463550</xdr:rowOff>
    </xdr:to>
    <xdr:sp macro="" textlink="">
      <xdr:nvSpPr>
        <xdr:cNvPr id="2" name="Pfeil: nach recht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D7D7223-AAE0-4314-8311-2AE59115A6A3}"/>
            </a:ext>
          </a:extLst>
        </xdr:cNvPr>
        <xdr:cNvSpPr/>
      </xdr:nvSpPr>
      <xdr:spPr>
        <a:xfrm rot="10800000">
          <a:off x="559707" y="143329"/>
          <a:ext cx="583293" cy="320221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3</xdr:col>
      <xdr:colOff>1358348</xdr:colOff>
      <xdr:row>2</xdr:row>
      <xdr:rowOff>65244</xdr:rowOff>
    </xdr:from>
    <xdr:to>
      <xdr:col>8</xdr:col>
      <xdr:colOff>531105</xdr:colOff>
      <xdr:row>13</xdr:row>
      <xdr:rowOff>115956</xdr:rowOff>
    </xdr:to>
    <xdr:cxnSp macro="">
      <xdr:nvCxnSpPr>
        <xdr:cNvPr id="5" name="Gerader Verbinder 4">
          <a:extLst>
            <a:ext uri="{FF2B5EF4-FFF2-40B4-BE49-F238E27FC236}">
              <a16:creationId xmlns:a16="http://schemas.microsoft.com/office/drawing/2014/main" id="{6A075162-981A-2E77-68B9-B48F7E906F39}"/>
            </a:ext>
          </a:extLst>
        </xdr:cNvPr>
        <xdr:cNvCxnSpPr/>
      </xdr:nvCxnSpPr>
      <xdr:spPr>
        <a:xfrm flipV="1">
          <a:off x="3288196" y="901787"/>
          <a:ext cx="4548170" cy="2055104"/>
        </a:xfrm>
        <a:prstGeom prst="line">
          <a:avLst/>
        </a:prstGeom>
        <a:ln w="31750">
          <a:solidFill>
            <a:schemeClr val="tx1">
              <a:lumMod val="95000"/>
              <a:lumOff val="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550589</xdr:colOff>
      <xdr:row>1</xdr:row>
      <xdr:rowOff>332565</xdr:rowOff>
    </xdr:from>
    <xdr:to>
      <xdr:col>7</xdr:col>
      <xdr:colOff>520653</xdr:colOff>
      <xdr:row>5</xdr:row>
      <xdr:rowOff>128672</xdr:rowOff>
    </xdr:to>
    <xdr:sp macro="" textlink="">
      <xdr:nvSpPr>
        <xdr:cNvPr id="9" name="Rechteck 8">
          <a:extLst>
            <a:ext uri="{FF2B5EF4-FFF2-40B4-BE49-F238E27FC236}">
              <a16:creationId xmlns:a16="http://schemas.microsoft.com/office/drawing/2014/main" id="{ADEBC53F-BC44-6809-F2F1-79521F047BE0}"/>
            </a:ext>
          </a:extLst>
        </xdr:cNvPr>
        <xdr:cNvSpPr/>
      </xdr:nvSpPr>
      <xdr:spPr>
        <a:xfrm rot="20134171">
          <a:off x="4927076" y="838894"/>
          <a:ext cx="1524143" cy="673410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3</xdr:col>
      <xdr:colOff>2432593</xdr:colOff>
      <xdr:row>10</xdr:row>
      <xdr:rowOff>30118</xdr:rowOff>
    </xdr:from>
    <xdr:to>
      <xdr:col>5</xdr:col>
      <xdr:colOff>17562</xdr:colOff>
      <xdr:row>16</xdr:row>
      <xdr:rowOff>30119</xdr:rowOff>
    </xdr:to>
    <xdr:sp macro="" textlink="">
      <xdr:nvSpPr>
        <xdr:cNvPr id="12" name="Bogen 11">
          <a:extLst>
            <a:ext uri="{FF2B5EF4-FFF2-40B4-BE49-F238E27FC236}">
              <a16:creationId xmlns:a16="http://schemas.microsoft.com/office/drawing/2014/main" id="{0006415D-5647-0ADB-79D2-8A066439C59E}"/>
            </a:ext>
          </a:extLst>
        </xdr:cNvPr>
        <xdr:cNvSpPr/>
      </xdr:nvSpPr>
      <xdr:spPr>
        <a:xfrm>
          <a:off x="4362441" y="2324401"/>
          <a:ext cx="715795" cy="1093305"/>
        </a:xfrm>
        <a:prstGeom prst="arc">
          <a:avLst>
            <a:gd name="adj1" fmla="val 16200000"/>
            <a:gd name="adj2" fmla="val 595574"/>
          </a:avLst>
        </a:prstGeom>
        <a:ln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oneCellAnchor>
    <xdr:from>
      <xdr:col>3</xdr:col>
      <xdr:colOff>2214353</xdr:colOff>
      <xdr:row>10</xdr:row>
      <xdr:rowOff>56668</xdr:rowOff>
    </xdr:from>
    <xdr:ext cx="446597" cy="655885"/>
    <xdr:sp macro="" textlink="">
      <xdr:nvSpPr>
        <xdr:cNvPr id="13" name="Textfeld 12">
          <a:extLst>
            <a:ext uri="{FF2B5EF4-FFF2-40B4-BE49-F238E27FC236}">
              <a16:creationId xmlns:a16="http://schemas.microsoft.com/office/drawing/2014/main" id="{262B1A52-B42B-BD35-B582-E8126A9ABBFF}"/>
            </a:ext>
          </a:extLst>
        </xdr:cNvPr>
        <xdr:cNvSpPr txBox="1"/>
      </xdr:nvSpPr>
      <xdr:spPr>
        <a:xfrm>
          <a:off x="4144201" y="2350951"/>
          <a:ext cx="446597" cy="6558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l-GR" sz="3600"/>
            <a:t>α</a:t>
          </a:r>
          <a:endParaRPr lang="de-CH" sz="3600"/>
        </a:p>
      </xdr:txBody>
    </xdr:sp>
    <xdr:clientData/>
  </xdr:oneCellAnchor>
  <xdr:twoCellAnchor>
    <xdr:from>
      <xdr:col>6</xdr:col>
      <xdr:colOff>449035</xdr:colOff>
      <xdr:row>4</xdr:row>
      <xdr:rowOff>54428</xdr:rowOff>
    </xdr:from>
    <xdr:to>
      <xdr:col>6</xdr:col>
      <xdr:colOff>462642</xdr:colOff>
      <xdr:row>16</xdr:row>
      <xdr:rowOff>68036</xdr:rowOff>
    </xdr:to>
    <xdr:cxnSp macro="">
      <xdr:nvCxnSpPr>
        <xdr:cNvPr id="15" name="Gerade Verbindung mit Pfeil 14">
          <a:extLst>
            <a:ext uri="{FF2B5EF4-FFF2-40B4-BE49-F238E27FC236}">
              <a16:creationId xmlns:a16="http://schemas.microsoft.com/office/drawing/2014/main" id="{AB142219-0A1D-3F2D-28A5-FFA84C08CF4E}"/>
            </a:ext>
          </a:extLst>
        </xdr:cNvPr>
        <xdr:cNvCxnSpPr/>
      </xdr:nvCxnSpPr>
      <xdr:spPr>
        <a:xfrm flipH="1">
          <a:off x="5361214" y="1251857"/>
          <a:ext cx="13607" cy="2136322"/>
        </a:xfrm>
        <a:prstGeom prst="straightConnector1">
          <a:avLst/>
        </a:prstGeom>
        <a:ln w="28575"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513180</xdr:colOff>
      <xdr:row>4</xdr:row>
      <xdr:rowOff>59941</xdr:rowOff>
    </xdr:from>
    <xdr:to>
      <xdr:col>6</xdr:col>
      <xdr:colOff>483219</xdr:colOff>
      <xdr:row>6</xdr:row>
      <xdr:rowOff>80211</xdr:rowOff>
    </xdr:to>
    <xdr:cxnSp macro="">
      <xdr:nvCxnSpPr>
        <xdr:cNvPr id="16" name="Gerade Verbindung mit Pfeil 15">
          <a:extLst>
            <a:ext uri="{FF2B5EF4-FFF2-40B4-BE49-F238E27FC236}">
              <a16:creationId xmlns:a16="http://schemas.microsoft.com/office/drawing/2014/main" id="{5F08F951-EA5E-E463-A306-20BDBF63CAEA}"/>
            </a:ext>
          </a:extLst>
        </xdr:cNvPr>
        <xdr:cNvCxnSpPr/>
      </xdr:nvCxnSpPr>
      <xdr:spPr>
        <a:xfrm flipH="1">
          <a:off x="4889667" y="1263099"/>
          <a:ext cx="837315" cy="381217"/>
        </a:xfrm>
        <a:prstGeom prst="straightConnector1">
          <a:avLst/>
        </a:prstGeom>
        <a:ln w="28575">
          <a:solidFill>
            <a:schemeClr val="accent2">
              <a:lumMod val="50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6</xdr:col>
      <xdr:colOff>424996</xdr:colOff>
      <xdr:row>7</xdr:row>
      <xdr:rowOff>68750</xdr:rowOff>
    </xdr:from>
    <xdr:ext cx="446597" cy="655885"/>
    <xdr:sp macro="" textlink="">
      <xdr:nvSpPr>
        <xdr:cNvPr id="23" name="Textfeld 22">
          <a:extLst>
            <a:ext uri="{FF2B5EF4-FFF2-40B4-BE49-F238E27FC236}">
              <a16:creationId xmlns:a16="http://schemas.microsoft.com/office/drawing/2014/main" id="{87E53FD8-EB5A-BCD2-7611-21D7BC4B3B34}"/>
            </a:ext>
          </a:extLst>
        </xdr:cNvPr>
        <xdr:cNvSpPr txBox="1"/>
      </xdr:nvSpPr>
      <xdr:spPr>
        <a:xfrm>
          <a:off x="5327864" y="1903566"/>
          <a:ext cx="446597" cy="6558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l-GR" sz="3600"/>
            <a:t>α</a:t>
          </a:r>
          <a:endParaRPr lang="de-CH" sz="3600"/>
        </a:p>
      </xdr:txBody>
    </xdr:sp>
    <xdr:clientData/>
  </xdr:oneCellAnchor>
  <xdr:twoCellAnchor>
    <xdr:from>
      <xdr:col>5</xdr:col>
      <xdr:colOff>825881</xdr:colOff>
      <xdr:row>8</xdr:row>
      <xdr:rowOff>5753</xdr:rowOff>
    </xdr:from>
    <xdr:to>
      <xdr:col>7</xdr:col>
      <xdr:colOff>367344</xdr:colOff>
      <xdr:row>12</xdr:row>
      <xdr:rowOff>21916</xdr:rowOff>
    </xdr:to>
    <xdr:sp macro="" textlink="">
      <xdr:nvSpPr>
        <xdr:cNvPr id="24" name="Bogen 23">
          <a:extLst>
            <a:ext uri="{FF2B5EF4-FFF2-40B4-BE49-F238E27FC236}">
              <a16:creationId xmlns:a16="http://schemas.microsoft.com/office/drawing/2014/main" id="{4C480452-2F73-CFC9-3EDE-63DC4D9E2914}"/>
            </a:ext>
          </a:extLst>
        </xdr:cNvPr>
        <xdr:cNvSpPr/>
      </xdr:nvSpPr>
      <xdr:spPr>
        <a:xfrm rot="5042857">
          <a:off x="5040215" y="1752064"/>
          <a:ext cx="738057" cy="1095542"/>
        </a:xfrm>
        <a:prstGeom prst="arc">
          <a:avLst>
            <a:gd name="adj1" fmla="val 17493114"/>
            <a:gd name="adj2" fmla="val 956737"/>
          </a:avLst>
        </a:prstGeom>
        <a:ln>
          <a:head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6</xdr:col>
      <xdr:colOff>473076</xdr:colOff>
      <xdr:row>4</xdr:row>
      <xdr:rowOff>63333</xdr:rowOff>
    </xdr:from>
    <xdr:to>
      <xdr:col>7</xdr:col>
      <xdr:colOff>576513</xdr:colOff>
      <xdr:row>14</xdr:row>
      <xdr:rowOff>63333</xdr:rowOff>
    </xdr:to>
    <xdr:cxnSp macro="">
      <xdr:nvCxnSpPr>
        <xdr:cNvPr id="17" name="Gerade Verbindung mit Pfeil 16">
          <a:extLst>
            <a:ext uri="{FF2B5EF4-FFF2-40B4-BE49-F238E27FC236}">
              <a16:creationId xmlns:a16="http://schemas.microsoft.com/office/drawing/2014/main" id="{C143CB27-5BE9-C2CD-CBB0-973A73E210FF}"/>
            </a:ext>
          </a:extLst>
        </xdr:cNvPr>
        <xdr:cNvCxnSpPr/>
      </xdr:nvCxnSpPr>
      <xdr:spPr>
        <a:xfrm>
          <a:off x="5375944" y="1266491"/>
          <a:ext cx="790240" cy="1804737"/>
        </a:xfrm>
        <a:prstGeom prst="straightConnector1">
          <a:avLst/>
        </a:prstGeom>
        <a:ln w="28575">
          <a:solidFill>
            <a:srgbClr val="7030A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6</xdr:col>
      <xdr:colOff>428171</xdr:colOff>
      <xdr:row>14</xdr:row>
      <xdr:rowOff>50536</xdr:rowOff>
    </xdr:from>
    <xdr:ext cx="590931" cy="655885"/>
    <xdr:sp macro="" textlink="">
      <xdr:nvSpPr>
        <xdr:cNvPr id="25" name="Textfeld 24">
          <a:extLst>
            <a:ext uri="{FF2B5EF4-FFF2-40B4-BE49-F238E27FC236}">
              <a16:creationId xmlns:a16="http://schemas.microsoft.com/office/drawing/2014/main" id="{D9506AED-37E0-C9BF-F13D-8D8ED815AA7C}"/>
            </a:ext>
          </a:extLst>
        </xdr:cNvPr>
        <xdr:cNvSpPr txBox="1"/>
      </xdr:nvSpPr>
      <xdr:spPr>
        <a:xfrm>
          <a:off x="5331039" y="3058431"/>
          <a:ext cx="590931" cy="6558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de-CH" sz="3600"/>
            <a:t>F</a:t>
          </a:r>
          <a:r>
            <a:rPr lang="de-CH" sz="3600" baseline="-25000"/>
            <a:t>G</a:t>
          </a:r>
        </a:p>
      </xdr:txBody>
    </xdr:sp>
    <xdr:clientData/>
  </xdr:oneCellAnchor>
  <xdr:oneCellAnchor>
    <xdr:from>
      <xdr:col>7</xdr:col>
      <xdr:colOff>371188</xdr:colOff>
      <xdr:row>9</xdr:row>
      <xdr:rowOff>123896</xdr:rowOff>
    </xdr:from>
    <xdr:ext cx="595419" cy="655885"/>
    <xdr:sp macro="" textlink="">
      <xdr:nvSpPr>
        <xdr:cNvPr id="26" name="Textfeld 25">
          <a:extLst>
            <a:ext uri="{FF2B5EF4-FFF2-40B4-BE49-F238E27FC236}">
              <a16:creationId xmlns:a16="http://schemas.microsoft.com/office/drawing/2014/main" id="{89E9751F-3065-BFD6-EEEF-2CDECFE2E8DA}"/>
            </a:ext>
          </a:extLst>
        </xdr:cNvPr>
        <xdr:cNvSpPr txBox="1"/>
      </xdr:nvSpPr>
      <xdr:spPr>
        <a:xfrm>
          <a:off x="5960859" y="2229422"/>
          <a:ext cx="595419" cy="6558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de-CH" sz="3600"/>
            <a:t>F</a:t>
          </a:r>
          <a:r>
            <a:rPr lang="de-CH" sz="3600" baseline="-25000"/>
            <a:t>N</a:t>
          </a:r>
        </a:p>
      </xdr:txBody>
    </xdr:sp>
    <xdr:clientData/>
  </xdr:oneCellAnchor>
  <xdr:oneCellAnchor>
    <xdr:from>
      <xdr:col>5</xdr:col>
      <xdr:colOff>36425</xdr:colOff>
      <xdr:row>4</xdr:row>
      <xdr:rowOff>83979</xdr:rowOff>
    </xdr:from>
    <xdr:ext cx="588559" cy="655885"/>
    <xdr:sp macro="" textlink="">
      <xdr:nvSpPr>
        <xdr:cNvPr id="27" name="Textfeld 26">
          <a:extLst>
            <a:ext uri="{FF2B5EF4-FFF2-40B4-BE49-F238E27FC236}">
              <a16:creationId xmlns:a16="http://schemas.microsoft.com/office/drawing/2014/main" id="{A5027D31-7662-64EA-3510-7AABDBF46D5E}"/>
            </a:ext>
          </a:extLst>
        </xdr:cNvPr>
        <xdr:cNvSpPr txBox="1"/>
      </xdr:nvSpPr>
      <xdr:spPr>
        <a:xfrm>
          <a:off x="4417925" y="1284957"/>
          <a:ext cx="588559" cy="6558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de-CH" sz="3600"/>
            <a:t>F</a:t>
          </a:r>
          <a:r>
            <a:rPr lang="de-CH" sz="3600" baseline="-25000"/>
            <a:t>H</a:t>
          </a:r>
        </a:p>
      </xdr:txBody>
    </xdr:sp>
    <xdr:clientData/>
  </xdr:oneCellAnchor>
  <xdr:twoCellAnchor>
    <xdr:from>
      <xdr:col>3</xdr:col>
      <xdr:colOff>1391478</xdr:colOff>
      <xdr:row>13</xdr:row>
      <xdr:rowOff>50681</xdr:rowOff>
    </xdr:from>
    <xdr:to>
      <xdr:col>8</xdr:col>
      <xdr:colOff>876897</xdr:colOff>
      <xdr:row>13</xdr:row>
      <xdr:rowOff>115956</xdr:rowOff>
    </xdr:to>
    <xdr:cxnSp macro="">
      <xdr:nvCxnSpPr>
        <xdr:cNvPr id="6" name="Gerader Verbinder 5">
          <a:extLst>
            <a:ext uri="{FF2B5EF4-FFF2-40B4-BE49-F238E27FC236}">
              <a16:creationId xmlns:a16="http://schemas.microsoft.com/office/drawing/2014/main" id="{32AB031B-2CE0-E8ED-5B80-DA5F2264F388}"/>
            </a:ext>
          </a:extLst>
        </xdr:cNvPr>
        <xdr:cNvCxnSpPr/>
      </xdr:nvCxnSpPr>
      <xdr:spPr>
        <a:xfrm flipV="1">
          <a:off x="3321326" y="2891616"/>
          <a:ext cx="4860832" cy="65275"/>
        </a:xfrm>
        <a:prstGeom prst="line">
          <a:avLst/>
        </a:prstGeom>
        <a:ln w="31750">
          <a:solidFill>
            <a:schemeClr val="tx1">
              <a:lumMod val="95000"/>
              <a:lumOff val="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6</xdr:col>
      <xdr:colOff>378039</xdr:colOff>
      <xdr:row>1</xdr:row>
      <xdr:rowOff>120720</xdr:rowOff>
    </xdr:from>
    <xdr:ext cx="553485" cy="655885"/>
    <xdr:sp macro="" textlink="">
      <xdr:nvSpPr>
        <xdr:cNvPr id="28" name="Textfeld 27">
          <a:extLst>
            <a:ext uri="{FF2B5EF4-FFF2-40B4-BE49-F238E27FC236}">
              <a16:creationId xmlns:a16="http://schemas.microsoft.com/office/drawing/2014/main" id="{5F9B55E5-B3A3-DC9A-3D2B-6A1AB396F351}"/>
            </a:ext>
          </a:extLst>
        </xdr:cNvPr>
        <xdr:cNvSpPr txBox="1"/>
      </xdr:nvSpPr>
      <xdr:spPr>
        <a:xfrm>
          <a:off x="5621802" y="627049"/>
          <a:ext cx="553485" cy="6558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de-CH" sz="3600"/>
            <a:t>m</a:t>
          </a:r>
        </a:p>
      </xdr:txBody>
    </xdr:sp>
    <xdr:clientData/>
  </xdr:oneCellAnchor>
  <xdr:twoCellAnchor>
    <xdr:from>
      <xdr:col>6</xdr:col>
      <xdr:colOff>478459</xdr:colOff>
      <xdr:row>1</xdr:row>
      <xdr:rowOff>270151</xdr:rowOff>
    </xdr:from>
    <xdr:to>
      <xdr:col>8</xdr:col>
      <xdr:colOff>193676</xdr:colOff>
      <xdr:row>4</xdr:row>
      <xdr:rowOff>57978</xdr:rowOff>
    </xdr:to>
    <xdr:cxnSp macro="">
      <xdr:nvCxnSpPr>
        <xdr:cNvPr id="29" name="Gerade Verbindung mit Pfeil 28">
          <a:extLst>
            <a:ext uri="{FF2B5EF4-FFF2-40B4-BE49-F238E27FC236}">
              <a16:creationId xmlns:a16="http://schemas.microsoft.com/office/drawing/2014/main" id="{42BB58FC-2ADE-16E3-DC27-A5B8B1C4C2D8}"/>
            </a:ext>
          </a:extLst>
        </xdr:cNvPr>
        <xdr:cNvCxnSpPr/>
      </xdr:nvCxnSpPr>
      <xdr:spPr>
        <a:xfrm flipV="1">
          <a:off x="5729633" y="775390"/>
          <a:ext cx="1090130" cy="483566"/>
        </a:xfrm>
        <a:prstGeom prst="straightConnector1">
          <a:avLst/>
        </a:prstGeom>
        <a:ln w="28575">
          <a:solidFill>
            <a:schemeClr val="accent2">
              <a:lumMod val="50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7</xdr:col>
      <xdr:colOff>661079</xdr:colOff>
      <xdr:row>0</xdr:row>
      <xdr:rowOff>203546</xdr:rowOff>
    </xdr:from>
    <xdr:ext cx="563872" cy="655885"/>
    <xdr:sp macro="" textlink="">
      <xdr:nvSpPr>
        <xdr:cNvPr id="32" name="Textfeld 31">
          <a:extLst>
            <a:ext uri="{FF2B5EF4-FFF2-40B4-BE49-F238E27FC236}">
              <a16:creationId xmlns:a16="http://schemas.microsoft.com/office/drawing/2014/main" id="{78927FB3-5D4A-52C9-1366-9D509B31F04F}"/>
            </a:ext>
          </a:extLst>
        </xdr:cNvPr>
        <xdr:cNvSpPr txBox="1"/>
      </xdr:nvSpPr>
      <xdr:spPr>
        <a:xfrm>
          <a:off x="6599709" y="203546"/>
          <a:ext cx="563872" cy="6558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de-CH" sz="3600"/>
            <a:t>F</a:t>
          </a:r>
          <a:r>
            <a:rPr lang="de-CH" sz="3600" baseline="-25000"/>
            <a:t>R</a:t>
          </a:r>
        </a:p>
      </xdr:txBody>
    </xdr:sp>
    <xdr:clientData/>
  </xdr:oneCellAnchor>
  <xdr:twoCellAnchor>
    <xdr:from>
      <xdr:col>10</xdr:col>
      <xdr:colOff>19739</xdr:colOff>
      <xdr:row>6</xdr:row>
      <xdr:rowOff>52870</xdr:rowOff>
    </xdr:from>
    <xdr:to>
      <xdr:col>14</xdr:col>
      <xdr:colOff>965890</xdr:colOff>
      <xdr:row>17</xdr:row>
      <xdr:rowOff>149914</xdr:rowOff>
    </xdr:to>
    <xdr:graphicFrame macro="">
      <xdr:nvGraphicFramePr>
        <xdr:cNvPr id="37" name="Diagramm 36">
          <a:extLst>
            <a:ext uri="{FF2B5EF4-FFF2-40B4-BE49-F238E27FC236}">
              <a16:creationId xmlns:a16="http://schemas.microsoft.com/office/drawing/2014/main" id="{4EF2FF1A-34D0-C3C9-0AAD-C3A436B35C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311150</xdr:colOff>
      <xdr:row>1</xdr:row>
      <xdr:rowOff>177800</xdr:rowOff>
    </xdr:from>
    <xdr:to>
      <xdr:col>1</xdr:col>
      <xdr:colOff>152400</xdr:colOff>
      <xdr:row>4</xdr:row>
      <xdr:rowOff>25400</xdr:rowOff>
    </xdr:to>
    <xdr:sp macro="" textlink="">
      <xdr:nvSpPr>
        <xdr:cNvPr id="20" name="Pfeil: nach rechts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F5236F7-CC34-DA43-74A7-C94D598CA5F2}"/>
            </a:ext>
          </a:extLst>
        </xdr:cNvPr>
        <xdr:cNvSpPr/>
      </xdr:nvSpPr>
      <xdr:spPr>
        <a:xfrm rot="10800000">
          <a:off x="311150" y="361950"/>
          <a:ext cx="603250" cy="40005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1</xdr:colOff>
      <xdr:row>20</xdr:row>
      <xdr:rowOff>95250</xdr:rowOff>
    </xdr:from>
    <xdr:to>
      <xdr:col>24</xdr:col>
      <xdr:colOff>666750</xdr:colOff>
      <xdr:row>56</xdr:row>
      <xdr:rowOff>149678</xdr:rowOff>
    </xdr:to>
    <xdr:graphicFrame macro="">
      <xdr:nvGraphicFramePr>
        <xdr:cNvPr id="5" name="Diagramm 4">
          <a:extLst>
            <a:ext uri="{FF2B5EF4-FFF2-40B4-BE49-F238E27FC236}">
              <a16:creationId xmlns:a16="http://schemas.microsoft.com/office/drawing/2014/main" id="{A17EF283-81AA-0DF2-6AC7-CCE8490BED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525234</xdr:colOff>
      <xdr:row>0</xdr:row>
      <xdr:rowOff>299357</xdr:rowOff>
    </xdr:from>
    <xdr:to>
      <xdr:col>2</xdr:col>
      <xdr:colOff>108856</xdr:colOff>
      <xdr:row>1</xdr:row>
      <xdr:rowOff>329746</xdr:rowOff>
    </xdr:to>
    <xdr:sp macro="" textlink="">
      <xdr:nvSpPr>
        <xdr:cNvPr id="2" name="Pfeil: nach recht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7BBDB49-EB38-4740-9075-8244BDEC9CD0}"/>
            </a:ext>
          </a:extLst>
        </xdr:cNvPr>
        <xdr:cNvSpPr/>
      </xdr:nvSpPr>
      <xdr:spPr>
        <a:xfrm rot="10800000">
          <a:off x="702127" y="299357"/>
          <a:ext cx="713015" cy="520246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33618</xdr:colOff>
      <xdr:row>21</xdr:row>
      <xdr:rowOff>107949</xdr:rowOff>
    </xdr:from>
    <xdr:to>
      <xdr:col>47</xdr:col>
      <xdr:colOff>296635</xdr:colOff>
      <xdr:row>49</xdr:row>
      <xdr:rowOff>64861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1F04A59B-F509-0AC1-9556-05B4DBAF63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50</xdr:col>
      <xdr:colOff>231323</xdr:colOff>
      <xdr:row>21</xdr:row>
      <xdr:rowOff>122464</xdr:rowOff>
    </xdr:from>
    <xdr:to>
      <xdr:col>57</xdr:col>
      <xdr:colOff>489858</xdr:colOff>
      <xdr:row>50</xdr:row>
      <xdr:rowOff>105682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60CFDD4C-4BCC-1052-3FF2-16F3158A9A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56030</xdr:colOff>
      <xdr:row>63</xdr:row>
      <xdr:rowOff>143248</xdr:rowOff>
    </xdr:from>
    <xdr:to>
      <xdr:col>47</xdr:col>
      <xdr:colOff>238498</xdr:colOff>
      <xdr:row>84</xdr:row>
      <xdr:rowOff>27455</xdr:rowOff>
    </xdr:to>
    <xdr:graphicFrame macro="">
      <xdr:nvGraphicFramePr>
        <xdr:cNvPr id="5" name="Diagramm 4">
          <a:extLst>
            <a:ext uri="{FF2B5EF4-FFF2-40B4-BE49-F238E27FC236}">
              <a16:creationId xmlns:a16="http://schemas.microsoft.com/office/drawing/2014/main" id="{9D706FCE-BD48-189F-06CE-CF16CF65FF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476250</xdr:colOff>
      <xdr:row>0</xdr:row>
      <xdr:rowOff>104775</xdr:rowOff>
    </xdr:from>
    <xdr:to>
      <xdr:col>1</xdr:col>
      <xdr:colOff>429414</xdr:colOff>
      <xdr:row>2</xdr:row>
      <xdr:rowOff>115838</xdr:rowOff>
    </xdr:to>
    <xdr:sp macro="" textlink="">
      <xdr:nvSpPr>
        <xdr:cNvPr id="2" name="Pfeil: nach recht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B0DF7B6-2EE8-4AA1-AB0E-C658D856CF61}"/>
            </a:ext>
          </a:extLst>
        </xdr:cNvPr>
        <xdr:cNvSpPr/>
      </xdr:nvSpPr>
      <xdr:spPr>
        <a:xfrm rot="10800000">
          <a:off x="476250" y="104775"/>
          <a:ext cx="715164" cy="525413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1</xdr:col>
      <xdr:colOff>38100</xdr:colOff>
      <xdr:row>36</xdr:row>
      <xdr:rowOff>76200</xdr:rowOff>
    </xdr:from>
    <xdr:to>
      <xdr:col>19</xdr:col>
      <xdr:colOff>692150</xdr:colOff>
      <xdr:row>51</xdr:row>
      <xdr:rowOff>101600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60C6B798-F8E6-FB89-5D55-7EC0AFA9E3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468312</xdr:colOff>
      <xdr:row>18</xdr:row>
      <xdr:rowOff>92075</xdr:rowOff>
    </xdr:from>
    <xdr:to>
      <xdr:col>16</xdr:col>
      <xdr:colOff>474662</xdr:colOff>
      <xdr:row>33</xdr:row>
      <xdr:rowOff>123825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736A5E5B-B55E-3723-60CC-A8BB56A028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293007</xdr:colOff>
      <xdr:row>0</xdr:row>
      <xdr:rowOff>143329</xdr:rowOff>
    </xdr:from>
    <xdr:to>
      <xdr:col>2</xdr:col>
      <xdr:colOff>50800</xdr:colOff>
      <xdr:row>0</xdr:row>
      <xdr:rowOff>463550</xdr:rowOff>
    </xdr:to>
    <xdr:sp macro="" textlink="">
      <xdr:nvSpPr>
        <xdr:cNvPr id="2" name="Pfeil: nach recht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36685E7-DD9D-4FC1-A783-3F913E1DCD0F}"/>
            </a:ext>
          </a:extLst>
        </xdr:cNvPr>
        <xdr:cNvSpPr/>
      </xdr:nvSpPr>
      <xdr:spPr>
        <a:xfrm rot="10800000">
          <a:off x="1055007" y="143329"/>
          <a:ext cx="780143" cy="320221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5</xdr:col>
      <xdr:colOff>340179</xdr:colOff>
      <xdr:row>22</xdr:row>
      <xdr:rowOff>2718</xdr:rowOff>
    </xdr:from>
    <xdr:to>
      <xdr:col>15</xdr:col>
      <xdr:colOff>81643</xdr:colOff>
      <xdr:row>65</xdr:row>
      <xdr:rowOff>10431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799A249A-84AD-F7FF-7BDA-CC35D57551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217783</xdr:colOff>
      <xdr:row>0</xdr:row>
      <xdr:rowOff>84713</xdr:rowOff>
    </xdr:from>
    <xdr:to>
      <xdr:col>1</xdr:col>
      <xdr:colOff>483576</xdr:colOff>
      <xdr:row>0</xdr:row>
      <xdr:rowOff>411284</xdr:rowOff>
    </xdr:to>
    <xdr:sp macro="" textlink="">
      <xdr:nvSpPr>
        <xdr:cNvPr id="2" name="Pfeil: nach recht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E65C605-A779-4B0C-B581-DD8FB8EF71DE}"/>
            </a:ext>
          </a:extLst>
        </xdr:cNvPr>
        <xdr:cNvSpPr/>
      </xdr:nvSpPr>
      <xdr:spPr>
        <a:xfrm rot="10800000">
          <a:off x="217783" y="84713"/>
          <a:ext cx="485601" cy="326571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1</xdr:col>
      <xdr:colOff>33950</xdr:colOff>
      <xdr:row>19</xdr:row>
      <xdr:rowOff>52755</xdr:rowOff>
    </xdr:from>
    <xdr:to>
      <xdr:col>8</xdr:col>
      <xdr:colOff>527051</xdr:colOff>
      <xdr:row>41</xdr:row>
      <xdr:rowOff>152401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02B9101F-35D2-0198-F59B-0009C6BE91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249703</xdr:colOff>
      <xdr:row>19</xdr:row>
      <xdr:rowOff>89086</xdr:rowOff>
    </xdr:from>
    <xdr:to>
      <xdr:col>28</xdr:col>
      <xdr:colOff>405279</xdr:colOff>
      <xdr:row>41</xdr:row>
      <xdr:rowOff>155762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A3965B8F-72B4-4C1A-3372-3A9BFDCBA6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27241</xdr:colOff>
      <xdr:row>1</xdr:row>
      <xdr:rowOff>28095</xdr:rowOff>
    </xdr:from>
    <xdr:to>
      <xdr:col>1</xdr:col>
      <xdr:colOff>798419</xdr:colOff>
      <xdr:row>2</xdr:row>
      <xdr:rowOff>18490</xdr:rowOff>
    </xdr:to>
    <xdr:sp macro="" textlink="">
      <xdr:nvSpPr>
        <xdr:cNvPr id="2" name="Pfeil: nach recht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E52F81A-BC63-406A-A4EA-7EF30F633A1C}"/>
            </a:ext>
          </a:extLst>
        </xdr:cNvPr>
        <xdr:cNvSpPr/>
      </xdr:nvSpPr>
      <xdr:spPr>
        <a:xfrm rot="10800000">
          <a:off x="789241" y="532360"/>
          <a:ext cx="771178" cy="326571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293007</xdr:colOff>
      <xdr:row>0</xdr:row>
      <xdr:rowOff>143329</xdr:rowOff>
    </xdr:from>
    <xdr:to>
      <xdr:col>1</xdr:col>
      <xdr:colOff>50800</xdr:colOff>
      <xdr:row>0</xdr:row>
      <xdr:rowOff>463550</xdr:rowOff>
    </xdr:to>
    <xdr:sp macro="" textlink="">
      <xdr:nvSpPr>
        <xdr:cNvPr id="2" name="Pfeil: nach recht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15DE7D7-4C50-4CCA-912A-904DFE9D8373}"/>
            </a:ext>
          </a:extLst>
        </xdr:cNvPr>
        <xdr:cNvSpPr/>
      </xdr:nvSpPr>
      <xdr:spPr>
        <a:xfrm rot="10800000">
          <a:off x="293007" y="143329"/>
          <a:ext cx="519793" cy="320221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293007</xdr:colOff>
      <xdr:row>0</xdr:row>
      <xdr:rowOff>143329</xdr:rowOff>
    </xdr:from>
    <xdr:to>
      <xdr:col>1</xdr:col>
      <xdr:colOff>50800</xdr:colOff>
      <xdr:row>0</xdr:row>
      <xdr:rowOff>463550</xdr:rowOff>
    </xdr:to>
    <xdr:sp macro="" textlink="">
      <xdr:nvSpPr>
        <xdr:cNvPr id="2" name="Pfeil: nach recht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3950056-721B-4F9A-9EA1-A278A399BB35}"/>
            </a:ext>
          </a:extLst>
        </xdr:cNvPr>
        <xdr:cNvSpPr/>
      </xdr:nvSpPr>
      <xdr:spPr>
        <a:xfrm rot="10800000">
          <a:off x="293007" y="143329"/>
          <a:ext cx="519793" cy="320221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 editAs="oneCell">
    <xdr:from>
      <xdr:col>20</xdr:col>
      <xdr:colOff>0</xdr:colOff>
      <xdr:row>0</xdr:row>
      <xdr:rowOff>0</xdr:rowOff>
    </xdr:from>
    <xdr:to>
      <xdr:col>31</xdr:col>
      <xdr:colOff>692728</xdr:colOff>
      <xdr:row>26</xdr:row>
      <xdr:rowOff>9005</xdr:rowOff>
    </xdr:to>
    <xdr:pic>
      <xdr:nvPicPr>
        <xdr:cNvPr id="3" name="Grafik 2" descr="Ein Bild, das Reihe, Diagramm, Screenshot, Kreis enthält.&#10;&#10;KI-generierte Inhalte können fehlerhaft sein.">
          <a:extLst>
            <a:ext uri="{FF2B5EF4-FFF2-40B4-BE49-F238E27FC236}">
              <a16:creationId xmlns:a16="http://schemas.microsoft.com/office/drawing/2014/main" id="{B1E1E30E-7757-19AC-E17D-2404E9A94C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27636" y="0"/>
          <a:ext cx="9074728" cy="5204460"/>
        </a:xfrm>
        <a:prstGeom prst="rect">
          <a:avLst/>
        </a:prstGeom>
      </xdr:spPr>
    </xdr:pic>
    <xdr:clientData/>
  </xdr:twoCellAnchor>
  <xdr:twoCellAnchor>
    <xdr:from>
      <xdr:col>22</xdr:col>
      <xdr:colOff>34637</xdr:colOff>
      <xdr:row>11</xdr:row>
      <xdr:rowOff>155864</xdr:rowOff>
    </xdr:from>
    <xdr:to>
      <xdr:col>23</xdr:col>
      <xdr:colOff>450273</xdr:colOff>
      <xdr:row>20</xdr:row>
      <xdr:rowOff>69272</xdr:rowOff>
    </xdr:to>
    <xdr:cxnSp macro="">
      <xdr:nvCxnSpPr>
        <xdr:cNvPr id="5" name="Gerader Verbinder 4">
          <a:extLst>
            <a:ext uri="{FF2B5EF4-FFF2-40B4-BE49-F238E27FC236}">
              <a16:creationId xmlns:a16="http://schemas.microsoft.com/office/drawing/2014/main" id="{FC1C5793-BDE1-9F85-0E9C-23D1FF8EA26D}"/>
            </a:ext>
          </a:extLst>
        </xdr:cNvPr>
        <xdr:cNvCxnSpPr/>
      </xdr:nvCxnSpPr>
      <xdr:spPr>
        <a:xfrm>
          <a:off x="21786273" y="2649682"/>
          <a:ext cx="1177636" cy="1575954"/>
        </a:xfrm>
        <a:prstGeom prst="line">
          <a:avLst/>
        </a:prstGeom>
        <a:ln w="28575">
          <a:solidFill>
            <a:schemeClr val="tx1">
              <a:lumMod val="95000"/>
              <a:lumOff val="5000"/>
            </a:schemeClr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277091</xdr:colOff>
      <xdr:row>11</xdr:row>
      <xdr:rowOff>159039</xdr:rowOff>
    </xdr:from>
    <xdr:to>
      <xdr:col>22</xdr:col>
      <xdr:colOff>66098</xdr:colOff>
      <xdr:row>15</xdr:row>
      <xdr:rowOff>34637</xdr:rowOff>
    </xdr:to>
    <xdr:cxnSp macro="">
      <xdr:nvCxnSpPr>
        <xdr:cNvPr id="6" name="Gerader Verbinder 5">
          <a:extLst>
            <a:ext uri="{FF2B5EF4-FFF2-40B4-BE49-F238E27FC236}">
              <a16:creationId xmlns:a16="http://schemas.microsoft.com/office/drawing/2014/main" id="{B432CE49-1B13-C222-023F-A4F63C35050C}"/>
            </a:ext>
          </a:extLst>
        </xdr:cNvPr>
        <xdr:cNvCxnSpPr/>
      </xdr:nvCxnSpPr>
      <xdr:spPr>
        <a:xfrm flipH="1">
          <a:off x="20504727" y="2652857"/>
          <a:ext cx="1313007" cy="568325"/>
        </a:xfrm>
        <a:prstGeom prst="line">
          <a:avLst/>
        </a:prstGeom>
        <a:ln w="28575">
          <a:solidFill>
            <a:schemeClr val="tx1">
              <a:lumMod val="95000"/>
              <a:lumOff val="5000"/>
            </a:schemeClr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21</xdr:col>
      <xdr:colOff>519546</xdr:colOff>
      <xdr:row>11</xdr:row>
      <xdr:rowOff>121228</xdr:rowOff>
    </xdr:from>
    <xdr:ext cx="427105" cy="593304"/>
    <xdr:sp macro="" textlink="">
      <xdr:nvSpPr>
        <xdr:cNvPr id="9" name="Textfeld 8">
          <a:extLst>
            <a:ext uri="{FF2B5EF4-FFF2-40B4-BE49-F238E27FC236}">
              <a16:creationId xmlns:a16="http://schemas.microsoft.com/office/drawing/2014/main" id="{E9E111CA-C2C1-A4F9-E9A7-FDE83309609E}"/>
            </a:ext>
          </a:extLst>
        </xdr:cNvPr>
        <xdr:cNvSpPr txBox="1"/>
      </xdr:nvSpPr>
      <xdr:spPr>
        <a:xfrm>
          <a:off x="21509182" y="2615046"/>
          <a:ext cx="427105" cy="59330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l-GR" sz="3200" b="1"/>
            <a:t>α</a:t>
          </a:r>
          <a:endParaRPr lang="de-CH" sz="3200" b="1"/>
        </a:p>
      </xdr:txBody>
    </xdr:sp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741706</xdr:colOff>
      <xdr:row>8</xdr:row>
      <xdr:rowOff>156266</xdr:rowOff>
    </xdr:from>
    <xdr:to>
      <xdr:col>6</xdr:col>
      <xdr:colOff>69437</xdr:colOff>
      <xdr:row>17</xdr:row>
      <xdr:rowOff>218524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6AF97F07-73D1-15B4-87F8-2A3B55E842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654135</xdr:colOff>
      <xdr:row>31</xdr:row>
      <xdr:rowOff>0</xdr:rowOff>
    </xdr:from>
    <xdr:to>
      <xdr:col>11</xdr:col>
      <xdr:colOff>392444</xdr:colOff>
      <xdr:row>31</xdr:row>
      <xdr:rowOff>0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6DF3D2F2-E6F0-470D-9EC9-4EE547F41C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616857</xdr:colOff>
      <xdr:row>1</xdr:row>
      <xdr:rowOff>117929</xdr:rowOff>
    </xdr:from>
    <xdr:to>
      <xdr:col>1</xdr:col>
      <xdr:colOff>544285</xdr:colOff>
      <xdr:row>1</xdr:row>
      <xdr:rowOff>598715</xdr:rowOff>
    </xdr:to>
    <xdr:sp macro="" textlink="">
      <xdr:nvSpPr>
        <xdr:cNvPr id="4" name="Pfeil: nach recht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FB6FBCA-4115-F363-0C1F-9B2DC4BB546F}"/>
            </a:ext>
          </a:extLst>
        </xdr:cNvPr>
        <xdr:cNvSpPr/>
      </xdr:nvSpPr>
      <xdr:spPr>
        <a:xfrm rot="10800000">
          <a:off x="616857" y="299358"/>
          <a:ext cx="689428" cy="480786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753164</xdr:colOff>
      <xdr:row>2</xdr:row>
      <xdr:rowOff>0</xdr:rowOff>
    </xdr:from>
    <xdr:to>
      <xdr:col>7</xdr:col>
      <xdr:colOff>521389</xdr:colOff>
      <xdr:row>2</xdr:row>
      <xdr:rowOff>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CFEF571A-50C5-43C0-AB3F-4F6578BFC8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654135</xdr:colOff>
      <xdr:row>18</xdr:row>
      <xdr:rowOff>34637</xdr:rowOff>
    </xdr:from>
    <xdr:to>
      <xdr:col>12</xdr:col>
      <xdr:colOff>392444</xdr:colOff>
      <xdr:row>35</xdr:row>
      <xdr:rowOff>60224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4E30A412-5B4C-4BBA-8B6D-2A69D8A7EB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616857</xdr:colOff>
      <xdr:row>1</xdr:row>
      <xdr:rowOff>117929</xdr:rowOff>
    </xdr:from>
    <xdr:to>
      <xdr:col>1</xdr:col>
      <xdr:colOff>544285</xdr:colOff>
      <xdr:row>1</xdr:row>
      <xdr:rowOff>598715</xdr:rowOff>
    </xdr:to>
    <xdr:sp macro="" textlink="">
      <xdr:nvSpPr>
        <xdr:cNvPr id="4" name="Pfeil: nach recht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B0C16D0-5F6E-4442-8C53-53B47CF39742}"/>
            </a:ext>
          </a:extLst>
        </xdr:cNvPr>
        <xdr:cNvSpPr/>
      </xdr:nvSpPr>
      <xdr:spPr>
        <a:xfrm rot="10800000">
          <a:off x="620032" y="302079"/>
          <a:ext cx="683078" cy="480786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13</xdr:col>
      <xdr:colOff>688770</xdr:colOff>
      <xdr:row>18</xdr:row>
      <xdr:rowOff>34636</xdr:rowOff>
    </xdr:from>
    <xdr:to>
      <xdr:col>28</xdr:col>
      <xdr:colOff>752950</xdr:colOff>
      <xdr:row>35</xdr:row>
      <xdr:rowOff>63398</xdr:rowOff>
    </xdr:to>
    <xdr:graphicFrame macro="">
      <xdr:nvGraphicFramePr>
        <xdr:cNvPr id="5" name="Diagramm 4">
          <a:extLst>
            <a:ext uri="{FF2B5EF4-FFF2-40B4-BE49-F238E27FC236}">
              <a16:creationId xmlns:a16="http://schemas.microsoft.com/office/drawing/2014/main" id="{F8B486F3-8A2C-4F82-8FC0-6F7B6DA301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511175</xdr:colOff>
      <xdr:row>22</xdr:row>
      <xdr:rowOff>69850</xdr:rowOff>
    </xdr:from>
    <xdr:to>
      <xdr:col>7</xdr:col>
      <xdr:colOff>511175</xdr:colOff>
      <xdr:row>37</xdr:row>
      <xdr:rowOff>50800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397BD5F5-5D28-16D2-1DF8-B5ADC62C9E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28575</xdr:colOff>
      <xdr:row>22</xdr:row>
      <xdr:rowOff>76200</xdr:rowOff>
    </xdr:from>
    <xdr:to>
      <xdr:col>15</xdr:col>
      <xdr:colOff>28575</xdr:colOff>
      <xdr:row>37</xdr:row>
      <xdr:rowOff>57150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D34ACAE9-11DB-399B-D450-179027AD2E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733474</xdr:colOff>
      <xdr:row>2</xdr:row>
      <xdr:rowOff>122348</xdr:rowOff>
    </xdr:from>
    <xdr:to>
      <xdr:col>1</xdr:col>
      <xdr:colOff>534706</xdr:colOff>
      <xdr:row>4</xdr:row>
      <xdr:rowOff>92823</xdr:rowOff>
    </xdr:to>
    <xdr:sp macro="" textlink="">
      <xdr:nvSpPr>
        <xdr:cNvPr id="4" name="Pfeil: nach recht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30019828-5EEF-7C3C-87FD-5A5686701A01}"/>
            </a:ext>
          </a:extLst>
        </xdr:cNvPr>
        <xdr:cNvSpPr/>
      </xdr:nvSpPr>
      <xdr:spPr>
        <a:xfrm rot="10800000">
          <a:off x="733474" y="592995"/>
          <a:ext cx="563232" cy="508357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199447</xdr:colOff>
      <xdr:row>2</xdr:row>
      <xdr:rowOff>0</xdr:rowOff>
    </xdr:from>
    <xdr:to>
      <xdr:col>1</xdr:col>
      <xdr:colOff>74542</xdr:colOff>
      <xdr:row>4</xdr:row>
      <xdr:rowOff>66261</xdr:rowOff>
    </xdr:to>
    <xdr:sp macro="" textlink="">
      <xdr:nvSpPr>
        <xdr:cNvPr id="2" name="Pfeil: nach recht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8CE7423-1C55-19F3-001E-0A8DDA35D507}"/>
            </a:ext>
          </a:extLst>
        </xdr:cNvPr>
        <xdr:cNvSpPr/>
      </xdr:nvSpPr>
      <xdr:spPr>
        <a:xfrm rot="10800000">
          <a:off x="199447" y="480391"/>
          <a:ext cx="637095" cy="430696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753164</xdr:colOff>
      <xdr:row>2</xdr:row>
      <xdr:rowOff>0</xdr:rowOff>
    </xdr:from>
    <xdr:to>
      <xdr:col>8</xdr:col>
      <xdr:colOff>521389</xdr:colOff>
      <xdr:row>2</xdr:row>
      <xdr:rowOff>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9A6EBEC0-1391-41C1-9BEA-E3BD010481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654135</xdr:colOff>
      <xdr:row>24</xdr:row>
      <xdr:rowOff>34637</xdr:rowOff>
    </xdr:from>
    <xdr:to>
      <xdr:col>13</xdr:col>
      <xdr:colOff>392444</xdr:colOff>
      <xdr:row>41</xdr:row>
      <xdr:rowOff>60224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8532153A-AEF6-4CB4-8AD1-7946ADED43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616857</xdr:colOff>
      <xdr:row>1</xdr:row>
      <xdr:rowOff>117929</xdr:rowOff>
    </xdr:from>
    <xdr:to>
      <xdr:col>1</xdr:col>
      <xdr:colOff>544285</xdr:colOff>
      <xdr:row>1</xdr:row>
      <xdr:rowOff>598715</xdr:rowOff>
    </xdr:to>
    <xdr:sp macro="" textlink="">
      <xdr:nvSpPr>
        <xdr:cNvPr id="4" name="Pfeil: nach recht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F5121A1-431F-49D8-A5D0-71DE12B5A32C}"/>
            </a:ext>
          </a:extLst>
        </xdr:cNvPr>
        <xdr:cNvSpPr/>
      </xdr:nvSpPr>
      <xdr:spPr>
        <a:xfrm rot="10800000">
          <a:off x="620032" y="302079"/>
          <a:ext cx="683078" cy="480786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14</xdr:col>
      <xdr:colOff>688770</xdr:colOff>
      <xdr:row>24</xdr:row>
      <xdr:rowOff>34636</xdr:rowOff>
    </xdr:from>
    <xdr:to>
      <xdr:col>29</xdr:col>
      <xdr:colOff>752950</xdr:colOff>
      <xdr:row>41</xdr:row>
      <xdr:rowOff>63398</xdr:rowOff>
    </xdr:to>
    <xdr:graphicFrame macro="">
      <xdr:nvGraphicFramePr>
        <xdr:cNvPr id="5" name="Diagramm 4">
          <a:extLst>
            <a:ext uri="{FF2B5EF4-FFF2-40B4-BE49-F238E27FC236}">
              <a16:creationId xmlns:a16="http://schemas.microsoft.com/office/drawing/2014/main" id="{493B4DFE-7617-4CD3-AF7F-FE7992D5FE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oneCellAnchor>
    <xdr:from>
      <xdr:col>32</xdr:col>
      <xdr:colOff>0</xdr:colOff>
      <xdr:row>34</xdr:row>
      <xdr:rowOff>133350</xdr:rowOff>
    </xdr:from>
    <xdr:ext cx="184731" cy="264560"/>
    <xdr:sp macro="" textlink="">
      <xdr:nvSpPr>
        <xdr:cNvPr id="2" name="Textfeld 1">
          <a:extLst>
            <a:ext uri="{FF2B5EF4-FFF2-40B4-BE49-F238E27FC236}">
              <a16:creationId xmlns:a16="http://schemas.microsoft.com/office/drawing/2014/main" id="{019C7CDC-79FA-429A-985A-B51FE475AB30}"/>
            </a:ext>
          </a:extLst>
        </xdr:cNvPr>
        <xdr:cNvSpPr txBox="1"/>
      </xdr:nvSpPr>
      <xdr:spPr>
        <a:xfrm>
          <a:off x="18059400" y="6286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de-CH" sz="1100"/>
        </a:p>
      </xdr:txBody>
    </xdr:sp>
    <xdr:clientData/>
  </xdr:oneCellAnchor>
  <xdr:twoCellAnchor>
    <xdr:from>
      <xdr:col>1</xdr:col>
      <xdr:colOff>711929</xdr:colOff>
      <xdr:row>23</xdr:row>
      <xdr:rowOff>156578</xdr:rowOff>
    </xdr:from>
    <xdr:to>
      <xdr:col>53</xdr:col>
      <xdr:colOff>403677</xdr:colOff>
      <xdr:row>69</xdr:row>
      <xdr:rowOff>131535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40B33054-7231-4A97-A9F8-31B56B694A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387802</xdr:colOff>
      <xdr:row>0</xdr:row>
      <xdr:rowOff>197303</xdr:rowOff>
    </xdr:from>
    <xdr:to>
      <xdr:col>1</xdr:col>
      <xdr:colOff>299355</xdr:colOff>
      <xdr:row>2</xdr:row>
      <xdr:rowOff>68036</xdr:rowOff>
    </xdr:to>
    <xdr:sp macro="" textlink="">
      <xdr:nvSpPr>
        <xdr:cNvPr id="5" name="Pfeil: nach recht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F62F0F8-E53B-58D8-0CBE-DC173F63560B}"/>
            </a:ext>
          </a:extLst>
        </xdr:cNvPr>
        <xdr:cNvSpPr/>
      </xdr:nvSpPr>
      <xdr:spPr>
        <a:xfrm rot="10800000">
          <a:off x="387802" y="197303"/>
          <a:ext cx="659946" cy="483054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oneCellAnchor>
    <xdr:from>
      <xdr:col>29</xdr:col>
      <xdr:colOff>0</xdr:colOff>
      <xdr:row>37</xdr:row>
      <xdr:rowOff>133350</xdr:rowOff>
    </xdr:from>
    <xdr:ext cx="184731" cy="264560"/>
    <xdr:sp macro="" textlink="">
      <xdr:nvSpPr>
        <xdr:cNvPr id="2" name="Textfeld 1">
          <a:extLst>
            <a:ext uri="{FF2B5EF4-FFF2-40B4-BE49-F238E27FC236}">
              <a16:creationId xmlns:a16="http://schemas.microsoft.com/office/drawing/2014/main" id="{E74F87DA-4D2B-484E-BB10-4B019F14C5F8}"/>
            </a:ext>
          </a:extLst>
        </xdr:cNvPr>
        <xdr:cNvSpPr txBox="1"/>
      </xdr:nvSpPr>
      <xdr:spPr>
        <a:xfrm>
          <a:off x="17468850" y="7239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de-CH" sz="1100"/>
        </a:p>
      </xdr:txBody>
    </xdr:sp>
    <xdr:clientData/>
  </xdr:oneCellAnchor>
  <xdr:twoCellAnchor>
    <xdr:from>
      <xdr:col>0</xdr:col>
      <xdr:colOff>630330</xdr:colOff>
      <xdr:row>1</xdr:row>
      <xdr:rowOff>14007</xdr:rowOff>
    </xdr:from>
    <xdr:to>
      <xdr:col>1</xdr:col>
      <xdr:colOff>422648</xdr:colOff>
      <xdr:row>2</xdr:row>
      <xdr:rowOff>75265</xdr:rowOff>
    </xdr:to>
    <xdr:sp macro="" textlink="">
      <xdr:nvSpPr>
        <xdr:cNvPr id="4" name="Pfeil: nach recht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F403CD9-A559-4E04-9AFB-A307E4DE1344}"/>
            </a:ext>
          </a:extLst>
        </xdr:cNvPr>
        <xdr:cNvSpPr/>
      </xdr:nvSpPr>
      <xdr:spPr>
        <a:xfrm rot="10800000">
          <a:off x="630330" y="294154"/>
          <a:ext cx="543112" cy="397435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3</xdr:col>
      <xdr:colOff>123826</xdr:colOff>
      <xdr:row>24</xdr:row>
      <xdr:rowOff>57148</xdr:rowOff>
    </xdr:from>
    <xdr:to>
      <xdr:col>35</xdr:col>
      <xdr:colOff>381000</xdr:colOff>
      <xdr:row>57</xdr:row>
      <xdr:rowOff>56029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982D249E-353E-F6B6-8638-4DD3F5B792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</xdr:col>
      <xdr:colOff>0</xdr:colOff>
      <xdr:row>67</xdr:row>
      <xdr:rowOff>149412</xdr:rowOff>
    </xdr:from>
    <xdr:to>
      <xdr:col>4</xdr:col>
      <xdr:colOff>625644</xdr:colOff>
      <xdr:row>72</xdr:row>
      <xdr:rowOff>88833</xdr:rowOff>
    </xdr:to>
    <xdr:pic>
      <xdr:nvPicPr>
        <xdr:cNvPr id="5" name="Grafik 4">
          <a:extLst>
            <a:ext uri="{FF2B5EF4-FFF2-40B4-BE49-F238E27FC236}">
              <a16:creationId xmlns:a16="http://schemas.microsoft.com/office/drawing/2014/main" id="{22529E24-4EA3-8CE1-3F02-2922B6B695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09059" y="12595412"/>
          <a:ext cx="2553056" cy="866896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74</xdr:row>
      <xdr:rowOff>0</xdr:rowOff>
    </xdr:from>
    <xdr:to>
      <xdr:col>4</xdr:col>
      <xdr:colOff>101696</xdr:colOff>
      <xdr:row>78</xdr:row>
      <xdr:rowOff>8698</xdr:rowOff>
    </xdr:to>
    <xdr:pic>
      <xdr:nvPicPr>
        <xdr:cNvPr id="6" name="Grafik 5">
          <a:extLst>
            <a:ext uri="{FF2B5EF4-FFF2-40B4-BE49-F238E27FC236}">
              <a16:creationId xmlns:a16="http://schemas.microsoft.com/office/drawing/2014/main" id="{0363711C-B497-54D6-6FA9-23EB02FB59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09059" y="13850471"/>
          <a:ext cx="2029108" cy="762106"/>
        </a:xfrm>
        <a:prstGeom prst="rect">
          <a:avLst/>
        </a:prstGeom>
      </xdr:spPr>
    </xdr:pic>
    <xdr:clientData/>
  </xdr:twoCellAnchor>
  <xdr:twoCellAnchor editAs="oneCell">
    <xdr:from>
      <xdr:col>4</xdr:col>
      <xdr:colOff>283882</xdr:colOff>
      <xdr:row>73</xdr:row>
      <xdr:rowOff>186764</xdr:rowOff>
    </xdr:from>
    <xdr:to>
      <xdr:col>9</xdr:col>
      <xdr:colOff>905672</xdr:colOff>
      <xdr:row>78</xdr:row>
      <xdr:rowOff>7470</xdr:rowOff>
    </xdr:to>
    <xdr:pic>
      <xdr:nvPicPr>
        <xdr:cNvPr id="7" name="Grafik 6">
          <a:extLst>
            <a:ext uri="{FF2B5EF4-FFF2-40B4-BE49-F238E27FC236}">
              <a16:creationId xmlns:a16="http://schemas.microsoft.com/office/drawing/2014/main" id="{947D7197-D01B-7223-5D6E-A77C000223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720353" y="13895293"/>
          <a:ext cx="3237616" cy="754529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201908</xdr:colOff>
      <xdr:row>1</xdr:row>
      <xdr:rowOff>21213</xdr:rowOff>
    </xdr:from>
    <xdr:to>
      <xdr:col>1</xdr:col>
      <xdr:colOff>467701</xdr:colOff>
      <xdr:row>2</xdr:row>
      <xdr:rowOff>46159</xdr:rowOff>
    </xdr:to>
    <xdr:sp macro="" textlink="">
      <xdr:nvSpPr>
        <xdr:cNvPr id="2" name="Pfeil: nach recht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22B0008-BA79-49D0-8318-F995486845EA}"/>
            </a:ext>
          </a:extLst>
        </xdr:cNvPr>
        <xdr:cNvSpPr/>
      </xdr:nvSpPr>
      <xdr:spPr>
        <a:xfrm rot="10800000">
          <a:off x="201908" y="526038"/>
          <a:ext cx="494393" cy="320221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0</xdr:col>
      <xdr:colOff>130176</xdr:colOff>
      <xdr:row>17</xdr:row>
      <xdr:rowOff>106730</xdr:rowOff>
    </xdr:from>
    <xdr:to>
      <xdr:col>7</xdr:col>
      <xdr:colOff>323850</xdr:colOff>
      <xdr:row>41</xdr:row>
      <xdr:rowOff>28576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3B5D90BB-E955-493B-BF6D-80DDB5B3F3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638174</xdr:colOff>
      <xdr:row>17</xdr:row>
      <xdr:rowOff>136524</xdr:rowOff>
    </xdr:from>
    <xdr:to>
      <xdr:col>25</xdr:col>
      <xdr:colOff>225425</xdr:colOff>
      <xdr:row>41</xdr:row>
      <xdr:rowOff>15875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F3AC1B8F-7006-4D2B-9BCE-6B906BC2A9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0</xdr:colOff>
      <xdr:row>51</xdr:row>
      <xdr:rowOff>0</xdr:rowOff>
    </xdr:from>
    <xdr:to>
      <xdr:col>7</xdr:col>
      <xdr:colOff>495997</xdr:colOff>
      <xdr:row>80</xdr:row>
      <xdr:rowOff>67417</xdr:rowOff>
    </xdr:to>
    <xdr:pic>
      <xdr:nvPicPr>
        <xdr:cNvPr id="5" name="Grafik 4">
          <a:extLst>
            <a:ext uri="{FF2B5EF4-FFF2-40B4-BE49-F238E27FC236}">
              <a16:creationId xmlns:a16="http://schemas.microsoft.com/office/drawing/2014/main" id="{DB5EAD2E-7202-0193-5701-740E465B79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28600" y="8934450"/>
          <a:ext cx="4991797" cy="5315692"/>
        </a:xfrm>
        <a:prstGeom prst="rect">
          <a:avLst/>
        </a:prstGeom>
      </xdr:spPr>
    </xdr:pic>
    <xdr:clientData/>
  </xdr:twoCellAnchor>
  <xdr:twoCellAnchor>
    <xdr:from>
      <xdr:col>4</xdr:col>
      <xdr:colOff>635000</xdr:colOff>
      <xdr:row>88</xdr:row>
      <xdr:rowOff>171450</xdr:rowOff>
    </xdr:from>
    <xdr:to>
      <xdr:col>5</xdr:col>
      <xdr:colOff>139700</xdr:colOff>
      <xdr:row>92</xdr:row>
      <xdr:rowOff>0</xdr:rowOff>
    </xdr:to>
    <xdr:sp macro="" textlink="">
      <xdr:nvSpPr>
        <xdr:cNvPr id="6" name="Rechteck 5">
          <a:extLst>
            <a:ext uri="{FF2B5EF4-FFF2-40B4-BE49-F238E27FC236}">
              <a16:creationId xmlns:a16="http://schemas.microsoft.com/office/drawing/2014/main" id="{97704E52-98EB-38D2-8EE4-A4B5FBB452E2}"/>
            </a:ext>
          </a:extLst>
        </xdr:cNvPr>
        <xdr:cNvSpPr/>
      </xdr:nvSpPr>
      <xdr:spPr>
        <a:xfrm>
          <a:off x="2308087" y="16173450"/>
          <a:ext cx="266700" cy="55742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e-CH" sz="1100"/>
            <a:t>r1</a:t>
          </a:r>
        </a:p>
      </xdr:txBody>
    </xdr:sp>
    <xdr:clientData/>
  </xdr:twoCellAnchor>
  <xdr:twoCellAnchor>
    <xdr:from>
      <xdr:col>5</xdr:col>
      <xdr:colOff>618700</xdr:colOff>
      <xdr:row>96</xdr:row>
      <xdr:rowOff>75747</xdr:rowOff>
    </xdr:from>
    <xdr:to>
      <xdr:col>6</xdr:col>
      <xdr:colOff>428200</xdr:colOff>
      <xdr:row>97</xdr:row>
      <xdr:rowOff>201076</xdr:rowOff>
    </xdr:to>
    <xdr:sp macro="" textlink="">
      <xdr:nvSpPr>
        <xdr:cNvPr id="7" name="Rechteck 6">
          <a:extLst>
            <a:ext uri="{FF2B5EF4-FFF2-40B4-BE49-F238E27FC236}">
              <a16:creationId xmlns:a16="http://schemas.microsoft.com/office/drawing/2014/main" id="{C627751A-CDFF-9D7D-33F0-0B7949EF37B0}"/>
            </a:ext>
          </a:extLst>
        </xdr:cNvPr>
        <xdr:cNvSpPr/>
      </xdr:nvSpPr>
      <xdr:spPr>
        <a:xfrm rot="18367104">
          <a:off x="3934904" y="17368635"/>
          <a:ext cx="345908" cy="57150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3</xdr:col>
      <xdr:colOff>382813</xdr:colOff>
      <xdr:row>96</xdr:row>
      <xdr:rowOff>147395</xdr:rowOff>
    </xdr:from>
    <xdr:to>
      <xdr:col>4</xdr:col>
      <xdr:colOff>390492</xdr:colOff>
      <xdr:row>98</xdr:row>
      <xdr:rowOff>13484</xdr:rowOff>
    </xdr:to>
    <xdr:sp macro="" textlink="">
      <xdr:nvSpPr>
        <xdr:cNvPr id="8" name="Rechteck 7">
          <a:extLst>
            <a:ext uri="{FF2B5EF4-FFF2-40B4-BE49-F238E27FC236}">
              <a16:creationId xmlns:a16="http://schemas.microsoft.com/office/drawing/2014/main" id="{AE354634-AC80-0836-F95F-F88ECECA5CBC}"/>
            </a:ext>
          </a:extLst>
        </xdr:cNvPr>
        <xdr:cNvSpPr/>
      </xdr:nvSpPr>
      <xdr:spPr>
        <a:xfrm rot="2960613">
          <a:off x="2291933" y="17354950"/>
          <a:ext cx="304239" cy="769679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4</xdr:col>
      <xdr:colOff>628650</xdr:colOff>
      <xdr:row>86</xdr:row>
      <xdr:rowOff>50800</xdr:rowOff>
    </xdr:from>
    <xdr:to>
      <xdr:col>5</xdr:col>
      <xdr:colOff>146050</xdr:colOff>
      <xdr:row>87</xdr:row>
      <xdr:rowOff>139700</xdr:rowOff>
    </xdr:to>
    <xdr:sp macro="" textlink="">
      <xdr:nvSpPr>
        <xdr:cNvPr id="9" name="Ellipse 8">
          <a:extLst>
            <a:ext uri="{FF2B5EF4-FFF2-40B4-BE49-F238E27FC236}">
              <a16:creationId xmlns:a16="http://schemas.microsoft.com/office/drawing/2014/main" id="{3AA58F5A-3369-2856-EC53-176513BD99F2}"/>
            </a:ext>
          </a:extLst>
        </xdr:cNvPr>
        <xdr:cNvSpPr/>
      </xdr:nvSpPr>
      <xdr:spPr>
        <a:xfrm>
          <a:off x="2305050" y="15817850"/>
          <a:ext cx="279400" cy="273050"/>
        </a:xfrm>
        <a:prstGeom prst="ellipse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578945</xdr:colOff>
      <xdr:row>99</xdr:row>
      <xdr:rowOff>206594</xdr:rowOff>
    </xdr:from>
    <xdr:to>
      <xdr:col>3</xdr:col>
      <xdr:colOff>93170</xdr:colOff>
      <xdr:row>101</xdr:row>
      <xdr:rowOff>15875</xdr:rowOff>
    </xdr:to>
    <xdr:sp macro="" textlink="">
      <xdr:nvSpPr>
        <xdr:cNvPr id="11" name="Ellipse 10">
          <a:extLst>
            <a:ext uri="{FF2B5EF4-FFF2-40B4-BE49-F238E27FC236}">
              <a16:creationId xmlns:a16="http://schemas.microsoft.com/office/drawing/2014/main" id="{F120D1B4-CA48-66B4-A3ED-9A6A144FFE36}"/>
            </a:ext>
          </a:extLst>
        </xdr:cNvPr>
        <xdr:cNvSpPr/>
      </xdr:nvSpPr>
      <xdr:spPr>
        <a:xfrm>
          <a:off x="1493345" y="18294569"/>
          <a:ext cx="276225" cy="295056"/>
        </a:xfrm>
        <a:prstGeom prst="ellipse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7</xdr:col>
      <xdr:colOff>134544</xdr:colOff>
      <xdr:row>99</xdr:row>
      <xdr:rowOff>147934</xdr:rowOff>
    </xdr:from>
    <xdr:to>
      <xdr:col>7</xdr:col>
      <xdr:colOff>410769</xdr:colOff>
      <xdr:row>100</xdr:row>
      <xdr:rowOff>168036</xdr:rowOff>
    </xdr:to>
    <xdr:sp macro="" textlink="">
      <xdr:nvSpPr>
        <xdr:cNvPr id="12" name="Ellipse 11">
          <a:extLst>
            <a:ext uri="{FF2B5EF4-FFF2-40B4-BE49-F238E27FC236}">
              <a16:creationId xmlns:a16="http://schemas.microsoft.com/office/drawing/2014/main" id="{530E6294-EA3F-880A-186E-7EA8310EEA6F}"/>
            </a:ext>
          </a:extLst>
        </xdr:cNvPr>
        <xdr:cNvSpPr/>
      </xdr:nvSpPr>
      <xdr:spPr>
        <a:xfrm>
          <a:off x="4861952" y="18205329"/>
          <a:ext cx="276225" cy="295825"/>
        </a:xfrm>
        <a:prstGeom prst="ellipse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5</xdr:col>
      <xdr:colOff>6350</xdr:colOff>
      <xdr:row>87</xdr:row>
      <xdr:rowOff>139700</xdr:rowOff>
    </xdr:from>
    <xdr:to>
      <xdr:col>5</xdr:col>
      <xdr:colOff>6350</xdr:colOff>
      <xdr:row>88</xdr:row>
      <xdr:rowOff>171450</xdr:rowOff>
    </xdr:to>
    <xdr:cxnSp macro="">
      <xdr:nvCxnSpPr>
        <xdr:cNvPr id="14" name="Gerader Verbinder 13">
          <a:extLst>
            <a:ext uri="{FF2B5EF4-FFF2-40B4-BE49-F238E27FC236}">
              <a16:creationId xmlns:a16="http://schemas.microsoft.com/office/drawing/2014/main" id="{9AF6C6B1-9D57-25C5-5F17-F088E292189B}"/>
            </a:ext>
          </a:extLst>
        </xdr:cNvPr>
        <xdr:cNvCxnSpPr>
          <a:stCxn id="9" idx="4"/>
          <a:endCxn id="6" idx="0"/>
        </xdr:cNvCxnSpPr>
      </xdr:nvCxnSpPr>
      <xdr:spPr>
        <a:xfrm>
          <a:off x="2444750" y="16090900"/>
          <a:ext cx="0" cy="215900"/>
        </a:xfrm>
        <a:prstGeom prst="line">
          <a:avLst/>
        </a:prstGeom>
        <a:ln w="285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376454</xdr:colOff>
      <xdr:row>97</xdr:row>
      <xdr:rowOff>194972</xdr:rowOff>
    </xdr:from>
    <xdr:to>
      <xdr:col>7</xdr:col>
      <xdr:colOff>174531</xdr:colOff>
      <xdr:row>99</xdr:row>
      <xdr:rowOff>188082</xdr:rowOff>
    </xdr:to>
    <xdr:cxnSp macro="">
      <xdr:nvCxnSpPr>
        <xdr:cNvPr id="16" name="Gerader Verbinder 15">
          <a:extLst>
            <a:ext uri="{FF2B5EF4-FFF2-40B4-BE49-F238E27FC236}">
              <a16:creationId xmlns:a16="http://schemas.microsoft.com/office/drawing/2014/main" id="{9B159CB8-B59A-D39E-76AE-115829F32402}"/>
            </a:ext>
          </a:extLst>
        </xdr:cNvPr>
        <xdr:cNvCxnSpPr>
          <a:stCxn id="7" idx="2"/>
          <a:endCxn id="12" idx="1"/>
        </xdr:cNvCxnSpPr>
      </xdr:nvCxnSpPr>
      <xdr:spPr>
        <a:xfrm>
          <a:off x="4341862" y="17821235"/>
          <a:ext cx="560077" cy="424242"/>
        </a:xfrm>
        <a:prstGeom prst="line">
          <a:avLst/>
        </a:prstGeom>
        <a:ln w="285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102423</xdr:colOff>
      <xdr:row>94</xdr:row>
      <xdr:rowOff>94366</xdr:rowOff>
    </xdr:from>
    <xdr:to>
      <xdr:col>5</xdr:col>
      <xdr:colOff>676796</xdr:colOff>
      <xdr:row>96</xdr:row>
      <xdr:rowOff>78677</xdr:rowOff>
    </xdr:to>
    <xdr:cxnSp macro="">
      <xdr:nvCxnSpPr>
        <xdr:cNvPr id="17" name="Gerader Verbinder 16">
          <a:extLst>
            <a:ext uri="{FF2B5EF4-FFF2-40B4-BE49-F238E27FC236}">
              <a16:creationId xmlns:a16="http://schemas.microsoft.com/office/drawing/2014/main" id="{3AFC905A-776F-BA0F-E43F-06F598BF91E6}"/>
            </a:ext>
          </a:extLst>
        </xdr:cNvPr>
        <xdr:cNvCxnSpPr>
          <a:stCxn id="10" idx="5"/>
          <a:endCxn id="7" idx="0"/>
        </xdr:cNvCxnSpPr>
      </xdr:nvCxnSpPr>
      <xdr:spPr>
        <a:xfrm>
          <a:off x="3305831" y="17098998"/>
          <a:ext cx="574373" cy="385363"/>
        </a:xfrm>
        <a:prstGeom prst="line">
          <a:avLst/>
        </a:prstGeom>
        <a:ln w="285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6350</xdr:colOff>
      <xdr:row>92</xdr:row>
      <xdr:rowOff>1478</xdr:rowOff>
    </xdr:from>
    <xdr:to>
      <xdr:col>5</xdr:col>
      <xdr:colOff>6350</xdr:colOff>
      <xdr:row>93</xdr:row>
      <xdr:rowOff>44450</xdr:rowOff>
    </xdr:to>
    <xdr:cxnSp macro="">
      <xdr:nvCxnSpPr>
        <xdr:cNvPr id="18" name="Gerader Verbinder 17">
          <a:extLst>
            <a:ext uri="{FF2B5EF4-FFF2-40B4-BE49-F238E27FC236}">
              <a16:creationId xmlns:a16="http://schemas.microsoft.com/office/drawing/2014/main" id="{985ADFC5-5036-217E-2761-1BD8E71D944E}"/>
            </a:ext>
          </a:extLst>
        </xdr:cNvPr>
        <xdr:cNvCxnSpPr>
          <a:stCxn id="6" idx="2"/>
          <a:endCxn id="10" idx="0"/>
        </xdr:cNvCxnSpPr>
      </xdr:nvCxnSpPr>
      <xdr:spPr>
        <a:xfrm>
          <a:off x="2444296" y="16836571"/>
          <a:ext cx="0" cy="228147"/>
        </a:xfrm>
        <a:prstGeom prst="line">
          <a:avLst/>
        </a:prstGeom>
        <a:ln w="285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297604</xdr:colOff>
      <xdr:row>94</xdr:row>
      <xdr:rowOff>94293</xdr:rowOff>
    </xdr:from>
    <xdr:to>
      <xdr:col>4</xdr:col>
      <xdr:colOff>669102</xdr:colOff>
      <xdr:row>96</xdr:row>
      <xdr:rowOff>48783</xdr:rowOff>
    </xdr:to>
    <xdr:cxnSp macro="">
      <xdr:nvCxnSpPr>
        <xdr:cNvPr id="19" name="Gerader Verbinder 18">
          <a:extLst>
            <a:ext uri="{FF2B5EF4-FFF2-40B4-BE49-F238E27FC236}">
              <a16:creationId xmlns:a16="http://schemas.microsoft.com/office/drawing/2014/main" id="{4763A8BC-792B-5B8E-10C7-4DAAA16C2A34}"/>
            </a:ext>
          </a:extLst>
        </xdr:cNvPr>
        <xdr:cNvCxnSpPr>
          <a:stCxn id="10" idx="3"/>
          <a:endCxn id="8" idx="0"/>
        </xdr:cNvCxnSpPr>
      </xdr:nvCxnSpPr>
      <xdr:spPr>
        <a:xfrm flipH="1">
          <a:off x="2736004" y="17134518"/>
          <a:ext cx="371498" cy="354540"/>
        </a:xfrm>
        <a:prstGeom prst="line">
          <a:avLst/>
        </a:prstGeom>
        <a:ln w="285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53183</xdr:colOff>
      <xdr:row>98</xdr:row>
      <xdr:rowOff>108452</xdr:rowOff>
    </xdr:from>
    <xdr:to>
      <xdr:col>3</xdr:col>
      <xdr:colOff>476085</xdr:colOff>
      <xdr:row>99</xdr:row>
      <xdr:rowOff>249877</xdr:rowOff>
    </xdr:to>
    <xdr:cxnSp macro="">
      <xdr:nvCxnSpPr>
        <xdr:cNvPr id="20" name="Gerader Verbinder 19">
          <a:extLst>
            <a:ext uri="{FF2B5EF4-FFF2-40B4-BE49-F238E27FC236}">
              <a16:creationId xmlns:a16="http://schemas.microsoft.com/office/drawing/2014/main" id="{348A8C53-242B-3238-1BA8-0C9755CB9BA2}"/>
            </a:ext>
          </a:extLst>
        </xdr:cNvPr>
        <xdr:cNvCxnSpPr>
          <a:stCxn id="8" idx="2"/>
          <a:endCxn id="11" idx="7"/>
        </xdr:cNvCxnSpPr>
      </xdr:nvCxnSpPr>
      <xdr:spPr>
        <a:xfrm flipH="1">
          <a:off x="1732591" y="17955294"/>
          <a:ext cx="422902" cy="351978"/>
        </a:xfrm>
        <a:prstGeom prst="line">
          <a:avLst/>
        </a:prstGeom>
        <a:ln w="285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225592</xdr:colOff>
      <xdr:row>86</xdr:row>
      <xdr:rowOff>195513</xdr:rowOff>
    </xdr:from>
    <xdr:to>
      <xdr:col>4</xdr:col>
      <xdr:colOff>628650</xdr:colOff>
      <xdr:row>86</xdr:row>
      <xdr:rowOff>200527</xdr:rowOff>
    </xdr:to>
    <xdr:cxnSp macro="">
      <xdr:nvCxnSpPr>
        <xdr:cNvPr id="37" name="Gerader Verbinder 36">
          <a:extLst>
            <a:ext uri="{FF2B5EF4-FFF2-40B4-BE49-F238E27FC236}">
              <a16:creationId xmlns:a16="http://schemas.microsoft.com/office/drawing/2014/main" id="{78A874DF-101D-05A4-8231-B9F155E80286}"/>
            </a:ext>
          </a:extLst>
        </xdr:cNvPr>
        <xdr:cNvCxnSpPr>
          <a:stCxn id="9" idx="2"/>
        </xdr:cNvCxnSpPr>
      </xdr:nvCxnSpPr>
      <xdr:spPr>
        <a:xfrm flipH="1" flipV="1">
          <a:off x="225592" y="15726276"/>
          <a:ext cx="2844466" cy="5014"/>
        </a:xfrm>
        <a:prstGeom prst="line">
          <a:avLst/>
        </a:prstGeom>
        <a:ln w="285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10027</xdr:colOff>
      <xdr:row>100</xdr:row>
      <xdr:rowOff>78650</xdr:rowOff>
    </xdr:from>
    <xdr:to>
      <xdr:col>2</xdr:col>
      <xdr:colOff>582120</xdr:colOff>
      <xdr:row>100</xdr:row>
      <xdr:rowOff>85224</xdr:rowOff>
    </xdr:to>
    <xdr:cxnSp macro="">
      <xdr:nvCxnSpPr>
        <xdr:cNvPr id="40" name="Gerader Verbinder 39">
          <a:extLst>
            <a:ext uri="{FF2B5EF4-FFF2-40B4-BE49-F238E27FC236}">
              <a16:creationId xmlns:a16="http://schemas.microsoft.com/office/drawing/2014/main" id="{1E0956E5-BCEC-4EEB-8E1F-B7B5BEC3BCED}"/>
            </a:ext>
          </a:extLst>
        </xdr:cNvPr>
        <xdr:cNvCxnSpPr>
          <a:stCxn id="11" idx="2"/>
        </xdr:cNvCxnSpPr>
      </xdr:nvCxnSpPr>
      <xdr:spPr>
        <a:xfrm flipH="1">
          <a:off x="240632" y="18411768"/>
          <a:ext cx="1258896" cy="6574"/>
        </a:xfrm>
        <a:prstGeom prst="line">
          <a:avLst/>
        </a:prstGeom>
        <a:ln w="285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52113</xdr:colOff>
      <xdr:row>104</xdr:row>
      <xdr:rowOff>1</xdr:rowOff>
    </xdr:from>
    <xdr:to>
      <xdr:col>7</xdr:col>
      <xdr:colOff>292434</xdr:colOff>
      <xdr:row>104</xdr:row>
      <xdr:rowOff>9860</xdr:rowOff>
    </xdr:to>
    <xdr:cxnSp macro="">
      <xdr:nvCxnSpPr>
        <xdr:cNvPr id="43" name="Gerader Verbinder 42">
          <a:extLst>
            <a:ext uri="{FF2B5EF4-FFF2-40B4-BE49-F238E27FC236}">
              <a16:creationId xmlns:a16="http://schemas.microsoft.com/office/drawing/2014/main" id="{3A452C44-2966-B228-F287-05F539EBDF88}"/>
            </a:ext>
          </a:extLst>
        </xdr:cNvPr>
        <xdr:cNvCxnSpPr/>
      </xdr:nvCxnSpPr>
      <xdr:spPr>
        <a:xfrm flipH="1" flipV="1">
          <a:off x="282718" y="19145251"/>
          <a:ext cx="4737124" cy="9859"/>
        </a:xfrm>
        <a:prstGeom prst="line">
          <a:avLst/>
        </a:prstGeom>
        <a:ln w="285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271069</xdr:colOff>
      <xdr:row>100</xdr:row>
      <xdr:rowOff>164861</xdr:rowOff>
    </xdr:from>
    <xdr:to>
      <xdr:col>7</xdr:col>
      <xdr:colOff>285750</xdr:colOff>
      <xdr:row>104</xdr:row>
      <xdr:rowOff>15039</xdr:rowOff>
    </xdr:to>
    <xdr:cxnSp macro="">
      <xdr:nvCxnSpPr>
        <xdr:cNvPr id="45" name="Gerader Verbinder 44">
          <a:extLst>
            <a:ext uri="{FF2B5EF4-FFF2-40B4-BE49-F238E27FC236}">
              <a16:creationId xmlns:a16="http://schemas.microsoft.com/office/drawing/2014/main" id="{37D7BBB0-2172-825C-3844-D87D7437F809}"/>
            </a:ext>
          </a:extLst>
        </xdr:cNvPr>
        <xdr:cNvCxnSpPr>
          <a:stCxn id="12" idx="4"/>
        </xdr:cNvCxnSpPr>
      </xdr:nvCxnSpPr>
      <xdr:spPr>
        <a:xfrm>
          <a:off x="4998477" y="18497979"/>
          <a:ext cx="14681" cy="662310"/>
        </a:xfrm>
        <a:prstGeom prst="line">
          <a:avLst/>
        </a:prstGeom>
        <a:ln w="285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209827</xdr:colOff>
      <xdr:row>87</xdr:row>
      <xdr:rowOff>33131</xdr:rowOff>
    </xdr:from>
    <xdr:ext cx="315471" cy="264560"/>
    <xdr:sp macro="" textlink="">
      <xdr:nvSpPr>
        <xdr:cNvPr id="50" name="Textfeld 49">
          <a:extLst>
            <a:ext uri="{FF2B5EF4-FFF2-40B4-BE49-F238E27FC236}">
              <a16:creationId xmlns:a16="http://schemas.microsoft.com/office/drawing/2014/main" id="{4E0FEB5E-6944-3C78-E0C0-AB9D5F23C0B3}"/>
            </a:ext>
          </a:extLst>
        </xdr:cNvPr>
        <xdr:cNvSpPr txBox="1"/>
      </xdr:nvSpPr>
      <xdr:spPr>
        <a:xfrm>
          <a:off x="209827" y="15852914"/>
          <a:ext cx="315471" cy="264560"/>
        </a:xfrm>
        <a:prstGeom prst="rect">
          <a:avLst/>
        </a:prstGeom>
        <a:solidFill>
          <a:srgbClr val="FFC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de-CH" sz="1100">
              <a:solidFill>
                <a:schemeClr val="tx1">
                  <a:lumMod val="95000"/>
                  <a:lumOff val="5000"/>
                </a:schemeClr>
              </a:solidFill>
            </a:rPr>
            <a:t>L1</a:t>
          </a:r>
        </a:p>
      </xdr:txBody>
    </xdr:sp>
    <xdr:clientData/>
  </xdr:oneCellAnchor>
  <xdr:oneCellAnchor>
    <xdr:from>
      <xdr:col>5</xdr:col>
      <xdr:colOff>82189</xdr:colOff>
      <xdr:row>89</xdr:row>
      <xdr:rowOff>145264</xdr:rowOff>
    </xdr:from>
    <xdr:ext cx="332783" cy="264560"/>
    <xdr:sp macro="" textlink="">
      <xdr:nvSpPr>
        <xdr:cNvPr id="51" name="Textfeld 50">
          <a:extLst>
            <a:ext uri="{FF2B5EF4-FFF2-40B4-BE49-F238E27FC236}">
              <a16:creationId xmlns:a16="http://schemas.microsoft.com/office/drawing/2014/main" id="{96B827A4-80FE-5BAE-024E-03D3F893A574}"/>
            </a:ext>
          </a:extLst>
        </xdr:cNvPr>
        <xdr:cNvSpPr txBox="1"/>
      </xdr:nvSpPr>
      <xdr:spPr>
        <a:xfrm>
          <a:off x="2519612" y="16581995"/>
          <a:ext cx="33278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de-CH" sz="1100"/>
            <a:t>R1</a:t>
          </a:r>
        </a:p>
      </xdr:txBody>
    </xdr:sp>
    <xdr:clientData/>
  </xdr:oneCellAnchor>
  <xdr:oneCellAnchor>
    <xdr:from>
      <xdr:col>5</xdr:col>
      <xdr:colOff>674067</xdr:colOff>
      <xdr:row>96</xdr:row>
      <xdr:rowOff>138989</xdr:rowOff>
    </xdr:from>
    <xdr:ext cx="332783" cy="264560"/>
    <xdr:sp macro="" textlink="">
      <xdr:nvSpPr>
        <xdr:cNvPr id="52" name="Textfeld 51">
          <a:extLst>
            <a:ext uri="{FF2B5EF4-FFF2-40B4-BE49-F238E27FC236}">
              <a16:creationId xmlns:a16="http://schemas.microsoft.com/office/drawing/2014/main" id="{9C88A84F-227A-DD61-7659-9B45D36EC4C0}"/>
            </a:ext>
          </a:extLst>
        </xdr:cNvPr>
        <xdr:cNvSpPr txBox="1"/>
      </xdr:nvSpPr>
      <xdr:spPr>
        <a:xfrm>
          <a:off x="3877475" y="17544673"/>
          <a:ext cx="33278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de-CH" sz="1100"/>
            <a:t>R3</a:t>
          </a:r>
        </a:p>
      </xdr:txBody>
    </xdr:sp>
    <xdr:clientData/>
  </xdr:oneCellAnchor>
  <xdr:oneCellAnchor>
    <xdr:from>
      <xdr:col>3</xdr:col>
      <xdr:colOff>593784</xdr:colOff>
      <xdr:row>96</xdr:row>
      <xdr:rowOff>152451</xdr:rowOff>
    </xdr:from>
    <xdr:ext cx="332783" cy="264560"/>
    <xdr:sp macro="" textlink="">
      <xdr:nvSpPr>
        <xdr:cNvPr id="53" name="Textfeld 52">
          <a:extLst>
            <a:ext uri="{FF2B5EF4-FFF2-40B4-BE49-F238E27FC236}">
              <a16:creationId xmlns:a16="http://schemas.microsoft.com/office/drawing/2014/main" id="{E5CD34B3-3A08-DE91-87C8-ACE2D5DCF0B4}"/>
            </a:ext>
          </a:extLst>
        </xdr:cNvPr>
        <xdr:cNvSpPr txBox="1"/>
      </xdr:nvSpPr>
      <xdr:spPr>
        <a:xfrm>
          <a:off x="2273192" y="17558135"/>
          <a:ext cx="33278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de-CH" sz="1100"/>
            <a:t>R2</a:t>
          </a:r>
        </a:p>
      </xdr:txBody>
    </xdr:sp>
    <xdr:clientData/>
  </xdr:oneCellAnchor>
  <xdr:oneCellAnchor>
    <xdr:from>
      <xdr:col>0</xdr:col>
      <xdr:colOff>220870</xdr:colOff>
      <xdr:row>102</xdr:row>
      <xdr:rowOff>49696</xdr:rowOff>
    </xdr:from>
    <xdr:ext cx="315471" cy="264560"/>
    <xdr:sp macro="" textlink="">
      <xdr:nvSpPr>
        <xdr:cNvPr id="54" name="Textfeld 53">
          <a:extLst>
            <a:ext uri="{FF2B5EF4-FFF2-40B4-BE49-F238E27FC236}">
              <a16:creationId xmlns:a16="http://schemas.microsoft.com/office/drawing/2014/main" id="{9FD73D5E-7A17-79DC-9B7D-1327DAF08EA1}"/>
            </a:ext>
          </a:extLst>
        </xdr:cNvPr>
        <xdr:cNvSpPr txBox="1"/>
      </xdr:nvSpPr>
      <xdr:spPr>
        <a:xfrm>
          <a:off x="220870" y="18602739"/>
          <a:ext cx="315471" cy="264560"/>
        </a:xfrm>
        <a:prstGeom prst="rect">
          <a:avLst/>
        </a:prstGeom>
        <a:solidFill>
          <a:schemeClr val="bg1">
            <a:lumMod val="7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de-CH" sz="1100"/>
            <a:t>L3</a:t>
          </a:r>
        </a:p>
      </xdr:txBody>
    </xdr:sp>
    <xdr:clientData/>
  </xdr:oneCellAnchor>
  <xdr:oneCellAnchor>
    <xdr:from>
      <xdr:col>1</xdr:col>
      <xdr:colOff>16566</xdr:colOff>
      <xdr:row>99</xdr:row>
      <xdr:rowOff>66262</xdr:rowOff>
    </xdr:from>
    <xdr:ext cx="315471" cy="264560"/>
    <xdr:sp macro="" textlink="">
      <xdr:nvSpPr>
        <xdr:cNvPr id="55" name="Textfeld 54">
          <a:extLst>
            <a:ext uri="{FF2B5EF4-FFF2-40B4-BE49-F238E27FC236}">
              <a16:creationId xmlns:a16="http://schemas.microsoft.com/office/drawing/2014/main" id="{E7B90B75-FB68-B20B-0866-84EE3CF519CF}"/>
            </a:ext>
          </a:extLst>
        </xdr:cNvPr>
        <xdr:cNvSpPr txBox="1"/>
      </xdr:nvSpPr>
      <xdr:spPr>
        <a:xfrm>
          <a:off x="242957" y="18072653"/>
          <a:ext cx="315471" cy="264560"/>
        </a:xfrm>
        <a:prstGeom prst="rect">
          <a:avLst/>
        </a:prstGeom>
        <a:solidFill>
          <a:schemeClr val="tx1">
            <a:lumMod val="95000"/>
            <a:lumOff val="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de-CH" sz="1100">
              <a:solidFill>
                <a:schemeClr val="bg1">
                  <a:lumMod val="95000"/>
                </a:schemeClr>
              </a:solidFill>
            </a:rPr>
            <a:t>L2</a:t>
          </a:r>
        </a:p>
      </xdr:txBody>
    </xdr:sp>
    <xdr:clientData/>
  </xdr:oneCellAnchor>
  <xdr:twoCellAnchor>
    <xdr:from>
      <xdr:col>1</xdr:col>
      <xdr:colOff>22088</xdr:colOff>
      <xdr:row>93</xdr:row>
      <xdr:rowOff>149087</xdr:rowOff>
    </xdr:from>
    <xdr:to>
      <xdr:col>4</xdr:col>
      <xdr:colOff>645216</xdr:colOff>
      <xdr:row>93</xdr:row>
      <xdr:rowOff>174487</xdr:rowOff>
    </xdr:to>
    <xdr:cxnSp macro="">
      <xdr:nvCxnSpPr>
        <xdr:cNvPr id="56" name="Gerader Verbinder 55">
          <a:extLst>
            <a:ext uri="{FF2B5EF4-FFF2-40B4-BE49-F238E27FC236}">
              <a16:creationId xmlns:a16="http://schemas.microsoft.com/office/drawing/2014/main" id="{905C9993-2A7D-EB83-CA06-162D7EC630C9}"/>
            </a:ext>
          </a:extLst>
        </xdr:cNvPr>
        <xdr:cNvCxnSpPr/>
      </xdr:nvCxnSpPr>
      <xdr:spPr>
        <a:xfrm flipH="1" flipV="1">
          <a:off x="248479" y="17062174"/>
          <a:ext cx="2069824" cy="25400"/>
        </a:xfrm>
        <a:prstGeom prst="line">
          <a:avLst/>
        </a:prstGeom>
        <a:ln w="28575">
          <a:solidFill>
            <a:schemeClr val="tx1">
              <a:lumMod val="95000"/>
              <a:lumOff val="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</xdr:col>
      <xdr:colOff>11044</xdr:colOff>
      <xdr:row>94</xdr:row>
      <xdr:rowOff>22089</xdr:rowOff>
    </xdr:from>
    <xdr:ext cx="275717" cy="264560"/>
    <xdr:sp macro="" textlink="">
      <xdr:nvSpPr>
        <xdr:cNvPr id="59" name="Textfeld 58">
          <a:extLst>
            <a:ext uri="{FF2B5EF4-FFF2-40B4-BE49-F238E27FC236}">
              <a16:creationId xmlns:a16="http://schemas.microsoft.com/office/drawing/2014/main" id="{310EE982-8A94-3341-6A57-BD9A0D906CCB}"/>
            </a:ext>
          </a:extLst>
        </xdr:cNvPr>
        <xdr:cNvSpPr txBox="1"/>
      </xdr:nvSpPr>
      <xdr:spPr>
        <a:xfrm>
          <a:off x="237435" y="17117393"/>
          <a:ext cx="275717" cy="264560"/>
        </a:xfrm>
        <a:prstGeom prst="rect">
          <a:avLst/>
        </a:prstGeom>
        <a:solidFill>
          <a:srgbClr val="00B0F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de-CH" sz="1100">
              <a:solidFill>
                <a:schemeClr val="tx1">
                  <a:lumMod val="95000"/>
                  <a:lumOff val="5000"/>
                </a:schemeClr>
              </a:solidFill>
            </a:rPr>
            <a:t>N</a:t>
          </a:r>
        </a:p>
      </xdr:txBody>
    </xdr:sp>
    <xdr:clientData/>
  </xdr:oneCellAnchor>
  <xdr:twoCellAnchor>
    <xdr:from>
      <xdr:col>4</xdr:col>
      <xdr:colOff>628650</xdr:colOff>
      <xdr:row>93</xdr:row>
      <xdr:rowOff>44450</xdr:rowOff>
    </xdr:from>
    <xdr:to>
      <xdr:col>5</xdr:col>
      <xdr:colOff>146050</xdr:colOff>
      <xdr:row>94</xdr:row>
      <xdr:rowOff>133350</xdr:rowOff>
    </xdr:to>
    <xdr:sp macro="" textlink="">
      <xdr:nvSpPr>
        <xdr:cNvPr id="10" name="Ellipse 9">
          <a:extLst>
            <a:ext uri="{FF2B5EF4-FFF2-40B4-BE49-F238E27FC236}">
              <a16:creationId xmlns:a16="http://schemas.microsoft.com/office/drawing/2014/main" id="{CE99BDDB-C283-BB8E-78E4-658F6F8BDBCD}"/>
            </a:ext>
          </a:extLst>
        </xdr:cNvPr>
        <xdr:cNvSpPr/>
      </xdr:nvSpPr>
      <xdr:spPr>
        <a:xfrm>
          <a:off x="2305050" y="17100550"/>
          <a:ext cx="279400" cy="273050"/>
        </a:xfrm>
        <a:prstGeom prst="ellipse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4</xdr:col>
      <xdr:colOff>560618</xdr:colOff>
      <xdr:row>88</xdr:row>
      <xdr:rowOff>143890</xdr:rowOff>
    </xdr:from>
    <xdr:to>
      <xdr:col>4</xdr:col>
      <xdr:colOff>566140</xdr:colOff>
      <xdr:row>92</xdr:row>
      <xdr:rowOff>33455</xdr:rowOff>
    </xdr:to>
    <xdr:cxnSp macro="">
      <xdr:nvCxnSpPr>
        <xdr:cNvPr id="60" name="Gerader Verbinder 59">
          <a:extLst>
            <a:ext uri="{FF2B5EF4-FFF2-40B4-BE49-F238E27FC236}">
              <a16:creationId xmlns:a16="http://schemas.microsoft.com/office/drawing/2014/main" id="{3879B5BB-7A14-AE92-0CCF-917D8A289BBF}"/>
            </a:ext>
          </a:extLst>
        </xdr:cNvPr>
        <xdr:cNvCxnSpPr/>
      </xdr:nvCxnSpPr>
      <xdr:spPr>
        <a:xfrm flipH="1">
          <a:off x="2241500" y="16497008"/>
          <a:ext cx="5522" cy="636623"/>
        </a:xfrm>
        <a:prstGeom prst="line">
          <a:avLst/>
        </a:prstGeom>
        <a:ln w="28575">
          <a:solidFill>
            <a:srgbClr val="00B0F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</xdr:col>
      <xdr:colOff>229315</xdr:colOff>
      <xdr:row>90</xdr:row>
      <xdr:rowOff>5522</xdr:rowOff>
    </xdr:from>
    <xdr:ext cx="383631" cy="264560"/>
    <xdr:sp macro="" textlink="">
      <xdr:nvSpPr>
        <xdr:cNvPr id="63" name="Textfeld 62">
          <a:extLst>
            <a:ext uri="{FF2B5EF4-FFF2-40B4-BE49-F238E27FC236}">
              <a16:creationId xmlns:a16="http://schemas.microsoft.com/office/drawing/2014/main" id="{6B0D3C7C-37C2-7684-6E62-2FD6549AFADE}"/>
            </a:ext>
          </a:extLst>
        </xdr:cNvPr>
        <xdr:cNvSpPr txBox="1"/>
      </xdr:nvSpPr>
      <xdr:spPr>
        <a:xfrm>
          <a:off x="1910197" y="16732169"/>
          <a:ext cx="3836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de-CH" sz="1100">
              <a:solidFill>
                <a:schemeClr val="accent1">
                  <a:lumMod val="75000"/>
                </a:schemeClr>
              </a:solidFill>
            </a:rPr>
            <a:t>U</a:t>
          </a:r>
          <a:r>
            <a:rPr lang="de-CH" sz="1100" baseline="-25000">
              <a:solidFill>
                <a:schemeClr val="accent1">
                  <a:lumMod val="75000"/>
                </a:schemeClr>
              </a:solidFill>
            </a:rPr>
            <a:t>1N</a:t>
          </a:r>
        </a:p>
      </xdr:txBody>
    </xdr:sp>
    <xdr:clientData/>
  </xdr:oneCellAnchor>
  <xdr:twoCellAnchor>
    <xdr:from>
      <xdr:col>5</xdr:col>
      <xdr:colOff>480391</xdr:colOff>
      <xdr:row>97</xdr:row>
      <xdr:rowOff>99391</xdr:rowOff>
    </xdr:from>
    <xdr:to>
      <xdr:col>6</xdr:col>
      <xdr:colOff>204304</xdr:colOff>
      <xdr:row>99</xdr:row>
      <xdr:rowOff>44174</xdr:rowOff>
    </xdr:to>
    <xdr:cxnSp macro="">
      <xdr:nvCxnSpPr>
        <xdr:cNvPr id="64" name="Gerader Verbinder 63">
          <a:extLst>
            <a:ext uri="{FF2B5EF4-FFF2-40B4-BE49-F238E27FC236}">
              <a16:creationId xmlns:a16="http://schemas.microsoft.com/office/drawing/2014/main" id="{56377A6B-AD38-42DD-2927-40156392CFF9}"/>
            </a:ext>
          </a:extLst>
        </xdr:cNvPr>
        <xdr:cNvCxnSpPr/>
      </xdr:nvCxnSpPr>
      <xdr:spPr>
        <a:xfrm flipH="1" flipV="1">
          <a:off x="2915478" y="17741348"/>
          <a:ext cx="485913" cy="309217"/>
        </a:xfrm>
        <a:prstGeom prst="line">
          <a:avLst/>
        </a:prstGeom>
        <a:ln w="28575">
          <a:solidFill>
            <a:srgbClr val="00B0F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750135</xdr:colOff>
      <xdr:row>97</xdr:row>
      <xdr:rowOff>65171</xdr:rowOff>
    </xdr:from>
    <xdr:to>
      <xdr:col>4</xdr:col>
      <xdr:colOff>481263</xdr:colOff>
      <xdr:row>99</xdr:row>
      <xdr:rowOff>35092</xdr:rowOff>
    </xdr:to>
    <xdr:cxnSp macro="">
      <xdr:nvCxnSpPr>
        <xdr:cNvPr id="65" name="Gerader Verbinder 64">
          <a:extLst>
            <a:ext uri="{FF2B5EF4-FFF2-40B4-BE49-F238E27FC236}">
              <a16:creationId xmlns:a16="http://schemas.microsoft.com/office/drawing/2014/main" id="{305B37C9-F71F-4409-7573-BC9A655AD62F}"/>
            </a:ext>
          </a:extLst>
        </xdr:cNvPr>
        <xdr:cNvCxnSpPr/>
      </xdr:nvCxnSpPr>
      <xdr:spPr>
        <a:xfrm flipV="1">
          <a:off x="2429543" y="17691434"/>
          <a:ext cx="493128" cy="401053"/>
        </a:xfrm>
        <a:prstGeom prst="line">
          <a:avLst/>
        </a:prstGeom>
        <a:ln w="28575">
          <a:solidFill>
            <a:srgbClr val="00B0F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</xdr:col>
      <xdr:colOff>173957</xdr:colOff>
      <xdr:row>97</xdr:row>
      <xdr:rowOff>198950</xdr:rowOff>
    </xdr:from>
    <xdr:ext cx="383631" cy="264560"/>
    <xdr:sp macro="" textlink="">
      <xdr:nvSpPr>
        <xdr:cNvPr id="70" name="Textfeld 69">
          <a:extLst>
            <a:ext uri="{FF2B5EF4-FFF2-40B4-BE49-F238E27FC236}">
              <a16:creationId xmlns:a16="http://schemas.microsoft.com/office/drawing/2014/main" id="{310AFCF3-44F0-F74C-FFF1-0FF30FADB96F}"/>
            </a:ext>
          </a:extLst>
        </xdr:cNvPr>
        <xdr:cNvSpPr txBox="1"/>
      </xdr:nvSpPr>
      <xdr:spPr>
        <a:xfrm>
          <a:off x="2615365" y="17825213"/>
          <a:ext cx="3836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de-CH" sz="1100">
              <a:solidFill>
                <a:schemeClr val="accent1">
                  <a:lumMod val="75000"/>
                </a:schemeClr>
              </a:solidFill>
            </a:rPr>
            <a:t>U</a:t>
          </a:r>
          <a:r>
            <a:rPr lang="de-CH" sz="1100" baseline="-25000">
              <a:solidFill>
                <a:schemeClr val="accent1">
                  <a:lumMod val="75000"/>
                </a:schemeClr>
              </a:solidFill>
            </a:rPr>
            <a:t>2N</a:t>
          </a:r>
        </a:p>
      </xdr:txBody>
    </xdr:sp>
    <xdr:clientData/>
  </xdr:oneCellAnchor>
  <xdr:oneCellAnchor>
    <xdr:from>
      <xdr:col>5</xdr:col>
      <xdr:colOff>408609</xdr:colOff>
      <xdr:row>98</xdr:row>
      <xdr:rowOff>16565</xdr:rowOff>
    </xdr:from>
    <xdr:ext cx="383631" cy="264560"/>
    <xdr:sp macro="" textlink="">
      <xdr:nvSpPr>
        <xdr:cNvPr id="71" name="Textfeld 70">
          <a:extLst>
            <a:ext uri="{FF2B5EF4-FFF2-40B4-BE49-F238E27FC236}">
              <a16:creationId xmlns:a16="http://schemas.microsoft.com/office/drawing/2014/main" id="{A708534B-9C3D-4717-EDE4-76886249BF9A}"/>
            </a:ext>
          </a:extLst>
        </xdr:cNvPr>
        <xdr:cNvSpPr txBox="1"/>
      </xdr:nvSpPr>
      <xdr:spPr>
        <a:xfrm>
          <a:off x="2846032" y="18123834"/>
          <a:ext cx="3836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de-CH" sz="1100">
              <a:solidFill>
                <a:schemeClr val="accent1">
                  <a:lumMod val="75000"/>
                </a:schemeClr>
              </a:solidFill>
            </a:rPr>
            <a:t>U</a:t>
          </a:r>
          <a:r>
            <a:rPr lang="de-CH" sz="1100" baseline="-25000">
              <a:solidFill>
                <a:schemeClr val="accent1">
                  <a:lumMod val="75000"/>
                </a:schemeClr>
              </a:solidFill>
            </a:rPr>
            <a:t>3N</a:t>
          </a:r>
        </a:p>
      </xdr:txBody>
    </xdr:sp>
    <xdr:clientData/>
  </xdr:oneCellAnchor>
  <xdr:twoCellAnchor>
    <xdr:from>
      <xdr:col>2</xdr:col>
      <xdr:colOff>693661</xdr:colOff>
      <xdr:row>87</xdr:row>
      <xdr:rowOff>115302</xdr:rowOff>
    </xdr:from>
    <xdr:to>
      <xdr:col>4</xdr:col>
      <xdr:colOff>581526</xdr:colOff>
      <xdr:row>99</xdr:row>
      <xdr:rowOff>144314</xdr:rowOff>
    </xdr:to>
    <xdr:cxnSp macro="">
      <xdr:nvCxnSpPr>
        <xdr:cNvPr id="72" name="Gerader Verbinder 71">
          <a:extLst>
            <a:ext uri="{FF2B5EF4-FFF2-40B4-BE49-F238E27FC236}">
              <a16:creationId xmlns:a16="http://schemas.microsoft.com/office/drawing/2014/main" id="{B16C710B-5739-45BF-11D8-7BFEF1FD3083}"/>
            </a:ext>
          </a:extLst>
        </xdr:cNvPr>
        <xdr:cNvCxnSpPr/>
      </xdr:nvCxnSpPr>
      <xdr:spPr>
        <a:xfrm flipV="1">
          <a:off x="1611069" y="15856618"/>
          <a:ext cx="1411865" cy="2345091"/>
        </a:xfrm>
        <a:prstGeom prst="line">
          <a:avLst/>
        </a:prstGeom>
        <a:ln w="28575"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</xdr:col>
      <xdr:colOff>466169</xdr:colOff>
      <xdr:row>91</xdr:row>
      <xdr:rowOff>80725</xdr:rowOff>
    </xdr:from>
    <xdr:ext cx="370614" cy="264560"/>
    <xdr:sp macro="" textlink="">
      <xdr:nvSpPr>
        <xdr:cNvPr id="75" name="Textfeld 74">
          <a:extLst>
            <a:ext uri="{FF2B5EF4-FFF2-40B4-BE49-F238E27FC236}">
              <a16:creationId xmlns:a16="http://schemas.microsoft.com/office/drawing/2014/main" id="{0DD088D8-7C7E-BF84-AC62-F3AFE712BB4F}"/>
            </a:ext>
          </a:extLst>
        </xdr:cNvPr>
        <xdr:cNvSpPr txBox="1"/>
      </xdr:nvSpPr>
      <xdr:spPr>
        <a:xfrm>
          <a:off x="2145577" y="16543936"/>
          <a:ext cx="37061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de-CH" sz="1100">
              <a:solidFill>
                <a:schemeClr val="accent1">
                  <a:lumMod val="75000"/>
                </a:schemeClr>
              </a:solidFill>
            </a:rPr>
            <a:t>U</a:t>
          </a:r>
          <a:r>
            <a:rPr lang="de-CH" sz="1100" baseline="-25000">
              <a:solidFill>
                <a:schemeClr val="accent1">
                  <a:lumMod val="75000"/>
                </a:schemeClr>
              </a:solidFill>
            </a:rPr>
            <a:t>21</a:t>
          </a:r>
        </a:p>
      </xdr:txBody>
    </xdr:sp>
    <xdr:clientData/>
  </xdr:oneCellAnchor>
  <xdr:twoCellAnchor>
    <xdr:from>
      <xdr:col>1</xdr:col>
      <xdr:colOff>648034</xdr:colOff>
      <xdr:row>86</xdr:row>
      <xdr:rowOff>200527</xdr:rowOff>
    </xdr:from>
    <xdr:to>
      <xdr:col>2</xdr:col>
      <xdr:colOff>132979</xdr:colOff>
      <xdr:row>86</xdr:row>
      <xdr:rowOff>202365</xdr:rowOff>
    </xdr:to>
    <xdr:cxnSp macro="">
      <xdr:nvCxnSpPr>
        <xdr:cNvPr id="76" name="Gerader Verbinder 75">
          <a:extLst>
            <a:ext uri="{FF2B5EF4-FFF2-40B4-BE49-F238E27FC236}">
              <a16:creationId xmlns:a16="http://schemas.microsoft.com/office/drawing/2014/main" id="{F148B526-C13D-3E70-E899-FB277BF5082D}"/>
            </a:ext>
          </a:extLst>
        </xdr:cNvPr>
        <xdr:cNvCxnSpPr/>
      </xdr:nvCxnSpPr>
      <xdr:spPr>
        <a:xfrm>
          <a:off x="878639" y="15731290"/>
          <a:ext cx="171748" cy="1838"/>
        </a:xfrm>
        <a:prstGeom prst="line">
          <a:avLst/>
        </a:prstGeom>
        <a:ln w="2857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4885</xdr:colOff>
      <xdr:row>88</xdr:row>
      <xdr:rowOff>48847</xdr:rowOff>
    </xdr:from>
    <xdr:to>
      <xdr:col>5</xdr:col>
      <xdr:colOff>4885</xdr:colOff>
      <xdr:row>88</xdr:row>
      <xdr:rowOff>122116</xdr:rowOff>
    </xdr:to>
    <xdr:cxnSp macro="">
      <xdr:nvCxnSpPr>
        <xdr:cNvPr id="80" name="Gerader Verbinder 79">
          <a:extLst>
            <a:ext uri="{FF2B5EF4-FFF2-40B4-BE49-F238E27FC236}">
              <a16:creationId xmlns:a16="http://schemas.microsoft.com/office/drawing/2014/main" id="{6E4A9464-851D-895B-BAEC-82E991D9825A}"/>
            </a:ext>
          </a:extLst>
        </xdr:cNvPr>
        <xdr:cNvCxnSpPr/>
      </xdr:nvCxnSpPr>
      <xdr:spPr>
        <a:xfrm>
          <a:off x="2442308" y="16299962"/>
          <a:ext cx="0" cy="73269"/>
        </a:xfrm>
        <a:prstGeom prst="line">
          <a:avLst/>
        </a:prstGeom>
        <a:ln w="2857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355023</xdr:colOff>
      <xdr:row>95</xdr:row>
      <xdr:rowOff>83705</xdr:rowOff>
    </xdr:from>
    <xdr:to>
      <xdr:col>5</xdr:col>
      <xdr:colOff>450273</xdr:colOff>
      <xdr:row>95</xdr:row>
      <xdr:rowOff>152977</xdr:rowOff>
    </xdr:to>
    <xdr:cxnSp macro="">
      <xdr:nvCxnSpPr>
        <xdr:cNvPr id="81" name="Gerader Verbinder 80">
          <a:extLst>
            <a:ext uri="{FF2B5EF4-FFF2-40B4-BE49-F238E27FC236}">
              <a16:creationId xmlns:a16="http://schemas.microsoft.com/office/drawing/2014/main" id="{E7DA619B-BBB9-E000-C5BD-02E97C9AF33D}"/>
            </a:ext>
          </a:extLst>
        </xdr:cNvPr>
        <xdr:cNvCxnSpPr/>
      </xdr:nvCxnSpPr>
      <xdr:spPr>
        <a:xfrm flipH="1" flipV="1">
          <a:off x="2794000" y="17554864"/>
          <a:ext cx="95250" cy="69272"/>
        </a:xfrm>
        <a:prstGeom prst="line">
          <a:avLst/>
        </a:prstGeom>
        <a:ln w="2857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449385</xdr:colOff>
      <xdr:row>95</xdr:row>
      <xdr:rowOff>11546</xdr:rowOff>
    </xdr:from>
    <xdr:to>
      <xdr:col>4</xdr:col>
      <xdr:colOff>565728</xdr:colOff>
      <xdr:row>95</xdr:row>
      <xdr:rowOff>117231</xdr:rowOff>
    </xdr:to>
    <xdr:cxnSp macro="">
      <xdr:nvCxnSpPr>
        <xdr:cNvPr id="82" name="Gerader Verbinder 81">
          <a:extLst>
            <a:ext uri="{FF2B5EF4-FFF2-40B4-BE49-F238E27FC236}">
              <a16:creationId xmlns:a16="http://schemas.microsoft.com/office/drawing/2014/main" id="{2804DC05-1A9D-0C15-CFFD-1B1392137CE7}"/>
            </a:ext>
          </a:extLst>
        </xdr:cNvPr>
        <xdr:cNvCxnSpPr/>
      </xdr:nvCxnSpPr>
      <xdr:spPr>
        <a:xfrm flipV="1">
          <a:off x="2126362" y="17482705"/>
          <a:ext cx="116343" cy="105685"/>
        </a:xfrm>
        <a:prstGeom prst="line">
          <a:avLst/>
        </a:prstGeom>
        <a:ln w="2857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50556</xdr:colOff>
      <xdr:row>93</xdr:row>
      <xdr:rowOff>164368</xdr:rowOff>
    </xdr:from>
    <xdr:to>
      <xdr:col>4</xdr:col>
      <xdr:colOff>230605</xdr:colOff>
      <xdr:row>93</xdr:row>
      <xdr:rowOff>170447</xdr:rowOff>
    </xdr:to>
    <xdr:cxnSp macro="">
      <xdr:nvCxnSpPr>
        <xdr:cNvPr id="83" name="Gerader Verbinder 82">
          <a:extLst>
            <a:ext uri="{FF2B5EF4-FFF2-40B4-BE49-F238E27FC236}">
              <a16:creationId xmlns:a16="http://schemas.microsoft.com/office/drawing/2014/main" id="{410A3FED-1ADC-1C66-535D-2B1A524895A2}"/>
            </a:ext>
          </a:extLst>
        </xdr:cNvPr>
        <xdr:cNvCxnSpPr/>
      </xdr:nvCxnSpPr>
      <xdr:spPr>
        <a:xfrm flipH="1" flipV="1">
          <a:off x="2491964" y="16988526"/>
          <a:ext cx="180049" cy="6079"/>
        </a:xfrm>
        <a:prstGeom prst="line">
          <a:avLst/>
        </a:prstGeom>
        <a:ln w="2857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</xdr:col>
      <xdr:colOff>506714</xdr:colOff>
      <xdr:row>86</xdr:row>
      <xdr:rowOff>203879</xdr:rowOff>
    </xdr:from>
    <xdr:ext cx="544893" cy="264560"/>
    <xdr:sp macro="" textlink="">
      <xdr:nvSpPr>
        <xdr:cNvPr id="84" name="Textfeld 83">
          <a:extLst>
            <a:ext uri="{FF2B5EF4-FFF2-40B4-BE49-F238E27FC236}">
              <a16:creationId xmlns:a16="http://schemas.microsoft.com/office/drawing/2014/main" id="{339BA795-370C-4BAF-01F9-0741F49228C0}"/>
            </a:ext>
          </a:extLst>
        </xdr:cNvPr>
        <xdr:cNvSpPr txBox="1"/>
      </xdr:nvSpPr>
      <xdr:spPr>
        <a:xfrm>
          <a:off x="737319" y="15734642"/>
          <a:ext cx="54489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de-CH" sz="1100">
              <a:solidFill>
                <a:srgbClr val="FF0000"/>
              </a:solidFill>
            </a:rPr>
            <a:t>I</a:t>
          </a:r>
          <a:r>
            <a:rPr lang="de-CH" sz="1100" baseline="-25000">
              <a:solidFill>
                <a:srgbClr val="FF0000"/>
              </a:solidFill>
            </a:rPr>
            <a:t>1</a:t>
          </a:r>
          <a:r>
            <a:rPr lang="de-CH" sz="1100" baseline="0">
              <a:solidFill>
                <a:srgbClr val="FF0000"/>
              </a:solidFill>
            </a:rPr>
            <a:t> = I</a:t>
          </a:r>
          <a:r>
            <a:rPr lang="de-CH" sz="1100" baseline="-25000">
              <a:solidFill>
                <a:srgbClr val="FF0000"/>
              </a:solidFill>
            </a:rPr>
            <a:t>Str</a:t>
          </a:r>
        </a:p>
      </xdr:txBody>
    </xdr:sp>
    <xdr:clientData/>
  </xdr:oneCellAnchor>
  <xdr:twoCellAnchor>
    <xdr:from>
      <xdr:col>1</xdr:col>
      <xdr:colOff>530468</xdr:colOff>
      <xdr:row>104</xdr:row>
      <xdr:rowOff>1455</xdr:rowOff>
    </xdr:from>
    <xdr:to>
      <xdr:col>2</xdr:col>
      <xdr:colOff>31404</xdr:colOff>
      <xdr:row>104</xdr:row>
      <xdr:rowOff>3136</xdr:rowOff>
    </xdr:to>
    <xdr:cxnSp macro="">
      <xdr:nvCxnSpPr>
        <xdr:cNvPr id="98" name="Gerader Verbinder 97">
          <a:extLst>
            <a:ext uri="{FF2B5EF4-FFF2-40B4-BE49-F238E27FC236}">
              <a16:creationId xmlns:a16="http://schemas.microsoft.com/office/drawing/2014/main" id="{C5BD6841-4281-91E9-D322-3A04EE4FA65C}"/>
            </a:ext>
          </a:extLst>
        </xdr:cNvPr>
        <xdr:cNvCxnSpPr/>
      </xdr:nvCxnSpPr>
      <xdr:spPr>
        <a:xfrm>
          <a:off x="761073" y="19146705"/>
          <a:ext cx="187739" cy="1681"/>
        </a:xfrm>
        <a:prstGeom prst="line">
          <a:avLst/>
        </a:prstGeom>
        <a:ln w="2857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518937</xdr:colOff>
      <xdr:row>100</xdr:row>
      <xdr:rowOff>86165</xdr:rowOff>
    </xdr:from>
    <xdr:to>
      <xdr:col>2</xdr:col>
      <xdr:colOff>19873</xdr:colOff>
      <xdr:row>100</xdr:row>
      <xdr:rowOff>87846</xdr:rowOff>
    </xdr:to>
    <xdr:cxnSp macro="">
      <xdr:nvCxnSpPr>
        <xdr:cNvPr id="99" name="Gerader Verbinder 98">
          <a:extLst>
            <a:ext uri="{FF2B5EF4-FFF2-40B4-BE49-F238E27FC236}">
              <a16:creationId xmlns:a16="http://schemas.microsoft.com/office/drawing/2014/main" id="{29D191AB-15BB-7C00-526C-CF02BB3BEBFB}"/>
            </a:ext>
          </a:extLst>
        </xdr:cNvPr>
        <xdr:cNvCxnSpPr/>
      </xdr:nvCxnSpPr>
      <xdr:spPr>
        <a:xfrm>
          <a:off x="749542" y="18419283"/>
          <a:ext cx="187739" cy="1681"/>
        </a:xfrm>
        <a:prstGeom prst="line">
          <a:avLst/>
        </a:prstGeom>
        <a:ln w="2857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</xdr:col>
      <xdr:colOff>52844</xdr:colOff>
      <xdr:row>92</xdr:row>
      <xdr:rowOff>83860</xdr:rowOff>
    </xdr:from>
    <xdr:ext cx="280911" cy="264560"/>
    <xdr:sp macro="" textlink="">
      <xdr:nvSpPr>
        <xdr:cNvPr id="100" name="Textfeld 99">
          <a:extLst>
            <a:ext uri="{FF2B5EF4-FFF2-40B4-BE49-F238E27FC236}">
              <a16:creationId xmlns:a16="http://schemas.microsoft.com/office/drawing/2014/main" id="{C807D5A7-1F3F-C66A-6C95-BE89DAED2C47}"/>
            </a:ext>
          </a:extLst>
        </xdr:cNvPr>
        <xdr:cNvSpPr txBox="1"/>
      </xdr:nvSpPr>
      <xdr:spPr>
        <a:xfrm>
          <a:off x="2494252" y="16727544"/>
          <a:ext cx="28091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de-CH" sz="1100">
              <a:solidFill>
                <a:srgbClr val="FF0000"/>
              </a:solidFill>
            </a:rPr>
            <a:t>I</a:t>
          </a:r>
          <a:r>
            <a:rPr lang="de-CH" sz="1100" baseline="-25000">
              <a:solidFill>
                <a:srgbClr val="FF0000"/>
              </a:solidFill>
            </a:rPr>
            <a:t>N</a:t>
          </a:r>
        </a:p>
      </xdr:txBody>
    </xdr:sp>
    <xdr:clientData/>
  </xdr:oneCellAnchor>
  <xdr:oneCellAnchor>
    <xdr:from>
      <xdr:col>1</xdr:col>
      <xdr:colOff>410359</xdr:colOff>
      <xdr:row>100</xdr:row>
      <xdr:rowOff>69990</xdr:rowOff>
    </xdr:from>
    <xdr:ext cx="544893" cy="264560"/>
    <xdr:sp macro="" textlink="">
      <xdr:nvSpPr>
        <xdr:cNvPr id="101" name="Textfeld 100">
          <a:extLst>
            <a:ext uri="{FF2B5EF4-FFF2-40B4-BE49-F238E27FC236}">
              <a16:creationId xmlns:a16="http://schemas.microsoft.com/office/drawing/2014/main" id="{6C90CE5F-CF19-3805-3ED2-75329C8C9FD9}"/>
            </a:ext>
          </a:extLst>
        </xdr:cNvPr>
        <xdr:cNvSpPr txBox="1"/>
      </xdr:nvSpPr>
      <xdr:spPr>
        <a:xfrm>
          <a:off x="640964" y="18403108"/>
          <a:ext cx="54489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de-CH" sz="1100">
              <a:solidFill>
                <a:srgbClr val="FF0000"/>
              </a:solidFill>
            </a:rPr>
            <a:t>I</a:t>
          </a:r>
          <a:r>
            <a:rPr lang="de-CH" sz="1100" baseline="-25000">
              <a:solidFill>
                <a:srgbClr val="FF0000"/>
              </a:solidFill>
            </a:rPr>
            <a:t>2</a:t>
          </a:r>
          <a:r>
            <a:rPr lang="de-CH" sz="1100" baseline="0">
              <a:solidFill>
                <a:srgbClr val="FF0000"/>
              </a:solidFill>
            </a:rPr>
            <a:t> = I</a:t>
          </a:r>
          <a:r>
            <a:rPr lang="de-CH" sz="1100" baseline="-25000">
              <a:solidFill>
                <a:srgbClr val="FF0000"/>
              </a:solidFill>
            </a:rPr>
            <a:t>Str</a:t>
          </a:r>
        </a:p>
      </xdr:txBody>
    </xdr:sp>
    <xdr:clientData/>
  </xdr:oneCellAnchor>
  <xdr:oneCellAnchor>
    <xdr:from>
      <xdr:col>1</xdr:col>
      <xdr:colOff>375949</xdr:colOff>
      <xdr:row>102</xdr:row>
      <xdr:rowOff>121148</xdr:rowOff>
    </xdr:from>
    <xdr:ext cx="544893" cy="264560"/>
    <xdr:sp macro="" textlink="">
      <xdr:nvSpPr>
        <xdr:cNvPr id="102" name="Textfeld 101">
          <a:extLst>
            <a:ext uri="{FF2B5EF4-FFF2-40B4-BE49-F238E27FC236}">
              <a16:creationId xmlns:a16="http://schemas.microsoft.com/office/drawing/2014/main" id="{A3B8F076-7461-712C-5165-0A52EFC663DF}"/>
            </a:ext>
          </a:extLst>
        </xdr:cNvPr>
        <xdr:cNvSpPr txBox="1"/>
      </xdr:nvSpPr>
      <xdr:spPr>
        <a:xfrm>
          <a:off x="606554" y="18875372"/>
          <a:ext cx="54489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de-CH" sz="1100">
              <a:solidFill>
                <a:srgbClr val="FF0000"/>
              </a:solidFill>
            </a:rPr>
            <a:t>I</a:t>
          </a:r>
          <a:r>
            <a:rPr lang="de-CH" sz="1100" baseline="-25000">
              <a:solidFill>
                <a:srgbClr val="FF0000"/>
              </a:solidFill>
            </a:rPr>
            <a:t>3</a:t>
          </a:r>
          <a:r>
            <a:rPr lang="de-CH" sz="1100" baseline="0">
              <a:solidFill>
                <a:srgbClr val="FF0000"/>
              </a:solidFill>
            </a:rPr>
            <a:t> = I</a:t>
          </a:r>
          <a:r>
            <a:rPr lang="de-CH" sz="1100" baseline="-25000">
              <a:solidFill>
                <a:srgbClr val="FF0000"/>
              </a:solidFill>
            </a:rPr>
            <a:t>Str</a:t>
          </a:r>
        </a:p>
      </xdr:txBody>
    </xdr:sp>
    <xdr:clientData/>
  </xdr:oneCellAnchor>
  <xdr:oneCellAnchor>
    <xdr:from>
      <xdr:col>5</xdr:col>
      <xdr:colOff>43113</xdr:colOff>
      <xdr:row>87</xdr:row>
      <xdr:rowOff>101303</xdr:rowOff>
    </xdr:from>
    <xdr:ext cx="267894" cy="264560"/>
    <xdr:sp macro="" textlink="">
      <xdr:nvSpPr>
        <xdr:cNvPr id="103" name="Textfeld 102">
          <a:extLst>
            <a:ext uri="{FF2B5EF4-FFF2-40B4-BE49-F238E27FC236}">
              <a16:creationId xmlns:a16="http://schemas.microsoft.com/office/drawing/2014/main" id="{D9E141A4-BEAD-C2D8-E7C3-73DBF73B4763}"/>
            </a:ext>
          </a:extLst>
        </xdr:cNvPr>
        <xdr:cNvSpPr txBox="1"/>
      </xdr:nvSpPr>
      <xdr:spPr>
        <a:xfrm>
          <a:off x="2480536" y="16166803"/>
          <a:ext cx="26789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de-CH" sz="1100">
              <a:solidFill>
                <a:srgbClr val="FF0000"/>
              </a:solidFill>
            </a:rPr>
            <a:t>I</a:t>
          </a:r>
          <a:r>
            <a:rPr lang="de-CH" sz="1100" baseline="-25000">
              <a:solidFill>
                <a:srgbClr val="FF0000"/>
              </a:solidFill>
            </a:rPr>
            <a:t>1</a:t>
          </a:r>
        </a:p>
      </xdr:txBody>
    </xdr:sp>
    <xdr:clientData/>
  </xdr:oneCellAnchor>
  <xdr:oneCellAnchor>
    <xdr:from>
      <xdr:col>5</xdr:col>
      <xdr:colOff>174998</xdr:colOff>
      <xdr:row>95</xdr:row>
      <xdr:rowOff>19537</xdr:rowOff>
    </xdr:from>
    <xdr:ext cx="280911" cy="243747"/>
    <xdr:sp macro="" textlink="">
      <xdr:nvSpPr>
        <xdr:cNvPr id="104" name="Textfeld 103">
          <a:extLst>
            <a:ext uri="{FF2B5EF4-FFF2-40B4-BE49-F238E27FC236}">
              <a16:creationId xmlns:a16="http://schemas.microsoft.com/office/drawing/2014/main" id="{B5583FED-B1C0-6832-D89D-30A4C5A764CB}"/>
            </a:ext>
          </a:extLst>
        </xdr:cNvPr>
        <xdr:cNvSpPr txBox="1"/>
      </xdr:nvSpPr>
      <xdr:spPr>
        <a:xfrm>
          <a:off x="2612421" y="17569960"/>
          <a:ext cx="280911" cy="24374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de-CH" sz="1100">
              <a:solidFill>
                <a:srgbClr val="FF0000"/>
              </a:solidFill>
            </a:rPr>
            <a:t>I</a:t>
          </a:r>
          <a:r>
            <a:rPr lang="de-CH" sz="1100" baseline="-25000">
              <a:solidFill>
                <a:srgbClr val="FF0000"/>
              </a:solidFill>
            </a:rPr>
            <a:t>3</a:t>
          </a:r>
        </a:p>
      </xdr:txBody>
    </xdr:sp>
    <xdr:clientData/>
  </xdr:oneCellAnchor>
  <xdr:oneCellAnchor>
    <xdr:from>
      <xdr:col>4</xdr:col>
      <xdr:colOff>472959</xdr:colOff>
      <xdr:row>95</xdr:row>
      <xdr:rowOff>8495</xdr:rowOff>
    </xdr:from>
    <xdr:ext cx="267894" cy="264560"/>
    <xdr:sp macro="" textlink="">
      <xdr:nvSpPr>
        <xdr:cNvPr id="105" name="Textfeld 104">
          <a:extLst>
            <a:ext uri="{FF2B5EF4-FFF2-40B4-BE49-F238E27FC236}">
              <a16:creationId xmlns:a16="http://schemas.microsoft.com/office/drawing/2014/main" id="{0D3418D4-CC52-36B6-A3E2-F93AEC4B9654}"/>
            </a:ext>
          </a:extLst>
        </xdr:cNvPr>
        <xdr:cNvSpPr txBox="1"/>
      </xdr:nvSpPr>
      <xdr:spPr>
        <a:xfrm>
          <a:off x="2149359" y="17458295"/>
          <a:ext cx="26789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de-CH" sz="1100">
              <a:solidFill>
                <a:srgbClr val="FF0000"/>
              </a:solidFill>
            </a:rPr>
            <a:t>I</a:t>
          </a:r>
          <a:r>
            <a:rPr lang="de-CH" sz="1100" baseline="-25000">
              <a:solidFill>
                <a:srgbClr val="FF0000"/>
              </a:solidFill>
            </a:rPr>
            <a:t>2</a:t>
          </a:r>
        </a:p>
      </xdr:txBody>
    </xdr:sp>
    <xdr:clientData/>
  </xdr:oneCellAnchor>
  <xdr:twoCellAnchor>
    <xdr:from>
      <xdr:col>5</xdr:col>
      <xdr:colOff>283783</xdr:colOff>
      <xdr:row>87</xdr:row>
      <xdr:rowOff>90236</xdr:rowOff>
    </xdr:from>
    <xdr:to>
      <xdr:col>7</xdr:col>
      <xdr:colOff>353877</xdr:colOff>
      <xdr:row>99</xdr:row>
      <xdr:rowOff>26993</xdr:rowOff>
    </xdr:to>
    <xdr:cxnSp macro="">
      <xdr:nvCxnSpPr>
        <xdr:cNvPr id="106" name="Gerader Verbinder 105">
          <a:extLst>
            <a:ext uri="{FF2B5EF4-FFF2-40B4-BE49-F238E27FC236}">
              <a16:creationId xmlns:a16="http://schemas.microsoft.com/office/drawing/2014/main" id="{C3D1E51E-15CD-4140-2422-D17B0F7590D2}"/>
            </a:ext>
          </a:extLst>
        </xdr:cNvPr>
        <xdr:cNvCxnSpPr/>
      </xdr:nvCxnSpPr>
      <xdr:spPr>
        <a:xfrm>
          <a:off x="3487191" y="15831552"/>
          <a:ext cx="1594094" cy="2252836"/>
        </a:xfrm>
        <a:prstGeom prst="line">
          <a:avLst/>
        </a:prstGeom>
        <a:ln w="28575"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265697</xdr:colOff>
      <xdr:row>100</xdr:row>
      <xdr:rowOff>48294</xdr:rowOff>
    </xdr:from>
    <xdr:to>
      <xdr:col>6</xdr:col>
      <xdr:colOff>715043</xdr:colOff>
      <xdr:row>100</xdr:row>
      <xdr:rowOff>50132</xdr:rowOff>
    </xdr:to>
    <xdr:cxnSp macro="">
      <xdr:nvCxnSpPr>
        <xdr:cNvPr id="107" name="Gerader Verbinder 106">
          <a:extLst>
            <a:ext uri="{FF2B5EF4-FFF2-40B4-BE49-F238E27FC236}">
              <a16:creationId xmlns:a16="http://schemas.microsoft.com/office/drawing/2014/main" id="{BB23D16C-8535-F152-10B7-FE564C880C99}"/>
            </a:ext>
          </a:extLst>
        </xdr:cNvPr>
        <xdr:cNvCxnSpPr/>
      </xdr:nvCxnSpPr>
      <xdr:spPr>
        <a:xfrm flipH="1">
          <a:off x="1945105" y="18381412"/>
          <a:ext cx="2735346" cy="1838"/>
        </a:xfrm>
        <a:prstGeom prst="line">
          <a:avLst/>
        </a:prstGeom>
        <a:ln w="28575"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6</xdr:col>
      <xdr:colOff>189932</xdr:colOff>
      <xdr:row>91</xdr:row>
      <xdr:rowOff>176451</xdr:rowOff>
    </xdr:from>
    <xdr:ext cx="370614" cy="264560"/>
    <xdr:sp macro="" textlink="">
      <xdr:nvSpPr>
        <xdr:cNvPr id="112" name="Textfeld 111">
          <a:extLst>
            <a:ext uri="{FF2B5EF4-FFF2-40B4-BE49-F238E27FC236}">
              <a16:creationId xmlns:a16="http://schemas.microsoft.com/office/drawing/2014/main" id="{2E9DD8E8-A3F6-306D-7758-48D989C2FEAE}"/>
            </a:ext>
          </a:extLst>
        </xdr:cNvPr>
        <xdr:cNvSpPr txBox="1"/>
      </xdr:nvSpPr>
      <xdr:spPr>
        <a:xfrm>
          <a:off x="4155340" y="16639662"/>
          <a:ext cx="37061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de-CH" sz="1100">
              <a:solidFill>
                <a:schemeClr val="accent1">
                  <a:lumMod val="75000"/>
                </a:schemeClr>
              </a:solidFill>
            </a:rPr>
            <a:t>U</a:t>
          </a:r>
          <a:r>
            <a:rPr lang="de-CH" sz="1100" baseline="-25000">
              <a:solidFill>
                <a:schemeClr val="accent1">
                  <a:lumMod val="75000"/>
                </a:schemeClr>
              </a:solidFill>
            </a:rPr>
            <a:t>13</a:t>
          </a:r>
        </a:p>
      </xdr:txBody>
    </xdr:sp>
    <xdr:clientData/>
  </xdr:oneCellAnchor>
  <xdr:oneCellAnchor>
    <xdr:from>
      <xdr:col>4</xdr:col>
      <xdr:colOff>627567</xdr:colOff>
      <xdr:row>100</xdr:row>
      <xdr:rowOff>77732</xdr:rowOff>
    </xdr:from>
    <xdr:ext cx="370614" cy="264560"/>
    <xdr:sp macro="" textlink="">
      <xdr:nvSpPr>
        <xdr:cNvPr id="113" name="Textfeld 112">
          <a:extLst>
            <a:ext uri="{FF2B5EF4-FFF2-40B4-BE49-F238E27FC236}">
              <a16:creationId xmlns:a16="http://schemas.microsoft.com/office/drawing/2014/main" id="{DBD890D8-2D61-E152-4500-BFBEAD5497DE}"/>
            </a:ext>
          </a:extLst>
        </xdr:cNvPr>
        <xdr:cNvSpPr txBox="1"/>
      </xdr:nvSpPr>
      <xdr:spPr>
        <a:xfrm>
          <a:off x="3068975" y="18410850"/>
          <a:ext cx="37061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de-CH" sz="1100">
              <a:solidFill>
                <a:schemeClr val="accent1">
                  <a:lumMod val="75000"/>
                </a:schemeClr>
              </a:solidFill>
            </a:rPr>
            <a:t>U</a:t>
          </a:r>
          <a:r>
            <a:rPr lang="de-CH" sz="1100" baseline="-25000">
              <a:solidFill>
                <a:schemeClr val="accent1">
                  <a:lumMod val="75000"/>
                </a:schemeClr>
              </a:solidFill>
            </a:rPr>
            <a:t>32</a:t>
          </a:r>
        </a:p>
      </xdr:txBody>
    </xdr:sp>
    <xdr:clientData/>
  </xdr:oneCellAnchor>
  <xdr:twoCellAnchor>
    <xdr:from>
      <xdr:col>8</xdr:col>
      <xdr:colOff>438150</xdr:colOff>
      <xdr:row>121</xdr:row>
      <xdr:rowOff>155574</xdr:rowOff>
    </xdr:from>
    <xdr:to>
      <xdr:col>15</xdr:col>
      <xdr:colOff>285750</xdr:colOff>
      <xdr:row>152</xdr:row>
      <xdr:rowOff>130175</xdr:rowOff>
    </xdr:to>
    <xdr:graphicFrame macro="">
      <xdr:nvGraphicFramePr>
        <xdr:cNvPr id="118" name="Diagramm 117">
          <a:extLst>
            <a:ext uri="{FF2B5EF4-FFF2-40B4-BE49-F238E27FC236}">
              <a16:creationId xmlns:a16="http://schemas.microsoft.com/office/drawing/2014/main" id="{85CEF7DE-1BCB-B330-2DDF-361C9E2DC9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549286</xdr:colOff>
      <xdr:row>28</xdr:row>
      <xdr:rowOff>21980</xdr:rowOff>
    </xdr:from>
    <xdr:to>
      <xdr:col>13</xdr:col>
      <xdr:colOff>236702</xdr:colOff>
      <xdr:row>39</xdr:row>
      <xdr:rowOff>190500</xdr:rowOff>
    </xdr:to>
    <xdr:grpSp>
      <xdr:nvGrpSpPr>
        <xdr:cNvPr id="2" name="Gruppieren 1">
          <a:extLst>
            <a:ext uri="{FF2B5EF4-FFF2-40B4-BE49-F238E27FC236}">
              <a16:creationId xmlns:a16="http://schemas.microsoft.com/office/drawing/2014/main" id="{C9CA2E73-6C0B-433D-B82A-A91D57296E0E}"/>
            </a:ext>
          </a:extLst>
        </xdr:cNvPr>
        <xdr:cNvGrpSpPr/>
      </xdr:nvGrpSpPr>
      <xdr:grpSpPr>
        <a:xfrm>
          <a:off x="9693286" y="9951793"/>
          <a:ext cx="449416" cy="5145332"/>
          <a:chOff x="8934450" y="3259336"/>
          <a:chExt cx="459441" cy="1970228"/>
        </a:xfrm>
      </xdr:grpSpPr>
      <xdr:sp macro="" textlink="">
        <xdr:nvSpPr>
          <xdr:cNvPr id="3" name="Rechteck 2">
            <a:extLst>
              <a:ext uri="{FF2B5EF4-FFF2-40B4-BE49-F238E27FC236}">
                <a16:creationId xmlns:a16="http://schemas.microsoft.com/office/drawing/2014/main" id="{B6C291D7-D1CC-D413-7F33-8456AB113FAB}"/>
              </a:ext>
            </a:extLst>
          </xdr:cNvPr>
          <xdr:cNvSpPr/>
        </xdr:nvSpPr>
        <xdr:spPr>
          <a:xfrm>
            <a:off x="8967341" y="3670765"/>
            <a:ext cx="371475" cy="1076325"/>
          </a:xfrm>
          <a:prstGeom prst="rect">
            <a:avLst/>
          </a:prstGeom>
          <a:noFill/>
          <a:ln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  <xdr:cxnSp macro="">
        <xdr:nvCxnSpPr>
          <xdr:cNvPr id="4" name="Gerader Verbinder 3">
            <a:extLst>
              <a:ext uri="{FF2B5EF4-FFF2-40B4-BE49-F238E27FC236}">
                <a16:creationId xmlns:a16="http://schemas.microsoft.com/office/drawing/2014/main" id="{E0516A6C-46E8-BE1F-C4ED-9EF051F7D675}"/>
              </a:ext>
            </a:extLst>
          </xdr:cNvPr>
          <xdr:cNvCxnSpPr>
            <a:cxnSpLocks/>
            <a:endCxn id="3" idx="0"/>
          </xdr:cNvCxnSpPr>
        </xdr:nvCxnSpPr>
        <xdr:spPr>
          <a:xfrm flipH="1">
            <a:off x="9153078" y="3259336"/>
            <a:ext cx="6321" cy="411429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5" name="Gerader Verbinder 4">
            <a:extLst>
              <a:ext uri="{FF2B5EF4-FFF2-40B4-BE49-F238E27FC236}">
                <a16:creationId xmlns:a16="http://schemas.microsoft.com/office/drawing/2014/main" id="{D52E6FF7-FD77-5860-9AD4-5A7BCF9E9B01}"/>
              </a:ext>
            </a:extLst>
          </xdr:cNvPr>
          <xdr:cNvCxnSpPr>
            <a:stCxn id="3" idx="2"/>
          </xdr:cNvCxnSpPr>
        </xdr:nvCxnSpPr>
        <xdr:spPr>
          <a:xfrm flipH="1">
            <a:off x="9150437" y="4747090"/>
            <a:ext cx="2642" cy="482474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6" name="Textfeld 5">
            <a:extLst>
              <a:ext uri="{FF2B5EF4-FFF2-40B4-BE49-F238E27FC236}">
                <a16:creationId xmlns:a16="http://schemas.microsoft.com/office/drawing/2014/main" id="{9ED66A94-986F-EFDB-1761-286EDF7C2B3F}"/>
              </a:ext>
            </a:extLst>
          </xdr:cNvPr>
          <xdr:cNvSpPr txBox="1"/>
        </xdr:nvSpPr>
        <xdr:spPr>
          <a:xfrm>
            <a:off x="8934450" y="4010025"/>
            <a:ext cx="459441" cy="43370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de-CH" sz="2400"/>
              <a:t>R</a:t>
            </a:r>
            <a:r>
              <a:rPr lang="de-CH" sz="2400" baseline="-25000"/>
              <a:t>1</a:t>
            </a:r>
          </a:p>
        </xdr:txBody>
      </xdr:sp>
    </xdr:grpSp>
    <xdr:clientData/>
  </xdr:twoCellAnchor>
  <xdr:twoCellAnchor>
    <xdr:from>
      <xdr:col>13</xdr:col>
      <xdr:colOff>358771</xdr:colOff>
      <xdr:row>16</xdr:row>
      <xdr:rowOff>38099</xdr:rowOff>
    </xdr:from>
    <xdr:to>
      <xdr:col>14</xdr:col>
      <xdr:colOff>52537</xdr:colOff>
      <xdr:row>28</xdr:row>
      <xdr:rowOff>3173</xdr:rowOff>
    </xdr:to>
    <xdr:grpSp>
      <xdr:nvGrpSpPr>
        <xdr:cNvPr id="7" name="Gruppieren 6">
          <a:extLst>
            <a:ext uri="{FF2B5EF4-FFF2-40B4-BE49-F238E27FC236}">
              <a16:creationId xmlns:a16="http://schemas.microsoft.com/office/drawing/2014/main" id="{3FD35CD0-025F-4E25-A335-0736E6576A63}"/>
            </a:ext>
          </a:extLst>
        </xdr:cNvPr>
        <xdr:cNvGrpSpPr/>
      </xdr:nvGrpSpPr>
      <xdr:grpSpPr>
        <a:xfrm>
          <a:off x="10264771" y="4538662"/>
          <a:ext cx="455766" cy="5394324"/>
          <a:chOff x="8934450" y="3310662"/>
          <a:chExt cx="463177" cy="2140980"/>
        </a:xfrm>
      </xdr:grpSpPr>
      <xdr:sp macro="" textlink="">
        <xdr:nvSpPr>
          <xdr:cNvPr id="8" name="Rechteck 7">
            <a:extLst>
              <a:ext uri="{FF2B5EF4-FFF2-40B4-BE49-F238E27FC236}">
                <a16:creationId xmlns:a16="http://schemas.microsoft.com/office/drawing/2014/main" id="{48E5D1AE-E9D4-7EF3-72A8-26934DE550D2}"/>
              </a:ext>
            </a:extLst>
          </xdr:cNvPr>
          <xdr:cNvSpPr/>
        </xdr:nvSpPr>
        <xdr:spPr>
          <a:xfrm>
            <a:off x="8959850" y="3778250"/>
            <a:ext cx="371475" cy="1076325"/>
          </a:xfrm>
          <a:prstGeom prst="rect">
            <a:avLst/>
          </a:prstGeom>
          <a:noFill/>
          <a:ln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  <xdr:cxnSp macro="">
        <xdr:nvCxnSpPr>
          <xdr:cNvPr id="9" name="Gerader Verbinder 8">
            <a:extLst>
              <a:ext uri="{FF2B5EF4-FFF2-40B4-BE49-F238E27FC236}">
                <a16:creationId xmlns:a16="http://schemas.microsoft.com/office/drawing/2014/main" id="{97AB5AFA-CF0A-FA89-42BD-AF67D5C1DF6A}"/>
              </a:ext>
            </a:extLst>
          </xdr:cNvPr>
          <xdr:cNvCxnSpPr>
            <a:endCxn id="8" idx="0"/>
          </xdr:cNvCxnSpPr>
        </xdr:nvCxnSpPr>
        <xdr:spPr>
          <a:xfrm flipH="1">
            <a:off x="9145588" y="3310662"/>
            <a:ext cx="3302" cy="467588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10" name="Gerader Verbinder 9">
            <a:extLst>
              <a:ext uri="{FF2B5EF4-FFF2-40B4-BE49-F238E27FC236}">
                <a16:creationId xmlns:a16="http://schemas.microsoft.com/office/drawing/2014/main" id="{33E747D4-4D3F-7AB0-C551-B36A7E030ADE}"/>
              </a:ext>
            </a:extLst>
          </xdr:cNvPr>
          <xdr:cNvCxnSpPr>
            <a:stCxn id="8" idx="2"/>
          </xdr:cNvCxnSpPr>
        </xdr:nvCxnSpPr>
        <xdr:spPr>
          <a:xfrm>
            <a:off x="9145588" y="4854576"/>
            <a:ext cx="1587" cy="597066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11" name="Textfeld 10">
            <a:extLst>
              <a:ext uri="{FF2B5EF4-FFF2-40B4-BE49-F238E27FC236}">
                <a16:creationId xmlns:a16="http://schemas.microsoft.com/office/drawing/2014/main" id="{87139A27-4A55-AE34-1795-0B8312D7F5F7}"/>
              </a:ext>
            </a:extLst>
          </xdr:cNvPr>
          <xdr:cNvSpPr txBox="1"/>
        </xdr:nvSpPr>
        <xdr:spPr>
          <a:xfrm>
            <a:off x="8934450" y="4010025"/>
            <a:ext cx="463177" cy="41931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de-CH" sz="2400"/>
              <a:t>R</a:t>
            </a:r>
            <a:r>
              <a:rPr lang="de-CH" sz="2400" baseline="-25000"/>
              <a:t>3</a:t>
            </a:r>
          </a:p>
        </xdr:txBody>
      </xdr:sp>
    </xdr:grpSp>
    <xdr:clientData/>
  </xdr:twoCellAnchor>
  <xdr:twoCellAnchor>
    <xdr:from>
      <xdr:col>12</xdr:col>
      <xdr:colOff>171450</xdr:colOff>
      <xdr:row>16</xdr:row>
      <xdr:rowOff>30080</xdr:rowOff>
    </xdr:from>
    <xdr:to>
      <xdr:col>12</xdr:col>
      <xdr:colOff>627216</xdr:colOff>
      <xdr:row>28</xdr:row>
      <xdr:rowOff>9525</xdr:rowOff>
    </xdr:to>
    <xdr:grpSp>
      <xdr:nvGrpSpPr>
        <xdr:cNvPr id="12" name="Gruppieren 11">
          <a:extLst>
            <a:ext uri="{FF2B5EF4-FFF2-40B4-BE49-F238E27FC236}">
              <a16:creationId xmlns:a16="http://schemas.microsoft.com/office/drawing/2014/main" id="{788D343F-5EC0-40EE-A54F-D5B5231A1561}"/>
            </a:ext>
          </a:extLst>
        </xdr:cNvPr>
        <xdr:cNvGrpSpPr/>
      </xdr:nvGrpSpPr>
      <xdr:grpSpPr>
        <a:xfrm>
          <a:off x="9315450" y="4530643"/>
          <a:ext cx="455766" cy="5408695"/>
          <a:chOff x="8934450" y="3378101"/>
          <a:chExt cx="455766" cy="2073541"/>
        </a:xfrm>
      </xdr:grpSpPr>
      <xdr:sp macro="" textlink="">
        <xdr:nvSpPr>
          <xdr:cNvPr id="13" name="Rechteck 12">
            <a:extLst>
              <a:ext uri="{FF2B5EF4-FFF2-40B4-BE49-F238E27FC236}">
                <a16:creationId xmlns:a16="http://schemas.microsoft.com/office/drawing/2014/main" id="{2251E6FD-FC51-40A9-F7DE-15CAB986AC9C}"/>
              </a:ext>
            </a:extLst>
          </xdr:cNvPr>
          <xdr:cNvSpPr/>
        </xdr:nvSpPr>
        <xdr:spPr>
          <a:xfrm>
            <a:off x="8959850" y="3778250"/>
            <a:ext cx="371475" cy="1076325"/>
          </a:xfrm>
          <a:prstGeom prst="rect">
            <a:avLst/>
          </a:prstGeom>
          <a:noFill/>
          <a:ln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  <xdr:cxnSp macro="">
        <xdr:nvCxnSpPr>
          <xdr:cNvPr id="14" name="Gerader Verbinder 13">
            <a:extLst>
              <a:ext uri="{FF2B5EF4-FFF2-40B4-BE49-F238E27FC236}">
                <a16:creationId xmlns:a16="http://schemas.microsoft.com/office/drawing/2014/main" id="{BAE997CA-FAAF-BF70-3A5C-60B1EEA5410F}"/>
              </a:ext>
            </a:extLst>
          </xdr:cNvPr>
          <xdr:cNvCxnSpPr>
            <a:endCxn id="13" idx="0"/>
          </xdr:cNvCxnSpPr>
        </xdr:nvCxnSpPr>
        <xdr:spPr>
          <a:xfrm>
            <a:off x="9144000" y="3378101"/>
            <a:ext cx="1588" cy="400149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15" name="Gerader Verbinder 14">
            <a:extLst>
              <a:ext uri="{FF2B5EF4-FFF2-40B4-BE49-F238E27FC236}">
                <a16:creationId xmlns:a16="http://schemas.microsoft.com/office/drawing/2014/main" id="{FBECA9A9-A515-7AB0-3E32-68E2318E196E}"/>
              </a:ext>
            </a:extLst>
          </xdr:cNvPr>
          <xdr:cNvCxnSpPr>
            <a:stCxn id="13" idx="2"/>
          </xdr:cNvCxnSpPr>
        </xdr:nvCxnSpPr>
        <xdr:spPr>
          <a:xfrm>
            <a:off x="9145588" y="4854576"/>
            <a:ext cx="1587" cy="597066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16" name="Textfeld 15">
            <a:extLst>
              <a:ext uri="{FF2B5EF4-FFF2-40B4-BE49-F238E27FC236}">
                <a16:creationId xmlns:a16="http://schemas.microsoft.com/office/drawing/2014/main" id="{A1EDCC6D-3C09-B382-201E-4981D438A986}"/>
              </a:ext>
            </a:extLst>
          </xdr:cNvPr>
          <xdr:cNvSpPr txBox="1"/>
        </xdr:nvSpPr>
        <xdr:spPr>
          <a:xfrm>
            <a:off x="8934450" y="4010025"/>
            <a:ext cx="455766" cy="414334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de-CH" sz="2400"/>
              <a:t>R</a:t>
            </a:r>
            <a:r>
              <a:rPr lang="de-CH" sz="2400" baseline="-25000"/>
              <a:t>2</a:t>
            </a:r>
          </a:p>
        </xdr:txBody>
      </xdr:sp>
    </xdr:grpSp>
    <xdr:clientData/>
  </xdr:twoCellAnchor>
  <xdr:twoCellAnchor>
    <xdr:from>
      <xdr:col>9</xdr:col>
      <xdr:colOff>533400</xdr:colOff>
      <xdr:row>16</xdr:row>
      <xdr:rowOff>11258</xdr:rowOff>
    </xdr:from>
    <xdr:to>
      <xdr:col>10</xdr:col>
      <xdr:colOff>227166</xdr:colOff>
      <xdr:row>39</xdr:row>
      <xdr:rowOff>183173</xdr:rowOff>
    </xdr:to>
    <xdr:grpSp>
      <xdr:nvGrpSpPr>
        <xdr:cNvPr id="17" name="Gruppieren 16">
          <a:extLst>
            <a:ext uri="{FF2B5EF4-FFF2-40B4-BE49-F238E27FC236}">
              <a16:creationId xmlns:a16="http://schemas.microsoft.com/office/drawing/2014/main" id="{F651E0F5-4314-4A8D-934D-DDE6B8A595FC}"/>
            </a:ext>
          </a:extLst>
        </xdr:cNvPr>
        <xdr:cNvGrpSpPr/>
      </xdr:nvGrpSpPr>
      <xdr:grpSpPr>
        <a:xfrm>
          <a:off x="7391400" y="4511821"/>
          <a:ext cx="455766" cy="10577977"/>
          <a:chOff x="8934450" y="1116547"/>
          <a:chExt cx="455766" cy="4229676"/>
        </a:xfrm>
      </xdr:grpSpPr>
      <xdr:cxnSp macro="">
        <xdr:nvCxnSpPr>
          <xdr:cNvPr id="19" name="Gerader Verbinder 18">
            <a:extLst>
              <a:ext uri="{FF2B5EF4-FFF2-40B4-BE49-F238E27FC236}">
                <a16:creationId xmlns:a16="http://schemas.microsoft.com/office/drawing/2014/main" id="{CE726624-081B-9AB0-3B21-C2F2998B53CD}"/>
              </a:ext>
            </a:extLst>
          </xdr:cNvPr>
          <xdr:cNvCxnSpPr>
            <a:endCxn id="18" idx="0"/>
          </xdr:cNvCxnSpPr>
        </xdr:nvCxnSpPr>
        <xdr:spPr>
          <a:xfrm flipH="1">
            <a:off x="9196877" y="1116547"/>
            <a:ext cx="16396" cy="2593546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20" name="Gerader Verbinder 19">
            <a:extLst>
              <a:ext uri="{FF2B5EF4-FFF2-40B4-BE49-F238E27FC236}">
                <a16:creationId xmlns:a16="http://schemas.microsoft.com/office/drawing/2014/main" id="{6BF118E1-F6D4-24A8-8781-4FD689DFBD85}"/>
              </a:ext>
            </a:extLst>
          </xdr:cNvPr>
          <xdr:cNvCxnSpPr>
            <a:stCxn id="18" idx="2"/>
          </xdr:cNvCxnSpPr>
        </xdr:nvCxnSpPr>
        <xdr:spPr>
          <a:xfrm>
            <a:off x="9196877" y="4786418"/>
            <a:ext cx="2808" cy="559805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21" name="Textfeld 20">
            <a:extLst>
              <a:ext uri="{FF2B5EF4-FFF2-40B4-BE49-F238E27FC236}">
                <a16:creationId xmlns:a16="http://schemas.microsoft.com/office/drawing/2014/main" id="{5233C419-2A9E-DADC-770A-06F56ECC9B34}"/>
              </a:ext>
            </a:extLst>
          </xdr:cNvPr>
          <xdr:cNvSpPr txBox="1"/>
        </xdr:nvSpPr>
        <xdr:spPr>
          <a:xfrm>
            <a:off x="8934450" y="4010025"/>
            <a:ext cx="455766" cy="42542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de-CH" sz="2400"/>
              <a:t>R</a:t>
            </a:r>
            <a:r>
              <a:rPr lang="de-CH" sz="2400" baseline="-25000"/>
              <a:t>4</a:t>
            </a:r>
          </a:p>
        </xdr:txBody>
      </xdr:sp>
      <xdr:sp macro="" textlink="">
        <xdr:nvSpPr>
          <xdr:cNvPr id="18" name="Rechteck 17">
            <a:extLst>
              <a:ext uri="{FF2B5EF4-FFF2-40B4-BE49-F238E27FC236}">
                <a16:creationId xmlns:a16="http://schemas.microsoft.com/office/drawing/2014/main" id="{67683963-2CCB-8186-24FD-BD96F74267F2}"/>
              </a:ext>
            </a:extLst>
          </xdr:cNvPr>
          <xdr:cNvSpPr/>
        </xdr:nvSpPr>
        <xdr:spPr>
          <a:xfrm>
            <a:off x="9011139" y="3710093"/>
            <a:ext cx="371475" cy="1076325"/>
          </a:xfrm>
          <a:prstGeom prst="rect">
            <a:avLst/>
          </a:prstGeom>
          <a:noFill/>
          <a:ln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</xdr:grpSp>
    <xdr:clientData/>
  </xdr:twoCellAnchor>
  <xdr:twoCellAnchor>
    <xdr:from>
      <xdr:col>10</xdr:col>
      <xdr:colOff>542925</xdr:colOff>
      <xdr:row>16</xdr:row>
      <xdr:rowOff>6350</xdr:rowOff>
    </xdr:from>
    <xdr:to>
      <xdr:col>11</xdr:col>
      <xdr:colOff>236691</xdr:colOff>
      <xdr:row>39</xdr:row>
      <xdr:rowOff>171449</xdr:rowOff>
    </xdr:to>
    <xdr:grpSp>
      <xdr:nvGrpSpPr>
        <xdr:cNvPr id="22" name="Gruppieren 21">
          <a:extLst>
            <a:ext uri="{FF2B5EF4-FFF2-40B4-BE49-F238E27FC236}">
              <a16:creationId xmlns:a16="http://schemas.microsoft.com/office/drawing/2014/main" id="{09D19D0B-4397-4318-A5E0-B0680656387E}"/>
            </a:ext>
          </a:extLst>
        </xdr:cNvPr>
        <xdr:cNvGrpSpPr/>
      </xdr:nvGrpSpPr>
      <xdr:grpSpPr>
        <a:xfrm>
          <a:off x="8162925" y="4506913"/>
          <a:ext cx="455766" cy="10571161"/>
          <a:chOff x="8934450" y="1108047"/>
          <a:chExt cx="455766" cy="4343595"/>
        </a:xfrm>
      </xdr:grpSpPr>
      <xdr:sp macro="" textlink="">
        <xdr:nvSpPr>
          <xdr:cNvPr id="23" name="Rechteck 22">
            <a:extLst>
              <a:ext uri="{FF2B5EF4-FFF2-40B4-BE49-F238E27FC236}">
                <a16:creationId xmlns:a16="http://schemas.microsoft.com/office/drawing/2014/main" id="{2ED27C57-3DB1-D123-7053-DAB4DBE18751}"/>
              </a:ext>
            </a:extLst>
          </xdr:cNvPr>
          <xdr:cNvSpPr/>
        </xdr:nvSpPr>
        <xdr:spPr>
          <a:xfrm>
            <a:off x="8959850" y="3778250"/>
            <a:ext cx="371475" cy="1076325"/>
          </a:xfrm>
          <a:prstGeom prst="rect">
            <a:avLst/>
          </a:prstGeom>
          <a:noFill/>
          <a:ln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  <xdr:cxnSp macro="">
        <xdr:nvCxnSpPr>
          <xdr:cNvPr id="24" name="Gerader Verbinder 23">
            <a:extLst>
              <a:ext uri="{FF2B5EF4-FFF2-40B4-BE49-F238E27FC236}">
                <a16:creationId xmlns:a16="http://schemas.microsoft.com/office/drawing/2014/main" id="{FBE8E08A-4CDB-C4FF-3DED-02CEC854EDDA}"/>
              </a:ext>
            </a:extLst>
          </xdr:cNvPr>
          <xdr:cNvCxnSpPr>
            <a:endCxn id="23" idx="0"/>
          </xdr:cNvCxnSpPr>
        </xdr:nvCxnSpPr>
        <xdr:spPr>
          <a:xfrm flipH="1">
            <a:off x="9145588" y="1108047"/>
            <a:ext cx="16987" cy="2670203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25" name="Gerader Verbinder 24">
            <a:extLst>
              <a:ext uri="{FF2B5EF4-FFF2-40B4-BE49-F238E27FC236}">
                <a16:creationId xmlns:a16="http://schemas.microsoft.com/office/drawing/2014/main" id="{A448CB53-5326-BE33-D02D-16D56050692E}"/>
              </a:ext>
            </a:extLst>
          </xdr:cNvPr>
          <xdr:cNvCxnSpPr>
            <a:stCxn id="23" idx="2"/>
          </xdr:cNvCxnSpPr>
        </xdr:nvCxnSpPr>
        <xdr:spPr>
          <a:xfrm>
            <a:off x="9145588" y="4854576"/>
            <a:ext cx="1587" cy="597066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26" name="Textfeld 25">
            <a:extLst>
              <a:ext uri="{FF2B5EF4-FFF2-40B4-BE49-F238E27FC236}">
                <a16:creationId xmlns:a16="http://schemas.microsoft.com/office/drawing/2014/main" id="{EAB4258E-F7EE-AA28-9EE1-36D27578D582}"/>
              </a:ext>
            </a:extLst>
          </xdr:cNvPr>
          <xdr:cNvSpPr txBox="1"/>
        </xdr:nvSpPr>
        <xdr:spPr>
          <a:xfrm>
            <a:off x="8934450" y="4010025"/>
            <a:ext cx="455766" cy="42809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de-CH" sz="2400"/>
              <a:t>R</a:t>
            </a:r>
            <a:r>
              <a:rPr lang="de-CH" sz="2400" baseline="-25000"/>
              <a:t>5</a:t>
            </a:r>
          </a:p>
        </xdr:txBody>
      </xdr:sp>
    </xdr:grpSp>
    <xdr:clientData/>
  </xdr:twoCellAnchor>
  <xdr:twoCellAnchor>
    <xdr:from>
      <xdr:col>10</xdr:col>
      <xdr:colOff>561987</xdr:colOff>
      <xdr:row>4</xdr:row>
      <xdr:rowOff>21771</xdr:rowOff>
    </xdr:from>
    <xdr:to>
      <xdr:col>11</xdr:col>
      <xdr:colOff>255753</xdr:colOff>
      <xdr:row>16</xdr:row>
      <xdr:rowOff>9523</xdr:rowOff>
    </xdr:to>
    <xdr:grpSp>
      <xdr:nvGrpSpPr>
        <xdr:cNvPr id="27" name="Gruppieren 26">
          <a:extLst>
            <a:ext uri="{FF2B5EF4-FFF2-40B4-BE49-F238E27FC236}">
              <a16:creationId xmlns:a16="http://schemas.microsoft.com/office/drawing/2014/main" id="{F79CA652-6F5D-4C5E-8E9A-BDE773339019}"/>
            </a:ext>
          </a:extLst>
        </xdr:cNvPr>
        <xdr:cNvGrpSpPr/>
      </xdr:nvGrpSpPr>
      <xdr:grpSpPr>
        <a:xfrm>
          <a:off x="8181987" y="926646"/>
          <a:ext cx="455766" cy="3583440"/>
          <a:chOff x="8934450" y="3281431"/>
          <a:chExt cx="448531" cy="2170211"/>
        </a:xfrm>
      </xdr:grpSpPr>
      <xdr:sp macro="" textlink="">
        <xdr:nvSpPr>
          <xdr:cNvPr id="28" name="Rechteck 27">
            <a:extLst>
              <a:ext uri="{FF2B5EF4-FFF2-40B4-BE49-F238E27FC236}">
                <a16:creationId xmlns:a16="http://schemas.microsoft.com/office/drawing/2014/main" id="{14BA0D7C-CACA-ED52-BC5F-932A16CC5394}"/>
              </a:ext>
            </a:extLst>
          </xdr:cNvPr>
          <xdr:cNvSpPr/>
        </xdr:nvSpPr>
        <xdr:spPr>
          <a:xfrm>
            <a:off x="8956675" y="3778250"/>
            <a:ext cx="371475" cy="1076325"/>
          </a:xfrm>
          <a:prstGeom prst="rect">
            <a:avLst/>
          </a:prstGeom>
          <a:noFill/>
          <a:ln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  <xdr:cxnSp macro="">
        <xdr:nvCxnSpPr>
          <xdr:cNvPr id="29" name="Gerader Verbinder 28">
            <a:extLst>
              <a:ext uri="{FF2B5EF4-FFF2-40B4-BE49-F238E27FC236}">
                <a16:creationId xmlns:a16="http://schemas.microsoft.com/office/drawing/2014/main" id="{0729A5C8-1015-4CCC-2EF1-4C8BFF068AA2}"/>
              </a:ext>
            </a:extLst>
          </xdr:cNvPr>
          <xdr:cNvCxnSpPr>
            <a:endCxn id="28" idx="0"/>
          </xdr:cNvCxnSpPr>
        </xdr:nvCxnSpPr>
        <xdr:spPr>
          <a:xfrm>
            <a:off x="9136657" y="3281431"/>
            <a:ext cx="5756" cy="496819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30" name="Gerader Verbinder 29">
            <a:extLst>
              <a:ext uri="{FF2B5EF4-FFF2-40B4-BE49-F238E27FC236}">
                <a16:creationId xmlns:a16="http://schemas.microsoft.com/office/drawing/2014/main" id="{8C3B192D-CB8A-B652-FBF0-F96670770175}"/>
              </a:ext>
            </a:extLst>
          </xdr:cNvPr>
          <xdr:cNvCxnSpPr>
            <a:stCxn id="28" idx="2"/>
          </xdr:cNvCxnSpPr>
        </xdr:nvCxnSpPr>
        <xdr:spPr>
          <a:xfrm>
            <a:off x="9142413" y="4854576"/>
            <a:ext cx="1587" cy="597066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31" name="Textfeld 30">
            <a:extLst>
              <a:ext uri="{FF2B5EF4-FFF2-40B4-BE49-F238E27FC236}">
                <a16:creationId xmlns:a16="http://schemas.microsoft.com/office/drawing/2014/main" id="{21387352-0F71-091D-22C1-7B9CFC064E0D}"/>
              </a:ext>
            </a:extLst>
          </xdr:cNvPr>
          <xdr:cNvSpPr txBox="1"/>
        </xdr:nvSpPr>
        <xdr:spPr>
          <a:xfrm>
            <a:off x="8934450" y="4010025"/>
            <a:ext cx="448531" cy="401814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de-CH" sz="2400"/>
              <a:t>R</a:t>
            </a:r>
            <a:r>
              <a:rPr lang="de-CH" sz="2400" baseline="-25000"/>
              <a:t>6</a:t>
            </a:r>
          </a:p>
        </xdr:txBody>
      </xdr:sp>
    </xdr:grpSp>
    <xdr:clientData/>
  </xdr:twoCellAnchor>
  <xdr:twoCellAnchor>
    <xdr:from>
      <xdr:col>4</xdr:col>
      <xdr:colOff>552450</xdr:colOff>
      <xdr:row>4</xdr:row>
      <xdr:rowOff>28575</xdr:rowOff>
    </xdr:from>
    <xdr:to>
      <xdr:col>5</xdr:col>
      <xdr:colOff>246216</xdr:colOff>
      <xdr:row>39</xdr:row>
      <xdr:rowOff>190500</xdr:rowOff>
    </xdr:to>
    <xdr:grpSp>
      <xdr:nvGrpSpPr>
        <xdr:cNvPr id="32" name="Gruppieren 31">
          <a:extLst>
            <a:ext uri="{FF2B5EF4-FFF2-40B4-BE49-F238E27FC236}">
              <a16:creationId xmlns:a16="http://schemas.microsoft.com/office/drawing/2014/main" id="{C671B817-CF8D-4FAF-9921-9C092ABAEEAC}"/>
            </a:ext>
          </a:extLst>
        </xdr:cNvPr>
        <xdr:cNvGrpSpPr/>
      </xdr:nvGrpSpPr>
      <xdr:grpSpPr>
        <a:xfrm>
          <a:off x="3600450" y="933450"/>
          <a:ext cx="455766" cy="14163675"/>
          <a:chOff x="8934450" y="1094414"/>
          <a:chExt cx="455766" cy="6412628"/>
        </a:xfrm>
      </xdr:grpSpPr>
      <xdr:sp macro="" textlink="">
        <xdr:nvSpPr>
          <xdr:cNvPr id="33" name="Rechteck 32">
            <a:extLst>
              <a:ext uri="{FF2B5EF4-FFF2-40B4-BE49-F238E27FC236}">
                <a16:creationId xmlns:a16="http://schemas.microsoft.com/office/drawing/2014/main" id="{9D5FC9B0-F3A7-F0CE-8E1F-1DEB6079290C}"/>
              </a:ext>
            </a:extLst>
          </xdr:cNvPr>
          <xdr:cNvSpPr/>
        </xdr:nvSpPr>
        <xdr:spPr>
          <a:xfrm>
            <a:off x="8959850" y="3778250"/>
            <a:ext cx="371475" cy="1076325"/>
          </a:xfrm>
          <a:prstGeom prst="rect">
            <a:avLst/>
          </a:prstGeom>
          <a:noFill/>
          <a:ln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  <xdr:cxnSp macro="">
        <xdr:nvCxnSpPr>
          <xdr:cNvPr id="34" name="Gerader Verbinder 33">
            <a:extLst>
              <a:ext uri="{FF2B5EF4-FFF2-40B4-BE49-F238E27FC236}">
                <a16:creationId xmlns:a16="http://schemas.microsoft.com/office/drawing/2014/main" id="{E947AFAC-73E5-AB04-B621-64290E97DA26}"/>
              </a:ext>
            </a:extLst>
          </xdr:cNvPr>
          <xdr:cNvCxnSpPr>
            <a:endCxn id="33" idx="0"/>
          </xdr:cNvCxnSpPr>
        </xdr:nvCxnSpPr>
        <xdr:spPr>
          <a:xfrm flipH="1">
            <a:off x="9145588" y="1094414"/>
            <a:ext cx="7937" cy="2683836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35" name="Gerader Verbinder 34">
            <a:extLst>
              <a:ext uri="{FF2B5EF4-FFF2-40B4-BE49-F238E27FC236}">
                <a16:creationId xmlns:a16="http://schemas.microsoft.com/office/drawing/2014/main" id="{DAA46AE3-DEBF-011D-4141-9145F3A4FDEE}"/>
              </a:ext>
            </a:extLst>
          </xdr:cNvPr>
          <xdr:cNvCxnSpPr>
            <a:stCxn id="33" idx="2"/>
          </xdr:cNvCxnSpPr>
        </xdr:nvCxnSpPr>
        <xdr:spPr>
          <a:xfrm flipH="1">
            <a:off x="9144000" y="4854575"/>
            <a:ext cx="1588" cy="2652467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36" name="Textfeld 35">
            <a:extLst>
              <a:ext uri="{FF2B5EF4-FFF2-40B4-BE49-F238E27FC236}">
                <a16:creationId xmlns:a16="http://schemas.microsoft.com/office/drawing/2014/main" id="{36392F6D-AEE8-DF8D-768F-FFAB3C17A31B}"/>
              </a:ext>
            </a:extLst>
          </xdr:cNvPr>
          <xdr:cNvSpPr txBox="1"/>
        </xdr:nvSpPr>
        <xdr:spPr>
          <a:xfrm>
            <a:off x="8934450" y="4010025"/>
            <a:ext cx="455766" cy="41842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de-CH" sz="2400"/>
              <a:t>R</a:t>
            </a:r>
            <a:r>
              <a:rPr lang="de-CH" sz="2400" baseline="-25000"/>
              <a:t>9</a:t>
            </a:r>
          </a:p>
        </xdr:txBody>
      </xdr:sp>
    </xdr:grpSp>
    <xdr:clientData/>
  </xdr:twoCellAnchor>
  <xdr:twoCellAnchor>
    <xdr:from>
      <xdr:col>5</xdr:col>
      <xdr:colOff>561975</xdr:colOff>
      <xdr:row>4</xdr:row>
      <xdr:rowOff>25400</xdr:rowOff>
    </xdr:from>
    <xdr:to>
      <xdr:col>6</xdr:col>
      <xdr:colOff>255741</xdr:colOff>
      <xdr:row>23</xdr:row>
      <xdr:rowOff>133349</xdr:rowOff>
    </xdr:to>
    <xdr:grpSp>
      <xdr:nvGrpSpPr>
        <xdr:cNvPr id="37" name="Gruppieren 36">
          <a:extLst>
            <a:ext uri="{FF2B5EF4-FFF2-40B4-BE49-F238E27FC236}">
              <a16:creationId xmlns:a16="http://schemas.microsoft.com/office/drawing/2014/main" id="{5B11633B-30C4-4867-9D92-5E29F23A9E1F}"/>
            </a:ext>
          </a:extLst>
        </xdr:cNvPr>
        <xdr:cNvGrpSpPr/>
      </xdr:nvGrpSpPr>
      <xdr:grpSpPr>
        <a:xfrm>
          <a:off x="4371975" y="930275"/>
          <a:ext cx="455766" cy="6870699"/>
          <a:chOff x="8934450" y="1892573"/>
          <a:chExt cx="455766" cy="3559069"/>
        </a:xfrm>
      </xdr:grpSpPr>
      <xdr:sp macro="" textlink="">
        <xdr:nvSpPr>
          <xdr:cNvPr id="38" name="Rechteck 37">
            <a:extLst>
              <a:ext uri="{FF2B5EF4-FFF2-40B4-BE49-F238E27FC236}">
                <a16:creationId xmlns:a16="http://schemas.microsoft.com/office/drawing/2014/main" id="{85E8EA8B-4A70-7AB0-2ADD-743C1BECFD64}"/>
              </a:ext>
            </a:extLst>
          </xdr:cNvPr>
          <xdr:cNvSpPr/>
        </xdr:nvSpPr>
        <xdr:spPr>
          <a:xfrm>
            <a:off x="8959850" y="3778250"/>
            <a:ext cx="371475" cy="1076325"/>
          </a:xfrm>
          <a:prstGeom prst="rect">
            <a:avLst/>
          </a:prstGeom>
          <a:noFill/>
          <a:ln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  <xdr:cxnSp macro="">
        <xdr:nvCxnSpPr>
          <xdr:cNvPr id="39" name="Gerader Verbinder 38">
            <a:extLst>
              <a:ext uri="{FF2B5EF4-FFF2-40B4-BE49-F238E27FC236}">
                <a16:creationId xmlns:a16="http://schemas.microsoft.com/office/drawing/2014/main" id="{ADD912D7-1E6D-BF74-BBF4-8F18176E1D7D}"/>
              </a:ext>
            </a:extLst>
          </xdr:cNvPr>
          <xdr:cNvCxnSpPr>
            <a:endCxn id="38" idx="0"/>
          </xdr:cNvCxnSpPr>
        </xdr:nvCxnSpPr>
        <xdr:spPr>
          <a:xfrm flipH="1">
            <a:off x="9145588" y="1892573"/>
            <a:ext cx="1587" cy="1885677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40" name="Gerader Verbinder 39">
            <a:extLst>
              <a:ext uri="{FF2B5EF4-FFF2-40B4-BE49-F238E27FC236}">
                <a16:creationId xmlns:a16="http://schemas.microsoft.com/office/drawing/2014/main" id="{E03DA228-80CC-DD14-39B8-669B28487188}"/>
              </a:ext>
            </a:extLst>
          </xdr:cNvPr>
          <xdr:cNvCxnSpPr>
            <a:stCxn id="38" idx="2"/>
          </xdr:cNvCxnSpPr>
        </xdr:nvCxnSpPr>
        <xdr:spPr>
          <a:xfrm>
            <a:off x="9145588" y="4854576"/>
            <a:ext cx="1587" cy="597066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41" name="Textfeld 40">
            <a:extLst>
              <a:ext uri="{FF2B5EF4-FFF2-40B4-BE49-F238E27FC236}">
                <a16:creationId xmlns:a16="http://schemas.microsoft.com/office/drawing/2014/main" id="{33373026-10FB-5FB6-511B-863BDFA78670}"/>
              </a:ext>
            </a:extLst>
          </xdr:cNvPr>
          <xdr:cNvSpPr txBox="1"/>
        </xdr:nvSpPr>
        <xdr:spPr>
          <a:xfrm>
            <a:off x="8934450" y="4010025"/>
            <a:ext cx="455766" cy="407147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de-CH" sz="2400"/>
              <a:t>R</a:t>
            </a:r>
            <a:r>
              <a:rPr lang="de-CH" sz="2400" baseline="-25000"/>
              <a:t>7</a:t>
            </a:r>
          </a:p>
        </xdr:txBody>
      </xdr:sp>
    </xdr:grpSp>
    <xdr:clientData/>
  </xdr:twoCellAnchor>
  <xdr:twoCellAnchor>
    <xdr:from>
      <xdr:col>5</xdr:col>
      <xdr:colOff>561986</xdr:colOff>
      <xdr:row>23</xdr:row>
      <xdr:rowOff>107949</xdr:rowOff>
    </xdr:from>
    <xdr:to>
      <xdr:col>6</xdr:col>
      <xdr:colOff>255752</xdr:colOff>
      <xdr:row>39</xdr:row>
      <xdr:rowOff>190499</xdr:rowOff>
    </xdr:to>
    <xdr:grpSp>
      <xdr:nvGrpSpPr>
        <xdr:cNvPr id="42" name="Gruppieren 41">
          <a:extLst>
            <a:ext uri="{FF2B5EF4-FFF2-40B4-BE49-F238E27FC236}">
              <a16:creationId xmlns:a16="http://schemas.microsoft.com/office/drawing/2014/main" id="{62206634-A6F7-4A16-8592-FE7DE7081C75}"/>
            </a:ext>
          </a:extLst>
        </xdr:cNvPr>
        <xdr:cNvGrpSpPr/>
      </xdr:nvGrpSpPr>
      <xdr:grpSpPr>
        <a:xfrm>
          <a:off x="4371986" y="7775574"/>
          <a:ext cx="455766" cy="7321550"/>
          <a:chOff x="8934450" y="3254331"/>
          <a:chExt cx="448588" cy="2885570"/>
        </a:xfrm>
      </xdr:grpSpPr>
      <xdr:sp macro="" textlink="">
        <xdr:nvSpPr>
          <xdr:cNvPr id="43" name="Rechteck 42">
            <a:extLst>
              <a:ext uri="{FF2B5EF4-FFF2-40B4-BE49-F238E27FC236}">
                <a16:creationId xmlns:a16="http://schemas.microsoft.com/office/drawing/2014/main" id="{879F0E16-0A21-0B8A-F2A7-BFFAA1EF1C19}"/>
              </a:ext>
            </a:extLst>
          </xdr:cNvPr>
          <xdr:cNvSpPr/>
        </xdr:nvSpPr>
        <xdr:spPr>
          <a:xfrm>
            <a:off x="8959850" y="3778250"/>
            <a:ext cx="371475" cy="1076325"/>
          </a:xfrm>
          <a:prstGeom prst="rect">
            <a:avLst/>
          </a:prstGeom>
          <a:noFill/>
          <a:ln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  <xdr:cxnSp macro="">
        <xdr:nvCxnSpPr>
          <xdr:cNvPr id="44" name="Gerader Verbinder 43">
            <a:extLst>
              <a:ext uri="{FF2B5EF4-FFF2-40B4-BE49-F238E27FC236}">
                <a16:creationId xmlns:a16="http://schemas.microsoft.com/office/drawing/2014/main" id="{1E91B0BB-92F4-B775-0005-2314E29141EE}"/>
              </a:ext>
            </a:extLst>
          </xdr:cNvPr>
          <xdr:cNvCxnSpPr>
            <a:endCxn id="43" idx="0"/>
          </xdr:cNvCxnSpPr>
        </xdr:nvCxnSpPr>
        <xdr:spPr>
          <a:xfrm flipH="1">
            <a:off x="9145588" y="3254331"/>
            <a:ext cx="1587" cy="523919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45" name="Gerader Verbinder 44">
            <a:extLst>
              <a:ext uri="{FF2B5EF4-FFF2-40B4-BE49-F238E27FC236}">
                <a16:creationId xmlns:a16="http://schemas.microsoft.com/office/drawing/2014/main" id="{6BB156C4-E782-DA60-06B5-C739B052E842}"/>
              </a:ext>
            </a:extLst>
          </xdr:cNvPr>
          <xdr:cNvCxnSpPr>
            <a:stCxn id="43" idx="2"/>
          </xdr:cNvCxnSpPr>
        </xdr:nvCxnSpPr>
        <xdr:spPr>
          <a:xfrm>
            <a:off x="9145588" y="4854575"/>
            <a:ext cx="150" cy="1285326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46" name="Textfeld 45">
            <a:extLst>
              <a:ext uri="{FF2B5EF4-FFF2-40B4-BE49-F238E27FC236}">
                <a16:creationId xmlns:a16="http://schemas.microsoft.com/office/drawing/2014/main" id="{0ED4AF75-0CB9-1AB2-EEFF-EDA4010E59D8}"/>
              </a:ext>
            </a:extLst>
          </xdr:cNvPr>
          <xdr:cNvSpPr txBox="1"/>
        </xdr:nvSpPr>
        <xdr:spPr>
          <a:xfrm>
            <a:off x="8934450" y="4010025"/>
            <a:ext cx="448588" cy="43123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de-CH" sz="2400"/>
              <a:t>R</a:t>
            </a:r>
            <a:r>
              <a:rPr lang="de-CH" sz="2400" baseline="-25000"/>
              <a:t>8</a:t>
            </a:r>
          </a:p>
        </xdr:txBody>
      </xdr:sp>
    </xdr:grpSp>
    <xdr:clientData/>
  </xdr:twoCellAnchor>
  <xdr:twoCellAnchor>
    <xdr:from>
      <xdr:col>1</xdr:col>
      <xdr:colOff>536074</xdr:colOff>
      <xdr:row>4</xdr:row>
      <xdr:rowOff>9525</xdr:rowOff>
    </xdr:from>
    <xdr:to>
      <xdr:col>2</xdr:col>
      <xdr:colOff>271390</xdr:colOff>
      <xdr:row>20</xdr:row>
      <xdr:rowOff>21772</xdr:rowOff>
    </xdr:to>
    <xdr:grpSp>
      <xdr:nvGrpSpPr>
        <xdr:cNvPr id="47" name="Gruppieren 46">
          <a:extLst>
            <a:ext uri="{FF2B5EF4-FFF2-40B4-BE49-F238E27FC236}">
              <a16:creationId xmlns:a16="http://schemas.microsoft.com/office/drawing/2014/main" id="{BB70D6C6-7269-4E17-B54F-A59AFA12BB10}"/>
            </a:ext>
          </a:extLst>
        </xdr:cNvPr>
        <xdr:cNvGrpSpPr/>
      </xdr:nvGrpSpPr>
      <xdr:grpSpPr>
        <a:xfrm>
          <a:off x="1298074" y="914400"/>
          <a:ext cx="497316" cy="5417685"/>
          <a:chOff x="8911345" y="3254331"/>
          <a:chExt cx="497612" cy="3010540"/>
        </a:xfrm>
      </xdr:grpSpPr>
      <xdr:sp macro="" textlink="">
        <xdr:nvSpPr>
          <xdr:cNvPr id="48" name="Rechteck 47">
            <a:extLst>
              <a:ext uri="{FF2B5EF4-FFF2-40B4-BE49-F238E27FC236}">
                <a16:creationId xmlns:a16="http://schemas.microsoft.com/office/drawing/2014/main" id="{F344003A-F92A-009A-8DFD-920D4C307DDB}"/>
              </a:ext>
            </a:extLst>
          </xdr:cNvPr>
          <xdr:cNvSpPr/>
        </xdr:nvSpPr>
        <xdr:spPr>
          <a:xfrm>
            <a:off x="8959850" y="3778250"/>
            <a:ext cx="371475" cy="1076325"/>
          </a:xfrm>
          <a:prstGeom prst="rect">
            <a:avLst/>
          </a:prstGeom>
          <a:noFill/>
          <a:ln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  <xdr:cxnSp macro="">
        <xdr:nvCxnSpPr>
          <xdr:cNvPr id="49" name="Gerader Verbinder 48">
            <a:extLst>
              <a:ext uri="{FF2B5EF4-FFF2-40B4-BE49-F238E27FC236}">
                <a16:creationId xmlns:a16="http://schemas.microsoft.com/office/drawing/2014/main" id="{F6454916-4ABF-F970-C9D4-E99D726CB2EA}"/>
              </a:ext>
            </a:extLst>
          </xdr:cNvPr>
          <xdr:cNvCxnSpPr>
            <a:endCxn id="48" idx="0"/>
          </xdr:cNvCxnSpPr>
        </xdr:nvCxnSpPr>
        <xdr:spPr>
          <a:xfrm flipH="1">
            <a:off x="9145588" y="3254331"/>
            <a:ext cx="1587" cy="523919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50" name="Gerader Verbinder 49">
            <a:extLst>
              <a:ext uri="{FF2B5EF4-FFF2-40B4-BE49-F238E27FC236}">
                <a16:creationId xmlns:a16="http://schemas.microsoft.com/office/drawing/2014/main" id="{297E9592-4C63-8C57-85AC-1DBF373ADF8E}"/>
              </a:ext>
            </a:extLst>
          </xdr:cNvPr>
          <xdr:cNvCxnSpPr>
            <a:stCxn id="48" idx="2"/>
          </xdr:cNvCxnSpPr>
        </xdr:nvCxnSpPr>
        <xdr:spPr>
          <a:xfrm flipH="1">
            <a:off x="9134165" y="4854575"/>
            <a:ext cx="11423" cy="1410296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51" name="Textfeld 50">
            <a:extLst>
              <a:ext uri="{FF2B5EF4-FFF2-40B4-BE49-F238E27FC236}">
                <a16:creationId xmlns:a16="http://schemas.microsoft.com/office/drawing/2014/main" id="{6C6A0C52-9FAF-E357-A0FC-82CC508FC418}"/>
              </a:ext>
            </a:extLst>
          </xdr:cNvPr>
          <xdr:cNvSpPr txBox="1"/>
        </xdr:nvSpPr>
        <xdr:spPr>
          <a:xfrm>
            <a:off x="8911345" y="3999822"/>
            <a:ext cx="497612" cy="358294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de-CH" sz="2000"/>
              <a:t>R</a:t>
            </a:r>
            <a:r>
              <a:rPr lang="de-CH" sz="2000" baseline="-25000"/>
              <a:t>10</a:t>
            </a:r>
            <a:endParaRPr lang="de-CH" sz="1800" baseline="-25000"/>
          </a:p>
        </xdr:txBody>
      </xdr:sp>
    </xdr:grpSp>
    <xdr:clientData/>
  </xdr:twoCellAnchor>
  <xdr:twoCellAnchor>
    <xdr:from>
      <xdr:col>2</xdr:col>
      <xdr:colOff>6350</xdr:colOff>
      <xdr:row>4</xdr:row>
      <xdr:rowOff>6350</xdr:rowOff>
    </xdr:from>
    <xdr:to>
      <xdr:col>11</xdr:col>
      <xdr:colOff>9525</xdr:colOff>
      <xdr:row>4</xdr:row>
      <xdr:rowOff>19050</xdr:rowOff>
    </xdr:to>
    <xdr:cxnSp macro="">
      <xdr:nvCxnSpPr>
        <xdr:cNvPr id="52" name="Gerader Verbinder 51">
          <a:extLst>
            <a:ext uri="{FF2B5EF4-FFF2-40B4-BE49-F238E27FC236}">
              <a16:creationId xmlns:a16="http://schemas.microsoft.com/office/drawing/2014/main" id="{A2A29466-BC73-4CA9-A4E5-FFA702BB7A43}"/>
            </a:ext>
          </a:extLst>
        </xdr:cNvPr>
        <xdr:cNvCxnSpPr/>
      </xdr:nvCxnSpPr>
      <xdr:spPr>
        <a:xfrm flipH="1" flipV="1">
          <a:off x="1533525" y="733425"/>
          <a:ext cx="6854825" cy="952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406400</xdr:colOff>
      <xdr:row>21</xdr:row>
      <xdr:rowOff>99332</xdr:rowOff>
    </xdr:from>
    <xdr:to>
      <xdr:col>2</xdr:col>
      <xdr:colOff>263534</xdr:colOff>
      <xdr:row>21</xdr:row>
      <xdr:rowOff>105682</xdr:rowOff>
    </xdr:to>
    <xdr:cxnSp macro="">
      <xdr:nvCxnSpPr>
        <xdr:cNvPr id="53" name="Gerader Verbinder 52">
          <a:extLst>
            <a:ext uri="{FF2B5EF4-FFF2-40B4-BE49-F238E27FC236}">
              <a16:creationId xmlns:a16="http://schemas.microsoft.com/office/drawing/2014/main" id="{DC7347B6-9D46-43A8-9AAB-2594136191F9}"/>
            </a:ext>
          </a:extLst>
        </xdr:cNvPr>
        <xdr:cNvCxnSpPr/>
      </xdr:nvCxnSpPr>
      <xdr:spPr>
        <a:xfrm flipH="1">
          <a:off x="1171575" y="3902982"/>
          <a:ext cx="615959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597354</xdr:colOff>
      <xdr:row>20</xdr:row>
      <xdr:rowOff>58512</xdr:rowOff>
    </xdr:from>
    <xdr:to>
      <xdr:col>2</xdr:col>
      <xdr:colOff>130629</xdr:colOff>
      <xdr:row>20</xdr:row>
      <xdr:rowOff>58512</xdr:rowOff>
    </xdr:to>
    <xdr:cxnSp macro="">
      <xdr:nvCxnSpPr>
        <xdr:cNvPr id="54" name="Gerader Verbinder 53">
          <a:extLst>
            <a:ext uri="{FF2B5EF4-FFF2-40B4-BE49-F238E27FC236}">
              <a16:creationId xmlns:a16="http://schemas.microsoft.com/office/drawing/2014/main" id="{EA27FEF3-E034-473F-9395-D916E386915E}"/>
            </a:ext>
          </a:extLst>
        </xdr:cNvPr>
        <xdr:cNvCxnSpPr/>
      </xdr:nvCxnSpPr>
      <xdr:spPr>
        <a:xfrm flipH="1">
          <a:off x="1362529" y="3678012"/>
          <a:ext cx="292100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609600</xdr:colOff>
      <xdr:row>21</xdr:row>
      <xdr:rowOff>142875</xdr:rowOff>
    </xdr:from>
    <xdr:to>
      <xdr:col>2</xdr:col>
      <xdr:colOff>142875</xdr:colOff>
      <xdr:row>21</xdr:row>
      <xdr:rowOff>142875</xdr:rowOff>
    </xdr:to>
    <xdr:cxnSp macro="">
      <xdr:nvCxnSpPr>
        <xdr:cNvPr id="55" name="Gerader Verbinder 54">
          <a:extLst>
            <a:ext uri="{FF2B5EF4-FFF2-40B4-BE49-F238E27FC236}">
              <a16:creationId xmlns:a16="http://schemas.microsoft.com/office/drawing/2014/main" id="{070457DA-E664-47F4-A370-D5F10638D575}"/>
            </a:ext>
          </a:extLst>
        </xdr:cNvPr>
        <xdr:cNvCxnSpPr/>
      </xdr:nvCxnSpPr>
      <xdr:spPr>
        <a:xfrm flipH="1">
          <a:off x="1371600" y="3940175"/>
          <a:ext cx="292100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752475</xdr:colOff>
      <xdr:row>21</xdr:row>
      <xdr:rowOff>161925</xdr:rowOff>
    </xdr:from>
    <xdr:to>
      <xdr:col>1</xdr:col>
      <xdr:colOff>754673</xdr:colOff>
      <xdr:row>39</xdr:row>
      <xdr:rowOff>190500</xdr:rowOff>
    </xdr:to>
    <xdr:cxnSp macro="">
      <xdr:nvCxnSpPr>
        <xdr:cNvPr id="56" name="Gerader Verbinder 55">
          <a:extLst>
            <a:ext uri="{FF2B5EF4-FFF2-40B4-BE49-F238E27FC236}">
              <a16:creationId xmlns:a16="http://schemas.microsoft.com/office/drawing/2014/main" id="{14548A64-0CF7-454E-ABBC-F55A03BF7373}"/>
            </a:ext>
          </a:extLst>
        </xdr:cNvPr>
        <xdr:cNvCxnSpPr/>
      </xdr:nvCxnSpPr>
      <xdr:spPr>
        <a:xfrm>
          <a:off x="1514475" y="6910021"/>
          <a:ext cx="2198" cy="8073537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742950</xdr:colOff>
      <xdr:row>39</xdr:row>
      <xdr:rowOff>171450</xdr:rowOff>
    </xdr:from>
    <xdr:to>
      <xdr:col>12</xdr:col>
      <xdr:colOff>754673</xdr:colOff>
      <xdr:row>39</xdr:row>
      <xdr:rowOff>183173</xdr:rowOff>
    </xdr:to>
    <xdr:cxnSp macro="">
      <xdr:nvCxnSpPr>
        <xdr:cNvPr id="57" name="Gerader Verbinder 56">
          <a:extLst>
            <a:ext uri="{FF2B5EF4-FFF2-40B4-BE49-F238E27FC236}">
              <a16:creationId xmlns:a16="http://schemas.microsoft.com/office/drawing/2014/main" id="{CDEEFD75-09DE-4330-8962-E13A5C574883}"/>
            </a:ext>
          </a:extLst>
        </xdr:cNvPr>
        <xdr:cNvCxnSpPr/>
      </xdr:nvCxnSpPr>
      <xdr:spPr>
        <a:xfrm flipH="1" flipV="1">
          <a:off x="1504950" y="14964508"/>
          <a:ext cx="8393723" cy="11723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730250</xdr:colOff>
      <xdr:row>16</xdr:row>
      <xdr:rowOff>25400</xdr:rowOff>
    </xdr:from>
    <xdr:to>
      <xdr:col>13</xdr:col>
      <xdr:colOff>581025</xdr:colOff>
      <xdr:row>16</xdr:row>
      <xdr:rowOff>28575</xdr:rowOff>
    </xdr:to>
    <xdr:cxnSp macro="">
      <xdr:nvCxnSpPr>
        <xdr:cNvPr id="58" name="Gerader Verbinder 57">
          <a:extLst>
            <a:ext uri="{FF2B5EF4-FFF2-40B4-BE49-F238E27FC236}">
              <a16:creationId xmlns:a16="http://schemas.microsoft.com/office/drawing/2014/main" id="{2744BDFE-FDE5-4E0B-9C5E-8D0199C6ECDF}"/>
            </a:ext>
          </a:extLst>
        </xdr:cNvPr>
        <xdr:cNvCxnSpPr/>
      </xdr:nvCxnSpPr>
      <xdr:spPr>
        <a:xfrm flipH="1" flipV="1">
          <a:off x="7591425" y="2924175"/>
          <a:ext cx="2892425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381000</xdr:colOff>
      <xdr:row>28</xdr:row>
      <xdr:rowOff>0</xdr:rowOff>
    </xdr:from>
    <xdr:to>
      <xdr:col>13</xdr:col>
      <xdr:colOff>571500</xdr:colOff>
      <xdr:row>28</xdr:row>
      <xdr:rowOff>6350</xdr:rowOff>
    </xdr:to>
    <xdr:cxnSp macro="">
      <xdr:nvCxnSpPr>
        <xdr:cNvPr id="59" name="Gerader Verbinder 58">
          <a:extLst>
            <a:ext uri="{FF2B5EF4-FFF2-40B4-BE49-F238E27FC236}">
              <a16:creationId xmlns:a16="http://schemas.microsoft.com/office/drawing/2014/main" id="{90159D6A-5C00-4FC8-A3B5-8C39E58A73A8}"/>
            </a:ext>
          </a:extLst>
        </xdr:cNvPr>
        <xdr:cNvCxnSpPr/>
      </xdr:nvCxnSpPr>
      <xdr:spPr>
        <a:xfrm flipH="1">
          <a:off x="9525000" y="5067300"/>
          <a:ext cx="952500" cy="952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726167</xdr:colOff>
      <xdr:row>15</xdr:row>
      <xdr:rowOff>291353</xdr:rowOff>
    </xdr:from>
    <xdr:to>
      <xdr:col>11</xdr:col>
      <xdr:colOff>67234</xdr:colOff>
      <xdr:row>16</xdr:row>
      <xdr:rowOff>87539</xdr:rowOff>
    </xdr:to>
    <xdr:sp macro="" textlink="">
      <xdr:nvSpPr>
        <xdr:cNvPr id="62" name="Ellipse 61">
          <a:extLst>
            <a:ext uri="{FF2B5EF4-FFF2-40B4-BE49-F238E27FC236}">
              <a16:creationId xmlns:a16="http://schemas.microsoft.com/office/drawing/2014/main" id="{4BB271A2-30A8-477C-AE55-6FAA828A8FA3}"/>
            </a:ext>
          </a:extLst>
        </xdr:cNvPr>
        <xdr:cNvSpPr/>
      </xdr:nvSpPr>
      <xdr:spPr>
        <a:xfrm>
          <a:off x="8346167" y="4157382"/>
          <a:ext cx="103067" cy="98745"/>
        </a:xfrm>
        <a:prstGeom prst="ellipse">
          <a:avLst/>
        </a:prstGeom>
        <a:solidFill>
          <a:schemeClr val="tx1">
            <a:lumMod val="95000"/>
            <a:lumOff val="5000"/>
          </a:schemeClr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1</xdr:col>
      <xdr:colOff>439057</xdr:colOff>
      <xdr:row>20</xdr:row>
      <xdr:rowOff>12246</xdr:rowOff>
    </xdr:from>
    <xdr:to>
      <xdr:col>2</xdr:col>
      <xdr:colOff>296191</xdr:colOff>
      <xdr:row>20</xdr:row>
      <xdr:rowOff>18596</xdr:rowOff>
    </xdr:to>
    <xdr:cxnSp macro="">
      <xdr:nvCxnSpPr>
        <xdr:cNvPr id="70" name="Gerader Verbinder 69">
          <a:extLst>
            <a:ext uri="{FF2B5EF4-FFF2-40B4-BE49-F238E27FC236}">
              <a16:creationId xmlns:a16="http://schemas.microsoft.com/office/drawing/2014/main" id="{D3FE5053-3D1E-4DFA-AA08-81E4579D4582}"/>
            </a:ext>
          </a:extLst>
        </xdr:cNvPr>
        <xdr:cNvCxnSpPr/>
      </xdr:nvCxnSpPr>
      <xdr:spPr>
        <a:xfrm flipH="1">
          <a:off x="1201057" y="3628571"/>
          <a:ext cx="615959" cy="952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754289</xdr:colOff>
      <xdr:row>20</xdr:row>
      <xdr:rowOff>65314</xdr:rowOff>
    </xdr:from>
    <xdr:to>
      <xdr:col>2</xdr:col>
      <xdr:colOff>0</xdr:colOff>
      <xdr:row>21</xdr:row>
      <xdr:rowOff>106589</xdr:rowOff>
    </xdr:to>
    <xdr:cxnSp macro="">
      <xdr:nvCxnSpPr>
        <xdr:cNvPr id="71" name="Gerader Verbinder 70">
          <a:extLst>
            <a:ext uri="{FF2B5EF4-FFF2-40B4-BE49-F238E27FC236}">
              <a16:creationId xmlns:a16="http://schemas.microsoft.com/office/drawing/2014/main" id="{F7BC80C0-F92A-4FB5-BC69-CC352CC02D88}"/>
            </a:ext>
          </a:extLst>
        </xdr:cNvPr>
        <xdr:cNvCxnSpPr/>
      </xdr:nvCxnSpPr>
      <xdr:spPr>
        <a:xfrm flipH="1">
          <a:off x="1513114" y="3687989"/>
          <a:ext cx="10886" cy="215900"/>
        </a:xfrm>
        <a:prstGeom prst="line">
          <a:avLst/>
        </a:prstGeom>
        <a:ln>
          <a:prstDash val="sysDash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514649</xdr:colOff>
      <xdr:row>69</xdr:row>
      <xdr:rowOff>128186</xdr:rowOff>
    </xdr:from>
    <xdr:to>
      <xdr:col>13</xdr:col>
      <xdr:colOff>208415</xdr:colOff>
      <xdr:row>77</xdr:row>
      <xdr:rowOff>51831</xdr:rowOff>
    </xdr:to>
    <xdr:grpSp>
      <xdr:nvGrpSpPr>
        <xdr:cNvPr id="72" name="Gruppieren 71">
          <a:extLst>
            <a:ext uri="{FF2B5EF4-FFF2-40B4-BE49-F238E27FC236}">
              <a16:creationId xmlns:a16="http://schemas.microsoft.com/office/drawing/2014/main" id="{987A2552-79D4-4ABD-A7FC-602ACE4F2FEE}"/>
            </a:ext>
          </a:extLst>
        </xdr:cNvPr>
        <xdr:cNvGrpSpPr/>
      </xdr:nvGrpSpPr>
      <xdr:grpSpPr>
        <a:xfrm>
          <a:off x="9658649" y="23154874"/>
          <a:ext cx="455766" cy="1923895"/>
          <a:chOff x="8934450" y="3785005"/>
          <a:chExt cx="459441" cy="1387868"/>
        </a:xfrm>
      </xdr:grpSpPr>
      <xdr:sp macro="" textlink="">
        <xdr:nvSpPr>
          <xdr:cNvPr id="73" name="Rechteck 72">
            <a:extLst>
              <a:ext uri="{FF2B5EF4-FFF2-40B4-BE49-F238E27FC236}">
                <a16:creationId xmlns:a16="http://schemas.microsoft.com/office/drawing/2014/main" id="{B793B27C-39E9-13E0-6881-CCA9412F625C}"/>
              </a:ext>
            </a:extLst>
          </xdr:cNvPr>
          <xdr:cNvSpPr/>
        </xdr:nvSpPr>
        <xdr:spPr>
          <a:xfrm>
            <a:off x="8974482" y="3785005"/>
            <a:ext cx="371475" cy="1076325"/>
          </a:xfrm>
          <a:prstGeom prst="rect">
            <a:avLst/>
          </a:prstGeom>
          <a:noFill/>
          <a:ln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  <xdr:cxnSp macro="">
        <xdr:nvCxnSpPr>
          <xdr:cNvPr id="75" name="Gerader Verbinder 74">
            <a:extLst>
              <a:ext uri="{FF2B5EF4-FFF2-40B4-BE49-F238E27FC236}">
                <a16:creationId xmlns:a16="http://schemas.microsoft.com/office/drawing/2014/main" id="{AF0F45CF-5CFE-ED44-6C9D-51D6355DE5E7}"/>
              </a:ext>
            </a:extLst>
          </xdr:cNvPr>
          <xdr:cNvCxnSpPr>
            <a:stCxn id="73" idx="2"/>
            <a:endCxn id="121" idx="0"/>
          </xdr:cNvCxnSpPr>
        </xdr:nvCxnSpPr>
        <xdr:spPr>
          <a:xfrm>
            <a:off x="9160220" y="4861330"/>
            <a:ext cx="1213" cy="311543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76" name="Textfeld 75">
            <a:extLst>
              <a:ext uri="{FF2B5EF4-FFF2-40B4-BE49-F238E27FC236}">
                <a16:creationId xmlns:a16="http://schemas.microsoft.com/office/drawing/2014/main" id="{007766BB-D102-A4F0-F05A-A88474491C25}"/>
              </a:ext>
            </a:extLst>
          </xdr:cNvPr>
          <xdr:cNvSpPr txBox="1"/>
        </xdr:nvSpPr>
        <xdr:spPr>
          <a:xfrm>
            <a:off x="8934450" y="4010025"/>
            <a:ext cx="459441" cy="43482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de-CH" sz="2400"/>
              <a:t>R</a:t>
            </a:r>
            <a:r>
              <a:rPr lang="de-CH" sz="2400" baseline="-25000"/>
              <a:t>1</a:t>
            </a:r>
          </a:p>
        </xdr:txBody>
      </xdr:sp>
    </xdr:grpSp>
    <xdr:clientData/>
  </xdr:twoCellAnchor>
  <xdr:twoCellAnchor>
    <xdr:from>
      <xdr:col>12</xdr:col>
      <xdr:colOff>566414</xdr:colOff>
      <xdr:row>56</xdr:row>
      <xdr:rowOff>74756</xdr:rowOff>
    </xdr:from>
    <xdr:to>
      <xdr:col>13</xdr:col>
      <xdr:colOff>292556</xdr:colOff>
      <xdr:row>69</xdr:row>
      <xdr:rowOff>128186</xdr:rowOff>
    </xdr:to>
    <xdr:grpSp>
      <xdr:nvGrpSpPr>
        <xdr:cNvPr id="77" name="Gruppieren 76">
          <a:extLst>
            <a:ext uri="{FF2B5EF4-FFF2-40B4-BE49-F238E27FC236}">
              <a16:creationId xmlns:a16="http://schemas.microsoft.com/office/drawing/2014/main" id="{3F5B8930-99D5-4424-B1DF-267DD02E87E0}"/>
            </a:ext>
          </a:extLst>
        </xdr:cNvPr>
        <xdr:cNvGrpSpPr/>
      </xdr:nvGrpSpPr>
      <xdr:grpSpPr>
        <a:xfrm>
          <a:off x="9710414" y="19005694"/>
          <a:ext cx="488142" cy="4149180"/>
          <a:chOff x="8959850" y="3254331"/>
          <a:chExt cx="481583" cy="2549202"/>
        </a:xfrm>
      </xdr:grpSpPr>
      <xdr:sp macro="" textlink="">
        <xdr:nvSpPr>
          <xdr:cNvPr id="78" name="Rechteck 77">
            <a:extLst>
              <a:ext uri="{FF2B5EF4-FFF2-40B4-BE49-F238E27FC236}">
                <a16:creationId xmlns:a16="http://schemas.microsoft.com/office/drawing/2014/main" id="{9AB7EDC7-D000-B0A3-B72C-4BEEC45CB717}"/>
              </a:ext>
            </a:extLst>
          </xdr:cNvPr>
          <xdr:cNvSpPr/>
        </xdr:nvSpPr>
        <xdr:spPr>
          <a:xfrm>
            <a:off x="8959850" y="3778250"/>
            <a:ext cx="371475" cy="1076325"/>
          </a:xfrm>
          <a:prstGeom prst="rect">
            <a:avLst/>
          </a:prstGeom>
          <a:noFill/>
          <a:ln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  <xdr:cxnSp macro="">
        <xdr:nvCxnSpPr>
          <xdr:cNvPr id="79" name="Gerader Verbinder 78">
            <a:extLst>
              <a:ext uri="{FF2B5EF4-FFF2-40B4-BE49-F238E27FC236}">
                <a16:creationId xmlns:a16="http://schemas.microsoft.com/office/drawing/2014/main" id="{9625D2CE-DFB7-BFB5-2384-17525DB8574C}"/>
              </a:ext>
            </a:extLst>
          </xdr:cNvPr>
          <xdr:cNvCxnSpPr>
            <a:endCxn id="78" idx="0"/>
          </xdr:cNvCxnSpPr>
        </xdr:nvCxnSpPr>
        <xdr:spPr>
          <a:xfrm flipH="1">
            <a:off x="9145588" y="3254331"/>
            <a:ext cx="1587" cy="523919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80" name="Gerader Verbinder 79">
            <a:extLst>
              <a:ext uri="{FF2B5EF4-FFF2-40B4-BE49-F238E27FC236}">
                <a16:creationId xmlns:a16="http://schemas.microsoft.com/office/drawing/2014/main" id="{3F970D69-8C36-319C-5E8F-BCB47E93C33B}"/>
              </a:ext>
            </a:extLst>
          </xdr:cNvPr>
          <xdr:cNvCxnSpPr>
            <a:stCxn id="78" idx="2"/>
            <a:endCxn id="73" idx="0"/>
          </xdr:cNvCxnSpPr>
        </xdr:nvCxnSpPr>
        <xdr:spPr>
          <a:xfrm flipH="1">
            <a:off x="9129735" y="4854575"/>
            <a:ext cx="15852" cy="948958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81" name="Textfeld 80">
            <a:extLst>
              <a:ext uri="{FF2B5EF4-FFF2-40B4-BE49-F238E27FC236}">
                <a16:creationId xmlns:a16="http://schemas.microsoft.com/office/drawing/2014/main" id="{E82CE0F1-60BE-14C1-279F-B15C4DB16387}"/>
              </a:ext>
            </a:extLst>
          </xdr:cNvPr>
          <xdr:cNvSpPr txBox="1"/>
        </xdr:nvSpPr>
        <xdr:spPr>
          <a:xfrm rot="5400000">
            <a:off x="8956766" y="3991364"/>
            <a:ext cx="507609" cy="46172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de-CH" sz="2400"/>
              <a:t>R</a:t>
            </a:r>
            <a:r>
              <a:rPr lang="de-CH" sz="2400" baseline="-25000"/>
              <a:t>23</a:t>
            </a:r>
          </a:p>
        </xdr:txBody>
      </xdr:sp>
    </xdr:grpSp>
    <xdr:clientData/>
  </xdr:twoCellAnchor>
  <xdr:twoCellAnchor>
    <xdr:from>
      <xdr:col>10</xdr:col>
      <xdr:colOff>577270</xdr:colOff>
      <xdr:row>56</xdr:row>
      <xdr:rowOff>52532</xdr:rowOff>
    </xdr:from>
    <xdr:to>
      <xdr:col>11</xdr:col>
      <xdr:colOff>283283</xdr:colOff>
      <xdr:row>77</xdr:row>
      <xdr:rowOff>150833</xdr:rowOff>
    </xdr:to>
    <xdr:grpSp>
      <xdr:nvGrpSpPr>
        <xdr:cNvPr id="82" name="Gruppieren 81">
          <a:extLst>
            <a:ext uri="{FF2B5EF4-FFF2-40B4-BE49-F238E27FC236}">
              <a16:creationId xmlns:a16="http://schemas.microsoft.com/office/drawing/2014/main" id="{F101B3AC-540A-403C-9E37-5AE22697C424}"/>
            </a:ext>
          </a:extLst>
        </xdr:cNvPr>
        <xdr:cNvGrpSpPr/>
      </xdr:nvGrpSpPr>
      <xdr:grpSpPr>
        <a:xfrm>
          <a:off x="8197270" y="18983470"/>
          <a:ext cx="468013" cy="6194301"/>
          <a:chOff x="8957189" y="1108047"/>
          <a:chExt cx="467002" cy="4074160"/>
        </a:xfrm>
      </xdr:grpSpPr>
      <xdr:sp macro="" textlink="">
        <xdr:nvSpPr>
          <xdr:cNvPr id="83" name="Rechteck 82">
            <a:extLst>
              <a:ext uri="{FF2B5EF4-FFF2-40B4-BE49-F238E27FC236}">
                <a16:creationId xmlns:a16="http://schemas.microsoft.com/office/drawing/2014/main" id="{04AACBFD-C4D8-D17F-183F-0EF7BBD4C7A2}"/>
              </a:ext>
            </a:extLst>
          </xdr:cNvPr>
          <xdr:cNvSpPr/>
        </xdr:nvSpPr>
        <xdr:spPr>
          <a:xfrm>
            <a:off x="8959850" y="3778250"/>
            <a:ext cx="371475" cy="1076325"/>
          </a:xfrm>
          <a:prstGeom prst="rect">
            <a:avLst/>
          </a:prstGeom>
          <a:noFill/>
          <a:ln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  <xdr:cxnSp macro="">
        <xdr:nvCxnSpPr>
          <xdr:cNvPr id="84" name="Gerader Verbinder 83">
            <a:extLst>
              <a:ext uri="{FF2B5EF4-FFF2-40B4-BE49-F238E27FC236}">
                <a16:creationId xmlns:a16="http://schemas.microsoft.com/office/drawing/2014/main" id="{6D046719-DF66-124B-5D9C-A9AFB1452A12}"/>
              </a:ext>
            </a:extLst>
          </xdr:cNvPr>
          <xdr:cNvCxnSpPr>
            <a:endCxn id="83" idx="0"/>
          </xdr:cNvCxnSpPr>
        </xdr:nvCxnSpPr>
        <xdr:spPr>
          <a:xfrm flipH="1">
            <a:off x="9145588" y="1108047"/>
            <a:ext cx="16987" cy="2670203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85" name="Gerader Verbinder 84">
            <a:extLst>
              <a:ext uri="{FF2B5EF4-FFF2-40B4-BE49-F238E27FC236}">
                <a16:creationId xmlns:a16="http://schemas.microsoft.com/office/drawing/2014/main" id="{CB5DEA31-864A-CFEF-76FB-B91D0BFD7F47}"/>
              </a:ext>
            </a:extLst>
          </xdr:cNvPr>
          <xdr:cNvCxnSpPr>
            <a:stCxn id="83" idx="2"/>
            <a:endCxn id="120" idx="4"/>
          </xdr:cNvCxnSpPr>
        </xdr:nvCxnSpPr>
        <xdr:spPr>
          <a:xfrm>
            <a:off x="9145588" y="4854575"/>
            <a:ext cx="663" cy="327632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86" name="Textfeld 85">
            <a:extLst>
              <a:ext uri="{FF2B5EF4-FFF2-40B4-BE49-F238E27FC236}">
                <a16:creationId xmlns:a16="http://schemas.microsoft.com/office/drawing/2014/main" id="{F155BA14-CD05-3FEA-CD30-4260228381A1}"/>
              </a:ext>
            </a:extLst>
          </xdr:cNvPr>
          <xdr:cNvSpPr txBox="1"/>
        </xdr:nvSpPr>
        <xdr:spPr>
          <a:xfrm rot="5400000">
            <a:off x="8933428" y="3991616"/>
            <a:ext cx="514524" cy="46700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de-CH" sz="2400"/>
              <a:t>R</a:t>
            </a:r>
            <a:r>
              <a:rPr lang="de-CH" sz="2400" baseline="-25000"/>
              <a:t>45</a:t>
            </a:r>
          </a:p>
        </xdr:txBody>
      </xdr:sp>
    </xdr:grpSp>
    <xdr:clientData/>
  </xdr:twoCellAnchor>
  <xdr:twoCellAnchor>
    <xdr:from>
      <xdr:col>10</xdr:col>
      <xdr:colOff>565131</xdr:colOff>
      <xdr:row>46</xdr:row>
      <xdr:rowOff>21771</xdr:rowOff>
    </xdr:from>
    <xdr:to>
      <xdr:col>11</xdr:col>
      <xdr:colOff>258897</xdr:colOff>
      <xdr:row>58</xdr:row>
      <xdr:rowOff>9523</xdr:rowOff>
    </xdr:to>
    <xdr:grpSp>
      <xdr:nvGrpSpPr>
        <xdr:cNvPr id="87" name="Gruppieren 86">
          <a:extLst>
            <a:ext uri="{FF2B5EF4-FFF2-40B4-BE49-F238E27FC236}">
              <a16:creationId xmlns:a16="http://schemas.microsoft.com/office/drawing/2014/main" id="{1D771FE0-DF60-4910-9BE9-E0CE03A66212}"/>
            </a:ext>
          </a:extLst>
        </xdr:cNvPr>
        <xdr:cNvGrpSpPr/>
      </xdr:nvGrpSpPr>
      <xdr:grpSpPr>
        <a:xfrm>
          <a:off x="8185131" y="16619084"/>
          <a:ext cx="455766" cy="2916689"/>
          <a:chOff x="8934450" y="3281431"/>
          <a:chExt cx="448997" cy="2170211"/>
        </a:xfrm>
      </xdr:grpSpPr>
      <xdr:sp macro="" textlink="">
        <xdr:nvSpPr>
          <xdr:cNvPr id="88" name="Rechteck 87">
            <a:extLst>
              <a:ext uri="{FF2B5EF4-FFF2-40B4-BE49-F238E27FC236}">
                <a16:creationId xmlns:a16="http://schemas.microsoft.com/office/drawing/2014/main" id="{476E7D71-B534-BD27-8520-84A1FB39E0A2}"/>
              </a:ext>
            </a:extLst>
          </xdr:cNvPr>
          <xdr:cNvSpPr/>
        </xdr:nvSpPr>
        <xdr:spPr>
          <a:xfrm>
            <a:off x="8956675" y="3778250"/>
            <a:ext cx="371475" cy="1076325"/>
          </a:xfrm>
          <a:prstGeom prst="rect">
            <a:avLst/>
          </a:prstGeom>
          <a:noFill/>
          <a:ln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  <xdr:cxnSp macro="">
        <xdr:nvCxnSpPr>
          <xdr:cNvPr id="89" name="Gerader Verbinder 88">
            <a:extLst>
              <a:ext uri="{FF2B5EF4-FFF2-40B4-BE49-F238E27FC236}">
                <a16:creationId xmlns:a16="http://schemas.microsoft.com/office/drawing/2014/main" id="{9C1B384A-6478-022D-329A-FC1D36C5302A}"/>
              </a:ext>
            </a:extLst>
          </xdr:cNvPr>
          <xdr:cNvCxnSpPr>
            <a:endCxn id="88" idx="0"/>
          </xdr:cNvCxnSpPr>
        </xdr:nvCxnSpPr>
        <xdr:spPr>
          <a:xfrm>
            <a:off x="9136657" y="3281431"/>
            <a:ext cx="5756" cy="496819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90" name="Gerader Verbinder 89">
            <a:extLst>
              <a:ext uri="{FF2B5EF4-FFF2-40B4-BE49-F238E27FC236}">
                <a16:creationId xmlns:a16="http://schemas.microsoft.com/office/drawing/2014/main" id="{423F1F0A-6043-C7C4-6DE3-C5958326C924}"/>
              </a:ext>
            </a:extLst>
          </xdr:cNvPr>
          <xdr:cNvCxnSpPr>
            <a:stCxn id="88" idx="2"/>
          </xdr:cNvCxnSpPr>
        </xdr:nvCxnSpPr>
        <xdr:spPr>
          <a:xfrm>
            <a:off x="9142413" y="4854576"/>
            <a:ext cx="1587" cy="597066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91" name="Textfeld 90">
            <a:extLst>
              <a:ext uri="{FF2B5EF4-FFF2-40B4-BE49-F238E27FC236}">
                <a16:creationId xmlns:a16="http://schemas.microsoft.com/office/drawing/2014/main" id="{8D94A4C6-EBAA-6292-E64D-D2D2F3B7D99B}"/>
              </a:ext>
            </a:extLst>
          </xdr:cNvPr>
          <xdr:cNvSpPr txBox="1"/>
        </xdr:nvSpPr>
        <xdr:spPr>
          <a:xfrm>
            <a:off x="8934450" y="4010025"/>
            <a:ext cx="448997" cy="429263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de-CH" sz="2400"/>
              <a:t>R</a:t>
            </a:r>
            <a:r>
              <a:rPr lang="de-CH" sz="2400" baseline="-25000"/>
              <a:t>6</a:t>
            </a:r>
          </a:p>
        </xdr:txBody>
      </xdr:sp>
    </xdr:grpSp>
    <xdr:clientData/>
  </xdr:twoCellAnchor>
  <xdr:twoCellAnchor>
    <xdr:from>
      <xdr:col>4</xdr:col>
      <xdr:colOff>552450</xdr:colOff>
      <xdr:row>46</xdr:row>
      <xdr:rowOff>28575</xdr:rowOff>
    </xdr:from>
    <xdr:to>
      <xdr:col>5</xdr:col>
      <xdr:colOff>246216</xdr:colOff>
      <xdr:row>77</xdr:row>
      <xdr:rowOff>156277</xdr:rowOff>
    </xdr:to>
    <xdr:grpSp>
      <xdr:nvGrpSpPr>
        <xdr:cNvPr id="92" name="Gruppieren 91">
          <a:extLst>
            <a:ext uri="{FF2B5EF4-FFF2-40B4-BE49-F238E27FC236}">
              <a16:creationId xmlns:a16="http://schemas.microsoft.com/office/drawing/2014/main" id="{E98F5540-E339-46FB-A3F5-31396610CE1A}"/>
            </a:ext>
          </a:extLst>
        </xdr:cNvPr>
        <xdr:cNvGrpSpPr/>
      </xdr:nvGrpSpPr>
      <xdr:grpSpPr>
        <a:xfrm>
          <a:off x="3600450" y="16625888"/>
          <a:ext cx="455766" cy="8557327"/>
          <a:chOff x="8934450" y="1094414"/>
          <a:chExt cx="455766" cy="5820587"/>
        </a:xfrm>
      </xdr:grpSpPr>
      <xdr:sp macro="" textlink="">
        <xdr:nvSpPr>
          <xdr:cNvPr id="93" name="Rechteck 92">
            <a:extLst>
              <a:ext uri="{FF2B5EF4-FFF2-40B4-BE49-F238E27FC236}">
                <a16:creationId xmlns:a16="http://schemas.microsoft.com/office/drawing/2014/main" id="{9DC4299E-9B33-C9E4-8523-59152E7C058B}"/>
              </a:ext>
            </a:extLst>
          </xdr:cNvPr>
          <xdr:cNvSpPr/>
        </xdr:nvSpPr>
        <xdr:spPr>
          <a:xfrm>
            <a:off x="8959850" y="3778250"/>
            <a:ext cx="371475" cy="1076325"/>
          </a:xfrm>
          <a:prstGeom prst="rect">
            <a:avLst/>
          </a:prstGeom>
          <a:noFill/>
          <a:ln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  <xdr:cxnSp macro="">
        <xdr:nvCxnSpPr>
          <xdr:cNvPr id="94" name="Gerader Verbinder 93">
            <a:extLst>
              <a:ext uri="{FF2B5EF4-FFF2-40B4-BE49-F238E27FC236}">
                <a16:creationId xmlns:a16="http://schemas.microsoft.com/office/drawing/2014/main" id="{C6CD0426-8F9E-31D0-ED2C-158E153AA8CF}"/>
              </a:ext>
            </a:extLst>
          </xdr:cNvPr>
          <xdr:cNvCxnSpPr>
            <a:endCxn id="93" idx="0"/>
          </xdr:cNvCxnSpPr>
        </xdr:nvCxnSpPr>
        <xdr:spPr>
          <a:xfrm flipH="1">
            <a:off x="9145588" y="1094414"/>
            <a:ext cx="7937" cy="2683836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95" name="Gerader Verbinder 94">
            <a:extLst>
              <a:ext uri="{FF2B5EF4-FFF2-40B4-BE49-F238E27FC236}">
                <a16:creationId xmlns:a16="http://schemas.microsoft.com/office/drawing/2014/main" id="{BF44E216-47BD-6AAA-EEB6-C4E6E63DA4DC}"/>
              </a:ext>
            </a:extLst>
          </xdr:cNvPr>
          <xdr:cNvCxnSpPr>
            <a:stCxn id="93" idx="2"/>
            <a:endCxn id="119" idx="4"/>
          </xdr:cNvCxnSpPr>
        </xdr:nvCxnSpPr>
        <xdr:spPr>
          <a:xfrm flipH="1">
            <a:off x="9145566" y="4854575"/>
            <a:ext cx="22" cy="2060426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96" name="Textfeld 95">
            <a:extLst>
              <a:ext uri="{FF2B5EF4-FFF2-40B4-BE49-F238E27FC236}">
                <a16:creationId xmlns:a16="http://schemas.microsoft.com/office/drawing/2014/main" id="{775A4C14-A06E-021C-FA20-568825BDD35B}"/>
              </a:ext>
            </a:extLst>
          </xdr:cNvPr>
          <xdr:cNvSpPr txBox="1"/>
        </xdr:nvSpPr>
        <xdr:spPr>
          <a:xfrm>
            <a:off x="8934450" y="4010025"/>
            <a:ext cx="455766" cy="4294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de-CH" sz="2400"/>
              <a:t>R</a:t>
            </a:r>
            <a:r>
              <a:rPr lang="de-CH" sz="2400" baseline="-25000"/>
              <a:t>9</a:t>
            </a:r>
          </a:p>
        </xdr:txBody>
      </xdr:sp>
    </xdr:grpSp>
    <xdr:clientData/>
  </xdr:twoCellAnchor>
  <xdr:twoCellAnchor>
    <xdr:from>
      <xdr:col>5</xdr:col>
      <xdr:colOff>564688</xdr:colOff>
      <xdr:row>46</xdr:row>
      <xdr:rowOff>57150</xdr:rowOff>
    </xdr:from>
    <xdr:to>
      <xdr:col>6</xdr:col>
      <xdr:colOff>302669</xdr:colOff>
      <xdr:row>77</xdr:row>
      <xdr:rowOff>161721</xdr:rowOff>
    </xdr:to>
    <xdr:grpSp>
      <xdr:nvGrpSpPr>
        <xdr:cNvPr id="97" name="Gruppieren 96">
          <a:extLst>
            <a:ext uri="{FF2B5EF4-FFF2-40B4-BE49-F238E27FC236}">
              <a16:creationId xmlns:a16="http://schemas.microsoft.com/office/drawing/2014/main" id="{31E3BCD0-5084-4761-B50B-3578CB44EE0F}"/>
            </a:ext>
          </a:extLst>
        </xdr:cNvPr>
        <xdr:cNvGrpSpPr/>
      </xdr:nvGrpSpPr>
      <xdr:grpSpPr>
        <a:xfrm>
          <a:off x="4374688" y="16654463"/>
          <a:ext cx="499981" cy="8534196"/>
          <a:chOff x="8948330" y="1114406"/>
          <a:chExt cx="498901" cy="5842881"/>
        </a:xfrm>
      </xdr:grpSpPr>
      <xdr:sp macro="" textlink="">
        <xdr:nvSpPr>
          <xdr:cNvPr id="98" name="Rechteck 97">
            <a:extLst>
              <a:ext uri="{FF2B5EF4-FFF2-40B4-BE49-F238E27FC236}">
                <a16:creationId xmlns:a16="http://schemas.microsoft.com/office/drawing/2014/main" id="{5845AB6F-3134-8FBD-25E8-0814BA67B67D}"/>
              </a:ext>
            </a:extLst>
          </xdr:cNvPr>
          <xdr:cNvSpPr/>
        </xdr:nvSpPr>
        <xdr:spPr>
          <a:xfrm>
            <a:off x="8948330" y="3847567"/>
            <a:ext cx="371475" cy="1076325"/>
          </a:xfrm>
          <a:prstGeom prst="rect">
            <a:avLst/>
          </a:prstGeom>
          <a:noFill/>
          <a:ln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  <xdr:cxnSp macro="">
        <xdr:nvCxnSpPr>
          <xdr:cNvPr id="99" name="Gerader Verbinder 98">
            <a:extLst>
              <a:ext uri="{FF2B5EF4-FFF2-40B4-BE49-F238E27FC236}">
                <a16:creationId xmlns:a16="http://schemas.microsoft.com/office/drawing/2014/main" id="{9CF2D7C0-E511-FEE5-F122-A1C141A051A0}"/>
              </a:ext>
            </a:extLst>
          </xdr:cNvPr>
          <xdr:cNvCxnSpPr>
            <a:stCxn id="115" idx="4"/>
            <a:endCxn id="98" idx="0"/>
          </xdr:cNvCxnSpPr>
        </xdr:nvCxnSpPr>
        <xdr:spPr>
          <a:xfrm flipH="1">
            <a:off x="9134068" y="1114406"/>
            <a:ext cx="20652" cy="2733161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100" name="Gerader Verbinder 99">
            <a:extLst>
              <a:ext uri="{FF2B5EF4-FFF2-40B4-BE49-F238E27FC236}">
                <a16:creationId xmlns:a16="http://schemas.microsoft.com/office/drawing/2014/main" id="{B79B14ED-B3A8-BD66-AC70-9138A5FD51A7}"/>
              </a:ext>
            </a:extLst>
          </xdr:cNvPr>
          <xdr:cNvCxnSpPr>
            <a:stCxn id="98" idx="2"/>
            <a:endCxn id="118" idx="4"/>
          </xdr:cNvCxnSpPr>
        </xdr:nvCxnSpPr>
        <xdr:spPr>
          <a:xfrm>
            <a:off x="9134068" y="4923892"/>
            <a:ext cx="29004" cy="2033395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101" name="Textfeld 100">
            <a:extLst>
              <a:ext uri="{FF2B5EF4-FFF2-40B4-BE49-F238E27FC236}">
                <a16:creationId xmlns:a16="http://schemas.microsoft.com/office/drawing/2014/main" id="{9AC538A7-2036-A551-5A82-AEB6D55D9EF7}"/>
              </a:ext>
            </a:extLst>
          </xdr:cNvPr>
          <xdr:cNvSpPr txBox="1"/>
        </xdr:nvSpPr>
        <xdr:spPr>
          <a:xfrm rot="5400000">
            <a:off x="8955007" y="3992838"/>
            <a:ext cx="517445" cy="46700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de-CH" sz="2400"/>
              <a:t>R</a:t>
            </a:r>
            <a:r>
              <a:rPr lang="de-CH" sz="2400" baseline="-25000"/>
              <a:t>78</a:t>
            </a:r>
          </a:p>
        </xdr:txBody>
      </xdr:sp>
    </xdr:grpSp>
    <xdr:clientData/>
  </xdr:twoCellAnchor>
  <xdr:twoCellAnchor>
    <xdr:from>
      <xdr:col>1</xdr:col>
      <xdr:colOff>508148</xdr:colOff>
      <xdr:row>46</xdr:row>
      <xdr:rowOff>6350</xdr:rowOff>
    </xdr:from>
    <xdr:to>
      <xdr:col>2</xdr:col>
      <xdr:colOff>305548</xdr:colOff>
      <xdr:row>62</xdr:row>
      <xdr:rowOff>21772</xdr:rowOff>
    </xdr:to>
    <xdr:grpSp>
      <xdr:nvGrpSpPr>
        <xdr:cNvPr id="102" name="Gruppieren 101">
          <a:extLst>
            <a:ext uri="{FF2B5EF4-FFF2-40B4-BE49-F238E27FC236}">
              <a16:creationId xmlns:a16="http://schemas.microsoft.com/office/drawing/2014/main" id="{6B8E58F5-F742-4F97-8E7D-7D3372AE8F9E}"/>
            </a:ext>
          </a:extLst>
        </xdr:cNvPr>
        <xdr:cNvGrpSpPr/>
      </xdr:nvGrpSpPr>
      <xdr:grpSpPr>
        <a:xfrm>
          <a:off x="1270148" y="16603663"/>
          <a:ext cx="559400" cy="4349297"/>
          <a:chOff x="8879803" y="3254331"/>
          <a:chExt cx="563543" cy="3010540"/>
        </a:xfrm>
      </xdr:grpSpPr>
      <xdr:sp macro="" textlink="">
        <xdr:nvSpPr>
          <xdr:cNvPr id="103" name="Rechteck 102">
            <a:extLst>
              <a:ext uri="{FF2B5EF4-FFF2-40B4-BE49-F238E27FC236}">
                <a16:creationId xmlns:a16="http://schemas.microsoft.com/office/drawing/2014/main" id="{300EBCD0-EF4C-EB02-495B-FB7F0E5A26A4}"/>
              </a:ext>
            </a:extLst>
          </xdr:cNvPr>
          <xdr:cNvSpPr/>
        </xdr:nvSpPr>
        <xdr:spPr>
          <a:xfrm>
            <a:off x="8959850" y="3778250"/>
            <a:ext cx="371475" cy="1076325"/>
          </a:xfrm>
          <a:prstGeom prst="rect">
            <a:avLst/>
          </a:prstGeom>
          <a:noFill/>
          <a:ln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  <xdr:cxnSp macro="">
        <xdr:nvCxnSpPr>
          <xdr:cNvPr id="104" name="Gerader Verbinder 103">
            <a:extLst>
              <a:ext uri="{FF2B5EF4-FFF2-40B4-BE49-F238E27FC236}">
                <a16:creationId xmlns:a16="http://schemas.microsoft.com/office/drawing/2014/main" id="{82117A7C-CCE5-4C08-5630-446B95B34F1A}"/>
              </a:ext>
            </a:extLst>
          </xdr:cNvPr>
          <xdr:cNvCxnSpPr>
            <a:endCxn id="103" idx="0"/>
          </xdr:cNvCxnSpPr>
        </xdr:nvCxnSpPr>
        <xdr:spPr>
          <a:xfrm flipH="1">
            <a:off x="9145588" y="3254331"/>
            <a:ext cx="1587" cy="523919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105" name="Gerader Verbinder 104">
            <a:extLst>
              <a:ext uri="{FF2B5EF4-FFF2-40B4-BE49-F238E27FC236}">
                <a16:creationId xmlns:a16="http://schemas.microsoft.com/office/drawing/2014/main" id="{E500007C-F407-2229-45FF-22641B917420}"/>
              </a:ext>
            </a:extLst>
          </xdr:cNvPr>
          <xdr:cNvCxnSpPr>
            <a:stCxn id="103" idx="2"/>
          </xdr:cNvCxnSpPr>
        </xdr:nvCxnSpPr>
        <xdr:spPr>
          <a:xfrm flipH="1">
            <a:off x="9134165" y="4854575"/>
            <a:ext cx="11423" cy="1410296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106" name="Textfeld 105">
            <a:extLst>
              <a:ext uri="{FF2B5EF4-FFF2-40B4-BE49-F238E27FC236}">
                <a16:creationId xmlns:a16="http://schemas.microsoft.com/office/drawing/2014/main" id="{E8C28716-AF63-F1B8-ECED-AED65AAF6198}"/>
              </a:ext>
            </a:extLst>
          </xdr:cNvPr>
          <xdr:cNvSpPr txBox="1"/>
        </xdr:nvSpPr>
        <xdr:spPr>
          <a:xfrm rot="5400000">
            <a:off x="8942990" y="3925579"/>
            <a:ext cx="437170" cy="563543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de-CH" sz="2400"/>
              <a:t>R</a:t>
            </a:r>
            <a:r>
              <a:rPr lang="de-CH" sz="2400" baseline="-25000"/>
              <a:t>10</a:t>
            </a:r>
          </a:p>
        </xdr:txBody>
      </xdr:sp>
    </xdr:grpSp>
    <xdr:clientData/>
  </xdr:twoCellAnchor>
  <xdr:twoCellAnchor>
    <xdr:from>
      <xdr:col>2</xdr:col>
      <xdr:colOff>9525</xdr:colOff>
      <xdr:row>46</xdr:row>
      <xdr:rowOff>9525</xdr:rowOff>
    </xdr:from>
    <xdr:to>
      <xdr:col>11</xdr:col>
      <xdr:colOff>6350</xdr:colOff>
      <xdr:row>46</xdr:row>
      <xdr:rowOff>19050</xdr:rowOff>
    </xdr:to>
    <xdr:cxnSp macro="">
      <xdr:nvCxnSpPr>
        <xdr:cNvPr id="107" name="Gerader Verbinder 106">
          <a:extLst>
            <a:ext uri="{FF2B5EF4-FFF2-40B4-BE49-F238E27FC236}">
              <a16:creationId xmlns:a16="http://schemas.microsoft.com/office/drawing/2014/main" id="{CCB505F4-2990-4FFA-8B5E-B0D9F85972E3}"/>
            </a:ext>
          </a:extLst>
        </xdr:cNvPr>
        <xdr:cNvCxnSpPr/>
      </xdr:nvCxnSpPr>
      <xdr:spPr>
        <a:xfrm flipH="1" flipV="1">
          <a:off x="1530350" y="9598025"/>
          <a:ext cx="6861175" cy="1270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409575</xdr:colOff>
      <xdr:row>63</xdr:row>
      <xdr:rowOff>102507</xdr:rowOff>
    </xdr:from>
    <xdr:to>
      <xdr:col>2</xdr:col>
      <xdr:colOff>263534</xdr:colOff>
      <xdr:row>63</xdr:row>
      <xdr:rowOff>102507</xdr:rowOff>
    </xdr:to>
    <xdr:cxnSp macro="">
      <xdr:nvCxnSpPr>
        <xdr:cNvPr id="108" name="Gerader Verbinder 107">
          <a:extLst>
            <a:ext uri="{FF2B5EF4-FFF2-40B4-BE49-F238E27FC236}">
              <a16:creationId xmlns:a16="http://schemas.microsoft.com/office/drawing/2014/main" id="{708F6FE9-59E8-4780-8592-0E432A8B9910}"/>
            </a:ext>
          </a:extLst>
        </xdr:cNvPr>
        <xdr:cNvCxnSpPr/>
      </xdr:nvCxnSpPr>
      <xdr:spPr>
        <a:xfrm flipH="1">
          <a:off x="1168400" y="12773932"/>
          <a:ext cx="619134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600529</xdr:colOff>
      <xdr:row>62</xdr:row>
      <xdr:rowOff>58512</xdr:rowOff>
    </xdr:from>
    <xdr:to>
      <xdr:col>2</xdr:col>
      <xdr:colOff>130629</xdr:colOff>
      <xdr:row>62</xdr:row>
      <xdr:rowOff>58512</xdr:rowOff>
    </xdr:to>
    <xdr:cxnSp macro="">
      <xdr:nvCxnSpPr>
        <xdr:cNvPr id="109" name="Gerader Verbinder 108">
          <a:extLst>
            <a:ext uri="{FF2B5EF4-FFF2-40B4-BE49-F238E27FC236}">
              <a16:creationId xmlns:a16="http://schemas.microsoft.com/office/drawing/2014/main" id="{88514293-BAAC-47FA-BC0D-A2DC8B2E1C2E}"/>
            </a:ext>
          </a:extLst>
        </xdr:cNvPr>
        <xdr:cNvCxnSpPr/>
      </xdr:nvCxnSpPr>
      <xdr:spPr>
        <a:xfrm flipH="1">
          <a:off x="1359354" y="12545787"/>
          <a:ext cx="295275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609600</xdr:colOff>
      <xdr:row>63</xdr:row>
      <xdr:rowOff>139700</xdr:rowOff>
    </xdr:from>
    <xdr:to>
      <xdr:col>2</xdr:col>
      <xdr:colOff>139700</xdr:colOff>
      <xdr:row>63</xdr:row>
      <xdr:rowOff>139700</xdr:rowOff>
    </xdr:to>
    <xdr:cxnSp macro="">
      <xdr:nvCxnSpPr>
        <xdr:cNvPr id="110" name="Gerader Verbinder 109">
          <a:extLst>
            <a:ext uri="{FF2B5EF4-FFF2-40B4-BE49-F238E27FC236}">
              <a16:creationId xmlns:a16="http://schemas.microsoft.com/office/drawing/2014/main" id="{33ED34F7-BBFD-4390-9B3A-305E0631D087}"/>
            </a:ext>
          </a:extLst>
        </xdr:cNvPr>
        <xdr:cNvCxnSpPr/>
      </xdr:nvCxnSpPr>
      <xdr:spPr>
        <a:xfrm flipH="1">
          <a:off x="1371600" y="12811125"/>
          <a:ext cx="295275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752475</xdr:colOff>
      <xdr:row>63</xdr:row>
      <xdr:rowOff>161925</xdr:rowOff>
    </xdr:from>
    <xdr:to>
      <xdr:col>2</xdr:col>
      <xdr:colOff>0</xdr:colOff>
      <xdr:row>77</xdr:row>
      <xdr:rowOff>90714</xdr:rowOff>
    </xdr:to>
    <xdr:cxnSp macro="">
      <xdr:nvCxnSpPr>
        <xdr:cNvPr id="111" name="Gerader Verbinder 110">
          <a:extLst>
            <a:ext uri="{FF2B5EF4-FFF2-40B4-BE49-F238E27FC236}">
              <a16:creationId xmlns:a16="http://schemas.microsoft.com/office/drawing/2014/main" id="{DA84748A-8BBB-442E-8C1D-E75621BA4052}"/>
            </a:ext>
          </a:extLst>
        </xdr:cNvPr>
        <xdr:cNvCxnSpPr/>
      </xdr:nvCxnSpPr>
      <xdr:spPr>
        <a:xfrm>
          <a:off x="1514475" y="13681982"/>
          <a:ext cx="9525" cy="2671989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754495</xdr:colOff>
      <xdr:row>77</xdr:row>
      <xdr:rowOff>90632</xdr:rowOff>
    </xdr:from>
    <xdr:to>
      <xdr:col>13</xdr:col>
      <xdr:colOff>11545</xdr:colOff>
      <xdr:row>77</xdr:row>
      <xdr:rowOff>115455</xdr:rowOff>
    </xdr:to>
    <xdr:cxnSp macro="">
      <xdr:nvCxnSpPr>
        <xdr:cNvPr id="112" name="Gerader Verbinder 111">
          <a:extLst>
            <a:ext uri="{FF2B5EF4-FFF2-40B4-BE49-F238E27FC236}">
              <a16:creationId xmlns:a16="http://schemas.microsoft.com/office/drawing/2014/main" id="{FF5D0390-03B8-40FB-801F-D144DEE82921}"/>
            </a:ext>
          </a:extLst>
        </xdr:cNvPr>
        <xdr:cNvCxnSpPr/>
      </xdr:nvCxnSpPr>
      <xdr:spPr>
        <a:xfrm flipH="1" flipV="1">
          <a:off x="1516495" y="16358177"/>
          <a:ext cx="8401050" cy="24823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10349</xdr:colOff>
      <xdr:row>56</xdr:row>
      <xdr:rowOff>34884</xdr:rowOff>
    </xdr:from>
    <xdr:to>
      <xdr:col>12</xdr:col>
      <xdr:colOff>757381</xdr:colOff>
      <xdr:row>56</xdr:row>
      <xdr:rowOff>54161</xdr:rowOff>
    </xdr:to>
    <xdr:cxnSp macro="">
      <xdr:nvCxnSpPr>
        <xdr:cNvPr id="113" name="Gerader Verbinder 112">
          <a:extLst>
            <a:ext uri="{FF2B5EF4-FFF2-40B4-BE49-F238E27FC236}">
              <a16:creationId xmlns:a16="http://schemas.microsoft.com/office/drawing/2014/main" id="{9D7E7AD1-54B5-4A2D-8A52-ECC31915305F}"/>
            </a:ext>
          </a:extLst>
        </xdr:cNvPr>
        <xdr:cNvCxnSpPr/>
      </xdr:nvCxnSpPr>
      <xdr:spPr>
        <a:xfrm flipH="1">
          <a:off x="8392349" y="11557248"/>
          <a:ext cx="1509032" cy="19277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714375</xdr:colOff>
      <xdr:row>45</xdr:row>
      <xdr:rowOff>139700</xdr:rowOff>
    </xdr:from>
    <xdr:to>
      <xdr:col>5</xdr:col>
      <xdr:colOff>47625</xdr:colOff>
      <xdr:row>46</xdr:row>
      <xdr:rowOff>66675</xdr:rowOff>
    </xdr:to>
    <xdr:sp macro="" textlink="">
      <xdr:nvSpPr>
        <xdr:cNvPr id="114" name="Ellipse 113">
          <a:extLst>
            <a:ext uri="{FF2B5EF4-FFF2-40B4-BE49-F238E27FC236}">
              <a16:creationId xmlns:a16="http://schemas.microsoft.com/office/drawing/2014/main" id="{5F44980E-FB55-42C6-9C9E-EAA1839A6D19}"/>
            </a:ext>
          </a:extLst>
        </xdr:cNvPr>
        <xdr:cNvSpPr/>
      </xdr:nvSpPr>
      <xdr:spPr>
        <a:xfrm>
          <a:off x="3759200" y="9553575"/>
          <a:ext cx="95250" cy="101600"/>
        </a:xfrm>
        <a:prstGeom prst="ellipse">
          <a:avLst/>
        </a:prstGeom>
        <a:solidFill>
          <a:schemeClr val="tx1">
            <a:lumMod val="95000"/>
            <a:lumOff val="5000"/>
          </a:schemeClr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5</xdr:col>
      <xdr:colOff>723900</xdr:colOff>
      <xdr:row>45</xdr:row>
      <xdr:rowOff>130175</xdr:rowOff>
    </xdr:from>
    <xdr:to>
      <xdr:col>6</xdr:col>
      <xdr:colOff>57150</xdr:colOff>
      <xdr:row>46</xdr:row>
      <xdr:rowOff>57150</xdr:rowOff>
    </xdr:to>
    <xdr:sp macro="" textlink="">
      <xdr:nvSpPr>
        <xdr:cNvPr id="115" name="Ellipse 114">
          <a:extLst>
            <a:ext uri="{FF2B5EF4-FFF2-40B4-BE49-F238E27FC236}">
              <a16:creationId xmlns:a16="http://schemas.microsoft.com/office/drawing/2014/main" id="{4877C00A-C081-4937-AB0D-892D3F40829C}"/>
            </a:ext>
          </a:extLst>
        </xdr:cNvPr>
        <xdr:cNvSpPr/>
      </xdr:nvSpPr>
      <xdr:spPr>
        <a:xfrm>
          <a:off x="4533900" y="9540875"/>
          <a:ext cx="95250" cy="107950"/>
        </a:xfrm>
        <a:prstGeom prst="ellipse">
          <a:avLst/>
        </a:prstGeom>
        <a:solidFill>
          <a:schemeClr val="tx1">
            <a:lumMod val="95000"/>
            <a:lumOff val="5000"/>
          </a:schemeClr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10</xdr:col>
      <xdr:colOff>727610</xdr:colOff>
      <xdr:row>56</xdr:row>
      <xdr:rowOff>13392</xdr:rowOff>
    </xdr:from>
    <xdr:to>
      <xdr:col>11</xdr:col>
      <xdr:colOff>59417</xdr:colOff>
      <xdr:row>56</xdr:row>
      <xdr:rowOff>87539</xdr:rowOff>
    </xdr:to>
    <xdr:sp macro="" textlink="">
      <xdr:nvSpPr>
        <xdr:cNvPr id="116" name="Ellipse 115">
          <a:extLst>
            <a:ext uri="{FF2B5EF4-FFF2-40B4-BE49-F238E27FC236}">
              <a16:creationId xmlns:a16="http://schemas.microsoft.com/office/drawing/2014/main" id="{6B50278C-7605-4EFD-A71D-DE52B27B7303}"/>
            </a:ext>
          </a:extLst>
        </xdr:cNvPr>
        <xdr:cNvSpPr/>
      </xdr:nvSpPr>
      <xdr:spPr>
        <a:xfrm>
          <a:off x="8347610" y="11535756"/>
          <a:ext cx="93807" cy="74147"/>
        </a:xfrm>
        <a:prstGeom prst="ellipse">
          <a:avLst/>
        </a:prstGeom>
        <a:solidFill>
          <a:schemeClr val="tx1">
            <a:lumMod val="95000"/>
            <a:lumOff val="5000"/>
          </a:schemeClr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12</xdr:col>
      <xdr:colOff>704271</xdr:colOff>
      <xdr:row>56</xdr:row>
      <xdr:rowOff>0</xdr:rowOff>
    </xdr:from>
    <xdr:to>
      <xdr:col>13</xdr:col>
      <xdr:colOff>36078</xdr:colOff>
      <xdr:row>56</xdr:row>
      <xdr:rowOff>75046</xdr:rowOff>
    </xdr:to>
    <xdr:sp macro="" textlink="">
      <xdr:nvSpPr>
        <xdr:cNvPr id="117" name="Ellipse 116">
          <a:extLst>
            <a:ext uri="{FF2B5EF4-FFF2-40B4-BE49-F238E27FC236}">
              <a16:creationId xmlns:a16="http://schemas.microsoft.com/office/drawing/2014/main" id="{B4E22A94-4E09-45B4-9F57-B27A1EA8EF11}"/>
            </a:ext>
          </a:extLst>
        </xdr:cNvPr>
        <xdr:cNvSpPr/>
      </xdr:nvSpPr>
      <xdr:spPr>
        <a:xfrm>
          <a:off x="9848271" y="11522364"/>
          <a:ext cx="93807" cy="75046"/>
        </a:xfrm>
        <a:prstGeom prst="ellipse">
          <a:avLst/>
        </a:prstGeom>
        <a:solidFill>
          <a:schemeClr val="tx1">
            <a:lumMod val="95000"/>
            <a:lumOff val="5000"/>
          </a:schemeClr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5</xdr:col>
      <xdr:colOff>732270</xdr:colOff>
      <xdr:row>77</xdr:row>
      <xdr:rowOff>44822</xdr:rowOff>
    </xdr:from>
    <xdr:to>
      <xdr:col>6</xdr:col>
      <xdr:colOff>65520</xdr:colOff>
      <xdr:row>77</xdr:row>
      <xdr:rowOff>161720</xdr:rowOff>
    </xdr:to>
    <xdr:sp macro="" textlink="">
      <xdr:nvSpPr>
        <xdr:cNvPr id="118" name="Ellipse 117">
          <a:extLst>
            <a:ext uri="{FF2B5EF4-FFF2-40B4-BE49-F238E27FC236}">
              <a16:creationId xmlns:a16="http://schemas.microsoft.com/office/drawing/2014/main" id="{F39EBE4D-9C5A-4791-BFED-28486902CB51}"/>
            </a:ext>
          </a:extLst>
        </xdr:cNvPr>
        <xdr:cNvSpPr/>
      </xdr:nvSpPr>
      <xdr:spPr>
        <a:xfrm>
          <a:off x="4542270" y="16312367"/>
          <a:ext cx="95250" cy="116898"/>
        </a:xfrm>
        <a:prstGeom prst="ellipse">
          <a:avLst/>
        </a:prstGeom>
        <a:solidFill>
          <a:schemeClr val="tx1">
            <a:lumMod val="95000"/>
            <a:lumOff val="5000"/>
          </a:schemeClr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4</xdr:col>
      <xdr:colOff>715941</xdr:colOff>
      <xdr:row>77</xdr:row>
      <xdr:rowOff>42554</xdr:rowOff>
    </xdr:from>
    <xdr:to>
      <xdr:col>5</xdr:col>
      <xdr:colOff>49191</xdr:colOff>
      <xdr:row>77</xdr:row>
      <xdr:rowOff>156277</xdr:rowOff>
    </xdr:to>
    <xdr:sp macro="" textlink="">
      <xdr:nvSpPr>
        <xdr:cNvPr id="119" name="Ellipse 118">
          <a:extLst>
            <a:ext uri="{FF2B5EF4-FFF2-40B4-BE49-F238E27FC236}">
              <a16:creationId xmlns:a16="http://schemas.microsoft.com/office/drawing/2014/main" id="{390E1B5C-8DAD-4793-8A0D-BCDFED8DF89B}"/>
            </a:ext>
          </a:extLst>
        </xdr:cNvPr>
        <xdr:cNvSpPr/>
      </xdr:nvSpPr>
      <xdr:spPr>
        <a:xfrm>
          <a:off x="3763941" y="16310099"/>
          <a:ext cx="95250" cy="113723"/>
        </a:xfrm>
        <a:prstGeom prst="ellipse">
          <a:avLst/>
        </a:prstGeom>
        <a:solidFill>
          <a:schemeClr val="tx1">
            <a:lumMod val="95000"/>
            <a:lumOff val="5000"/>
          </a:schemeClr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10</xdr:col>
      <xdr:colOff>719116</xdr:colOff>
      <xdr:row>77</xdr:row>
      <xdr:rowOff>43461</xdr:rowOff>
    </xdr:from>
    <xdr:to>
      <xdr:col>11</xdr:col>
      <xdr:colOff>52366</xdr:colOff>
      <xdr:row>77</xdr:row>
      <xdr:rowOff>150834</xdr:rowOff>
    </xdr:to>
    <xdr:sp macro="" textlink="">
      <xdr:nvSpPr>
        <xdr:cNvPr id="120" name="Ellipse 119">
          <a:extLst>
            <a:ext uri="{FF2B5EF4-FFF2-40B4-BE49-F238E27FC236}">
              <a16:creationId xmlns:a16="http://schemas.microsoft.com/office/drawing/2014/main" id="{7E7F31BC-C44B-487C-A7DC-C7D2C09474BE}"/>
            </a:ext>
          </a:extLst>
        </xdr:cNvPr>
        <xdr:cNvSpPr/>
      </xdr:nvSpPr>
      <xdr:spPr>
        <a:xfrm>
          <a:off x="8339116" y="16311006"/>
          <a:ext cx="95250" cy="107373"/>
        </a:xfrm>
        <a:prstGeom prst="ellipse">
          <a:avLst/>
        </a:prstGeom>
        <a:solidFill>
          <a:schemeClr val="tx1">
            <a:lumMod val="95000"/>
            <a:lumOff val="5000"/>
          </a:schemeClr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12</xdr:col>
      <xdr:colOff>692191</xdr:colOff>
      <xdr:row>77</xdr:row>
      <xdr:rowOff>51831</xdr:rowOff>
    </xdr:from>
    <xdr:to>
      <xdr:col>13</xdr:col>
      <xdr:colOff>25441</xdr:colOff>
      <xdr:row>77</xdr:row>
      <xdr:rowOff>162379</xdr:rowOff>
    </xdr:to>
    <xdr:sp macro="" textlink="">
      <xdr:nvSpPr>
        <xdr:cNvPr id="121" name="Ellipse 120">
          <a:extLst>
            <a:ext uri="{FF2B5EF4-FFF2-40B4-BE49-F238E27FC236}">
              <a16:creationId xmlns:a16="http://schemas.microsoft.com/office/drawing/2014/main" id="{BF084887-BBFA-41A5-A9F1-B79A4E9AF87B}"/>
            </a:ext>
          </a:extLst>
        </xdr:cNvPr>
        <xdr:cNvSpPr/>
      </xdr:nvSpPr>
      <xdr:spPr>
        <a:xfrm>
          <a:off x="9836191" y="16319376"/>
          <a:ext cx="95250" cy="110548"/>
        </a:xfrm>
        <a:prstGeom prst="ellipse">
          <a:avLst/>
        </a:prstGeom>
        <a:solidFill>
          <a:schemeClr val="tx1">
            <a:lumMod val="95000"/>
            <a:lumOff val="5000"/>
          </a:schemeClr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1</xdr:col>
      <xdr:colOff>439057</xdr:colOff>
      <xdr:row>62</xdr:row>
      <xdr:rowOff>9071</xdr:rowOff>
    </xdr:from>
    <xdr:to>
      <xdr:col>2</xdr:col>
      <xdr:colOff>293016</xdr:colOff>
      <xdr:row>62</xdr:row>
      <xdr:rowOff>18596</xdr:rowOff>
    </xdr:to>
    <xdr:cxnSp macro="">
      <xdr:nvCxnSpPr>
        <xdr:cNvPr id="122" name="Gerader Verbinder 121">
          <a:extLst>
            <a:ext uri="{FF2B5EF4-FFF2-40B4-BE49-F238E27FC236}">
              <a16:creationId xmlns:a16="http://schemas.microsoft.com/office/drawing/2014/main" id="{8E203255-FE21-447A-9D10-6FA4F73B3D8D}"/>
            </a:ext>
          </a:extLst>
        </xdr:cNvPr>
        <xdr:cNvCxnSpPr/>
      </xdr:nvCxnSpPr>
      <xdr:spPr>
        <a:xfrm flipH="1">
          <a:off x="1201057" y="12499521"/>
          <a:ext cx="619134" cy="63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751114</xdr:colOff>
      <xdr:row>62</xdr:row>
      <xdr:rowOff>68489</xdr:rowOff>
    </xdr:from>
    <xdr:to>
      <xdr:col>2</xdr:col>
      <xdr:colOff>0</xdr:colOff>
      <xdr:row>63</xdr:row>
      <xdr:rowOff>103414</xdr:rowOff>
    </xdr:to>
    <xdr:cxnSp macro="">
      <xdr:nvCxnSpPr>
        <xdr:cNvPr id="123" name="Gerader Verbinder 122">
          <a:extLst>
            <a:ext uri="{FF2B5EF4-FFF2-40B4-BE49-F238E27FC236}">
              <a16:creationId xmlns:a16="http://schemas.microsoft.com/office/drawing/2014/main" id="{B8C5A9E0-D4A2-4752-A434-6F29F959EE85}"/>
            </a:ext>
          </a:extLst>
        </xdr:cNvPr>
        <xdr:cNvCxnSpPr/>
      </xdr:nvCxnSpPr>
      <xdr:spPr>
        <a:xfrm flipH="1">
          <a:off x="1516289" y="12552589"/>
          <a:ext cx="7711" cy="222250"/>
        </a:xfrm>
        <a:prstGeom prst="line">
          <a:avLst/>
        </a:prstGeom>
        <a:ln>
          <a:prstDash val="sysDash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707572</xdr:colOff>
      <xdr:row>45</xdr:row>
      <xdr:rowOff>143329</xdr:rowOff>
    </xdr:from>
    <xdr:to>
      <xdr:col>11</xdr:col>
      <xdr:colOff>40822</xdr:colOff>
      <xdr:row>46</xdr:row>
      <xdr:rowOff>73479</xdr:rowOff>
    </xdr:to>
    <xdr:sp macro="" textlink="">
      <xdr:nvSpPr>
        <xdr:cNvPr id="124" name="Ellipse 123">
          <a:extLst>
            <a:ext uri="{FF2B5EF4-FFF2-40B4-BE49-F238E27FC236}">
              <a16:creationId xmlns:a16="http://schemas.microsoft.com/office/drawing/2014/main" id="{61F4DEDA-3D4A-44C0-98C7-C473C9FC99DF}"/>
            </a:ext>
          </a:extLst>
        </xdr:cNvPr>
        <xdr:cNvSpPr/>
      </xdr:nvSpPr>
      <xdr:spPr>
        <a:xfrm>
          <a:off x="8327572" y="9550854"/>
          <a:ext cx="95250" cy="114300"/>
        </a:xfrm>
        <a:prstGeom prst="ellipse">
          <a:avLst/>
        </a:prstGeom>
        <a:solidFill>
          <a:schemeClr val="tx1">
            <a:lumMod val="95000"/>
            <a:lumOff val="5000"/>
          </a:schemeClr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12</xdr:col>
      <xdr:colOff>487671</xdr:colOff>
      <xdr:row>100</xdr:row>
      <xdr:rowOff>210002</xdr:rowOff>
    </xdr:from>
    <xdr:to>
      <xdr:col>13</xdr:col>
      <xdr:colOff>200034</xdr:colOff>
      <xdr:row>112</xdr:row>
      <xdr:rowOff>48298</xdr:rowOff>
    </xdr:to>
    <xdr:grpSp>
      <xdr:nvGrpSpPr>
        <xdr:cNvPr id="125" name="Gruppieren 124">
          <a:extLst>
            <a:ext uri="{FF2B5EF4-FFF2-40B4-BE49-F238E27FC236}">
              <a16:creationId xmlns:a16="http://schemas.microsoft.com/office/drawing/2014/main" id="{9460CB2C-7072-4A21-B375-D1E0792DA4AF}"/>
            </a:ext>
          </a:extLst>
        </xdr:cNvPr>
        <xdr:cNvGrpSpPr/>
      </xdr:nvGrpSpPr>
      <xdr:grpSpPr>
        <a:xfrm>
          <a:off x="9631671" y="29618440"/>
          <a:ext cx="474363" cy="2552921"/>
          <a:chOff x="8920180" y="3499704"/>
          <a:chExt cx="480926" cy="1951938"/>
        </a:xfrm>
      </xdr:grpSpPr>
      <xdr:sp macro="" textlink="">
        <xdr:nvSpPr>
          <xdr:cNvPr id="126" name="Rechteck 125">
            <a:extLst>
              <a:ext uri="{FF2B5EF4-FFF2-40B4-BE49-F238E27FC236}">
                <a16:creationId xmlns:a16="http://schemas.microsoft.com/office/drawing/2014/main" id="{DB0A9D0B-7DAD-B0F1-8EC3-FD2F0A94E06C}"/>
              </a:ext>
            </a:extLst>
          </xdr:cNvPr>
          <xdr:cNvSpPr/>
        </xdr:nvSpPr>
        <xdr:spPr>
          <a:xfrm>
            <a:off x="8959842" y="3778250"/>
            <a:ext cx="371474" cy="1076325"/>
          </a:xfrm>
          <a:prstGeom prst="rect">
            <a:avLst/>
          </a:prstGeom>
          <a:noFill/>
          <a:ln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  <xdr:cxnSp macro="">
        <xdr:nvCxnSpPr>
          <xdr:cNvPr id="127" name="Gerader Verbinder 126">
            <a:extLst>
              <a:ext uri="{FF2B5EF4-FFF2-40B4-BE49-F238E27FC236}">
                <a16:creationId xmlns:a16="http://schemas.microsoft.com/office/drawing/2014/main" id="{A6B43988-0D8B-431B-FC48-AE22B0A6D96E}"/>
              </a:ext>
            </a:extLst>
          </xdr:cNvPr>
          <xdr:cNvCxnSpPr>
            <a:stCxn id="154" idx="0"/>
            <a:endCxn id="126" idx="0"/>
          </xdr:cNvCxnSpPr>
        </xdr:nvCxnSpPr>
        <xdr:spPr>
          <a:xfrm>
            <a:off x="9144272" y="3499704"/>
            <a:ext cx="1308" cy="278546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128" name="Gerader Verbinder 127">
            <a:extLst>
              <a:ext uri="{FF2B5EF4-FFF2-40B4-BE49-F238E27FC236}">
                <a16:creationId xmlns:a16="http://schemas.microsoft.com/office/drawing/2014/main" id="{40D323D4-D9FA-7B48-344D-08A96DBBECB0}"/>
              </a:ext>
            </a:extLst>
          </xdr:cNvPr>
          <xdr:cNvCxnSpPr>
            <a:stCxn id="126" idx="2"/>
          </xdr:cNvCxnSpPr>
        </xdr:nvCxnSpPr>
        <xdr:spPr>
          <a:xfrm>
            <a:off x="9145589" y="4854576"/>
            <a:ext cx="1587" cy="597066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129" name="Textfeld 128">
            <a:extLst>
              <a:ext uri="{FF2B5EF4-FFF2-40B4-BE49-F238E27FC236}">
                <a16:creationId xmlns:a16="http://schemas.microsoft.com/office/drawing/2014/main" id="{0E6B01E4-0556-509A-CB36-ABAB353354F9}"/>
              </a:ext>
            </a:extLst>
          </xdr:cNvPr>
          <xdr:cNvSpPr txBox="1"/>
        </xdr:nvSpPr>
        <xdr:spPr>
          <a:xfrm rot="5400000">
            <a:off x="8870650" y="3884124"/>
            <a:ext cx="579986" cy="48092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de-CH" sz="2400"/>
              <a:t>R</a:t>
            </a:r>
            <a:r>
              <a:rPr lang="de-CH" sz="2400" baseline="-25000"/>
              <a:t>123</a:t>
            </a:r>
          </a:p>
        </xdr:txBody>
      </xdr:sp>
    </xdr:grpSp>
    <xdr:clientData/>
  </xdr:twoCellAnchor>
  <xdr:twoCellAnchor>
    <xdr:from>
      <xdr:col>10</xdr:col>
      <xdr:colOff>521693</xdr:colOff>
      <xdr:row>100</xdr:row>
      <xdr:rowOff>261258</xdr:rowOff>
    </xdr:from>
    <xdr:to>
      <xdr:col>11</xdr:col>
      <xdr:colOff>221356</xdr:colOff>
      <xdr:row>111</xdr:row>
      <xdr:rowOff>152619</xdr:rowOff>
    </xdr:to>
    <xdr:grpSp>
      <xdr:nvGrpSpPr>
        <xdr:cNvPr id="130" name="Gruppieren 129">
          <a:extLst>
            <a:ext uri="{FF2B5EF4-FFF2-40B4-BE49-F238E27FC236}">
              <a16:creationId xmlns:a16="http://schemas.microsoft.com/office/drawing/2014/main" id="{6944798E-DD9E-49C3-8AE2-77E230291A08}"/>
            </a:ext>
          </a:extLst>
        </xdr:cNvPr>
        <xdr:cNvGrpSpPr/>
      </xdr:nvGrpSpPr>
      <xdr:grpSpPr>
        <a:xfrm>
          <a:off x="8141693" y="29669696"/>
          <a:ext cx="461663" cy="2415486"/>
          <a:chOff x="9527870" y="3599470"/>
          <a:chExt cx="467002" cy="1797691"/>
        </a:xfrm>
      </xdr:grpSpPr>
      <xdr:sp macro="" textlink="">
        <xdr:nvSpPr>
          <xdr:cNvPr id="131" name="Rechteck 130">
            <a:extLst>
              <a:ext uri="{FF2B5EF4-FFF2-40B4-BE49-F238E27FC236}">
                <a16:creationId xmlns:a16="http://schemas.microsoft.com/office/drawing/2014/main" id="{4B81DC39-9301-60CA-DFDF-46F703EE25B6}"/>
              </a:ext>
            </a:extLst>
          </xdr:cNvPr>
          <xdr:cNvSpPr/>
        </xdr:nvSpPr>
        <xdr:spPr>
          <a:xfrm>
            <a:off x="9534648" y="3723771"/>
            <a:ext cx="371475" cy="1076325"/>
          </a:xfrm>
          <a:prstGeom prst="rect">
            <a:avLst/>
          </a:prstGeom>
          <a:noFill/>
          <a:ln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  <xdr:cxnSp macro="">
        <xdr:nvCxnSpPr>
          <xdr:cNvPr id="132" name="Gerader Verbinder 131">
            <a:extLst>
              <a:ext uri="{FF2B5EF4-FFF2-40B4-BE49-F238E27FC236}">
                <a16:creationId xmlns:a16="http://schemas.microsoft.com/office/drawing/2014/main" id="{8E1EDB74-B1AC-14FB-8337-156909887074}"/>
              </a:ext>
            </a:extLst>
          </xdr:cNvPr>
          <xdr:cNvCxnSpPr>
            <a:stCxn id="153" idx="0"/>
            <a:endCxn id="131" idx="0"/>
          </xdr:cNvCxnSpPr>
        </xdr:nvCxnSpPr>
        <xdr:spPr>
          <a:xfrm flipH="1">
            <a:off x="9720386" y="3599470"/>
            <a:ext cx="16618" cy="124301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133" name="Gerader Verbinder 132">
            <a:extLst>
              <a:ext uri="{FF2B5EF4-FFF2-40B4-BE49-F238E27FC236}">
                <a16:creationId xmlns:a16="http://schemas.microsoft.com/office/drawing/2014/main" id="{B4175276-3923-E1FC-30CA-E446F215FB9A}"/>
              </a:ext>
            </a:extLst>
          </xdr:cNvPr>
          <xdr:cNvCxnSpPr>
            <a:stCxn id="131" idx="2"/>
          </xdr:cNvCxnSpPr>
        </xdr:nvCxnSpPr>
        <xdr:spPr>
          <a:xfrm>
            <a:off x="9720386" y="4800095"/>
            <a:ext cx="1587" cy="597066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134" name="Textfeld 133">
            <a:extLst>
              <a:ext uri="{FF2B5EF4-FFF2-40B4-BE49-F238E27FC236}">
                <a16:creationId xmlns:a16="http://schemas.microsoft.com/office/drawing/2014/main" id="{2C6205FF-4C81-C732-0AFD-49DCBF9B373C}"/>
              </a:ext>
            </a:extLst>
          </xdr:cNvPr>
          <xdr:cNvSpPr txBox="1"/>
        </xdr:nvSpPr>
        <xdr:spPr>
          <a:xfrm rot="5400000">
            <a:off x="9521244" y="3790501"/>
            <a:ext cx="480253" cy="46700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de-CH" sz="2400"/>
              <a:t>R</a:t>
            </a:r>
            <a:r>
              <a:rPr lang="de-CH" sz="2400" baseline="-25000"/>
              <a:t>45</a:t>
            </a:r>
          </a:p>
        </xdr:txBody>
      </xdr:sp>
    </xdr:grpSp>
    <xdr:clientData/>
  </xdr:twoCellAnchor>
  <xdr:twoCellAnchor>
    <xdr:from>
      <xdr:col>5</xdr:col>
      <xdr:colOff>719508</xdr:colOff>
      <xdr:row>88</xdr:row>
      <xdr:rowOff>176646</xdr:rowOff>
    </xdr:from>
    <xdr:to>
      <xdr:col>6</xdr:col>
      <xdr:colOff>425521</xdr:colOff>
      <xdr:row>111</xdr:row>
      <xdr:rowOff>128164</xdr:rowOff>
    </xdr:to>
    <xdr:grpSp>
      <xdr:nvGrpSpPr>
        <xdr:cNvPr id="135" name="Gruppieren 134">
          <a:extLst>
            <a:ext uri="{FF2B5EF4-FFF2-40B4-BE49-F238E27FC236}">
              <a16:creationId xmlns:a16="http://schemas.microsoft.com/office/drawing/2014/main" id="{200066EE-7AF6-453A-A371-BCF986E6EC48}"/>
            </a:ext>
          </a:extLst>
        </xdr:cNvPr>
        <xdr:cNvGrpSpPr/>
      </xdr:nvGrpSpPr>
      <xdr:grpSpPr>
        <a:xfrm>
          <a:off x="4529508" y="26727584"/>
          <a:ext cx="468013" cy="5333143"/>
          <a:chOff x="8941283" y="3264625"/>
          <a:chExt cx="469428" cy="4311071"/>
        </a:xfrm>
      </xdr:grpSpPr>
      <xdr:sp macro="" textlink="">
        <xdr:nvSpPr>
          <xdr:cNvPr id="136" name="Rechteck 135">
            <a:extLst>
              <a:ext uri="{FF2B5EF4-FFF2-40B4-BE49-F238E27FC236}">
                <a16:creationId xmlns:a16="http://schemas.microsoft.com/office/drawing/2014/main" id="{F74C7D56-8712-6502-3DBE-AFC4196C3BEC}"/>
              </a:ext>
            </a:extLst>
          </xdr:cNvPr>
          <xdr:cNvSpPr/>
        </xdr:nvSpPr>
        <xdr:spPr>
          <a:xfrm>
            <a:off x="8959850" y="3706023"/>
            <a:ext cx="371475" cy="1076325"/>
          </a:xfrm>
          <a:prstGeom prst="rect">
            <a:avLst/>
          </a:prstGeom>
          <a:noFill/>
          <a:ln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  <xdr:cxnSp macro="">
        <xdr:nvCxnSpPr>
          <xdr:cNvPr id="137" name="Gerader Verbinder 136">
            <a:extLst>
              <a:ext uri="{FF2B5EF4-FFF2-40B4-BE49-F238E27FC236}">
                <a16:creationId xmlns:a16="http://schemas.microsoft.com/office/drawing/2014/main" id="{D2D4F756-F07C-0998-0EFA-9944FA002B1A}"/>
              </a:ext>
            </a:extLst>
          </xdr:cNvPr>
          <xdr:cNvCxnSpPr>
            <a:stCxn id="152" idx="4"/>
            <a:endCxn id="136" idx="0"/>
          </xdr:cNvCxnSpPr>
        </xdr:nvCxnSpPr>
        <xdr:spPr>
          <a:xfrm flipH="1">
            <a:off x="9145588" y="3264625"/>
            <a:ext cx="3910" cy="441398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138" name="Gerader Verbinder 137">
            <a:extLst>
              <a:ext uri="{FF2B5EF4-FFF2-40B4-BE49-F238E27FC236}">
                <a16:creationId xmlns:a16="http://schemas.microsoft.com/office/drawing/2014/main" id="{E312C5A4-5E87-5BE1-8656-6AC39A2A50B6}"/>
              </a:ext>
            </a:extLst>
          </xdr:cNvPr>
          <xdr:cNvCxnSpPr>
            <a:stCxn id="136" idx="2"/>
            <a:endCxn id="314" idx="7"/>
          </xdr:cNvCxnSpPr>
        </xdr:nvCxnSpPr>
        <xdr:spPr>
          <a:xfrm flipH="1">
            <a:off x="9136444" y="4782348"/>
            <a:ext cx="9144" cy="2793348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139" name="Textfeld 138">
            <a:extLst>
              <a:ext uri="{FF2B5EF4-FFF2-40B4-BE49-F238E27FC236}">
                <a16:creationId xmlns:a16="http://schemas.microsoft.com/office/drawing/2014/main" id="{EE4EB164-6E18-7DA5-68EB-1B7A152E3316}"/>
              </a:ext>
            </a:extLst>
          </xdr:cNvPr>
          <xdr:cNvSpPr txBox="1"/>
        </xdr:nvSpPr>
        <xdr:spPr>
          <a:xfrm rot="5400000">
            <a:off x="8880795" y="3904822"/>
            <a:ext cx="590404" cy="46942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de-CH" sz="2400"/>
              <a:t>R</a:t>
            </a:r>
            <a:r>
              <a:rPr lang="de-CH" sz="2400" baseline="-25000"/>
              <a:t>789</a:t>
            </a:r>
          </a:p>
        </xdr:txBody>
      </xdr:sp>
    </xdr:grpSp>
    <xdr:clientData/>
  </xdr:twoCellAnchor>
  <xdr:twoCellAnchor>
    <xdr:from>
      <xdr:col>1</xdr:col>
      <xdr:colOff>525997</xdr:colOff>
      <xdr:row>88</xdr:row>
      <xdr:rowOff>169857</xdr:rowOff>
    </xdr:from>
    <xdr:to>
      <xdr:col>2</xdr:col>
      <xdr:colOff>232011</xdr:colOff>
      <xdr:row>104</xdr:row>
      <xdr:rowOff>169404</xdr:rowOff>
    </xdr:to>
    <xdr:grpSp>
      <xdr:nvGrpSpPr>
        <xdr:cNvPr id="140" name="Gruppieren 139">
          <a:extLst>
            <a:ext uri="{FF2B5EF4-FFF2-40B4-BE49-F238E27FC236}">
              <a16:creationId xmlns:a16="http://schemas.microsoft.com/office/drawing/2014/main" id="{05B30160-D525-41F2-84A2-DBCBF72533F6}"/>
            </a:ext>
          </a:extLst>
        </xdr:cNvPr>
        <xdr:cNvGrpSpPr/>
      </xdr:nvGrpSpPr>
      <xdr:grpSpPr>
        <a:xfrm>
          <a:off x="1287997" y="26720795"/>
          <a:ext cx="468014" cy="4047672"/>
          <a:chOff x="8945774" y="3254331"/>
          <a:chExt cx="471479" cy="3010540"/>
        </a:xfrm>
      </xdr:grpSpPr>
      <xdr:sp macro="" textlink="">
        <xdr:nvSpPr>
          <xdr:cNvPr id="141" name="Rechteck 140">
            <a:extLst>
              <a:ext uri="{FF2B5EF4-FFF2-40B4-BE49-F238E27FC236}">
                <a16:creationId xmlns:a16="http://schemas.microsoft.com/office/drawing/2014/main" id="{2AF0EDE1-D50C-AE91-D8AD-FE038CC9914E}"/>
              </a:ext>
            </a:extLst>
          </xdr:cNvPr>
          <xdr:cNvSpPr/>
        </xdr:nvSpPr>
        <xdr:spPr>
          <a:xfrm>
            <a:off x="8959850" y="3778250"/>
            <a:ext cx="371475" cy="1076325"/>
          </a:xfrm>
          <a:prstGeom prst="rect">
            <a:avLst/>
          </a:prstGeom>
          <a:noFill/>
          <a:ln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  <xdr:cxnSp macro="">
        <xdr:nvCxnSpPr>
          <xdr:cNvPr id="142" name="Gerader Verbinder 141">
            <a:extLst>
              <a:ext uri="{FF2B5EF4-FFF2-40B4-BE49-F238E27FC236}">
                <a16:creationId xmlns:a16="http://schemas.microsoft.com/office/drawing/2014/main" id="{E869693A-F8FC-BA88-3242-F74A84CB883B}"/>
              </a:ext>
            </a:extLst>
          </xdr:cNvPr>
          <xdr:cNvCxnSpPr>
            <a:endCxn id="141" idx="0"/>
          </xdr:cNvCxnSpPr>
        </xdr:nvCxnSpPr>
        <xdr:spPr>
          <a:xfrm flipH="1">
            <a:off x="9145588" y="3254331"/>
            <a:ext cx="1587" cy="523919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143" name="Gerader Verbinder 142">
            <a:extLst>
              <a:ext uri="{FF2B5EF4-FFF2-40B4-BE49-F238E27FC236}">
                <a16:creationId xmlns:a16="http://schemas.microsoft.com/office/drawing/2014/main" id="{1F8D820D-2879-5873-7B8B-2651B182FC18}"/>
              </a:ext>
            </a:extLst>
          </xdr:cNvPr>
          <xdr:cNvCxnSpPr>
            <a:stCxn id="141" idx="2"/>
          </xdr:cNvCxnSpPr>
        </xdr:nvCxnSpPr>
        <xdr:spPr>
          <a:xfrm flipH="1">
            <a:off x="9134165" y="4854575"/>
            <a:ext cx="11423" cy="1410296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144" name="Textfeld 143">
            <a:extLst>
              <a:ext uri="{FF2B5EF4-FFF2-40B4-BE49-F238E27FC236}">
                <a16:creationId xmlns:a16="http://schemas.microsoft.com/office/drawing/2014/main" id="{E47179F7-3F61-33EE-604C-DF1D5C1974D6}"/>
              </a:ext>
            </a:extLst>
          </xdr:cNvPr>
          <xdr:cNvSpPr txBox="1"/>
        </xdr:nvSpPr>
        <xdr:spPr>
          <a:xfrm rot="5400000">
            <a:off x="8942200" y="3826294"/>
            <a:ext cx="478628" cy="471479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de-CH" sz="2400"/>
              <a:t>R</a:t>
            </a:r>
            <a:r>
              <a:rPr lang="de-CH" sz="2400" baseline="-25000"/>
              <a:t>10</a:t>
            </a:r>
          </a:p>
        </xdr:txBody>
      </xdr:sp>
    </xdr:grpSp>
    <xdr:clientData/>
  </xdr:twoCellAnchor>
  <xdr:twoCellAnchor>
    <xdr:from>
      <xdr:col>1</xdr:col>
      <xdr:colOff>720725</xdr:colOff>
      <xdr:row>88</xdr:row>
      <xdr:rowOff>169857</xdr:rowOff>
    </xdr:from>
    <xdr:to>
      <xdr:col>10</xdr:col>
      <xdr:colOff>723900</xdr:colOff>
      <xdr:row>88</xdr:row>
      <xdr:rowOff>179382</xdr:rowOff>
    </xdr:to>
    <xdr:cxnSp macro="">
      <xdr:nvCxnSpPr>
        <xdr:cNvPr id="145" name="Gerader Verbinder 144">
          <a:extLst>
            <a:ext uri="{FF2B5EF4-FFF2-40B4-BE49-F238E27FC236}">
              <a16:creationId xmlns:a16="http://schemas.microsoft.com/office/drawing/2014/main" id="{181822FE-F81A-4AB0-9474-8304ED2B2F7B}"/>
            </a:ext>
          </a:extLst>
        </xdr:cNvPr>
        <xdr:cNvCxnSpPr/>
      </xdr:nvCxnSpPr>
      <xdr:spPr>
        <a:xfrm flipH="1" flipV="1">
          <a:off x="1482725" y="18086382"/>
          <a:ext cx="6861175" cy="1270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358775</xdr:colOff>
      <xdr:row>106</xdr:row>
      <xdr:rowOff>53289</xdr:rowOff>
    </xdr:from>
    <xdr:to>
      <xdr:col>2</xdr:col>
      <xdr:colOff>219084</xdr:colOff>
      <xdr:row>106</xdr:row>
      <xdr:rowOff>53289</xdr:rowOff>
    </xdr:to>
    <xdr:cxnSp macro="">
      <xdr:nvCxnSpPr>
        <xdr:cNvPr id="146" name="Gerader Verbinder 145">
          <a:extLst>
            <a:ext uri="{FF2B5EF4-FFF2-40B4-BE49-F238E27FC236}">
              <a16:creationId xmlns:a16="http://schemas.microsoft.com/office/drawing/2014/main" id="{E65F5531-835A-474F-A1B9-40CD568489D6}"/>
            </a:ext>
          </a:extLst>
        </xdr:cNvPr>
        <xdr:cNvCxnSpPr/>
      </xdr:nvCxnSpPr>
      <xdr:spPr>
        <a:xfrm flipH="1">
          <a:off x="1120775" y="21224189"/>
          <a:ext cx="619134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549729</xdr:colOff>
      <xdr:row>105</xdr:row>
      <xdr:rowOff>34694</xdr:rowOff>
    </xdr:from>
    <xdr:to>
      <xdr:col>2</xdr:col>
      <xdr:colOff>86179</xdr:colOff>
      <xdr:row>105</xdr:row>
      <xdr:rowOff>34694</xdr:rowOff>
    </xdr:to>
    <xdr:cxnSp macro="">
      <xdr:nvCxnSpPr>
        <xdr:cNvPr id="147" name="Gerader Verbinder 146">
          <a:extLst>
            <a:ext uri="{FF2B5EF4-FFF2-40B4-BE49-F238E27FC236}">
              <a16:creationId xmlns:a16="http://schemas.microsoft.com/office/drawing/2014/main" id="{C9F4872B-67B9-4B7C-8F79-F1C102821658}"/>
            </a:ext>
          </a:extLst>
        </xdr:cNvPr>
        <xdr:cNvCxnSpPr/>
      </xdr:nvCxnSpPr>
      <xdr:spPr>
        <a:xfrm flipH="1">
          <a:off x="1311729" y="21024619"/>
          <a:ext cx="295275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558800</xdr:colOff>
      <xdr:row>106</xdr:row>
      <xdr:rowOff>103182</xdr:rowOff>
    </xdr:from>
    <xdr:to>
      <xdr:col>2</xdr:col>
      <xdr:colOff>95250</xdr:colOff>
      <xdr:row>106</xdr:row>
      <xdr:rowOff>103182</xdr:rowOff>
    </xdr:to>
    <xdr:cxnSp macro="">
      <xdr:nvCxnSpPr>
        <xdr:cNvPr id="148" name="Gerader Verbinder 147">
          <a:extLst>
            <a:ext uri="{FF2B5EF4-FFF2-40B4-BE49-F238E27FC236}">
              <a16:creationId xmlns:a16="http://schemas.microsoft.com/office/drawing/2014/main" id="{30AA35CF-6F5D-4DA2-82AA-211DD76BE7C2}"/>
            </a:ext>
          </a:extLst>
        </xdr:cNvPr>
        <xdr:cNvCxnSpPr/>
      </xdr:nvCxnSpPr>
      <xdr:spPr>
        <a:xfrm flipH="1">
          <a:off x="1323975" y="21280432"/>
          <a:ext cx="295275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701675</xdr:colOff>
      <xdr:row>106</xdr:row>
      <xdr:rowOff>131757</xdr:rowOff>
    </xdr:from>
    <xdr:to>
      <xdr:col>1</xdr:col>
      <xdr:colOff>714375</xdr:colOff>
      <xdr:row>111</xdr:row>
      <xdr:rowOff>174625</xdr:rowOff>
    </xdr:to>
    <xdr:cxnSp macro="">
      <xdr:nvCxnSpPr>
        <xdr:cNvPr id="149" name="Gerader Verbinder 148">
          <a:extLst>
            <a:ext uri="{FF2B5EF4-FFF2-40B4-BE49-F238E27FC236}">
              <a16:creationId xmlns:a16="http://schemas.microsoft.com/office/drawing/2014/main" id="{E6B11A79-5F54-4CC3-8240-CC063668EF20}"/>
            </a:ext>
          </a:extLst>
        </xdr:cNvPr>
        <xdr:cNvCxnSpPr/>
      </xdr:nvCxnSpPr>
      <xdr:spPr>
        <a:xfrm>
          <a:off x="1463675" y="22150382"/>
          <a:ext cx="12700" cy="995368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726849</xdr:colOff>
      <xdr:row>100</xdr:row>
      <xdr:rowOff>258082</xdr:rowOff>
    </xdr:from>
    <xdr:to>
      <xdr:col>12</xdr:col>
      <xdr:colOff>674006</xdr:colOff>
      <xdr:row>100</xdr:row>
      <xdr:rowOff>273263</xdr:rowOff>
    </xdr:to>
    <xdr:cxnSp macro="">
      <xdr:nvCxnSpPr>
        <xdr:cNvPr id="151" name="Gerader Verbinder 150">
          <a:extLst>
            <a:ext uri="{FF2B5EF4-FFF2-40B4-BE49-F238E27FC236}">
              <a16:creationId xmlns:a16="http://schemas.microsoft.com/office/drawing/2014/main" id="{2A5F2E8A-8DC6-4A6A-B7A6-B7D2ABC5F127}"/>
            </a:ext>
          </a:extLst>
        </xdr:cNvPr>
        <xdr:cNvCxnSpPr>
          <a:stCxn id="154" idx="2"/>
          <a:endCxn id="153" idx="0"/>
        </xdr:cNvCxnSpPr>
      </xdr:nvCxnSpPr>
      <xdr:spPr>
        <a:xfrm flipH="1" flipV="1">
          <a:off x="8346849" y="22910264"/>
          <a:ext cx="1471157" cy="15181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95250</xdr:colOff>
      <xdr:row>88</xdr:row>
      <xdr:rowOff>127000</xdr:rowOff>
    </xdr:from>
    <xdr:to>
      <xdr:col>6</xdr:col>
      <xdr:colOff>234950</xdr:colOff>
      <xdr:row>89</xdr:row>
      <xdr:rowOff>38100</xdr:rowOff>
    </xdr:to>
    <xdr:sp macro="" textlink="">
      <xdr:nvSpPr>
        <xdr:cNvPr id="152" name="Ellipse 151">
          <a:extLst>
            <a:ext uri="{FF2B5EF4-FFF2-40B4-BE49-F238E27FC236}">
              <a16:creationId xmlns:a16="http://schemas.microsoft.com/office/drawing/2014/main" id="{2BFCD440-4F1D-4B26-B010-7349B0B9D6E7}"/>
            </a:ext>
          </a:extLst>
        </xdr:cNvPr>
        <xdr:cNvSpPr/>
      </xdr:nvSpPr>
      <xdr:spPr>
        <a:xfrm>
          <a:off x="4667250" y="18751550"/>
          <a:ext cx="139700" cy="107950"/>
        </a:xfrm>
        <a:prstGeom prst="ellipse">
          <a:avLst/>
        </a:prstGeom>
        <a:solidFill>
          <a:schemeClr val="tx1">
            <a:lumMod val="95000"/>
            <a:lumOff val="5000"/>
          </a:schemeClr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10</xdr:col>
      <xdr:colOff>678543</xdr:colOff>
      <xdr:row>100</xdr:row>
      <xdr:rowOff>261257</xdr:rowOff>
    </xdr:from>
    <xdr:to>
      <xdr:col>11</xdr:col>
      <xdr:colOff>16329</xdr:colOff>
      <xdr:row>101</xdr:row>
      <xdr:rowOff>66896</xdr:rowOff>
    </xdr:to>
    <xdr:sp macro="" textlink="">
      <xdr:nvSpPr>
        <xdr:cNvPr id="153" name="Ellipse 152">
          <a:extLst>
            <a:ext uri="{FF2B5EF4-FFF2-40B4-BE49-F238E27FC236}">
              <a16:creationId xmlns:a16="http://schemas.microsoft.com/office/drawing/2014/main" id="{41944E40-0241-426F-88A5-2743A8AD3611}"/>
            </a:ext>
          </a:extLst>
        </xdr:cNvPr>
        <xdr:cNvSpPr/>
      </xdr:nvSpPr>
      <xdr:spPr>
        <a:xfrm>
          <a:off x="8298543" y="22489886"/>
          <a:ext cx="99786" cy="137653"/>
        </a:xfrm>
        <a:prstGeom prst="ellipse">
          <a:avLst/>
        </a:prstGeom>
        <a:solidFill>
          <a:schemeClr val="tx1">
            <a:lumMod val="95000"/>
            <a:lumOff val="5000"/>
          </a:schemeClr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12</xdr:col>
      <xdr:colOff>670831</xdr:colOff>
      <xdr:row>100</xdr:row>
      <xdr:rowOff>210002</xdr:rowOff>
    </xdr:from>
    <xdr:to>
      <xdr:col>12</xdr:col>
      <xdr:colOff>743403</xdr:colOff>
      <xdr:row>101</xdr:row>
      <xdr:rowOff>4303</xdr:rowOff>
    </xdr:to>
    <xdr:sp macro="" textlink="">
      <xdr:nvSpPr>
        <xdr:cNvPr id="154" name="Ellipse 153">
          <a:extLst>
            <a:ext uri="{FF2B5EF4-FFF2-40B4-BE49-F238E27FC236}">
              <a16:creationId xmlns:a16="http://schemas.microsoft.com/office/drawing/2014/main" id="{2DD53F97-06F9-4309-BB3A-8F46914F70BC}"/>
            </a:ext>
          </a:extLst>
        </xdr:cNvPr>
        <xdr:cNvSpPr/>
      </xdr:nvSpPr>
      <xdr:spPr>
        <a:xfrm>
          <a:off x="9814831" y="22438631"/>
          <a:ext cx="72572" cy="126315"/>
        </a:xfrm>
        <a:prstGeom prst="ellipse">
          <a:avLst/>
        </a:prstGeom>
        <a:solidFill>
          <a:schemeClr val="tx1">
            <a:lumMod val="95000"/>
            <a:lumOff val="5000"/>
          </a:schemeClr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1</xdr:col>
      <xdr:colOff>388257</xdr:colOff>
      <xdr:row>104</xdr:row>
      <xdr:rowOff>169403</xdr:rowOff>
    </xdr:from>
    <xdr:to>
      <xdr:col>2</xdr:col>
      <xdr:colOff>248566</xdr:colOff>
      <xdr:row>104</xdr:row>
      <xdr:rowOff>178928</xdr:rowOff>
    </xdr:to>
    <xdr:cxnSp macro="">
      <xdr:nvCxnSpPr>
        <xdr:cNvPr id="158" name="Gerader Verbinder 157">
          <a:extLst>
            <a:ext uri="{FF2B5EF4-FFF2-40B4-BE49-F238E27FC236}">
              <a16:creationId xmlns:a16="http://schemas.microsoft.com/office/drawing/2014/main" id="{D3A4645F-56ED-495D-9594-AD493BE04380}"/>
            </a:ext>
          </a:extLst>
        </xdr:cNvPr>
        <xdr:cNvCxnSpPr/>
      </xdr:nvCxnSpPr>
      <xdr:spPr>
        <a:xfrm flipH="1">
          <a:off x="1153432" y="20981528"/>
          <a:ext cx="619134" cy="1270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706664</xdr:colOff>
      <xdr:row>105</xdr:row>
      <xdr:rowOff>25621</xdr:rowOff>
    </xdr:from>
    <xdr:to>
      <xdr:col>1</xdr:col>
      <xdr:colOff>711200</xdr:colOff>
      <xdr:row>106</xdr:row>
      <xdr:rowOff>73246</xdr:rowOff>
    </xdr:to>
    <xdr:cxnSp macro="">
      <xdr:nvCxnSpPr>
        <xdr:cNvPr id="159" name="Gerader Verbinder 158">
          <a:extLst>
            <a:ext uri="{FF2B5EF4-FFF2-40B4-BE49-F238E27FC236}">
              <a16:creationId xmlns:a16="http://schemas.microsoft.com/office/drawing/2014/main" id="{F04EA0E6-AB35-4F2A-BA9D-67B8CF441F13}"/>
            </a:ext>
          </a:extLst>
        </xdr:cNvPr>
        <xdr:cNvCxnSpPr/>
      </xdr:nvCxnSpPr>
      <xdr:spPr>
        <a:xfrm flipH="1">
          <a:off x="1468664" y="21021896"/>
          <a:ext cx="7711" cy="225425"/>
        </a:xfrm>
        <a:prstGeom prst="line">
          <a:avLst/>
        </a:prstGeom>
        <a:ln>
          <a:prstDash val="sysDash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656772</xdr:colOff>
      <xdr:row>88</xdr:row>
      <xdr:rowOff>97286</xdr:rowOff>
    </xdr:from>
    <xdr:to>
      <xdr:col>10</xdr:col>
      <xdr:colOff>752022</xdr:colOff>
      <xdr:row>89</xdr:row>
      <xdr:rowOff>52836</xdr:rowOff>
    </xdr:to>
    <xdr:sp macro="" textlink="">
      <xdr:nvSpPr>
        <xdr:cNvPr id="160" name="Ellipse 159">
          <a:extLst>
            <a:ext uri="{FF2B5EF4-FFF2-40B4-BE49-F238E27FC236}">
              <a16:creationId xmlns:a16="http://schemas.microsoft.com/office/drawing/2014/main" id="{B2F0D5CB-F8C3-40C2-ADD8-D9E1EB452909}"/>
            </a:ext>
          </a:extLst>
        </xdr:cNvPr>
        <xdr:cNvSpPr/>
      </xdr:nvSpPr>
      <xdr:spPr>
        <a:xfrm>
          <a:off x="8279947" y="18013811"/>
          <a:ext cx="95250" cy="133350"/>
        </a:xfrm>
        <a:prstGeom prst="ellipse">
          <a:avLst/>
        </a:prstGeom>
        <a:solidFill>
          <a:schemeClr val="tx1">
            <a:lumMod val="95000"/>
            <a:lumOff val="5000"/>
          </a:schemeClr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10</xdr:col>
      <xdr:colOff>520907</xdr:colOff>
      <xdr:row>89</xdr:row>
      <xdr:rowOff>27891</xdr:rowOff>
    </xdr:from>
    <xdr:to>
      <xdr:col>11</xdr:col>
      <xdr:colOff>214673</xdr:colOff>
      <xdr:row>101</xdr:row>
      <xdr:rowOff>42524</xdr:rowOff>
    </xdr:to>
    <xdr:grpSp>
      <xdr:nvGrpSpPr>
        <xdr:cNvPr id="161" name="Gruppieren 160">
          <a:extLst>
            <a:ext uri="{FF2B5EF4-FFF2-40B4-BE49-F238E27FC236}">
              <a16:creationId xmlns:a16="http://schemas.microsoft.com/office/drawing/2014/main" id="{B74431DE-8D5E-43E5-ADA6-24D7CAD55F4F}"/>
            </a:ext>
          </a:extLst>
        </xdr:cNvPr>
        <xdr:cNvGrpSpPr/>
      </xdr:nvGrpSpPr>
      <xdr:grpSpPr>
        <a:xfrm>
          <a:off x="8140907" y="26769329"/>
          <a:ext cx="455766" cy="3062633"/>
          <a:chOff x="8934450" y="3237320"/>
          <a:chExt cx="448997" cy="2214322"/>
        </a:xfrm>
      </xdr:grpSpPr>
      <xdr:sp macro="" textlink="">
        <xdr:nvSpPr>
          <xdr:cNvPr id="162" name="Rechteck 161">
            <a:extLst>
              <a:ext uri="{FF2B5EF4-FFF2-40B4-BE49-F238E27FC236}">
                <a16:creationId xmlns:a16="http://schemas.microsoft.com/office/drawing/2014/main" id="{952E1648-E0B0-B5FD-952E-D3ACFCC78FBE}"/>
              </a:ext>
            </a:extLst>
          </xdr:cNvPr>
          <xdr:cNvSpPr/>
        </xdr:nvSpPr>
        <xdr:spPr>
          <a:xfrm>
            <a:off x="8956675" y="3778250"/>
            <a:ext cx="371475" cy="1076325"/>
          </a:xfrm>
          <a:prstGeom prst="rect">
            <a:avLst/>
          </a:prstGeom>
          <a:noFill/>
          <a:ln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  <xdr:cxnSp macro="">
        <xdr:nvCxnSpPr>
          <xdr:cNvPr id="163" name="Gerader Verbinder 162">
            <a:extLst>
              <a:ext uri="{FF2B5EF4-FFF2-40B4-BE49-F238E27FC236}">
                <a16:creationId xmlns:a16="http://schemas.microsoft.com/office/drawing/2014/main" id="{9F6A15A8-BC82-B15A-3141-AC4BDEC0B391}"/>
              </a:ext>
            </a:extLst>
          </xdr:cNvPr>
          <xdr:cNvCxnSpPr>
            <a:stCxn id="160" idx="4"/>
            <a:endCxn id="162" idx="0"/>
          </xdr:cNvCxnSpPr>
        </xdr:nvCxnSpPr>
        <xdr:spPr>
          <a:xfrm flipH="1">
            <a:off x="9142412" y="3237320"/>
            <a:ext cx="2725" cy="540930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164" name="Gerader Verbinder 163">
            <a:extLst>
              <a:ext uri="{FF2B5EF4-FFF2-40B4-BE49-F238E27FC236}">
                <a16:creationId xmlns:a16="http://schemas.microsoft.com/office/drawing/2014/main" id="{69EEFAEE-B9BD-C7AC-B06E-BEF7AA59F286}"/>
              </a:ext>
            </a:extLst>
          </xdr:cNvPr>
          <xdr:cNvCxnSpPr>
            <a:stCxn id="162" idx="2"/>
          </xdr:cNvCxnSpPr>
        </xdr:nvCxnSpPr>
        <xdr:spPr>
          <a:xfrm>
            <a:off x="9142413" y="4854576"/>
            <a:ext cx="1587" cy="597066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165" name="Textfeld 164">
            <a:extLst>
              <a:ext uri="{FF2B5EF4-FFF2-40B4-BE49-F238E27FC236}">
                <a16:creationId xmlns:a16="http://schemas.microsoft.com/office/drawing/2014/main" id="{540D5752-C2A3-42CC-4D04-E740F8C4AAD1}"/>
              </a:ext>
            </a:extLst>
          </xdr:cNvPr>
          <xdr:cNvSpPr txBox="1"/>
        </xdr:nvSpPr>
        <xdr:spPr>
          <a:xfrm>
            <a:off x="8934450" y="4010025"/>
            <a:ext cx="448997" cy="37585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de-CH" sz="2400"/>
              <a:t>R</a:t>
            </a:r>
            <a:r>
              <a:rPr lang="de-CH" sz="2400" baseline="-25000"/>
              <a:t>6</a:t>
            </a:r>
          </a:p>
        </xdr:txBody>
      </xdr:sp>
    </xdr:grpSp>
    <xdr:clientData/>
  </xdr:twoCellAnchor>
  <xdr:twoCellAnchor>
    <xdr:from>
      <xdr:col>11</xdr:col>
      <xdr:colOff>148640</xdr:colOff>
      <xdr:row>140</xdr:row>
      <xdr:rowOff>104215</xdr:rowOff>
    </xdr:from>
    <xdr:to>
      <xdr:col>11</xdr:col>
      <xdr:colOff>554072</xdr:colOff>
      <xdr:row>153</xdr:row>
      <xdr:rowOff>37645</xdr:rowOff>
    </xdr:to>
    <xdr:grpSp>
      <xdr:nvGrpSpPr>
        <xdr:cNvPr id="166" name="Gruppieren 165">
          <a:extLst>
            <a:ext uri="{FF2B5EF4-FFF2-40B4-BE49-F238E27FC236}">
              <a16:creationId xmlns:a16="http://schemas.microsoft.com/office/drawing/2014/main" id="{DED18BFE-2598-4365-85C4-2DE46C73BC52}"/>
            </a:ext>
          </a:extLst>
        </xdr:cNvPr>
        <xdr:cNvGrpSpPr/>
      </xdr:nvGrpSpPr>
      <xdr:grpSpPr>
        <a:xfrm>
          <a:off x="8530640" y="36584965"/>
          <a:ext cx="405432" cy="3457680"/>
          <a:chOff x="8934017" y="3167408"/>
          <a:chExt cx="408386" cy="2284234"/>
        </a:xfrm>
      </xdr:grpSpPr>
      <xdr:sp macro="" textlink="">
        <xdr:nvSpPr>
          <xdr:cNvPr id="167" name="Rechteck 166">
            <a:extLst>
              <a:ext uri="{FF2B5EF4-FFF2-40B4-BE49-F238E27FC236}">
                <a16:creationId xmlns:a16="http://schemas.microsoft.com/office/drawing/2014/main" id="{B0F52602-9E9F-629D-F459-2430C13345CA}"/>
              </a:ext>
            </a:extLst>
          </xdr:cNvPr>
          <xdr:cNvSpPr/>
        </xdr:nvSpPr>
        <xdr:spPr>
          <a:xfrm>
            <a:off x="8959850" y="3778250"/>
            <a:ext cx="371475" cy="1076325"/>
          </a:xfrm>
          <a:prstGeom prst="rect">
            <a:avLst/>
          </a:prstGeom>
          <a:noFill/>
          <a:ln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  <xdr:cxnSp macro="">
        <xdr:nvCxnSpPr>
          <xdr:cNvPr id="168" name="Gerader Verbinder 167">
            <a:extLst>
              <a:ext uri="{FF2B5EF4-FFF2-40B4-BE49-F238E27FC236}">
                <a16:creationId xmlns:a16="http://schemas.microsoft.com/office/drawing/2014/main" id="{FFFC0E3A-A979-2081-3195-8E8D419F933B}"/>
              </a:ext>
            </a:extLst>
          </xdr:cNvPr>
          <xdr:cNvCxnSpPr>
            <a:stCxn id="195" idx="2"/>
            <a:endCxn id="167" idx="0"/>
          </xdr:cNvCxnSpPr>
        </xdr:nvCxnSpPr>
        <xdr:spPr>
          <a:xfrm>
            <a:off x="9137573" y="3167408"/>
            <a:ext cx="8014" cy="610842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169" name="Gerader Verbinder 168">
            <a:extLst>
              <a:ext uri="{FF2B5EF4-FFF2-40B4-BE49-F238E27FC236}">
                <a16:creationId xmlns:a16="http://schemas.microsoft.com/office/drawing/2014/main" id="{20643A44-C672-7B77-5DD5-011F68448A99}"/>
              </a:ext>
            </a:extLst>
          </xdr:cNvPr>
          <xdr:cNvCxnSpPr>
            <a:stCxn id="167" idx="2"/>
          </xdr:cNvCxnSpPr>
        </xdr:nvCxnSpPr>
        <xdr:spPr>
          <a:xfrm>
            <a:off x="9145588" y="4854576"/>
            <a:ext cx="1587" cy="597066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170" name="Textfeld 169">
            <a:extLst>
              <a:ext uri="{FF2B5EF4-FFF2-40B4-BE49-F238E27FC236}">
                <a16:creationId xmlns:a16="http://schemas.microsoft.com/office/drawing/2014/main" id="{FDC7320A-E1C8-BCBB-D8DB-BD3E005C95E1}"/>
              </a:ext>
            </a:extLst>
          </xdr:cNvPr>
          <xdr:cNvSpPr txBox="1"/>
        </xdr:nvSpPr>
        <xdr:spPr>
          <a:xfrm rot="5400000">
            <a:off x="8796809" y="4010254"/>
            <a:ext cx="682801" cy="40838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de-CH" sz="2000"/>
              <a:t>R</a:t>
            </a:r>
            <a:r>
              <a:rPr lang="de-CH" sz="2000" baseline="-25000"/>
              <a:t>12345</a:t>
            </a:r>
          </a:p>
        </xdr:txBody>
      </xdr:sp>
    </xdr:grpSp>
    <xdr:clientData/>
  </xdr:twoCellAnchor>
  <xdr:twoCellAnchor>
    <xdr:from>
      <xdr:col>6</xdr:col>
      <xdr:colOff>163983</xdr:colOff>
      <xdr:row>131</xdr:row>
      <xdr:rowOff>102641</xdr:rowOff>
    </xdr:from>
    <xdr:to>
      <xdr:col>6</xdr:col>
      <xdr:colOff>563065</xdr:colOff>
      <xdr:row>153</xdr:row>
      <xdr:rowOff>117156</xdr:rowOff>
    </xdr:to>
    <xdr:grpSp>
      <xdr:nvGrpSpPr>
        <xdr:cNvPr id="171" name="Gruppieren 170">
          <a:extLst>
            <a:ext uri="{FF2B5EF4-FFF2-40B4-BE49-F238E27FC236}">
              <a16:creationId xmlns:a16="http://schemas.microsoft.com/office/drawing/2014/main" id="{1220E730-6CB8-407E-8AE4-53CA8BA18EBB}"/>
            </a:ext>
          </a:extLst>
        </xdr:cNvPr>
        <xdr:cNvGrpSpPr/>
      </xdr:nvGrpSpPr>
      <xdr:grpSpPr>
        <a:xfrm>
          <a:off x="4735983" y="33987829"/>
          <a:ext cx="399082" cy="6134327"/>
          <a:chOff x="8947344" y="3293238"/>
          <a:chExt cx="410723" cy="3638269"/>
        </a:xfrm>
      </xdr:grpSpPr>
      <xdr:sp macro="" textlink="">
        <xdr:nvSpPr>
          <xdr:cNvPr id="172" name="Rechteck 171">
            <a:extLst>
              <a:ext uri="{FF2B5EF4-FFF2-40B4-BE49-F238E27FC236}">
                <a16:creationId xmlns:a16="http://schemas.microsoft.com/office/drawing/2014/main" id="{6294B1EB-5BD0-F2C2-09A1-5ECCB359C752}"/>
              </a:ext>
            </a:extLst>
          </xdr:cNvPr>
          <xdr:cNvSpPr/>
        </xdr:nvSpPr>
        <xdr:spPr>
          <a:xfrm>
            <a:off x="8959850" y="3778250"/>
            <a:ext cx="371475" cy="1076325"/>
          </a:xfrm>
          <a:prstGeom prst="rect">
            <a:avLst/>
          </a:prstGeom>
          <a:noFill/>
          <a:ln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  <xdr:cxnSp macro="">
        <xdr:nvCxnSpPr>
          <xdr:cNvPr id="173" name="Gerader Verbinder 172">
            <a:extLst>
              <a:ext uri="{FF2B5EF4-FFF2-40B4-BE49-F238E27FC236}">
                <a16:creationId xmlns:a16="http://schemas.microsoft.com/office/drawing/2014/main" id="{4EEF60C1-7703-0D8E-4BBA-DC9E7C703790}"/>
              </a:ext>
            </a:extLst>
          </xdr:cNvPr>
          <xdr:cNvCxnSpPr>
            <a:stCxn id="187" idx="4"/>
            <a:endCxn id="172" idx="0"/>
          </xdr:cNvCxnSpPr>
        </xdr:nvCxnSpPr>
        <xdr:spPr>
          <a:xfrm>
            <a:off x="9138015" y="3293238"/>
            <a:ext cx="7573" cy="485013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174" name="Gerader Verbinder 173">
            <a:extLst>
              <a:ext uri="{FF2B5EF4-FFF2-40B4-BE49-F238E27FC236}">
                <a16:creationId xmlns:a16="http://schemas.microsoft.com/office/drawing/2014/main" id="{31DD2C80-B851-7A4B-0B05-09752D0BCB6F}"/>
              </a:ext>
            </a:extLst>
          </xdr:cNvPr>
          <xdr:cNvCxnSpPr>
            <a:stCxn id="172" idx="2"/>
            <a:endCxn id="189" idx="4"/>
          </xdr:cNvCxnSpPr>
        </xdr:nvCxnSpPr>
        <xdr:spPr>
          <a:xfrm>
            <a:off x="9145588" y="4854576"/>
            <a:ext cx="5498" cy="2076931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175" name="Textfeld 174">
            <a:extLst>
              <a:ext uri="{FF2B5EF4-FFF2-40B4-BE49-F238E27FC236}">
                <a16:creationId xmlns:a16="http://schemas.microsoft.com/office/drawing/2014/main" id="{C3AFFFE3-FF50-58F5-F51A-B605EC30DD19}"/>
              </a:ext>
            </a:extLst>
          </xdr:cNvPr>
          <xdr:cNvSpPr txBox="1"/>
        </xdr:nvSpPr>
        <xdr:spPr>
          <a:xfrm rot="5400000">
            <a:off x="8886648" y="3924984"/>
            <a:ext cx="532116" cy="410723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de-CH" sz="2000"/>
              <a:t>R</a:t>
            </a:r>
            <a:r>
              <a:rPr lang="de-CH" sz="2000" baseline="-25000"/>
              <a:t>789</a:t>
            </a:r>
          </a:p>
        </xdr:txBody>
      </xdr:sp>
    </xdr:grpSp>
    <xdr:clientData/>
  </xdr:twoCellAnchor>
  <xdr:twoCellAnchor>
    <xdr:from>
      <xdr:col>2</xdr:col>
      <xdr:colOff>183832</xdr:colOff>
      <xdr:row>131</xdr:row>
      <xdr:rowOff>69396</xdr:rowOff>
    </xdr:from>
    <xdr:to>
      <xdr:col>2</xdr:col>
      <xdr:colOff>595008</xdr:colOff>
      <xdr:row>147</xdr:row>
      <xdr:rowOff>68943</xdr:rowOff>
    </xdr:to>
    <xdr:grpSp>
      <xdr:nvGrpSpPr>
        <xdr:cNvPr id="176" name="Gruppieren 175">
          <a:extLst>
            <a:ext uri="{FF2B5EF4-FFF2-40B4-BE49-F238E27FC236}">
              <a16:creationId xmlns:a16="http://schemas.microsoft.com/office/drawing/2014/main" id="{C46ACBA1-51A8-4F3D-A14F-F2BB06C039D9}"/>
            </a:ext>
          </a:extLst>
        </xdr:cNvPr>
        <xdr:cNvGrpSpPr/>
      </xdr:nvGrpSpPr>
      <xdr:grpSpPr>
        <a:xfrm>
          <a:off x="1707832" y="33954584"/>
          <a:ext cx="411176" cy="4976359"/>
          <a:chOff x="8959850" y="3254331"/>
          <a:chExt cx="416653" cy="3010540"/>
        </a:xfrm>
      </xdr:grpSpPr>
      <xdr:sp macro="" textlink="">
        <xdr:nvSpPr>
          <xdr:cNvPr id="177" name="Rechteck 176">
            <a:extLst>
              <a:ext uri="{FF2B5EF4-FFF2-40B4-BE49-F238E27FC236}">
                <a16:creationId xmlns:a16="http://schemas.microsoft.com/office/drawing/2014/main" id="{F41F6980-6838-F3F5-1A80-5CA10B535EE8}"/>
              </a:ext>
            </a:extLst>
          </xdr:cNvPr>
          <xdr:cNvSpPr/>
        </xdr:nvSpPr>
        <xdr:spPr>
          <a:xfrm>
            <a:off x="8959850" y="3778250"/>
            <a:ext cx="371475" cy="1076325"/>
          </a:xfrm>
          <a:prstGeom prst="rect">
            <a:avLst/>
          </a:prstGeom>
          <a:noFill/>
          <a:ln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  <xdr:cxnSp macro="">
        <xdr:nvCxnSpPr>
          <xdr:cNvPr id="178" name="Gerader Verbinder 177">
            <a:extLst>
              <a:ext uri="{FF2B5EF4-FFF2-40B4-BE49-F238E27FC236}">
                <a16:creationId xmlns:a16="http://schemas.microsoft.com/office/drawing/2014/main" id="{1D0E69A8-D0E3-D2DC-8AA7-887CCB2532BD}"/>
              </a:ext>
            </a:extLst>
          </xdr:cNvPr>
          <xdr:cNvCxnSpPr>
            <a:endCxn id="177" idx="0"/>
          </xdr:cNvCxnSpPr>
        </xdr:nvCxnSpPr>
        <xdr:spPr>
          <a:xfrm flipH="1">
            <a:off x="9145588" y="3254331"/>
            <a:ext cx="1587" cy="523919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179" name="Gerader Verbinder 178">
            <a:extLst>
              <a:ext uri="{FF2B5EF4-FFF2-40B4-BE49-F238E27FC236}">
                <a16:creationId xmlns:a16="http://schemas.microsoft.com/office/drawing/2014/main" id="{B60F6529-C57E-873A-A659-224199F025C9}"/>
              </a:ext>
            </a:extLst>
          </xdr:cNvPr>
          <xdr:cNvCxnSpPr>
            <a:stCxn id="177" idx="2"/>
          </xdr:cNvCxnSpPr>
        </xdr:nvCxnSpPr>
        <xdr:spPr>
          <a:xfrm flipH="1">
            <a:off x="9134165" y="4854575"/>
            <a:ext cx="11423" cy="1410296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180" name="Textfeld 179">
            <a:extLst>
              <a:ext uri="{FF2B5EF4-FFF2-40B4-BE49-F238E27FC236}">
                <a16:creationId xmlns:a16="http://schemas.microsoft.com/office/drawing/2014/main" id="{35F87FAA-71BA-6207-01FB-6A61BB8627B2}"/>
              </a:ext>
            </a:extLst>
          </xdr:cNvPr>
          <xdr:cNvSpPr txBox="1"/>
        </xdr:nvSpPr>
        <xdr:spPr>
          <a:xfrm rot="5400000">
            <a:off x="8937147" y="3982563"/>
            <a:ext cx="467880" cy="410833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de-CH" sz="2000"/>
              <a:t>R</a:t>
            </a:r>
            <a:r>
              <a:rPr lang="de-CH" sz="2000" baseline="-25000"/>
              <a:t>10</a:t>
            </a:r>
          </a:p>
        </xdr:txBody>
      </xdr:sp>
    </xdr:grpSp>
    <xdr:clientData/>
  </xdr:twoCellAnchor>
  <xdr:twoCellAnchor>
    <xdr:from>
      <xdr:col>2</xdr:col>
      <xdr:colOff>361950</xdr:colOff>
      <xdr:row>131</xdr:row>
      <xdr:rowOff>72571</xdr:rowOff>
    </xdr:from>
    <xdr:to>
      <xdr:col>11</xdr:col>
      <xdr:colOff>365125</xdr:colOff>
      <xdr:row>131</xdr:row>
      <xdr:rowOff>88446</xdr:rowOff>
    </xdr:to>
    <xdr:cxnSp macro="">
      <xdr:nvCxnSpPr>
        <xdr:cNvPr id="181" name="Gerader Verbinder 180">
          <a:extLst>
            <a:ext uri="{FF2B5EF4-FFF2-40B4-BE49-F238E27FC236}">
              <a16:creationId xmlns:a16="http://schemas.microsoft.com/office/drawing/2014/main" id="{0882CC81-FE2F-43BC-AC2C-13C9BE654A11}"/>
            </a:ext>
          </a:extLst>
        </xdr:cNvPr>
        <xdr:cNvCxnSpPr/>
      </xdr:nvCxnSpPr>
      <xdr:spPr>
        <a:xfrm flipH="1" flipV="1">
          <a:off x="1885950" y="27758571"/>
          <a:ext cx="6864350" cy="158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148</xdr:row>
      <xdr:rowOff>128947</xdr:rowOff>
    </xdr:from>
    <xdr:to>
      <xdr:col>2</xdr:col>
      <xdr:colOff>622309</xdr:colOff>
      <xdr:row>148</xdr:row>
      <xdr:rowOff>128947</xdr:rowOff>
    </xdr:to>
    <xdr:cxnSp macro="">
      <xdr:nvCxnSpPr>
        <xdr:cNvPr id="182" name="Gerader Verbinder 181">
          <a:extLst>
            <a:ext uri="{FF2B5EF4-FFF2-40B4-BE49-F238E27FC236}">
              <a16:creationId xmlns:a16="http://schemas.microsoft.com/office/drawing/2014/main" id="{2BE0C322-B753-48A3-AB48-8D377290B5B8}"/>
            </a:ext>
          </a:extLst>
        </xdr:cNvPr>
        <xdr:cNvCxnSpPr/>
      </xdr:nvCxnSpPr>
      <xdr:spPr>
        <a:xfrm flipH="1">
          <a:off x="1524000" y="30891522"/>
          <a:ext cx="619134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190954</xdr:colOff>
      <xdr:row>147</xdr:row>
      <xdr:rowOff>110352</xdr:rowOff>
    </xdr:from>
    <xdr:to>
      <xdr:col>2</xdr:col>
      <xdr:colOff>489404</xdr:colOff>
      <xdr:row>147</xdr:row>
      <xdr:rowOff>110352</xdr:rowOff>
    </xdr:to>
    <xdr:cxnSp macro="">
      <xdr:nvCxnSpPr>
        <xdr:cNvPr id="183" name="Gerader Verbinder 182">
          <a:extLst>
            <a:ext uri="{FF2B5EF4-FFF2-40B4-BE49-F238E27FC236}">
              <a16:creationId xmlns:a16="http://schemas.microsoft.com/office/drawing/2014/main" id="{38B2D312-D868-47FD-BD05-623B6FA73D85}"/>
            </a:ext>
          </a:extLst>
        </xdr:cNvPr>
        <xdr:cNvCxnSpPr/>
      </xdr:nvCxnSpPr>
      <xdr:spPr>
        <a:xfrm flipH="1">
          <a:off x="1714954" y="30691952"/>
          <a:ext cx="295275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200025</xdr:colOff>
      <xdr:row>149</xdr:row>
      <xdr:rowOff>5896</xdr:rowOff>
    </xdr:from>
    <xdr:to>
      <xdr:col>2</xdr:col>
      <xdr:colOff>498475</xdr:colOff>
      <xdr:row>149</xdr:row>
      <xdr:rowOff>5896</xdr:rowOff>
    </xdr:to>
    <xdr:cxnSp macro="">
      <xdr:nvCxnSpPr>
        <xdr:cNvPr id="184" name="Gerader Verbinder 183">
          <a:extLst>
            <a:ext uri="{FF2B5EF4-FFF2-40B4-BE49-F238E27FC236}">
              <a16:creationId xmlns:a16="http://schemas.microsoft.com/office/drawing/2014/main" id="{CA232F66-062D-4968-A272-F06CEEC63614}"/>
            </a:ext>
          </a:extLst>
        </xdr:cNvPr>
        <xdr:cNvCxnSpPr/>
      </xdr:nvCxnSpPr>
      <xdr:spPr>
        <a:xfrm flipH="1">
          <a:off x="1720850" y="30955796"/>
          <a:ext cx="304800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333375</xdr:colOff>
      <xdr:row>149</xdr:row>
      <xdr:rowOff>31296</xdr:rowOff>
    </xdr:from>
    <xdr:to>
      <xdr:col>2</xdr:col>
      <xdr:colOff>342900</xdr:colOff>
      <xdr:row>153</xdr:row>
      <xdr:rowOff>76200</xdr:rowOff>
    </xdr:to>
    <xdr:cxnSp macro="">
      <xdr:nvCxnSpPr>
        <xdr:cNvPr id="185" name="Gerader Verbinder 184">
          <a:extLst>
            <a:ext uri="{FF2B5EF4-FFF2-40B4-BE49-F238E27FC236}">
              <a16:creationId xmlns:a16="http://schemas.microsoft.com/office/drawing/2014/main" id="{7FA9236D-5E45-43D6-9D89-6BD7624E7ABB}"/>
            </a:ext>
          </a:extLst>
        </xdr:cNvPr>
        <xdr:cNvCxnSpPr/>
      </xdr:nvCxnSpPr>
      <xdr:spPr>
        <a:xfrm flipH="1">
          <a:off x="1857375" y="31530471"/>
          <a:ext cx="9525" cy="845004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342900</xdr:colOff>
      <xdr:row>153</xdr:row>
      <xdr:rowOff>50346</xdr:rowOff>
    </xdr:from>
    <xdr:to>
      <xdr:col>11</xdr:col>
      <xdr:colOff>402771</xdr:colOff>
      <xdr:row>153</xdr:row>
      <xdr:rowOff>65835</xdr:rowOff>
    </xdr:to>
    <xdr:cxnSp macro="">
      <xdr:nvCxnSpPr>
        <xdr:cNvPr id="186" name="Gerader Verbinder 185">
          <a:extLst>
            <a:ext uri="{FF2B5EF4-FFF2-40B4-BE49-F238E27FC236}">
              <a16:creationId xmlns:a16="http://schemas.microsoft.com/office/drawing/2014/main" id="{55F5153A-F1F6-4A1E-A247-9128DA598938}"/>
            </a:ext>
          </a:extLst>
        </xdr:cNvPr>
        <xdr:cNvCxnSpPr>
          <a:stCxn id="190" idx="6"/>
        </xdr:cNvCxnSpPr>
      </xdr:nvCxnSpPr>
      <xdr:spPr>
        <a:xfrm flipH="1" flipV="1">
          <a:off x="1866900" y="32349621"/>
          <a:ext cx="6917871" cy="15489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314325</xdr:colOff>
      <xdr:row>131</xdr:row>
      <xdr:rowOff>5896</xdr:rowOff>
    </xdr:from>
    <xdr:to>
      <xdr:col>6</xdr:col>
      <xdr:colOff>409575</xdr:colOff>
      <xdr:row>131</xdr:row>
      <xdr:rowOff>108990</xdr:rowOff>
    </xdr:to>
    <xdr:sp macro="" textlink="">
      <xdr:nvSpPr>
        <xdr:cNvPr id="187" name="Ellipse 186">
          <a:extLst>
            <a:ext uri="{FF2B5EF4-FFF2-40B4-BE49-F238E27FC236}">
              <a16:creationId xmlns:a16="http://schemas.microsoft.com/office/drawing/2014/main" id="{A5C8B922-181F-4467-A014-82AB5E7D788B}"/>
            </a:ext>
          </a:extLst>
        </xdr:cNvPr>
        <xdr:cNvSpPr/>
      </xdr:nvSpPr>
      <xdr:spPr>
        <a:xfrm>
          <a:off x="4883150" y="27698246"/>
          <a:ext cx="95250" cy="96744"/>
        </a:xfrm>
        <a:prstGeom prst="ellipse">
          <a:avLst/>
        </a:prstGeom>
        <a:solidFill>
          <a:schemeClr val="tx1">
            <a:lumMod val="95000"/>
            <a:lumOff val="5000"/>
          </a:schemeClr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6</xdr:col>
      <xdr:colOff>323850</xdr:colOff>
      <xdr:row>153</xdr:row>
      <xdr:rowOff>26761</xdr:rowOff>
    </xdr:from>
    <xdr:to>
      <xdr:col>6</xdr:col>
      <xdr:colOff>419100</xdr:colOff>
      <xdr:row>153</xdr:row>
      <xdr:rowOff>117155</xdr:rowOff>
    </xdr:to>
    <xdr:sp macro="" textlink="">
      <xdr:nvSpPr>
        <xdr:cNvPr id="189" name="Ellipse 188">
          <a:extLst>
            <a:ext uri="{FF2B5EF4-FFF2-40B4-BE49-F238E27FC236}">
              <a16:creationId xmlns:a16="http://schemas.microsoft.com/office/drawing/2014/main" id="{36AFEAA0-DE57-4CCD-9170-A64F0F8461DA}"/>
            </a:ext>
          </a:extLst>
        </xdr:cNvPr>
        <xdr:cNvSpPr/>
      </xdr:nvSpPr>
      <xdr:spPr>
        <a:xfrm>
          <a:off x="4895850" y="32326036"/>
          <a:ext cx="95250" cy="90394"/>
        </a:xfrm>
        <a:prstGeom prst="ellipse">
          <a:avLst/>
        </a:prstGeom>
        <a:solidFill>
          <a:schemeClr val="tx1">
            <a:lumMod val="95000"/>
            <a:lumOff val="5000"/>
          </a:schemeClr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11</xdr:col>
      <xdr:colOff>304346</xdr:colOff>
      <xdr:row>153</xdr:row>
      <xdr:rowOff>19050</xdr:rowOff>
    </xdr:from>
    <xdr:to>
      <xdr:col>11</xdr:col>
      <xdr:colOff>399596</xdr:colOff>
      <xdr:row>153</xdr:row>
      <xdr:rowOff>106269</xdr:rowOff>
    </xdr:to>
    <xdr:sp macro="" textlink="">
      <xdr:nvSpPr>
        <xdr:cNvPr id="190" name="Ellipse 189">
          <a:extLst>
            <a:ext uri="{FF2B5EF4-FFF2-40B4-BE49-F238E27FC236}">
              <a16:creationId xmlns:a16="http://schemas.microsoft.com/office/drawing/2014/main" id="{10DC8C68-7B25-4517-859F-D847D195EFBF}"/>
            </a:ext>
          </a:extLst>
        </xdr:cNvPr>
        <xdr:cNvSpPr/>
      </xdr:nvSpPr>
      <xdr:spPr>
        <a:xfrm>
          <a:off x="8686346" y="32318325"/>
          <a:ext cx="95250" cy="87219"/>
        </a:xfrm>
        <a:prstGeom prst="ellipse">
          <a:avLst/>
        </a:prstGeom>
        <a:solidFill>
          <a:schemeClr val="tx1">
            <a:lumMod val="95000"/>
            <a:lumOff val="5000"/>
          </a:schemeClr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29308</xdr:colOff>
      <xdr:row>147</xdr:row>
      <xdr:rowOff>68942</xdr:rowOff>
    </xdr:from>
    <xdr:to>
      <xdr:col>2</xdr:col>
      <xdr:colOff>654966</xdr:colOff>
      <xdr:row>147</xdr:row>
      <xdr:rowOff>73269</xdr:rowOff>
    </xdr:to>
    <xdr:cxnSp macro="">
      <xdr:nvCxnSpPr>
        <xdr:cNvPr id="191" name="Gerader Verbinder 190">
          <a:extLst>
            <a:ext uri="{FF2B5EF4-FFF2-40B4-BE49-F238E27FC236}">
              <a16:creationId xmlns:a16="http://schemas.microsoft.com/office/drawing/2014/main" id="{D359FF8A-3BCF-40CD-A286-FBEB106141E3}"/>
            </a:ext>
          </a:extLst>
        </xdr:cNvPr>
        <xdr:cNvCxnSpPr/>
      </xdr:nvCxnSpPr>
      <xdr:spPr>
        <a:xfrm flipH="1">
          <a:off x="1550133" y="30650542"/>
          <a:ext cx="632008" cy="7502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347889</xdr:colOff>
      <xdr:row>147</xdr:row>
      <xdr:rowOff>107629</xdr:rowOff>
    </xdr:from>
    <xdr:to>
      <xdr:col>2</xdr:col>
      <xdr:colOff>352425</xdr:colOff>
      <xdr:row>148</xdr:row>
      <xdr:rowOff>155254</xdr:rowOff>
    </xdr:to>
    <xdr:cxnSp macro="">
      <xdr:nvCxnSpPr>
        <xdr:cNvPr id="192" name="Gerader Verbinder 191">
          <a:extLst>
            <a:ext uri="{FF2B5EF4-FFF2-40B4-BE49-F238E27FC236}">
              <a16:creationId xmlns:a16="http://schemas.microsoft.com/office/drawing/2014/main" id="{6F854997-B5DA-4CE4-BFF8-CB4FB967F1C1}"/>
            </a:ext>
          </a:extLst>
        </xdr:cNvPr>
        <xdr:cNvCxnSpPr/>
      </xdr:nvCxnSpPr>
      <xdr:spPr>
        <a:xfrm flipH="1">
          <a:off x="1875064" y="30689229"/>
          <a:ext cx="0" cy="231775"/>
        </a:xfrm>
        <a:prstGeom prst="line">
          <a:avLst/>
        </a:prstGeom>
        <a:ln>
          <a:prstDash val="sysDash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297997</xdr:colOff>
      <xdr:row>131</xdr:row>
      <xdr:rowOff>0</xdr:rowOff>
    </xdr:from>
    <xdr:to>
      <xdr:col>11</xdr:col>
      <xdr:colOff>393247</xdr:colOff>
      <xdr:row>131</xdr:row>
      <xdr:rowOff>128494</xdr:rowOff>
    </xdr:to>
    <xdr:sp macro="" textlink="">
      <xdr:nvSpPr>
        <xdr:cNvPr id="193" name="Ellipse 192">
          <a:extLst>
            <a:ext uri="{FF2B5EF4-FFF2-40B4-BE49-F238E27FC236}">
              <a16:creationId xmlns:a16="http://schemas.microsoft.com/office/drawing/2014/main" id="{6C1AB6AD-1650-4BD6-BFD9-AE2763BC9FAE}"/>
            </a:ext>
          </a:extLst>
        </xdr:cNvPr>
        <xdr:cNvSpPr/>
      </xdr:nvSpPr>
      <xdr:spPr>
        <a:xfrm>
          <a:off x="8676822" y="27689175"/>
          <a:ext cx="95250" cy="125319"/>
        </a:xfrm>
        <a:prstGeom prst="ellipse">
          <a:avLst/>
        </a:prstGeom>
        <a:solidFill>
          <a:schemeClr val="tx1">
            <a:lumMod val="95000"/>
            <a:lumOff val="5000"/>
          </a:schemeClr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11</xdr:col>
      <xdr:colOff>127874</xdr:colOff>
      <xdr:row>131</xdr:row>
      <xdr:rowOff>131669</xdr:rowOff>
    </xdr:from>
    <xdr:to>
      <xdr:col>11</xdr:col>
      <xdr:colOff>534566</xdr:colOff>
      <xdr:row>140</xdr:row>
      <xdr:rowOff>101896</xdr:rowOff>
    </xdr:to>
    <xdr:grpSp>
      <xdr:nvGrpSpPr>
        <xdr:cNvPr id="194" name="Gruppieren 193">
          <a:extLst>
            <a:ext uri="{FF2B5EF4-FFF2-40B4-BE49-F238E27FC236}">
              <a16:creationId xmlns:a16="http://schemas.microsoft.com/office/drawing/2014/main" id="{E306F9A4-271B-4656-A060-A29BBC3FA228}"/>
            </a:ext>
          </a:extLst>
        </xdr:cNvPr>
        <xdr:cNvGrpSpPr/>
      </xdr:nvGrpSpPr>
      <xdr:grpSpPr>
        <a:xfrm>
          <a:off x="8509874" y="34016857"/>
          <a:ext cx="406692" cy="2565789"/>
          <a:chOff x="8924231" y="3237320"/>
          <a:chExt cx="403919" cy="1617255"/>
        </a:xfrm>
      </xdr:grpSpPr>
      <xdr:sp macro="" textlink="">
        <xdr:nvSpPr>
          <xdr:cNvPr id="195" name="Rechteck 194">
            <a:extLst>
              <a:ext uri="{FF2B5EF4-FFF2-40B4-BE49-F238E27FC236}">
                <a16:creationId xmlns:a16="http://schemas.microsoft.com/office/drawing/2014/main" id="{A8F7CA95-0034-13CE-A862-0D2D43664E79}"/>
              </a:ext>
            </a:extLst>
          </xdr:cNvPr>
          <xdr:cNvSpPr/>
        </xdr:nvSpPr>
        <xdr:spPr>
          <a:xfrm>
            <a:off x="8956675" y="3778250"/>
            <a:ext cx="371475" cy="1076325"/>
          </a:xfrm>
          <a:prstGeom prst="rect">
            <a:avLst/>
          </a:prstGeom>
          <a:noFill/>
          <a:ln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  <xdr:cxnSp macro="">
        <xdr:nvCxnSpPr>
          <xdr:cNvPr id="196" name="Gerader Verbinder 195">
            <a:extLst>
              <a:ext uri="{FF2B5EF4-FFF2-40B4-BE49-F238E27FC236}">
                <a16:creationId xmlns:a16="http://schemas.microsoft.com/office/drawing/2014/main" id="{9BEB0025-BEDF-112E-D29B-3EE27A39E6D6}"/>
              </a:ext>
            </a:extLst>
          </xdr:cNvPr>
          <xdr:cNvCxnSpPr>
            <a:stCxn id="193" idx="4"/>
            <a:endCxn id="195" idx="0"/>
          </xdr:cNvCxnSpPr>
        </xdr:nvCxnSpPr>
        <xdr:spPr>
          <a:xfrm flipH="1">
            <a:off x="9142412" y="3237320"/>
            <a:ext cx="2725" cy="540930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198" name="Textfeld 197">
            <a:extLst>
              <a:ext uri="{FF2B5EF4-FFF2-40B4-BE49-F238E27FC236}">
                <a16:creationId xmlns:a16="http://schemas.microsoft.com/office/drawing/2014/main" id="{CED70750-9D26-F5FE-60DA-1D62C5107283}"/>
              </a:ext>
            </a:extLst>
          </xdr:cNvPr>
          <xdr:cNvSpPr txBox="1"/>
        </xdr:nvSpPr>
        <xdr:spPr>
          <a:xfrm rot="5400000">
            <a:off x="8938018" y="3980913"/>
            <a:ext cx="375094" cy="4026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de-CH" sz="2000"/>
              <a:t>R</a:t>
            </a:r>
            <a:r>
              <a:rPr lang="de-CH" sz="2000" baseline="-25000"/>
              <a:t>6</a:t>
            </a:r>
          </a:p>
        </xdr:txBody>
      </xdr:sp>
    </xdr:grpSp>
    <xdr:clientData/>
  </xdr:twoCellAnchor>
  <xdr:twoCellAnchor>
    <xdr:from>
      <xdr:col>7</xdr:col>
      <xdr:colOff>614080</xdr:colOff>
      <xdr:row>171</xdr:row>
      <xdr:rowOff>105476</xdr:rowOff>
    </xdr:from>
    <xdr:to>
      <xdr:col>8</xdr:col>
      <xdr:colOff>328974</xdr:colOff>
      <xdr:row>191</xdr:row>
      <xdr:rowOff>120651</xdr:rowOff>
    </xdr:to>
    <xdr:grpSp>
      <xdr:nvGrpSpPr>
        <xdr:cNvPr id="199" name="Gruppieren 198">
          <a:extLst>
            <a:ext uri="{FF2B5EF4-FFF2-40B4-BE49-F238E27FC236}">
              <a16:creationId xmlns:a16="http://schemas.microsoft.com/office/drawing/2014/main" id="{F995D911-EDA8-4888-87BE-87FD6AC5D704}"/>
            </a:ext>
          </a:extLst>
        </xdr:cNvPr>
        <xdr:cNvGrpSpPr/>
      </xdr:nvGrpSpPr>
      <xdr:grpSpPr>
        <a:xfrm>
          <a:off x="5948080" y="41824976"/>
          <a:ext cx="476894" cy="5301550"/>
          <a:chOff x="8959850" y="3318320"/>
          <a:chExt cx="465916" cy="4346414"/>
        </a:xfrm>
      </xdr:grpSpPr>
      <xdr:sp macro="" textlink="">
        <xdr:nvSpPr>
          <xdr:cNvPr id="200" name="Rechteck 199">
            <a:extLst>
              <a:ext uri="{FF2B5EF4-FFF2-40B4-BE49-F238E27FC236}">
                <a16:creationId xmlns:a16="http://schemas.microsoft.com/office/drawing/2014/main" id="{D2F77EA9-22DC-40AF-295D-36B9DAD475C8}"/>
              </a:ext>
            </a:extLst>
          </xdr:cNvPr>
          <xdr:cNvSpPr/>
        </xdr:nvSpPr>
        <xdr:spPr>
          <a:xfrm>
            <a:off x="8959850" y="3778250"/>
            <a:ext cx="371475" cy="1076325"/>
          </a:xfrm>
          <a:prstGeom prst="rect">
            <a:avLst/>
          </a:prstGeom>
          <a:noFill/>
          <a:ln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  <xdr:cxnSp macro="">
        <xdr:nvCxnSpPr>
          <xdr:cNvPr id="201" name="Gerader Verbinder 200">
            <a:extLst>
              <a:ext uri="{FF2B5EF4-FFF2-40B4-BE49-F238E27FC236}">
                <a16:creationId xmlns:a16="http://schemas.microsoft.com/office/drawing/2014/main" id="{31A0BA4A-9D66-D66F-1846-34261AAA51C0}"/>
              </a:ext>
            </a:extLst>
          </xdr:cNvPr>
          <xdr:cNvCxnSpPr>
            <a:stCxn id="224" idx="4"/>
            <a:endCxn id="200" idx="0"/>
          </xdr:cNvCxnSpPr>
        </xdr:nvCxnSpPr>
        <xdr:spPr>
          <a:xfrm flipH="1">
            <a:off x="9145588" y="3318320"/>
            <a:ext cx="809" cy="459930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202" name="Gerader Verbinder 201">
            <a:extLst>
              <a:ext uri="{FF2B5EF4-FFF2-40B4-BE49-F238E27FC236}">
                <a16:creationId xmlns:a16="http://schemas.microsoft.com/office/drawing/2014/main" id="{DD01A19C-C130-8A9A-064E-59EA887A392C}"/>
              </a:ext>
            </a:extLst>
          </xdr:cNvPr>
          <xdr:cNvCxnSpPr>
            <a:stCxn id="200" idx="2"/>
          </xdr:cNvCxnSpPr>
        </xdr:nvCxnSpPr>
        <xdr:spPr>
          <a:xfrm flipH="1">
            <a:off x="9123021" y="4854574"/>
            <a:ext cx="22567" cy="2810160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203" name="Textfeld 202">
            <a:extLst>
              <a:ext uri="{FF2B5EF4-FFF2-40B4-BE49-F238E27FC236}">
                <a16:creationId xmlns:a16="http://schemas.microsoft.com/office/drawing/2014/main" id="{36435FE7-C2D9-2BFA-2D75-AAF114A7CD53}"/>
              </a:ext>
            </a:extLst>
          </xdr:cNvPr>
          <xdr:cNvSpPr txBox="1"/>
        </xdr:nvSpPr>
        <xdr:spPr>
          <a:xfrm rot="5400000">
            <a:off x="8751998" y="4008615"/>
            <a:ext cx="884094" cy="463443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de-CH" sz="2400"/>
              <a:t>R</a:t>
            </a:r>
            <a:r>
              <a:rPr lang="de-CH" sz="2400" baseline="-25000"/>
              <a:t>123456</a:t>
            </a:r>
          </a:p>
        </xdr:txBody>
      </xdr:sp>
    </xdr:grpSp>
    <xdr:clientData/>
  </xdr:twoCellAnchor>
  <xdr:twoCellAnchor>
    <xdr:from>
      <xdr:col>6</xdr:col>
      <xdr:colOff>172893</xdr:colOff>
      <xdr:row>171</xdr:row>
      <xdr:rowOff>102639</xdr:rowOff>
    </xdr:from>
    <xdr:to>
      <xdr:col>6</xdr:col>
      <xdr:colOff>592945</xdr:colOff>
      <xdr:row>191</xdr:row>
      <xdr:rowOff>85726</xdr:rowOff>
    </xdr:to>
    <xdr:grpSp>
      <xdr:nvGrpSpPr>
        <xdr:cNvPr id="204" name="Gruppieren 203">
          <a:extLst>
            <a:ext uri="{FF2B5EF4-FFF2-40B4-BE49-F238E27FC236}">
              <a16:creationId xmlns:a16="http://schemas.microsoft.com/office/drawing/2014/main" id="{F38047DF-0EDF-4CE3-9A04-E68789210C06}"/>
            </a:ext>
          </a:extLst>
        </xdr:cNvPr>
        <xdr:cNvGrpSpPr/>
      </xdr:nvGrpSpPr>
      <xdr:grpSpPr>
        <a:xfrm>
          <a:off x="4744893" y="41822139"/>
          <a:ext cx="420052" cy="5269462"/>
          <a:chOff x="8962537" y="3292557"/>
          <a:chExt cx="411552" cy="3962878"/>
        </a:xfrm>
      </xdr:grpSpPr>
      <xdr:sp macro="" textlink="">
        <xdr:nvSpPr>
          <xdr:cNvPr id="205" name="Rechteck 204">
            <a:extLst>
              <a:ext uri="{FF2B5EF4-FFF2-40B4-BE49-F238E27FC236}">
                <a16:creationId xmlns:a16="http://schemas.microsoft.com/office/drawing/2014/main" id="{32543ED6-E5FA-A2FE-3A58-149B428F9885}"/>
              </a:ext>
            </a:extLst>
          </xdr:cNvPr>
          <xdr:cNvSpPr/>
        </xdr:nvSpPr>
        <xdr:spPr>
          <a:xfrm>
            <a:off x="8962537" y="3779798"/>
            <a:ext cx="369068" cy="1075901"/>
          </a:xfrm>
          <a:prstGeom prst="rect">
            <a:avLst/>
          </a:prstGeom>
          <a:noFill/>
          <a:ln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  <xdr:cxnSp macro="">
        <xdr:nvCxnSpPr>
          <xdr:cNvPr id="206" name="Gerader Verbinder 205">
            <a:extLst>
              <a:ext uri="{FF2B5EF4-FFF2-40B4-BE49-F238E27FC236}">
                <a16:creationId xmlns:a16="http://schemas.microsoft.com/office/drawing/2014/main" id="{CDBB4975-F86F-9934-9FA9-D7AD4EC39050}"/>
              </a:ext>
            </a:extLst>
          </xdr:cNvPr>
          <xdr:cNvCxnSpPr>
            <a:stCxn id="220" idx="4"/>
            <a:endCxn id="205" idx="0"/>
          </xdr:cNvCxnSpPr>
        </xdr:nvCxnSpPr>
        <xdr:spPr>
          <a:xfrm>
            <a:off x="9144658" y="3292557"/>
            <a:ext cx="2414" cy="487241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207" name="Gerader Verbinder 206">
            <a:extLst>
              <a:ext uri="{FF2B5EF4-FFF2-40B4-BE49-F238E27FC236}">
                <a16:creationId xmlns:a16="http://schemas.microsoft.com/office/drawing/2014/main" id="{A9A82670-0FDA-D367-7EE9-AB81D9FA1BE6}"/>
              </a:ext>
            </a:extLst>
          </xdr:cNvPr>
          <xdr:cNvCxnSpPr>
            <a:stCxn id="205" idx="2"/>
          </xdr:cNvCxnSpPr>
        </xdr:nvCxnSpPr>
        <xdr:spPr>
          <a:xfrm flipH="1">
            <a:off x="9129104" y="4855699"/>
            <a:ext cx="17968" cy="2399736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208" name="Textfeld 207">
            <a:extLst>
              <a:ext uri="{FF2B5EF4-FFF2-40B4-BE49-F238E27FC236}">
                <a16:creationId xmlns:a16="http://schemas.microsoft.com/office/drawing/2014/main" id="{1E8E5C81-F876-E383-D588-ABCB45D0CB2C}"/>
              </a:ext>
            </a:extLst>
          </xdr:cNvPr>
          <xdr:cNvSpPr txBox="1"/>
        </xdr:nvSpPr>
        <xdr:spPr>
          <a:xfrm rot="5400000">
            <a:off x="8935183" y="3943138"/>
            <a:ext cx="477994" cy="39981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de-CH" sz="2000"/>
              <a:t>R</a:t>
            </a:r>
            <a:r>
              <a:rPr lang="de-CH" sz="2000" baseline="-25000"/>
              <a:t>789</a:t>
            </a:r>
          </a:p>
        </xdr:txBody>
      </xdr:sp>
    </xdr:grpSp>
    <xdr:clientData/>
  </xdr:twoCellAnchor>
  <xdr:twoCellAnchor>
    <xdr:from>
      <xdr:col>2</xdr:col>
      <xdr:colOff>183822</xdr:colOff>
      <xdr:row>171</xdr:row>
      <xdr:rowOff>69396</xdr:rowOff>
    </xdr:from>
    <xdr:to>
      <xdr:col>2</xdr:col>
      <xdr:colOff>610530</xdr:colOff>
      <xdr:row>187</xdr:row>
      <xdr:rowOff>68943</xdr:rowOff>
    </xdr:to>
    <xdr:grpSp>
      <xdr:nvGrpSpPr>
        <xdr:cNvPr id="209" name="Gruppieren 208">
          <a:extLst>
            <a:ext uri="{FF2B5EF4-FFF2-40B4-BE49-F238E27FC236}">
              <a16:creationId xmlns:a16="http://schemas.microsoft.com/office/drawing/2014/main" id="{F5EC0718-07B1-4E57-B891-01B6A170B751}"/>
            </a:ext>
          </a:extLst>
        </xdr:cNvPr>
        <xdr:cNvGrpSpPr/>
      </xdr:nvGrpSpPr>
      <xdr:grpSpPr>
        <a:xfrm>
          <a:off x="1707822" y="41788896"/>
          <a:ext cx="426708" cy="4381047"/>
          <a:chOff x="8959850" y="3254331"/>
          <a:chExt cx="439393" cy="3010540"/>
        </a:xfrm>
      </xdr:grpSpPr>
      <xdr:sp macro="" textlink="">
        <xdr:nvSpPr>
          <xdr:cNvPr id="210" name="Rechteck 209">
            <a:extLst>
              <a:ext uri="{FF2B5EF4-FFF2-40B4-BE49-F238E27FC236}">
                <a16:creationId xmlns:a16="http://schemas.microsoft.com/office/drawing/2014/main" id="{A3562E13-4177-5780-4738-FAEE497EF4FA}"/>
              </a:ext>
            </a:extLst>
          </xdr:cNvPr>
          <xdr:cNvSpPr/>
        </xdr:nvSpPr>
        <xdr:spPr>
          <a:xfrm>
            <a:off x="8959850" y="3778250"/>
            <a:ext cx="371475" cy="1076325"/>
          </a:xfrm>
          <a:prstGeom prst="rect">
            <a:avLst/>
          </a:prstGeom>
          <a:noFill/>
          <a:ln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  <xdr:cxnSp macro="">
        <xdr:nvCxnSpPr>
          <xdr:cNvPr id="211" name="Gerader Verbinder 210">
            <a:extLst>
              <a:ext uri="{FF2B5EF4-FFF2-40B4-BE49-F238E27FC236}">
                <a16:creationId xmlns:a16="http://schemas.microsoft.com/office/drawing/2014/main" id="{1F098B79-B118-B4FA-0B03-0D7FA586F417}"/>
              </a:ext>
            </a:extLst>
          </xdr:cNvPr>
          <xdr:cNvCxnSpPr>
            <a:endCxn id="210" idx="0"/>
          </xdr:cNvCxnSpPr>
        </xdr:nvCxnSpPr>
        <xdr:spPr>
          <a:xfrm flipH="1">
            <a:off x="9145588" y="3254331"/>
            <a:ext cx="1587" cy="523919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212" name="Gerader Verbinder 211">
            <a:extLst>
              <a:ext uri="{FF2B5EF4-FFF2-40B4-BE49-F238E27FC236}">
                <a16:creationId xmlns:a16="http://schemas.microsoft.com/office/drawing/2014/main" id="{54BAEF03-DB82-CAAD-E0A7-72AB83C208D4}"/>
              </a:ext>
            </a:extLst>
          </xdr:cNvPr>
          <xdr:cNvCxnSpPr>
            <a:stCxn id="210" idx="2"/>
          </xdr:cNvCxnSpPr>
        </xdr:nvCxnSpPr>
        <xdr:spPr>
          <a:xfrm flipH="1">
            <a:off x="9134165" y="4854575"/>
            <a:ext cx="11423" cy="1410296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213" name="Textfeld 212">
            <a:extLst>
              <a:ext uri="{FF2B5EF4-FFF2-40B4-BE49-F238E27FC236}">
                <a16:creationId xmlns:a16="http://schemas.microsoft.com/office/drawing/2014/main" id="{EAFF9617-70B5-EA95-6A3E-86CAF79EEE87}"/>
              </a:ext>
            </a:extLst>
          </xdr:cNvPr>
          <xdr:cNvSpPr txBox="1"/>
        </xdr:nvSpPr>
        <xdr:spPr>
          <a:xfrm rot="5400000">
            <a:off x="8969083" y="3981791"/>
            <a:ext cx="442835" cy="41748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de-CH" sz="2000"/>
              <a:t>R</a:t>
            </a:r>
            <a:r>
              <a:rPr lang="de-CH" sz="2000" baseline="-25000"/>
              <a:t>10</a:t>
            </a:r>
          </a:p>
        </xdr:txBody>
      </xdr:sp>
    </xdr:grpSp>
    <xdr:clientData/>
  </xdr:twoCellAnchor>
  <xdr:twoCellAnchor>
    <xdr:from>
      <xdr:col>2</xdr:col>
      <xdr:colOff>361950</xdr:colOff>
      <xdr:row>171</xdr:row>
      <xdr:rowOff>61377</xdr:rowOff>
    </xdr:from>
    <xdr:to>
      <xdr:col>8</xdr:col>
      <xdr:colOff>21375</xdr:colOff>
      <xdr:row>171</xdr:row>
      <xdr:rowOff>66221</xdr:rowOff>
    </xdr:to>
    <xdr:cxnSp macro="">
      <xdr:nvCxnSpPr>
        <xdr:cNvPr id="214" name="Gerader Verbinder 213">
          <a:extLst>
            <a:ext uri="{FF2B5EF4-FFF2-40B4-BE49-F238E27FC236}">
              <a16:creationId xmlns:a16="http://schemas.microsoft.com/office/drawing/2014/main" id="{7DC20548-4F80-4A87-8A97-D4C53159207A}"/>
            </a:ext>
          </a:extLst>
        </xdr:cNvPr>
        <xdr:cNvCxnSpPr>
          <a:stCxn id="224" idx="6"/>
        </xdr:cNvCxnSpPr>
      </xdr:nvCxnSpPr>
      <xdr:spPr>
        <a:xfrm flipH="1">
          <a:off x="1885950" y="35897602"/>
          <a:ext cx="4231425" cy="4844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188</xdr:row>
      <xdr:rowOff>122597</xdr:rowOff>
    </xdr:from>
    <xdr:to>
      <xdr:col>2</xdr:col>
      <xdr:colOff>615959</xdr:colOff>
      <xdr:row>188</xdr:row>
      <xdr:rowOff>122597</xdr:rowOff>
    </xdr:to>
    <xdr:cxnSp macro="">
      <xdr:nvCxnSpPr>
        <xdr:cNvPr id="215" name="Gerader Verbinder 214">
          <a:extLst>
            <a:ext uri="{FF2B5EF4-FFF2-40B4-BE49-F238E27FC236}">
              <a16:creationId xmlns:a16="http://schemas.microsoft.com/office/drawing/2014/main" id="{ED87840F-5354-45CC-8184-5489CB61337D}"/>
            </a:ext>
          </a:extLst>
        </xdr:cNvPr>
        <xdr:cNvCxnSpPr/>
      </xdr:nvCxnSpPr>
      <xdr:spPr>
        <a:xfrm flipH="1">
          <a:off x="1524000" y="39035397"/>
          <a:ext cx="619134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190954</xdr:colOff>
      <xdr:row>187</xdr:row>
      <xdr:rowOff>104002</xdr:rowOff>
    </xdr:from>
    <xdr:to>
      <xdr:col>2</xdr:col>
      <xdr:colOff>483054</xdr:colOff>
      <xdr:row>187</xdr:row>
      <xdr:rowOff>104002</xdr:rowOff>
    </xdr:to>
    <xdr:cxnSp macro="">
      <xdr:nvCxnSpPr>
        <xdr:cNvPr id="216" name="Gerader Verbinder 215">
          <a:extLst>
            <a:ext uri="{FF2B5EF4-FFF2-40B4-BE49-F238E27FC236}">
              <a16:creationId xmlns:a16="http://schemas.microsoft.com/office/drawing/2014/main" id="{0DDF0A28-C692-43FC-B3A4-C3F83F0DAC82}"/>
            </a:ext>
          </a:extLst>
        </xdr:cNvPr>
        <xdr:cNvCxnSpPr/>
      </xdr:nvCxnSpPr>
      <xdr:spPr>
        <a:xfrm flipH="1">
          <a:off x="1714954" y="38835827"/>
          <a:ext cx="295275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171450</xdr:colOff>
      <xdr:row>188</xdr:row>
      <xdr:rowOff>170996</xdr:rowOff>
    </xdr:from>
    <xdr:to>
      <xdr:col>2</xdr:col>
      <xdr:colOff>476250</xdr:colOff>
      <xdr:row>188</xdr:row>
      <xdr:rowOff>170996</xdr:rowOff>
    </xdr:to>
    <xdr:cxnSp macro="">
      <xdr:nvCxnSpPr>
        <xdr:cNvPr id="217" name="Gerader Verbinder 216">
          <a:extLst>
            <a:ext uri="{FF2B5EF4-FFF2-40B4-BE49-F238E27FC236}">
              <a16:creationId xmlns:a16="http://schemas.microsoft.com/office/drawing/2014/main" id="{76C59095-DA85-428E-8640-7C5B9B517FF9}"/>
            </a:ext>
          </a:extLst>
        </xdr:cNvPr>
        <xdr:cNvCxnSpPr/>
      </xdr:nvCxnSpPr>
      <xdr:spPr>
        <a:xfrm flipH="1">
          <a:off x="1695450" y="40014071"/>
          <a:ext cx="304800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352425</xdr:colOff>
      <xdr:row>188</xdr:row>
      <xdr:rowOff>190500</xdr:rowOff>
    </xdr:from>
    <xdr:to>
      <xdr:col>2</xdr:col>
      <xdr:colOff>354750</xdr:colOff>
      <xdr:row>191</xdr:row>
      <xdr:rowOff>95155</xdr:rowOff>
    </xdr:to>
    <xdr:cxnSp macro="">
      <xdr:nvCxnSpPr>
        <xdr:cNvPr id="218" name="Gerader Verbinder 217">
          <a:extLst>
            <a:ext uri="{FF2B5EF4-FFF2-40B4-BE49-F238E27FC236}">
              <a16:creationId xmlns:a16="http://schemas.microsoft.com/office/drawing/2014/main" id="{3AFA8C21-4AA7-4007-95DE-582BF8255A5D}"/>
            </a:ext>
          </a:extLst>
        </xdr:cNvPr>
        <xdr:cNvCxnSpPr>
          <a:endCxn id="226" idx="4"/>
        </xdr:cNvCxnSpPr>
      </xdr:nvCxnSpPr>
      <xdr:spPr>
        <a:xfrm>
          <a:off x="1876425" y="40033575"/>
          <a:ext cx="2325" cy="100955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333375</xdr:colOff>
      <xdr:row>191</xdr:row>
      <xdr:rowOff>69395</xdr:rowOff>
    </xdr:from>
    <xdr:to>
      <xdr:col>7</xdr:col>
      <xdr:colOff>715451</xdr:colOff>
      <xdr:row>191</xdr:row>
      <xdr:rowOff>106518</xdr:rowOff>
    </xdr:to>
    <xdr:cxnSp macro="">
      <xdr:nvCxnSpPr>
        <xdr:cNvPr id="219" name="Gerader Verbinder 218">
          <a:extLst>
            <a:ext uri="{FF2B5EF4-FFF2-40B4-BE49-F238E27FC236}">
              <a16:creationId xmlns:a16="http://schemas.microsoft.com/office/drawing/2014/main" id="{6B33C268-E793-489F-B53B-8E28197B5D0D}"/>
            </a:ext>
          </a:extLst>
        </xdr:cNvPr>
        <xdr:cNvCxnSpPr>
          <a:cxnSpLocks/>
          <a:stCxn id="225" idx="5"/>
        </xdr:cNvCxnSpPr>
      </xdr:nvCxnSpPr>
      <xdr:spPr>
        <a:xfrm flipH="1" flipV="1">
          <a:off x="1857375" y="41017370"/>
          <a:ext cx="4192076" cy="37123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314325</xdr:colOff>
      <xdr:row>171</xdr:row>
      <xdr:rowOff>12246</xdr:rowOff>
    </xdr:from>
    <xdr:to>
      <xdr:col>6</xdr:col>
      <xdr:colOff>409575</xdr:colOff>
      <xdr:row>171</xdr:row>
      <xdr:rowOff>102640</xdr:rowOff>
    </xdr:to>
    <xdr:sp macro="" textlink="">
      <xdr:nvSpPr>
        <xdr:cNvPr id="220" name="Ellipse 219">
          <a:extLst>
            <a:ext uri="{FF2B5EF4-FFF2-40B4-BE49-F238E27FC236}">
              <a16:creationId xmlns:a16="http://schemas.microsoft.com/office/drawing/2014/main" id="{D4308A23-A7C1-4D63-AD96-3982ABD1D02E}"/>
            </a:ext>
          </a:extLst>
        </xdr:cNvPr>
        <xdr:cNvSpPr/>
      </xdr:nvSpPr>
      <xdr:spPr>
        <a:xfrm>
          <a:off x="4883150" y="35842121"/>
          <a:ext cx="95250" cy="96744"/>
        </a:xfrm>
        <a:prstGeom prst="ellipse">
          <a:avLst/>
        </a:prstGeom>
        <a:solidFill>
          <a:schemeClr val="tx1">
            <a:lumMod val="95000"/>
            <a:lumOff val="5000"/>
          </a:schemeClr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6</xdr:col>
      <xdr:colOff>314325</xdr:colOff>
      <xdr:row>191</xdr:row>
      <xdr:rowOff>45810</xdr:rowOff>
    </xdr:from>
    <xdr:to>
      <xdr:col>6</xdr:col>
      <xdr:colOff>409575</xdr:colOff>
      <xdr:row>191</xdr:row>
      <xdr:rowOff>136204</xdr:rowOff>
    </xdr:to>
    <xdr:sp macro="" textlink="">
      <xdr:nvSpPr>
        <xdr:cNvPr id="221" name="Ellipse 220">
          <a:extLst>
            <a:ext uri="{FF2B5EF4-FFF2-40B4-BE49-F238E27FC236}">
              <a16:creationId xmlns:a16="http://schemas.microsoft.com/office/drawing/2014/main" id="{E174DE91-76D0-48A6-9EA1-4F500765EA3C}"/>
            </a:ext>
          </a:extLst>
        </xdr:cNvPr>
        <xdr:cNvSpPr/>
      </xdr:nvSpPr>
      <xdr:spPr>
        <a:xfrm>
          <a:off x="4886325" y="40993785"/>
          <a:ext cx="95250" cy="90394"/>
        </a:xfrm>
        <a:prstGeom prst="ellipse">
          <a:avLst/>
        </a:prstGeom>
        <a:solidFill>
          <a:schemeClr val="tx1">
            <a:lumMod val="95000"/>
            <a:lumOff val="5000"/>
          </a:schemeClr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73269</xdr:colOff>
      <xdr:row>187</xdr:row>
      <xdr:rowOff>65943</xdr:rowOff>
    </xdr:from>
    <xdr:to>
      <xdr:col>2</xdr:col>
      <xdr:colOff>654966</xdr:colOff>
      <xdr:row>187</xdr:row>
      <xdr:rowOff>68942</xdr:rowOff>
    </xdr:to>
    <xdr:cxnSp macro="">
      <xdr:nvCxnSpPr>
        <xdr:cNvPr id="222" name="Gerader Verbinder 221">
          <a:extLst>
            <a:ext uri="{FF2B5EF4-FFF2-40B4-BE49-F238E27FC236}">
              <a16:creationId xmlns:a16="http://schemas.microsoft.com/office/drawing/2014/main" id="{CF2EFF0F-AC3E-453B-AC00-77A94185D518}"/>
            </a:ext>
          </a:extLst>
        </xdr:cNvPr>
        <xdr:cNvCxnSpPr/>
      </xdr:nvCxnSpPr>
      <xdr:spPr>
        <a:xfrm flipH="1" flipV="1">
          <a:off x="1597269" y="38797768"/>
          <a:ext cx="584872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351064</xdr:colOff>
      <xdr:row>187</xdr:row>
      <xdr:rowOff>104454</xdr:rowOff>
    </xdr:from>
    <xdr:to>
      <xdr:col>2</xdr:col>
      <xdr:colOff>352425</xdr:colOff>
      <xdr:row>188</xdr:row>
      <xdr:rowOff>123825</xdr:rowOff>
    </xdr:to>
    <xdr:cxnSp macro="">
      <xdr:nvCxnSpPr>
        <xdr:cNvPr id="223" name="Gerader Verbinder 222">
          <a:extLst>
            <a:ext uri="{FF2B5EF4-FFF2-40B4-BE49-F238E27FC236}">
              <a16:creationId xmlns:a16="http://schemas.microsoft.com/office/drawing/2014/main" id="{BD1D44ED-7BB7-45B9-ACB5-205DEF0BB48D}"/>
            </a:ext>
          </a:extLst>
        </xdr:cNvPr>
        <xdr:cNvCxnSpPr/>
      </xdr:nvCxnSpPr>
      <xdr:spPr>
        <a:xfrm>
          <a:off x="1875064" y="39566529"/>
          <a:ext cx="1361" cy="400371"/>
        </a:xfrm>
        <a:prstGeom prst="line">
          <a:avLst/>
        </a:prstGeom>
        <a:ln>
          <a:prstDash val="sysDash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688125</xdr:colOff>
      <xdr:row>171</xdr:row>
      <xdr:rowOff>17279</xdr:rowOff>
    </xdr:from>
    <xdr:to>
      <xdr:col>8</xdr:col>
      <xdr:colOff>21375</xdr:colOff>
      <xdr:row>171</xdr:row>
      <xdr:rowOff>102300</xdr:rowOff>
    </xdr:to>
    <xdr:sp macro="" textlink="">
      <xdr:nvSpPr>
        <xdr:cNvPr id="224" name="Ellipse 223">
          <a:extLst>
            <a:ext uri="{FF2B5EF4-FFF2-40B4-BE49-F238E27FC236}">
              <a16:creationId xmlns:a16="http://schemas.microsoft.com/office/drawing/2014/main" id="{263255F5-61F7-4019-80D1-24664C605C6B}"/>
            </a:ext>
          </a:extLst>
        </xdr:cNvPr>
        <xdr:cNvSpPr/>
      </xdr:nvSpPr>
      <xdr:spPr>
        <a:xfrm>
          <a:off x="6022125" y="35850329"/>
          <a:ext cx="95250" cy="88196"/>
        </a:xfrm>
        <a:prstGeom prst="ellipse">
          <a:avLst/>
        </a:prstGeom>
        <a:solidFill>
          <a:schemeClr val="tx1">
            <a:lumMod val="95000"/>
            <a:lumOff val="5000"/>
          </a:schemeClr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7</xdr:col>
      <xdr:colOff>637325</xdr:colOff>
      <xdr:row>191</xdr:row>
      <xdr:rowOff>18073</xdr:rowOff>
    </xdr:from>
    <xdr:to>
      <xdr:col>7</xdr:col>
      <xdr:colOff>732575</xdr:colOff>
      <xdr:row>191</xdr:row>
      <xdr:rowOff>122144</xdr:rowOff>
    </xdr:to>
    <xdr:sp macro="" textlink="">
      <xdr:nvSpPr>
        <xdr:cNvPr id="225" name="Ellipse 224">
          <a:extLst>
            <a:ext uri="{FF2B5EF4-FFF2-40B4-BE49-F238E27FC236}">
              <a16:creationId xmlns:a16="http://schemas.microsoft.com/office/drawing/2014/main" id="{EA49E4E9-B81C-4465-9A2D-A5D621B664EE}"/>
            </a:ext>
          </a:extLst>
        </xdr:cNvPr>
        <xdr:cNvSpPr/>
      </xdr:nvSpPr>
      <xdr:spPr>
        <a:xfrm>
          <a:off x="5971325" y="40966048"/>
          <a:ext cx="95250" cy="104071"/>
        </a:xfrm>
        <a:prstGeom prst="ellipse">
          <a:avLst/>
        </a:prstGeom>
        <a:solidFill>
          <a:schemeClr val="tx1">
            <a:lumMod val="95000"/>
            <a:lumOff val="5000"/>
          </a:schemeClr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307125</xdr:colOff>
      <xdr:row>190</xdr:row>
      <xdr:rowOff>381609</xdr:rowOff>
    </xdr:from>
    <xdr:to>
      <xdr:col>2</xdr:col>
      <xdr:colOff>402375</xdr:colOff>
      <xdr:row>191</xdr:row>
      <xdr:rowOff>95155</xdr:rowOff>
    </xdr:to>
    <xdr:sp macro="" textlink="">
      <xdr:nvSpPr>
        <xdr:cNvPr id="226" name="Ellipse 225">
          <a:extLst>
            <a:ext uri="{FF2B5EF4-FFF2-40B4-BE49-F238E27FC236}">
              <a16:creationId xmlns:a16="http://schemas.microsoft.com/office/drawing/2014/main" id="{6E551A18-706D-436D-A9A5-D20C9745BD49}"/>
            </a:ext>
          </a:extLst>
        </xdr:cNvPr>
        <xdr:cNvSpPr/>
      </xdr:nvSpPr>
      <xdr:spPr>
        <a:xfrm>
          <a:off x="1831125" y="40939059"/>
          <a:ext cx="95250" cy="104071"/>
        </a:xfrm>
        <a:prstGeom prst="ellipse">
          <a:avLst/>
        </a:prstGeom>
        <a:solidFill>
          <a:schemeClr val="tx1">
            <a:lumMod val="95000"/>
            <a:lumOff val="5000"/>
          </a:schemeClr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7</xdr:col>
      <xdr:colOff>541573</xdr:colOff>
      <xdr:row>214</xdr:row>
      <xdr:rowOff>83704</xdr:rowOff>
    </xdr:from>
    <xdr:to>
      <xdr:col>8</xdr:col>
      <xdr:colOff>266550</xdr:colOff>
      <xdr:row>236</xdr:row>
      <xdr:rowOff>190500</xdr:rowOff>
    </xdr:to>
    <xdr:grpSp>
      <xdr:nvGrpSpPr>
        <xdr:cNvPr id="227" name="Gruppieren 226">
          <a:extLst>
            <a:ext uri="{FF2B5EF4-FFF2-40B4-BE49-F238E27FC236}">
              <a16:creationId xmlns:a16="http://schemas.microsoft.com/office/drawing/2014/main" id="{CE35614E-2981-4322-A02D-0976D488B0BA}"/>
            </a:ext>
          </a:extLst>
        </xdr:cNvPr>
        <xdr:cNvGrpSpPr/>
      </xdr:nvGrpSpPr>
      <xdr:grpSpPr>
        <a:xfrm>
          <a:off x="5875573" y="50280454"/>
          <a:ext cx="486977" cy="5583671"/>
          <a:chOff x="8959850" y="2289804"/>
          <a:chExt cx="495429" cy="5374930"/>
        </a:xfrm>
      </xdr:grpSpPr>
      <xdr:sp macro="" textlink="">
        <xdr:nvSpPr>
          <xdr:cNvPr id="228" name="Rechteck 227">
            <a:extLst>
              <a:ext uri="{FF2B5EF4-FFF2-40B4-BE49-F238E27FC236}">
                <a16:creationId xmlns:a16="http://schemas.microsoft.com/office/drawing/2014/main" id="{5A711B8F-BB6C-A73F-62C8-77FC98DE0F76}"/>
              </a:ext>
            </a:extLst>
          </xdr:cNvPr>
          <xdr:cNvSpPr/>
        </xdr:nvSpPr>
        <xdr:spPr>
          <a:xfrm>
            <a:off x="8959850" y="3778250"/>
            <a:ext cx="396148" cy="1420372"/>
          </a:xfrm>
          <a:prstGeom prst="rect">
            <a:avLst/>
          </a:prstGeom>
          <a:noFill/>
          <a:ln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  <xdr:cxnSp macro="">
        <xdr:nvCxnSpPr>
          <xdr:cNvPr id="229" name="Gerader Verbinder 228">
            <a:extLst>
              <a:ext uri="{FF2B5EF4-FFF2-40B4-BE49-F238E27FC236}">
                <a16:creationId xmlns:a16="http://schemas.microsoft.com/office/drawing/2014/main" id="{4CE35CA0-DBB8-F2FE-7BCE-B8D666ADFCAA}"/>
              </a:ext>
            </a:extLst>
          </xdr:cNvPr>
          <xdr:cNvCxnSpPr>
            <a:stCxn id="245" idx="4"/>
            <a:endCxn id="228" idx="0"/>
          </xdr:cNvCxnSpPr>
        </xdr:nvCxnSpPr>
        <xdr:spPr>
          <a:xfrm>
            <a:off x="9154515" y="2289804"/>
            <a:ext cx="3409" cy="1488446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230" name="Gerader Verbinder 229">
            <a:extLst>
              <a:ext uri="{FF2B5EF4-FFF2-40B4-BE49-F238E27FC236}">
                <a16:creationId xmlns:a16="http://schemas.microsoft.com/office/drawing/2014/main" id="{F8E19461-3A15-4F10-9E6C-29D2173DC9D2}"/>
              </a:ext>
            </a:extLst>
          </xdr:cNvPr>
          <xdr:cNvCxnSpPr>
            <a:stCxn id="228" idx="2"/>
          </xdr:cNvCxnSpPr>
        </xdr:nvCxnSpPr>
        <xdr:spPr>
          <a:xfrm flipH="1">
            <a:off x="9123021" y="5198622"/>
            <a:ext cx="34903" cy="2466112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231" name="Textfeld 230">
            <a:extLst>
              <a:ext uri="{FF2B5EF4-FFF2-40B4-BE49-F238E27FC236}">
                <a16:creationId xmlns:a16="http://schemas.microsoft.com/office/drawing/2014/main" id="{28B878FC-A94D-3D3E-2413-6B3F9F855466}"/>
              </a:ext>
            </a:extLst>
          </xdr:cNvPr>
          <xdr:cNvSpPr txBox="1"/>
        </xdr:nvSpPr>
        <xdr:spPr>
          <a:xfrm rot="5400000">
            <a:off x="8365960" y="4423745"/>
            <a:ext cx="1705171" cy="473467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de-CH" sz="2400"/>
              <a:t>R</a:t>
            </a:r>
            <a:r>
              <a:rPr lang="de-CH" sz="2400" baseline="-25000"/>
              <a:t>123456789</a:t>
            </a:r>
          </a:p>
        </xdr:txBody>
      </xdr:sp>
    </xdr:grpSp>
    <xdr:clientData/>
  </xdr:twoCellAnchor>
  <xdr:twoCellAnchor>
    <xdr:from>
      <xdr:col>2</xdr:col>
      <xdr:colOff>164181</xdr:colOff>
      <xdr:row>214</xdr:row>
      <xdr:rowOff>53975</xdr:rowOff>
    </xdr:from>
    <xdr:to>
      <xdr:col>2</xdr:col>
      <xdr:colOff>637920</xdr:colOff>
      <xdr:row>230</xdr:row>
      <xdr:rowOff>50347</xdr:rowOff>
    </xdr:to>
    <xdr:grpSp>
      <xdr:nvGrpSpPr>
        <xdr:cNvPr id="232" name="Gruppieren 231">
          <a:extLst>
            <a:ext uri="{FF2B5EF4-FFF2-40B4-BE49-F238E27FC236}">
              <a16:creationId xmlns:a16="http://schemas.microsoft.com/office/drawing/2014/main" id="{162CA9EB-077B-435A-A434-4A3FEB5FF94B}"/>
            </a:ext>
          </a:extLst>
        </xdr:cNvPr>
        <xdr:cNvGrpSpPr/>
      </xdr:nvGrpSpPr>
      <xdr:grpSpPr>
        <a:xfrm>
          <a:off x="1688181" y="50250725"/>
          <a:ext cx="473739" cy="4092122"/>
          <a:chOff x="8939955" y="3254331"/>
          <a:chExt cx="487058" cy="3010540"/>
        </a:xfrm>
      </xdr:grpSpPr>
      <xdr:sp macro="" textlink="">
        <xdr:nvSpPr>
          <xdr:cNvPr id="233" name="Rechteck 232">
            <a:extLst>
              <a:ext uri="{FF2B5EF4-FFF2-40B4-BE49-F238E27FC236}">
                <a16:creationId xmlns:a16="http://schemas.microsoft.com/office/drawing/2014/main" id="{C702BAC5-E5F8-62C5-9A42-D08FB22E486E}"/>
              </a:ext>
            </a:extLst>
          </xdr:cNvPr>
          <xdr:cNvSpPr/>
        </xdr:nvSpPr>
        <xdr:spPr>
          <a:xfrm>
            <a:off x="8959850" y="3778250"/>
            <a:ext cx="371475" cy="1076325"/>
          </a:xfrm>
          <a:prstGeom prst="rect">
            <a:avLst/>
          </a:prstGeom>
          <a:noFill/>
          <a:ln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  <xdr:cxnSp macro="">
        <xdr:nvCxnSpPr>
          <xdr:cNvPr id="234" name="Gerader Verbinder 233">
            <a:extLst>
              <a:ext uri="{FF2B5EF4-FFF2-40B4-BE49-F238E27FC236}">
                <a16:creationId xmlns:a16="http://schemas.microsoft.com/office/drawing/2014/main" id="{03B1E5B0-8EA3-EB1D-9FD8-A8A14425E899}"/>
              </a:ext>
            </a:extLst>
          </xdr:cNvPr>
          <xdr:cNvCxnSpPr>
            <a:endCxn id="233" idx="0"/>
          </xdr:cNvCxnSpPr>
        </xdr:nvCxnSpPr>
        <xdr:spPr>
          <a:xfrm flipH="1">
            <a:off x="9145588" y="3254331"/>
            <a:ext cx="1587" cy="523919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235" name="Gerader Verbinder 234">
            <a:extLst>
              <a:ext uri="{FF2B5EF4-FFF2-40B4-BE49-F238E27FC236}">
                <a16:creationId xmlns:a16="http://schemas.microsoft.com/office/drawing/2014/main" id="{27409DA4-3FD8-F4E3-8A31-BB3980E26573}"/>
              </a:ext>
            </a:extLst>
          </xdr:cNvPr>
          <xdr:cNvCxnSpPr>
            <a:stCxn id="233" idx="2"/>
          </xdr:cNvCxnSpPr>
        </xdr:nvCxnSpPr>
        <xdr:spPr>
          <a:xfrm flipH="1">
            <a:off x="9134165" y="4854575"/>
            <a:ext cx="11423" cy="1410296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236" name="Textfeld 235">
            <a:extLst>
              <a:ext uri="{FF2B5EF4-FFF2-40B4-BE49-F238E27FC236}">
                <a16:creationId xmlns:a16="http://schemas.microsoft.com/office/drawing/2014/main" id="{CF1CE4F1-2705-51F4-4E46-D16FEBB6E4F1}"/>
              </a:ext>
            </a:extLst>
          </xdr:cNvPr>
          <xdr:cNvSpPr txBox="1"/>
        </xdr:nvSpPr>
        <xdr:spPr>
          <a:xfrm rot="5400000">
            <a:off x="8968748" y="3866702"/>
            <a:ext cx="429471" cy="48705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de-CH" sz="2400"/>
              <a:t>R</a:t>
            </a:r>
            <a:r>
              <a:rPr lang="de-CH" sz="2400" baseline="-25000"/>
              <a:t>10</a:t>
            </a:r>
          </a:p>
        </xdr:txBody>
      </xdr:sp>
    </xdr:grpSp>
    <xdr:clientData/>
  </xdr:twoCellAnchor>
  <xdr:twoCellAnchor>
    <xdr:from>
      <xdr:col>2</xdr:col>
      <xdr:colOff>361950</xdr:colOff>
      <xdr:row>214</xdr:row>
      <xdr:rowOff>55481</xdr:rowOff>
    </xdr:from>
    <xdr:to>
      <xdr:col>8</xdr:col>
      <xdr:colOff>21375</xdr:colOff>
      <xdr:row>214</xdr:row>
      <xdr:rowOff>55481</xdr:rowOff>
    </xdr:to>
    <xdr:cxnSp macro="">
      <xdr:nvCxnSpPr>
        <xdr:cNvPr id="237" name="Gerader Verbinder 236">
          <a:extLst>
            <a:ext uri="{FF2B5EF4-FFF2-40B4-BE49-F238E27FC236}">
              <a16:creationId xmlns:a16="http://schemas.microsoft.com/office/drawing/2014/main" id="{04ADF779-7DE1-473C-8750-C4237A57A0F0}"/>
            </a:ext>
          </a:extLst>
        </xdr:cNvPr>
        <xdr:cNvCxnSpPr>
          <a:stCxn id="245" idx="6"/>
        </xdr:cNvCxnSpPr>
      </xdr:nvCxnSpPr>
      <xdr:spPr>
        <a:xfrm flipH="1">
          <a:off x="1885950" y="45299231"/>
          <a:ext cx="4231425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231</xdr:row>
      <xdr:rowOff>110351</xdr:rowOff>
    </xdr:from>
    <xdr:to>
      <xdr:col>2</xdr:col>
      <xdr:colOff>615959</xdr:colOff>
      <xdr:row>231</xdr:row>
      <xdr:rowOff>110351</xdr:rowOff>
    </xdr:to>
    <xdr:cxnSp macro="">
      <xdr:nvCxnSpPr>
        <xdr:cNvPr id="238" name="Gerader Verbinder 237">
          <a:extLst>
            <a:ext uri="{FF2B5EF4-FFF2-40B4-BE49-F238E27FC236}">
              <a16:creationId xmlns:a16="http://schemas.microsoft.com/office/drawing/2014/main" id="{E40AFB32-7E1A-45C4-B2D3-F0F94F825461}"/>
            </a:ext>
          </a:extLst>
        </xdr:cNvPr>
        <xdr:cNvCxnSpPr/>
      </xdr:nvCxnSpPr>
      <xdr:spPr>
        <a:xfrm flipH="1">
          <a:off x="1524000" y="48427501"/>
          <a:ext cx="619134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190954</xdr:colOff>
      <xdr:row>230</xdr:row>
      <xdr:rowOff>91756</xdr:rowOff>
    </xdr:from>
    <xdr:to>
      <xdr:col>2</xdr:col>
      <xdr:colOff>483054</xdr:colOff>
      <xdr:row>230</xdr:row>
      <xdr:rowOff>91756</xdr:rowOff>
    </xdr:to>
    <xdr:cxnSp macro="">
      <xdr:nvCxnSpPr>
        <xdr:cNvPr id="239" name="Gerader Verbinder 238">
          <a:extLst>
            <a:ext uri="{FF2B5EF4-FFF2-40B4-BE49-F238E27FC236}">
              <a16:creationId xmlns:a16="http://schemas.microsoft.com/office/drawing/2014/main" id="{A95FEC27-8A2A-43FE-B258-C11CC3D75A2C}"/>
            </a:ext>
          </a:extLst>
        </xdr:cNvPr>
        <xdr:cNvCxnSpPr/>
      </xdr:nvCxnSpPr>
      <xdr:spPr>
        <a:xfrm flipH="1">
          <a:off x="1714954" y="48227931"/>
          <a:ext cx="295275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200025</xdr:colOff>
      <xdr:row>232</xdr:row>
      <xdr:rowOff>0</xdr:rowOff>
    </xdr:from>
    <xdr:to>
      <xdr:col>2</xdr:col>
      <xdr:colOff>504825</xdr:colOff>
      <xdr:row>232</xdr:row>
      <xdr:rowOff>0</xdr:rowOff>
    </xdr:to>
    <xdr:cxnSp macro="">
      <xdr:nvCxnSpPr>
        <xdr:cNvPr id="240" name="Gerader Verbinder 239">
          <a:extLst>
            <a:ext uri="{FF2B5EF4-FFF2-40B4-BE49-F238E27FC236}">
              <a16:creationId xmlns:a16="http://schemas.microsoft.com/office/drawing/2014/main" id="{B8CEDCF9-074A-4AA2-9C1F-E4FC2ACA2F16}"/>
            </a:ext>
          </a:extLst>
        </xdr:cNvPr>
        <xdr:cNvCxnSpPr/>
      </xdr:nvCxnSpPr>
      <xdr:spPr>
        <a:xfrm flipH="1">
          <a:off x="1720850" y="48501300"/>
          <a:ext cx="304800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333375</xdr:colOff>
      <xdr:row>232</xdr:row>
      <xdr:rowOff>15875</xdr:rowOff>
    </xdr:from>
    <xdr:to>
      <xdr:col>2</xdr:col>
      <xdr:colOff>342900</xdr:colOff>
      <xdr:row>236</xdr:row>
      <xdr:rowOff>180975</xdr:rowOff>
    </xdr:to>
    <xdr:cxnSp macro="">
      <xdr:nvCxnSpPr>
        <xdr:cNvPr id="241" name="Gerader Verbinder 240">
          <a:extLst>
            <a:ext uri="{FF2B5EF4-FFF2-40B4-BE49-F238E27FC236}">
              <a16:creationId xmlns:a16="http://schemas.microsoft.com/office/drawing/2014/main" id="{C5986D69-4D56-4D8D-A63A-172E63E1F8FF}"/>
            </a:ext>
          </a:extLst>
        </xdr:cNvPr>
        <xdr:cNvCxnSpPr/>
      </xdr:nvCxnSpPr>
      <xdr:spPr>
        <a:xfrm flipH="1">
          <a:off x="1857375" y="49174400"/>
          <a:ext cx="9525" cy="96520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333375</xdr:colOff>
      <xdr:row>236</xdr:row>
      <xdr:rowOff>155574</xdr:rowOff>
    </xdr:from>
    <xdr:to>
      <xdr:col>7</xdr:col>
      <xdr:colOff>715451</xdr:colOff>
      <xdr:row>236</xdr:row>
      <xdr:rowOff>192697</xdr:rowOff>
    </xdr:to>
    <xdr:cxnSp macro="">
      <xdr:nvCxnSpPr>
        <xdr:cNvPr id="242" name="Gerader Verbinder 241">
          <a:extLst>
            <a:ext uri="{FF2B5EF4-FFF2-40B4-BE49-F238E27FC236}">
              <a16:creationId xmlns:a16="http://schemas.microsoft.com/office/drawing/2014/main" id="{B818C33C-08AE-4644-BE1D-47736C300BD4}"/>
            </a:ext>
          </a:extLst>
        </xdr:cNvPr>
        <xdr:cNvCxnSpPr>
          <a:cxnSpLocks/>
        </xdr:cNvCxnSpPr>
      </xdr:nvCxnSpPr>
      <xdr:spPr>
        <a:xfrm flipH="1" flipV="1">
          <a:off x="1857375" y="49476024"/>
          <a:ext cx="4192076" cy="37123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51288</xdr:colOff>
      <xdr:row>230</xdr:row>
      <xdr:rowOff>50346</xdr:rowOff>
    </xdr:from>
    <xdr:to>
      <xdr:col>2</xdr:col>
      <xdr:colOff>654966</xdr:colOff>
      <xdr:row>230</xdr:row>
      <xdr:rowOff>51289</xdr:rowOff>
    </xdr:to>
    <xdr:cxnSp macro="">
      <xdr:nvCxnSpPr>
        <xdr:cNvPr id="243" name="Gerader Verbinder 242">
          <a:extLst>
            <a:ext uri="{FF2B5EF4-FFF2-40B4-BE49-F238E27FC236}">
              <a16:creationId xmlns:a16="http://schemas.microsoft.com/office/drawing/2014/main" id="{F5EDF239-C2A6-4BAC-A2C5-0024E87A77CD}"/>
            </a:ext>
          </a:extLst>
        </xdr:cNvPr>
        <xdr:cNvCxnSpPr/>
      </xdr:nvCxnSpPr>
      <xdr:spPr>
        <a:xfrm flipH="1">
          <a:off x="1572113" y="48186521"/>
          <a:ext cx="610028" cy="943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354239</xdr:colOff>
      <xdr:row>230</xdr:row>
      <xdr:rowOff>95383</xdr:rowOff>
    </xdr:from>
    <xdr:to>
      <xdr:col>2</xdr:col>
      <xdr:colOff>354239</xdr:colOff>
      <xdr:row>231</xdr:row>
      <xdr:rowOff>143008</xdr:rowOff>
    </xdr:to>
    <xdr:cxnSp macro="">
      <xdr:nvCxnSpPr>
        <xdr:cNvPr id="244" name="Gerader Verbinder 243">
          <a:extLst>
            <a:ext uri="{FF2B5EF4-FFF2-40B4-BE49-F238E27FC236}">
              <a16:creationId xmlns:a16="http://schemas.microsoft.com/office/drawing/2014/main" id="{D4CDCCB0-BF2B-4CEE-BEF2-B541FEBBF313}"/>
            </a:ext>
          </a:extLst>
        </xdr:cNvPr>
        <xdr:cNvCxnSpPr/>
      </xdr:nvCxnSpPr>
      <xdr:spPr>
        <a:xfrm flipH="1">
          <a:off x="1875064" y="48234733"/>
          <a:ext cx="0" cy="225425"/>
        </a:xfrm>
        <a:prstGeom prst="line">
          <a:avLst/>
        </a:prstGeom>
        <a:ln>
          <a:prstDash val="sysDash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688125</xdr:colOff>
      <xdr:row>214</xdr:row>
      <xdr:rowOff>5033</xdr:rowOff>
    </xdr:from>
    <xdr:to>
      <xdr:col>8</xdr:col>
      <xdr:colOff>21375</xdr:colOff>
      <xdr:row>214</xdr:row>
      <xdr:rowOff>90054</xdr:rowOff>
    </xdr:to>
    <xdr:sp macro="" textlink="">
      <xdr:nvSpPr>
        <xdr:cNvPr id="245" name="Ellipse 244">
          <a:extLst>
            <a:ext uri="{FF2B5EF4-FFF2-40B4-BE49-F238E27FC236}">
              <a16:creationId xmlns:a16="http://schemas.microsoft.com/office/drawing/2014/main" id="{82B3B459-A157-41EC-A758-0CE5286039B0}"/>
            </a:ext>
          </a:extLst>
        </xdr:cNvPr>
        <xdr:cNvSpPr/>
      </xdr:nvSpPr>
      <xdr:spPr>
        <a:xfrm>
          <a:off x="6022125" y="45251958"/>
          <a:ext cx="95250" cy="78671"/>
        </a:xfrm>
        <a:prstGeom prst="ellipse">
          <a:avLst/>
        </a:prstGeom>
        <a:solidFill>
          <a:schemeClr val="tx1">
            <a:lumMod val="95000"/>
            <a:lumOff val="5000"/>
          </a:schemeClr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7</xdr:col>
      <xdr:colOff>656375</xdr:colOff>
      <xdr:row>236</xdr:row>
      <xdr:rowOff>113777</xdr:rowOff>
    </xdr:from>
    <xdr:to>
      <xdr:col>7</xdr:col>
      <xdr:colOff>751625</xdr:colOff>
      <xdr:row>237</xdr:row>
      <xdr:rowOff>17823</xdr:rowOff>
    </xdr:to>
    <xdr:sp macro="" textlink="">
      <xdr:nvSpPr>
        <xdr:cNvPr id="246" name="Ellipse 245">
          <a:extLst>
            <a:ext uri="{FF2B5EF4-FFF2-40B4-BE49-F238E27FC236}">
              <a16:creationId xmlns:a16="http://schemas.microsoft.com/office/drawing/2014/main" id="{C984CF36-EE41-4B8B-8B35-81B6C93F960A}"/>
            </a:ext>
          </a:extLst>
        </xdr:cNvPr>
        <xdr:cNvSpPr/>
      </xdr:nvSpPr>
      <xdr:spPr>
        <a:xfrm>
          <a:off x="5990375" y="50072402"/>
          <a:ext cx="95250" cy="104071"/>
        </a:xfrm>
        <a:prstGeom prst="ellipse">
          <a:avLst/>
        </a:prstGeom>
        <a:solidFill>
          <a:schemeClr val="tx1">
            <a:lumMod val="95000"/>
            <a:lumOff val="5000"/>
          </a:schemeClr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297600</xdr:colOff>
      <xdr:row>236</xdr:row>
      <xdr:rowOff>86788</xdr:rowOff>
    </xdr:from>
    <xdr:to>
      <xdr:col>2</xdr:col>
      <xdr:colOff>392850</xdr:colOff>
      <xdr:row>236</xdr:row>
      <xdr:rowOff>190859</xdr:rowOff>
    </xdr:to>
    <xdr:sp macro="" textlink="">
      <xdr:nvSpPr>
        <xdr:cNvPr id="247" name="Ellipse 246">
          <a:extLst>
            <a:ext uri="{FF2B5EF4-FFF2-40B4-BE49-F238E27FC236}">
              <a16:creationId xmlns:a16="http://schemas.microsoft.com/office/drawing/2014/main" id="{247615D7-8CE4-43FB-A3C4-BE0CBA8A148D}"/>
            </a:ext>
          </a:extLst>
        </xdr:cNvPr>
        <xdr:cNvSpPr/>
      </xdr:nvSpPr>
      <xdr:spPr>
        <a:xfrm>
          <a:off x="1821600" y="50045413"/>
          <a:ext cx="95250" cy="104071"/>
        </a:xfrm>
        <a:prstGeom prst="ellipse">
          <a:avLst/>
        </a:prstGeom>
        <a:solidFill>
          <a:schemeClr val="tx1">
            <a:lumMod val="95000"/>
            <a:lumOff val="5000"/>
          </a:schemeClr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7</xdr:col>
      <xdr:colOff>542357</xdr:colOff>
      <xdr:row>265</xdr:row>
      <xdr:rowOff>66676</xdr:rowOff>
    </xdr:from>
    <xdr:to>
      <xdr:col>8</xdr:col>
      <xdr:colOff>254720</xdr:colOff>
      <xdr:row>279</xdr:row>
      <xdr:rowOff>177801</xdr:rowOff>
    </xdr:to>
    <xdr:grpSp>
      <xdr:nvGrpSpPr>
        <xdr:cNvPr id="248" name="Gruppieren 247">
          <a:extLst>
            <a:ext uri="{FF2B5EF4-FFF2-40B4-BE49-F238E27FC236}">
              <a16:creationId xmlns:a16="http://schemas.microsoft.com/office/drawing/2014/main" id="{9BC03B36-D2B5-4D26-87DA-4E416B13A31E}"/>
            </a:ext>
          </a:extLst>
        </xdr:cNvPr>
        <xdr:cNvGrpSpPr/>
      </xdr:nvGrpSpPr>
      <xdr:grpSpPr>
        <a:xfrm>
          <a:off x="5876357" y="58097739"/>
          <a:ext cx="474363" cy="3159125"/>
          <a:chOff x="8959665" y="2585803"/>
          <a:chExt cx="463443" cy="3651126"/>
        </a:xfrm>
      </xdr:grpSpPr>
      <xdr:sp macro="" textlink="">
        <xdr:nvSpPr>
          <xdr:cNvPr id="249" name="Rechteck 248">
            <a:extLst>
              <a:ext uri="{FF2B5EF4-FFF2-40B4-BE49-F238E27FC236}">
                <a16:creationId xmlns:a16="http://schemas.microsoft.com/office/drawing/2014/main" id="{03622AEA-1518-178A-8723-C8349C2D6BEF}"/>
              </a:ext>
            </a:extLst>
          </xdr:cNvPr>
          <xdr:cNvSpPr/>
        </xdr:nvSpPr>
        <xdr:spPr>
          <a:xfrm>
            <a:off x="8959850" y="3778250"/>
            <a:ext cx="371475" cy="1076325"/>
          </a:xfrm>
          <a:prstGeom prst="rect">
            <a:avLst/>
          </a:prstGeom>
          <a:noFill/>
          <a:ln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  <xdr:cxnSp macro="">
        <xdr:nvCxnSpPr>
          <xdr:cNvPr id="250" name="Gerader Verbinder 249">
            <a:extLst>
              <a:ext uri="{FF2B5EF4-FFF2-40B4-BE49-F238E27FC236}">
                <a16:creationId xmlns:a16="http://schemas.microsoft.com/office/drawing/2014/main" id="{D7FE6F77-F216-303A-6BB0-46191EF7AE20}"/>
              </a:ext>
            </a:extLst>
          </xdr:cNvPr>
          <xdr:cNvCxnSpPr>
            <a:endCxn id="249" idx="0"/>
          </xdr:cNvCxnSpPr>
        </xdr:nvCxnSpPr>
        <xdr:spPr>
          <a:xfrm flipH="1">
            <a:off x="9145587" y="2585803"/>
            <a:ext cx="10053" cy="1192447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251" name="Gerader Verbinder 250">
            <a:extLst>
              <a:ext uri="{FF2B5EF4-FFF2-40B4-BE49-F238E27FC236}">
                <a16:creationId xmlns:a16="http://schemas.microsoft.com/office/drawing/2014/main" id="{D4E552A6-1188-4AC3-8B6F-B6E06BBAC693}"/>
              </a:ext>
            </a:extLst>
          </xdr:cNvPr>
          <xdr:cNvCxnSpPr>
            <a:stCxn id="249" idx="2"/>
          </xdr:cNvCxnSpPr>
        </xdr:nvCxnSpPr>
        <xdr:spPr>
          <a:xfrm flipH="1">
            <a:off x="9133927" y="4854576"/>
            <a:ext cx="11660" cy="1382353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252" name="Textfeld 251">
            <a:extLst>
              <a:ext uri="{FF2B5EF4-FFF2-40B4-BE49-F238E27FC236}">
                <a16:creationId xmlns:a16="http://schemas.microsoft.com/office/drawing/2014/main" id="{73824CC5-EFD7-6BC4-40E9-F48E9657CFC4}"/>
              </a:ext>
            </a:extLst>
          </xdr:cNvPr>
          <xdr:cNvSpPr txBox="1"/>
        </xdr:nvSpPr>
        <xdr:spPr>
          <a:xfrm rot="5400000">
            <a:off x="8927696" y="4017507"/>
            <a:ext cx="527381" cy="463443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de-CH" sz="2400"/>
              <a:t>R</a:t>
            </a:r>
            <a:r>
              <a:rPr lang="de-CH" sz="2400" baseline="-25000"/>
              <a:t>Tot</a:t>
            </a:r>
          </a:p>
        </xdr:txBody>
      </xdr:sp>
    </xdr:grpSp>
    <xdr:clientData/>
  </xdr:twoCellAnchor>
  <xdr:twoCellAnchor>
    <xdr:from>
      <xdr:col>2</xdr:col>
      <xdr:colOff>353493</xdr:colOff>
      <xdr:row>265</xdr:row>
      <xdr:rowOff>66675</xdr:rowOff>
    </xdr:from>
    <xdr:to>
      <xdr:col>2</xdr:col>
      <xdr:colOff>400050</xdr:colOff>
      <xdr:row>274</xdr:row>
      <xdr:rowOff>35790</xdr:rowOff>
    </xdr:to>
    <xdr:cxnSp macro="">
      <xdr:nvCxnSpPr>
        <xdr:cNvPr id="253" name="Gerader Verbinder 252">
          <a:extLst>
            <a:ext uri="{FF2B5EF4-FFF2-40B4-BE49-F238E27FC236}">
              <a16:creationId xmlns:a16="http://schemas.microsoft.com/office/drawing/2014/main" id="{DD9644D4-4AB1-4669-B0CE-5C144F167D8C}"/>
            </a:ext>
          </a:extLst>
        </xdr:cNvPr>
        <xdr:cNvCxnSpPr>
          <a:cxnSpLocks/>
        </xdr:cNvCxnSpPr>
      </xdr:nvCxnSpPr>
      <xdr:spPr>
        <a:xfrm flipH="1">
          <a:off x="1877493" y="55959375"/>
          <a:ext cx="46557" cy="208366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323850</xdr:colOff>
      <xdr:row>265</xdr:row>
      <xdr:rowOff>50448</xdr:rowOff>
    </xdr:from>
    <xdr:to>
      <xdr:col>7</xdr:col>
      <xdr:colOff>745275</xdr:colOff>
      <xdr:row>265</xdr:row>
      <xdr:rowOff>50448</xdr:rowOff>
    </xdr:to>
    <xdr:cxnSp macro="">
      <xdr:nvCxnSpPr>
        <xdr:cNvPr id="254" name="Gerader Verbinder 253">
          <a:extLst>
            <a:ext uri="{FF2B5EF4-FFF2-40B4-BE49-F238E27FC236}">
              <a16:creationId xmlns:a16="http://schemas.microsoft.com/office/drawing/2014/main" id="{577FFF10-EBFB-4F7B-9680-8412EB868DCD}"/>
            </a:ext>
          </a:extLst>
        </xdr:cNvPr>
        <xdr:cNvCxnSpPr/>
      </xdr:nvCxnSpPr>
      <xdr:spPr>
        <a:xfrm flipH="1">
          <a:off x="1847850" y="55943148"/>
          <a:ext cx="4231425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275</xdr:row>
      <xdr:rowOff>92618</xdr:rowOff>
    </xdr:from>
    <xdr:to>
      <xdr:col>2</xdr:col>
      <xdr:colOff>615959</xdr:colOff>
      <xdr:row>275</xdr:row>
      <xdr:rowOff>92618</xdr:rowOff>
    </xdr:to>
    <xdr:cxnSp macro="">
      <xdr:nvCxnSpPr>
        <xdr:cNvPr id="255" name="Gerader Verbinder 254">
          <a:extLst>
            <a:ext uri="{FF2B5EF4-FFF2-40B4-BE49-F238E27FC236}">
              <a16:creationId xmlns:a16="http://schemas.microsoft.com/office/drawing/2014/main" id="{2D350255-4570-44D9-9F3C-6CDEB5A3A08E}"/>
            </a:ext>
          </a:extLst>
        </xdr:cNvPr>
        <xdr:cNvCxnSpPr/>
      </xdr:nvCxnSpPr>
      <xdr:spPr>
        <a:xfrm flipH="1">
          <a:off x="1524000" y="56918768"/>
          <a:ext cx="619134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190954</xdr:colOff>
      <xdr:row>274</xdr:row>
      <xdr:rowOff>74023</xdr:rowOff>
    </xdr:from>
    <xdr:to>
      <xdr:col>2</xdr:col>
      <xdr:colOff>483054</xdr:colOff>
      <xdr:row>274</xdr:row>
      <xdr:rowOff>74023</xdr:rowOff>
    </xdr:to>
    <xdr:cxnSp macro="">
      <xdr:nvCxnSpPr>
        <xdr:cNvPr id="256" name="Gerader Verbinder 255">
          <a:extLst>
            <a:ext uri="{FF2B5EF4-FFF2-40B4-BE49-F238E27FC236}">
              <a16:creationId xmlns:a16="http://schemas.microsoft.com/office/drawing/2014/main" id="{113DEC6E-45CD-4236-BA6F-0F735B7348DF}"/>
            </a:ext>
          </a:extLst>
        </xdr:cNvPr>
        <xdr:cNvCxnSpPr/>
      </xdr:nvCxnSpPr>
      <xdr:spPr>
        <a:xfrm flipH="1">
          <a:off x="1714954" y="56719198"/>
          <a:ext cx="295275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200025</xdr:colOff>
      <xdr:row>275</xdr:row>
      <xdr:rowOff>179117</xdr:rowOff>
    </xdr:from>
    <xdr:to>
      <xdr:col>2</xdr:col>
      <xdr:colOff>504825</xdr:colOff>
      <xdr:row>275</xdr:row>
      <xdr:rowOff>179117</xdr:rowOff>
    </xdr:to>
    <xdr:cxnSp macro="">
      <xdr:nvCxnSpPr>
        <xdr:cNvPr id="257" name="Gerader Verbinder 256">
          <a:extLst>
            <a:ext uri="{FF2B5EF4-FFF2-40B4-BE49-F238E27FC236}">
              <a16:creationId xmlns:a16="http://schemas.microsoft.com/office/drawing/2014/main" id="{3941BCA9-7336-450E-B938-8C7CD608622C}"/>
            </a:ext>
          </a:extLst>
        </xdr:cNvPr>
        <xdr:cNvCxnSpPr/>
      </xdr:nvCxnSpPr>
      <xdr:spPr>
        <a:xfrm flipH="1">
          <a:off x="1720850" y="57008442"/>
          <a:ext cx="304800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333375</xdr:colOff>
      <xdr:row>276</xdr:row>
      <xdr:rowOff>7667</xdr:rowOff>
    </xdr:from>
    <xdr:to>
      <xdr:col>2</xdr:col>
      <xdr:colOff>342900</xdr:colOff>
      <xdr:row>279</xdr:row>
      <xdr:rowOff>133350</xdr:rowOff>
    </xdr:to>
    <xdr:cxnSp macro="">
      <xdr:nvCxnSpPr>
        <xdr:cNvPr id="258" name="Gerader Verbinder 257">
          <a:extLst>
            <a:ext uri="{FF2B5EF4-FFF2-40B4-BE49-F238E27FC236}">
              <a16:creationId xmlns:a16="http://schemas.microsoft.com/office/drawing/2014/main" id="{D1F6B4C0-7EBB-4323-8F5B-82BFC30BF87A}"/>
            </a:ext>
          </a:extLst>
        </xdr:cNvPr>
        <xdr:cNvCxnSpPr/>
      </xdr:nvCxnSpPr>
      <xdr:spPr>
        <a:xfrm flipH="1">
          <a:off x="1857375" y="57957767"/>
          <a:ext cx="9525" cy="725758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346982</xdr:colOff>
      <xdr:row>279</xdr:row>
      <xdr:rowOff>106998</xdr:rowOff>
    </xdr:from>
    <xdr:to>
      <xdr:col>7</xdr:col>
      <xdr:colOff>729058</xdr:colOff>
      <xdr:row>279</xdr:row>
      <xdr:rowOff>157728</xdr:rowOff>
    </xdr:to>
    <xdr:cxnSp macro="">
      <xdr:nvCxnSpPr>
        <xdr:cNvPr id="259" name="Gerader Verbinder 258">
          <a:extLst>
            <a:ext uri="{FF2B5EF4-FFF2-40B4-BE49-F238E27FC236}">
              <a16:creationId xmlns:a16="http://schemas.microsoft.com/office/drawing/2014/main" id="{B370FA0F-A41E-4DEC-B831-3C3C1054A0A1}"/>
            </a:ext>
          </a:extLst>
        </xdr:cNvPr>
        <xdr:cNvCxnSpPr>
          <a:cxnSpLocks/>
        </xdr:cNvCxnSpPr>
      </xdr:nvCxnSpPr>
      <xdr:spPr>
        <a:xfrm flipH="1" flipV="1">
          <a:off x="1870982" y="59692677"/>
          <a:ext cx="4192076" cy="5073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44938</xdr:colOff>
      <xdr:row>274</xdr:row>
      <xdr:rowOff>38963</xdr:rowOff>
    </xdr:from>
    <xdr:to>
      <xdr:col>2</xdr:col>
      <xdr:colOff>654966</xdr:colOff>
      <xdr:row>274</xdr:row>
      <xdr:rowOff>38963</xdr:rowOff>
    </xdr:to>
    <xdr:cxnSp macro="">
      <xdr:nvCxnSpPr>
        <xdr:cNvPr id="260" name="Gerader Verbinder 259">
          <a:extLst>
            <a:ext uri="{FF2B5EF4-FFF2-40B4-BE49-F238E27FC236}">
              <a16:creationId xmlns:a16="http://schemas.microsoft.com/office/drawing/2014/main" id="{1D4A9766-A70A-47F1-A4D0-BA61141488DC}"/>
            </a:ext>
          </a:extLst>
        </xdr:cNvPr>
        <xdr:cNvCxnSpPr/>
      </xdr:nvCxnSpPr>
      <xdr:spPr>
        <a:xfrm flipH="1">
          <a:off x="1572113" y="56684138"/>
          <a:ext cx="610028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354239</xdr:colOff>
      <xdr:row>274</xdr:row>
      <xdr:rowOff>84000</xdr:rowOff>
    </xdr:from>
    <xdr:to>
      <xdr:col>2</xdr:col>
      <xdr:colOff>354239</xdr:colOff>
      <xdr:row>275</xdr:row>
      <xdr:rowOff>131625</xdr:rowOff>
    </xdr:to>
    <xdr:cxnSp macro="">
      <xdr:nvCxnSpPr>
        <xdr:cNvPr id="261" name="Gerader Verbinder 260">
          <a:extLst>
            <a:ext uri="{FF2B5EF4-FFF2-40B4-BE49-F238E27FC236}">
              <a16:creationId xmlns:a16="http://schemas.microsoft.com/office/drawing/2014/main" id="{0E24E3E8-9404-46C7-8009-4C826FBA90BC}"/>
            </a:ext>
          </a:extLst>
        </xdr:cNvPr>
        <xdr:cNvCxnSpPr/>
      </xdr:nvCxnSpPr>
      <xdr:spPr>
        <a:xfrm flipH="1">
          <a:off x="1875064" y="56732350"/>
          <a:ext cx="0" cy="225425"/>
        </a:xfrm>
        <a:prstGeom prst="line">
          <a:avLst/>
        </a:prstGeom>
        <a:ln>
          <a:prstDash val="sysDash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697650</xdr:colOff>
      <xdr:row>265</xdr:row>
      <xdr:rowOff>19050</xdr:rowOff>
    </xdr:from>
    <xdr:to>
      <xdr:col>8</xdr:col>
      <xdr:colOff>30900</xdr:colOff>
      <xdr:row>265</xdr:row>
      <xdr:rowOff>85021</xdr:rowOff>
    </xdr:to>
    <xdr:sp macro="" textlink="">
      <xdr:nvSpPr>
        <xdr:cNvPr id="262" name="Ellipse 261">
          <a:extLst>
            <a:ext uri="{FF2B5EF4-FFF2-40B4-BE49-F238E27FC236}">
              <a16:creationId xmlns:a16="http://schemas.microsoft.com/office/drawing/2014/main" id="{F8714C43-9CE7-4303-B308-65BFE799591F}"/>
            </a:ext>
          </a:extLst>
        </xdr:cNvPr>
        <xdr:cNvSpPr/>
      </xdr:nvSpPr>
      <xdr:spPr>
        <a:xfrm>
          <a:off x="6031650" y="55911750"/>
          <a:ext cx="95250" cy="65971"/>
        </a:xfrm>
        <a:prstGeom prst="ellipse">
          <a:avLst/>
        </a:prstGeom>
        <a:solidFill>
          <a:schemeClr val="tx1">
            <a:lumMod val="95000"/>
            <a:lumOff val="5000"/>
          </a:schemeClr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7</xdr:col>
      <xdr:colOff>665900</xdr:colOff>
      <xdr:row>279</xdr:row>
      <xdr:rowOff>105569</xdr:rowOff>
    </xdr:from>
    <xdr:to>
      <xdr:col>7</xdr:col>
      <xdr:colOff>761150</xdr:colOff>
      <xdr:row>280</xdr:row>
      <xdr:rowOff>9615</xdr:rowOff>
    </xdr:to>
    <xdr:sp macro="" textlink="">
      <xdr:nvSpPr>
        <xdr:cNvPr id="263" name="Ellipse 262">
          <a:extLst>
            <a:ext uri="{FF2B5EF4-FFF2-40B4-BE49-F238E27FC236}">
              <a16:creationId xmlns:a16="http://schemas.microsoft.com/office/drawing/2014/main" id="{43E2F0C3-69D2-4E76-8286-536B42FD4E0B}"/>
            </a:ext>
          </a:extLst>
        </xdr:cNvPr>
        <xdr:cNvSpPr/>
      </xdr:nvSpPr>
      <xdr:spPr>
        <a:xfrm>
          <a:off x="5999900" y="58655744"/>
          <a:ext cx="95250" cy="104071"/>
        </a:xfrm>
        <a:prstGeom prst="ellipse">
          <a:avLst/>
        </a:prstGeom>
        <a:solidFill>
          <a:schemeClr val="tx1">
            <a:lumMod val="95000"/>
            <a:lumOff val="5000"/>
          </a:schemeClr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292954</xdr:colOff>
      <xdr:row>279</xdr:row>
      <xdr:rowOff>48069</xdr:rowOff>
    </xdr:from>
    <xdr:to>
      <xdr:col>2</xdr:col>
      <xdr:colOff>388204</xdr:colOff>
      <xdr:row>279</xdr:row>
      <xdr:rowOff>152140</xdr:rowOff>
    </xdr:to>
    <xdr:sp macro="" textlink="">
      <xdr:nvSpPr>
        <xdr:cNvPr id="264" name="Ellipse 263">
          <a:extLst>
            <a:ext uri="{FF2B5EF4-FFF2-40B4-BE49-F238E27FC236}">
              <a16:creationId xmlns:a16="http://schemas.microsoft.com/office/drawing/2014/main" id="{BE739B1A-7F2B-4B66-BBDA-67831122BBE7}"/>
            </a:ext>
          </a:extLst>
        </xdr:cNvPr>
        <xdr:cNvSpPr/>
      </xdr:nvSpPr>
      <xdr:spPr>
        <a:xfrm>
          <a:off x="1816954" y="58598244"/>
          <a:ext cx="95250" cy="104071"/>
        </a:xfrm>
        <a:prstGeom prst="ellipse">
          <a:avLst/>
        </a:prstGeom>
        <a:solidFill>
          <a:schemeClr val="tx1">
            <a:lumMod val="95000"/>
            <a:lumOff val="5000"/>
          </a:schemeClr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345457</xdr:colOff>
      <xdr:row>265</xdr:row>
      <xdr:rowOff>17114</xdr:rowOff>
    </xdr:from>
    <xdr:to>
      <xdr:col>2</xdr:col>
      <xdr:colOff>440707</xdr:colOff>
      <xdr:row>265</xdr:row>
      <xdr:rowOff>76735</xdr:rowOff>
    </xdr:to>
    <xdr:sp macro="" textlink="">
      <xdr:nvSpPr>
        <xdr:cNvPr id="265" name="Ellipse 264">
          <a:extLst>
            <a:ext uri="{FF2B5EF4-FFF2-40B4-BE49-F238E27FC236}">
              <a16:creationId xmlns:a16="http://schemas.microsoft.com/office/drawing/2014/main" id="{A32B36B3-949E-4E22-A9BD-A01BC1BF26EA}"/>
            </a:ext>
          </a:extLst>
        </xdr:cNvPr>
        <xdr:cNvSpPr/>
      </xdr:nvSpPr>
      <xdr:spPr>
        <a:xfrm>
          <a:off x="1869457" y="55909814"/>
          <a:ext cx="95250" cy="59621"/>
        </a:xfrm>
        <a:prstGeom prst="ellipse">
          <a:avLst/>
        </a:prstGeom>
        <a:solidFill>
          <a:schemeClr val="tx1">
            <a:lumMod val="95000"/>
            <a:lumOff val="5000"/>
          </a:schemeClr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0</xdr:col>
      <xdr:colOff>470647</xdr:colOff>
      <xdr:row>1</xdr:row>
      <xdr:rowOff>67236</xdr:rowOff>
    </xdr:from>
    <xdr:to>
      <xdr:col>1</xdr:col>
      <xdr:colOff>440204</xdr:colOff>
      <xdr:row>3</xdr:row>
      <xdr:rowOff>145676</xdr:rowOff>
    </xdr:to>
    <xdr:sp macro="" textlink="">
      <xdr:nvSpPr>
        <xdr:cNvPr id="266" name="Pfeil: nach rechts 26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B9A57B2-6062-4514-876F-CB4DDC039A61}"/>
            </a:ext>
          </a:extLst>
        </xdr:cNvPr>
        <xdr:cNvSpPr/>
      </xdr:nvSpPr>
      <xdr:spPr>
        <a:xfrm rot="10800000">
          <a:off x="470647" y="246530"/>
          <a:ext cx="731557" cy="593911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1</xdr:col>
      <xdr:colOff>161636</xdr:colOff>
      <xdr:row>18</xdr:row>
      <xdr:rowOff>103909</xdr:rowOff>
    </xdr:from>
    <xdr:to>
      <xdr:col>1</xdr:col>
      <xdr:colOff>161636</xdr:colOff>
      <xdr:row>24</xdr:row>
      <xdr:rowOff>11546</xdr:rowOff>
    </xdr:to>
    <xdr:cxnSp macro="">
      <xdr:nvCxnSpPr>
        <xdr:cNvPr id="268" name="Gerade Verbindung mit Pfeil 267">
          <a:extLst>
            <a:ext uri="{FF2B5EF4-FFF2-40B4-BE49-F238E27FC236}">
              <a16:creationId xmlns:a16="http://schemas.microsoft.com/office/drawing/2014/main" id="{F3A7D8CD-E941-5137-ACD7-922F0F2F5C0A}"/>
            </a:ext>
          </a:extLst>
        </xdr:cNvPr>
        <xdr:cNvCxnSpPr/>
      </xdr:nvCxnSpPr>
      <xdr:spPr>
        <a:xfrm>
          <a:off x="923636" y="3810000"/>
          <a:ext cx="0" cy="1039091"/>
        </a:xfrm>
        <a:prstGeom prst="straightConnector1">
          <a:avLst/>
        </a:prstGeom>
        <a:ln w="12700">
          <a:solidFill>
            <a:srgbClr val="00B0F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181444</xdr:colOff>
      <xdr:row>18</xdr:row>
      <xdr:rowOff>217355</xdr:rowOff>
    </xdr:from>
    <xdr:to>
      <xdr:col>1</xdr:col>
      <xdr:colOff>135032</xdr:colOff>
      <xdr:row>21</xdr:row>
      <xdr:rowOff>161635</xdr:rowOff>
    </xdr:to>
    <xdr:sp macro="" textlink="">
      <xdr:nvSpPr>
        <xdr:cNvPr id="269" name="Textfeld 268">
          <a:extLst>
            <a:ext uri="{FF2B5EF4-FFF2-40B4-BE49-F238E27FC236}">
              <a16:creationId xmlns:a16="http://schemas.microsoft.com/office/drawing/2014/main" id="{93219C76-B9DF-2E04-AB52-191B06151378}"/>
            </a:ext>
          </a:extLst>
        </xdr:cNvPr>
        <xdr:cNvSpPr txBox="1"/>
      </xdr:nvSpPr>
      <xdr:spPr>
        <a:xfrm>
          <a:off x="181444" y="4119719"/>
          <a:ext cx="715588" cy="55618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CH" sz="2400">
              <a:solidFill>
                <a:srgbClr val="00B0F0"/>
              </a:solidFill>
            </a:rPr>
            <a:t>U</a:t>
          </a:r>
          <a:r>
            <a:rPr lang="de-CH" sz="2400" baseline="-25000">
              <a:solidFill>
                <a:srgbClr val="00B0F0"/>
              </a:solidFill>
            </a:rPr>
            <a:t>Tot</a:t>
          </a:r>
        </a:p>
      </xdr:txBody>
    </xdr:sp>
    <xdr:clientData/>
  </xdr:twoCellAnchor>
  <xdr:twoCellAnchor>
    <xdr:from>
      <xdr:col>1</xdr:col>
      <xdr:colOff>684696</xdr:colOff>
      <xdr:row>16</xdr:row>
      <xdr:rowOff>11043</xdr:rowOff>
    </xdr:from>
    <xdr:to>
      <xdr:col>2</xdr:col>
      <xdr:colOff>77304</xdr:colOff>
      <xdr:row>17</xdr:row>
      <xdr:rowOff>16565</xdr:rowOff>
    </xdr:to>
    <xdr:sp macro="" textlink="">
      <xdr:nvSpPr>
        <xdr:cNvPr id="270" name="Pfeil: nach oben 269">
          <a:extLst>
            <a:ext uri="{FF2B5EF4-FFF2-40B4-BE49-F238E27FC236}">
              <a16:creationId xmlns:a16="http://schemas.microsoft.com/office/drawing/2014/main" id="{4C6E30B6-468A-B7D9-A641-3015509039B3}"/>
            </a:ext>
          </a:extLst>
        </xdr:cNvPr>
        <xdr:cNvSpPr/>
      </xdr:nvSpPr>
      <xdr:spPr>
        <a:xfrm>
          <a:off x="1446696" y="3296478"/>
          <a:ext cx="154608" cy="215348"/>
        </a:xfrm>
        <a:prstGeom prst="upArrow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1</xdr:col>
      <xdr:colOff>219365</xdr:colOff>
      <xdr:row>15</xdr:row>
      <xdr:rowOff>127001</xdr:rowOff>
    </xdr:from>
    <xdr:to>
      <xdr:col>1</xdr:col>
      <xdr:colOff>712305</xdr:colOff>
      <xdr:row>17</xdr:row>
      <xdr:rowOff>104914</xdr:rowOff>
    </xdr:to>
    <xdr:sp macro="" textlink="">
      <xdr:nvSpPr>
        <xdr:cNvPr id="271" name="Textfeld 270">
          <a:extLst>
            <a:ext uri="{FF2B5EF4-FFF2-40B4-BE49-F238E27FC236}">
              <a16:creationId xmlns:a16="http://schemas.microsoft.com/office/drawing/2014/main" id="{F131651E-981E-B454-E958-A65A4BCE859F}"/>
            </a:ext>
          </a:extLst>
        </xdr:cNvPr>
        <xdr:cNvSpPr txBox="1"/>
      </xdr:nvSpPr>
      <xdr:spPr>
        <a:xfrm>
          <a:off x="981365" y="3371274"/>
          <a:ext cx="492940" cy="4166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CH" sz="1800" baseline="0">
              <a:solidFill>
                <a:srgbClr val="FF0000"/>
              </a:solidFill>
            </a:rPr>
            <a:t>I</a:t>
          </a:r>
          <a:r>
            <a:rPr lang="de-CH" sz="1800" baseline="-25000">
              <a:solidFill>
                <a:srgbClr val="FF0000"/>
              </a:solidFill>
            </a:rPr>
            <a:t>Tot</a:t>
          </a:r>
        </a:p>
      </xdr:txBody>
    </xdr:sp>
    <xdr:clientData/>
  </xdr:twoCellAnchor>
  <xdr:twoCellAnchor>
    <xdr:from>
      <xdr:col>1</xdr:col>
      <xdr:colOff>171946</xdr:colOff>
      <xdr:row>60</xdr:row>
      <xdr:rowOff>43170</xdr:rowOff>
    </xdr:from>
    <xdr:to>
      <xdr:col>1</xdr:col>
      <xdr:colOff>171946</xdr:colOff>
      <xdr:row>65</xdr:row>
      <xdr:rowOff>160633</xdr:rowOff>
    </xdr:to>
    <xdr:cxnSp macro="">
      <xdr:nvCxnSpPr>
        <xdr:cNvPr id="272" name="Gerade Verbindung mit Pfeil 271">
          <a:extLst>
            <a:ext uri="{FF2B5EF4-FFF2-40B4-BE49-F238E27FC236}">
              <a16:creationId xmlns:a16="http://schemas.microsoft.com/office/drawing/2014/main" id="{C6B0644D-9831-4E3E-92BF-9D0078B9D217}"/>
            </a:ext>
          </a:extLst>
        </xdr:cNvPr>
        <xdr:cNvCxnSpPr/>
      </xdr:nvCxnSpPr>
      <xdr:spPr>
        <a:xfrm>
          <a:off x="933946" y="11578083"/>
          <a:ext cx="0" cy="1028550"/>
        </a:xfrm>
        <a:prstGeom prst="straightConnector1">
          <a:avLst/>
        </a:prstGeom>
        <a:ln w="12700">
          <a:solidFill>
            <a:srgbClr val="00B0F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480391</xdr:colOff>
      <xdr:row>62</xdr:row>
      <xdr:rowOff>11043</xdr:rowOff>
    </xdr:from>
    <xdr:to>
      <xdr:col>1</xdr:col>
      <xdr:colOff>433979</xdr:colOff>
      <xdr:row>64</xdr:row>
      <xdr:rowOff>108857</xdr:rowOff>
    </xdr:to>
    <xdr:sp macro="" textlink="">
      <xdr:nvSpPr>
        <xdr:cNvPr id="273" name="Textfeld 272">
          <a:extLst>
            <a:ext uri="{FF2B5EF4-FFF2-40B4-BE49-F238E27FC236}">
              <a16:creationId xmlns:a16="http://schemas.microsoft.com/office/drawing/2014/main" id="{F5E557CF-1666-415D-BB2D-FE16D9CA3F3F}"/>
            </a:ext>
          </a:extLst>
        </xdr:cNvPr>
        <xdr:cNvSpPr txBox="1"/>
      </xdr:nvSpPr>
      <xdr:spPr>
        <a:xfrm>
          <a:off x="480391" y="13545614"/>
          <a:ext cx="715588" cy="49695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CH" sz="1800">
              <a:solidFill>
                <a:srgbClr val="00B0F0"/>
              </a:solidFill>
            </a:rPr>
            <a:t>U</a:t>
          </a:r>
          <a:r>
            <a:rPr lang="de-CH" sz="1800" baseline="-25000">
              <a:solidFill>
                <a:srgbClr val="00B0F0"/>
              </a:solidFill>
            </a:rPr>
            <a:t>Tot</a:t>
          </a:r>
        </a:p>
      </xdr:txBody>
    </xdr:sp>
    <xdr:clientData/>
  </xdr:twoCellAnchor>
  <xdr:twoCellAnchor>
    <xdr:from>
      <xdr:col>1</xdr:col>
      <xdr:colOff>695006</xdr:colOff>
      <xdr:row>57</xdr:row>
      <xdr:rowOff>77304</xdr:rowOff>
    </xdr:from>
    <xdr:to>
      <xdr:col>2</xdr:col>
      <xdr:colOff>87614</xdr:colOff>
      <xdr:row>58</xdr:row>
      <xdr:rowOff>110435</xdr:rowOff>
    </xdr:to>
    <xdr:sp macro="" textlink="">
      <xdr:nvSpPr>
        <xdr:cNvPr id="274" name="Pfeil: nach oben 273">
          <a:extLst>
            <a:ext uri="{FF2B5EF4-FFF2-40B4-BE49-F238E27FC236}">
              <a16:creationId xmlns:a16="http://schemas.microsoft.com/office/drawing/2014/main" id="{8DF85F41-C811-44D7-839A-B7B6D3384C68}"/>
            </a:ext>
          </a:extLst>
        </xdr:cNvPr>
        <xdr:cNvSpPr/>
      </xdr:nvSpPr>
      <xdr:spPr>
        <a:xfrm>
          <a:off x="1457006" y="11065565"/>
          <a:ext cx="154608" cy="215348"/>
        </a:xfrm>
        <a:prstGeom prst="upArrow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1</xdr:col>
      <xdr:colOff>172357</xdr:colOff>
      <xdr:row>57</xdr:row>
      <xdr:rowOff>71783</xdr:rowOff>
    </xdr:from>
    <xdr:to>
      <xdr:col>1</xdr:col>
      <xdr:colOff>722614</xdr:colOff>
      <xdr:row>58</xdr:row>
      <xdr:rowOff>281215</xdr:rowOff>
    </xdr:to>
    <xdr:sp macro="" textlink="">
      <xdr:nvSpPr>
        <xdr:cNvPr id="275" name="Textfeld 274">
          <a:extLst>
            <a:ext uri="{FF2B5EF4-FFF2-40B4-BE49-F238E27FC236}">
              <a16:creationId xmlns:a16="http://schemas.microsoft.com/office/drawing/2014/main" id="{C5DFBA3C-981D-4F0A-935D-F686A35DC39E}"/>
            </a:ext>
          </a:extLst>
        </xdr:cNvPr>
        <xdr:cNvSpPr txBox="1"/>
      </xdr:nvSpPr>
      <xdr:spPr>
        <a:xfrm>
          <a:off x="934357" y="12000712"/>
          <a:ext cx="550257" cy="54507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CH" sz="1800" baseline="0">
              <a:solidFill>
                <a:srgbClr val="FF0000"/>
              </a:solidFill>
            </a:rPr>
            <a:t>I</a:t>
          </a:r>
          <a:r>
            <a:rPr lang="de-CH" sz="1800" baseline="-25000">
              <a:solidFill>
                <a:srgbClr val="FF0000"/>
              </a:solidFill>
            </a:rPr>
            <a:t>Tot</a:t>
          </a:r>
        </a:p>
      </xdr:txBody>
    </xdr:sp>
    <xdr:clientData/>
  </xdr:twoCellAnchor>
  <xdr:twoCellAnchor>
    <xdr:from>
      <xdr:col>1</xdr:col>
      <xdr:colOff>122250</xdr:colOff>
      <xdr:row>103</xdr:row>
      <xdr:rowOff>15561</xdr:rowOff>
    </xdr:from>
    <xdr:to>
      <xdr:col>1</xdr:col>
      <xdr:colOff>122250</xdr:colOff>
      <xdr:row>108</xdr:row>
      <xdr:rowOff>133024</xdr:rowOff>
    </xdr:to>
    <xdr:cxnSp macro="">
      <xdr:nvCxnSpPr>
        <xdr:cNvPr id="276" name="Gerade Verbindung mit Pfeil 275">
          <a:extLst>
            <a:ext uri="{FF2B5EF4-FFF2-40B4-BE49-F238E27FC236}">
              <a16:creationId xmlns:a16="http://schemas.microsoft.com/office/drawing/2014/main" id="{AB8FFA72-51FB-46F9-9CA2-6C76883DC72E}"/>
            </a:ext>
          </a:extLst>
        </xdr:cNvPr>
        <xdr:cNvCxnSpPr/>
      </xdr:nvCxnSpPr>
      <xdr:spPr>
        <a:xfrm>
          <a:off x="884250" y="19534909"/>
          <a:ext cx="0" cy="1028550"/>
        </a:xfrm>
        <a:prstGeom prst="straightConnector1">
          <a:avLst/>
        </a:prstGeom>
        <a:ln w="12700">
          <a:solidFill>
            <a:srgbClr val="00B0F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381000</xdr:colOff>
      <xdr:row>103</xdr:row>
      <xdr:rowOff>115454</xdr:rowOff>
    </xdr:from>
    <xdr:to>
      <xdr:col>1</xdr:col>
      <xdr:colOff>384283</xdr:colOff>
      <xdr:row>106</xdr:row>
      <xdr:rowOff>145071</xdr:rowOff>
    </xdr:to>
    <xdr:sp macro="" textlink="">
      <xdr:nvSpPr>
        <xdr:cNvPr id="277" name="Textfeld 276">
          <a:extLst>
            <a:ext uri="{FF2B5EF4-FFF2-40B4-BE49-F238E27FC236}">
              <a16:creationId xmlns:a16="http://schemas.microsoft.com/office/drawing/2014/main" id="{FE44B1BC-840A-4A37-907C-5A6753FAB478}"/>
            </a:ext>
          </a:extLst>
        </xdr:cNvPr>
        <xdr:cNvSpPr txBox="1"/>
      </xdr:nvSpPr>
      <xdr:spPr>
        <a:xfrm>
          <a:off x="381000" y="22005636"/>
          <a:ext cx="765283" cy="6184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CH" sz="1800">
              <a:solidFill>
                <a:srgbClr val="00B0F0"/>
              </a:solidFill>
            </a:rPr>
            <a:t>U</a:t>
          </a:r>
          <a:r>
            <a:rPr lang="de-CH" sz="1800" baseline="-25000">
              <a:solidFill>
                <a:srgbClr val="00B0F0"/>
              </a:solidFill>
            </a:rPr>
            <a:t>Tot</a:t>
          </a:r>
        </a:p>
      </xdr:txBody>
    </xdr:sp>
    <xdr:clientData/>
  </xdr:twoCellAnchor>
  <xdr:twoCellAnchor>
    <xdr:from>
      <xdr:col>1</xdr:col>
      <xdr:colOff>645310</xdr:colOff>
      <xdr:row>100</xdr:row>
      <xdr:rowOff>49695</xdr:rowOff>
    </xdr:from>
    <xdr:to>
      <xdr:col>2</xdr:col>
      <xdr:colOff>37918</xdr:colOff>
      <xdr:row>101</xdr:row>
      <xdr:rowOff>82826</xdr:rowOff>
    </xdr:to>
    <xdr:sp macro="" textlink="">
      <xdr:nvSpPr>
        <xdr:cNvPr id="278" name="Pfeil: nach oben 277">
          <a:extLst>
            <a:ext uri="{FF2B5EF4-FFF2-40B4-BE49-F238E27FC236}">
              <a16:creationId xmlns:a16="http://schemas.microsoft.com/office/drawing/2014/main" id="{87024B88-BA3C-4472-9D8E-5A25A1092B2A}"/>
            </a:ext>
          </a:extLst>
        </xdr:cNvPr>
        <xdr:cNvSpPr/>
      </xdr:nvSpPr>
      <xdr:spPr>
        <a:xfrm>
          <a:off x="1407310" y="19022391"/>
          <a:ext cx="154608" cy="215348"/>
        </a:xfrm>
        <a:prstGeom prst="upArrow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1</xdr:col>
      <xdr:colOff>196273</xdr:colOff>
      <xdr:row>98</xdr:row>
      <xdr:rowOff>311727</xdr:rowOff>
    </xdr:from>
    <xdr:to>
      <xdr:col>1</xdr:col>
      <xdr:colOff>672918</xdr:colOff>
      <xdr:row>101</xdr:row>
      <xdr:rowOff>171174</xdr:rowOff>
    </xdr:to>
    <xdr:sp macro="" textlink="">
      <xdr:nvSpPr>
        <xdr:cNvPr id="279" name="Textfeld 278">
          <a:extLst>
            <a:ext uri="{FF2B5EF4-FFF2-40B4-BE49-F238E27FC236}">
              <a16:creationId xmlns:a16="http://schemas.microsoft.com/office/drawing/2014/main" id="{9201322D-024F-4D64-B86B-D1FFB54C2D42}"/>
            </a:ext>
          </a:extLst>
        </xdr:cNvPr>
        <xdr:cNvSpPr txBox="1"/>
      </xdr:nvSpPr>
      <xdr:spPr>
        <a:xfrm>
          <a:off x="958273" y="21082000"/>
          <a:ext cx="476645" cy="5868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CH" sz="1800" baseline="0">
              <a:solidFill>
                <a:srgbClr val="FF0000"/>
              </a:solidFill>
            </a:rPr>
            <a:t>I</a:t>
          </a:r>
          <a:r>
            <a:rPr lang="de-CH" sz="1800" baseline="-25000">
              <a:solidFill>
                <a:srgbClr val="FF0000"/>
              </a:solidFill>
            </a:rPr>
            <a:t>Tot</a:t>
          </a:r>
        </a:p>
      </xdr:txBody>
    </xdr:sp>
    <xdr:clientData/>
  </xdr:twoCellAnchor>
  <xdr:twoCellAnchor>
    <xdr:from>
      <xdr:col>1</xdr:col>
      <xdr:colOff>525338</xdr:colOff>
      <xdr:row>145</xdr:row>
      <xdr:rowOff>54212</xdr:rowOff>
    </xdr:from>
    <xdr:to>
      <xdr:col>1</xdr:col>
      <xdr:colOff>525338</xdr:colOff>
      <xdr:row>150</xdr:row>
      <xdr:rowOff>171675</xdr:rowOff>
    </xdr:to>
    <xdr:cxnSp macro="">
      <xdr:nvCxnSpPr>
        <xdr:cNvPr id="280" name="Gerade Verbindung mit Pfeil 279">
          <a:extLst>
            <a:ext uri="{FF2B5EF4-FFF2-40B4-BE49-F238E27FC236}">
              <a16:creationId xmlns:a16="http://schemas.microsoft.com/office/drawing/2014/main" id="{2C13523F-1EF9-4370-B6D9-3F6BFCAA25FB}"/>
            </a:ext>
          </a:extLst>
        </xdr:cNvPr>
        <xdr:cNvCxnSpPr/>
      </xdr:nvCxnSpPr>
      <xdr:spPr>
        <a:xfrm>
          <a:off x="1287338" y="27375777"/>
          <a:ext cx="0" cy="1028550"/>
        </a:xfrm>
        <a:prstGeom prst="straightConnector1">
          <a:avLst/>
        </a:prstGeom>
        <a:ln w="12700">
          <a:solidFill>
            <a:srgbClr val="00B0F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14179</xdr:colOff>
      <xdr:row>146</xdr:row>
      <xdr:rowOff>171763</xdr:rowOff>
    </xdr:from>
    <xdr:to>
      <xdr:col>1</xdr:col>
      <xdr:colOff>736117</xdr:colOff>
      <xdr:row>148</xdr:row>
      <xdr:rowOff>151182</xdr:rowOff>
    </xdr:to>
    <xdr:sp macro="" textlink="">
      <xdr:nvSpPr>
        <xdr:cNvPr id="281" name="Textfeld 280">
          <a:extLst>
            <a:ext uri="{FF2B5EF4-FFF2-40B4-BE49-F238E27FC236}">
              <a16:creationId xmlns:a16="http://schemas.microsoft.com/office/drawing/2014/main" id="{59210DCD-D4AC-489D-9FEB-4F183764D756}"/>
            </a:ext>
          </a:extLst>
        </xdr:cNvPr>
        <xdr:cNvSpPr txBox="1"/>
      </xdr:nvSpPr>
      <xdr:spPr>
        <a:xfrm>
          <a:off x="776179" y="31631477"/>
          <a:ext cx="721938" cy="3876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CH" sz="1800">
              <a:solidFill>
                <a:srgbClr val="00B0F0"/>
              </a:solidFill>
            </a:rPr>
            <a:t>U</a:t>
          </a:r>
          <a:r>
            <a:rPr lang="de-CH" sz="1800" baseline="-25000">
              <a:solidFill>
                <a:srgbClr val="00B0F0"/>
              </a:solidFill>
            </a:rPr>
            <a:t>Tot</a:t>
          </a:r>
        </a:p>
      </xdr:txBody>
    </xdr:sp>
    <xdr:clientData/>
  </xdr:twoCellAnchor>
  <xdr:twoCellAnchor>
    <xdr:from>
      <xdr:col>2</xdr:col>
      <xdr:colOff>286398</xdr:colOff>
      <xdr:row>142</xdr:row>
      <xdr:rowOff>88346</xdr:rowOff>
    </xdr:from>
    <xdr:to>
      <xdr:col>2</xdr:col>
      <xdr:colOff>441006</xdr:colOff>
      <xdr:row>143</xdr:row>
      <xdr:rowOff>121477</xdr:rowOff>
    </xdr:to>
    <xdr:sp macro="" textlink="">
      <xdr:nvSpPr>
        <xdr:cNvPr id="282" name="Pfeil: nach oben 281">
          <a:extLst>
            <a:ext uri="{FF2B5EF4-FFF2-40B4-BE49-F238E27FC236}">
              <a16:creationId xmlns:a16="http://schemas.microsoft.com/office/drawing/2014/main" id="{48C1510F-7897-4EAF-8963-AEA07F70D55A}"/>
            </a:ext>
          </a:extLst>
        </xdr:cNvPr>
        <xdr:cNvSpPr/>
      </xdr:nvSpPr>
      <xdr:spPr>
        <a:xfrm>
          <a:off x="1810398" y="26863259"/>
          <a:ext cx="154608" cy="215348"/>
        </a:xfrm>
        <a:prstGeom prst="upArrow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1</xdr:col>
      <xdr:colOff>503464</xdr:colOff>
      <xdr:row>141</xdr:row>
      <xdr:rowOff>149678</xdr:rowOff>
    </xdr:from>
    <xdr:to>
      <xdr:col>2</xdr:col>
      <xdr:colOff>317181</xdr:colOff>
      <xdr:row>144</xdr:row>
      <xdr:rowOff>30782</xdr:rowOff>
    </xdr:to>
    <xdr:sp macro="" textlink="">
      <xdr:nvSpPr>
        <xdr:cNvPr id="283" name="Textfeld 282">
          <a:extLst>
            <a:ext uri="{FF2B5EF4-FFF2-40B4-BE49-F238E27FC236}">
              <a16:creationId xmlns:a16="http://schemas.microsoft.com/office/drawing/2014/main" id="{44BF3E1A-9638-4F63-A7C2-437D06AEB41A}"/>
            </a:ext>
          </a:extLst>
        </xdr:cNvPr>
        <xdr:cNvSpPr txBox="1"/>
      </xdr:nvSpPr>
      <xdr:spPr>
        <a:xfrm>
          <a:off x="1265464" y="30588857"/>
          <a:ext cx="575717" cy="493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CH" sz="1800" baseline="0">
              <a:solidFill>
                <a:srgbClr val="FF0000"/>
              </a:solidFill>
            </a:rPr>
            <a:t>I</a:t>
          </a:r>
          <a:r>
            <a:rPr lang="de-CH" sz="1800" baseline="-25000">
              <a:solidFill>
                <a:srgbClr val="FF0000"/>
              </a:solidFill>
            </a:rPr>
            <a:t>Tot</a:t>
          </a:r>
        </a:p>
      </xdr:txBody>
    </xdr:sp>
    <xdr:clientData/>
  </xdr:twoCellAnchor>
  <xdr:twoCellAnchor>
    <xdr:from>
      <xdr:col>1</xdr:col>
      <xdr:colOff>525338</xdr:colOff>
      <xdr:row>185</xdr:row>
      <xdr:rowOff>37647</xdr:rowOff>
    </xdr:from>
    <xdr:to>
      <xdr:col>1</xdr:col>
      <xdr:colOff>525338</xdr:colOff>
      <xdr:row>190</xdr:row>
      <xdr:rowOff>155110</xdr:rowOff>
    </xdr:to>
    <xdr:cxnSp macro="">
      <xdr:nvCxnSpPr>
        <xdr:cNvPr id="284" name="Gerade Verbindung mit Pfeil 283">
          <a:extLst>
            <a:ext uri="{FF2B5EF4-FFF2-40B4-BE49-F238E27FC236}">
              <a16:creationId xmlns:a16="http://schemas.microsoft.com/office/drawing/2014/main" id="{31A24FC4-9BFB-4D73-97DE-9BF957E16EE9}"/>
            </a:ext>
          </a:extLst>
        </xdr:cNvPr>
        <xdr:cNvCxnSpPr/>
      </xdr:nvCxnSpPr>
      <xdr:spPr>
        <a:xfrm>
          <a:off x="1287338" y="34796995"/>
          <a:ext cx="0" cy="1028550"/>
        </a:xfrm>
        <a:prstGeom prst="straightConnector1">
          <a:avLst/>
        </a:prstGeom>
        <a:ln w="12700">
          <a:solidFill>
            <a:srgbClr val="00B0F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27787</xdr:colOff>
      <xdr:row>186</xdr:row>
      <xdr:rowOff>144766</xdr:rowOff>
    </xdr:from>
    <xdr:to>
      <xdr:col>1</xdr:col>
      <xdr:colOff>749725</xdr:colOff>
      <xdr:row>188</xdr:row>
      <xdr:rowOff>82339</xdr:rowOff>
    </xdr:to>
    <xdr:sp macro="" textlink="">
      <xdr:nvSpPr>
        <xdr:cNvPr id="285" name="Textfeld 284">
          <a:extLst>
            <a:ext uri="{FF2B5EF4-FFF2-40B4-BE49-F238E27FC236}">
              <a16:creationId xmlns:a16="http://schemas.microsoft.com/office/drawing/2014/main" id="{C26B671C-1EF3-4D2A-B218-241A14112CDB}"/>
            </a:ext>
          </a:extLst>
        </xdr:cNvPr>
        <xdr:cNvSpPr txBox="1"/>
      </xdr:nvSpPr>
      <xdr:spPr>
        <a:xfrm>
          <a:off x="789787" y="39932052"/>
          <a:ext cx="721938" cy="35939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CH" sz="1800">
              <a:solidFill>
                <a:srgbClr val="00B0F0"/>
              </a:solidFill>
            </a:rPr>
            <a:t>U</a:t>
          </a:r>
          <a:r>
            <a:rPr lang="de-CH" sz="1800" baseline="-25000">
              <a:solidFill>
                <a:srgbClr val="00B0F0"/>
              </a:solidFill>
            </a:rPr>
            <a:t>Tot</a:t>
          </a:r>
        </a:p>
      </xdr:txBody>
    </xdr:sp>
    <xdr:clientData/>
  </xdr:twoCellAnchor>
  <xdr:twoCellAnchor>
    <xdr:from>
      <xdr:col>2</xdr:col>
      <xdr:colOff>286398</xdr:colOff>
      <xdr:row>182</xdr:row>
      <xdr:rowOff>71781</xdr:rowOff>
    </xdr:from>
    <xdr:to>
      <xdr:col>2</xdr:col>
      <xdr:colOff>441006</xdr:colOff>
      <xdr:row>183</xdr:row>
      <xdr:rowOff>104912</xdr:rowOff>
    </xdr:to>
    <xdr:sp macro="" textlink="">
      <xdr:nvSpPr>
        <xdr:cNvPr id="286" name="Pfeil: nach oben 285">
          <a:extLst>
            <a:ext uri="{FF2B5EF4-FFF2-40B4-BE49-F238E27FC236}">
              <a16:creationId xmlns:a16="http://schemas.microsoft.com/office/drawing/2014/main" id="{099C31F0-C8FF-4EC7-9F42-68FE57C137C8}"/>
            </a:ext>
          </a:extLst>
        </xdr:cNvPr>
        <xdr:cNvSpPr/>
      </xdr:nvSpPr>
      <xdr:spPr>
        <a:xfrm>
          <a:off x="1810398" y="34284477"/>
          <a:ext cx="154608" cy="215348"/>
        </a:xfrm>
        <a:prstGeom prst="upArrow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1</xdr:col>
      <xdr:colOff>503464</xdr:colOff>
      <xdr:row>181</xdr:row>
      <xdr:rowOff>190500</xdr:rowOff>
    </xdr:from>
    <xdr:to>
      <xdr:col>2</xdr:col>
      <xdr:colOff>317181</xdr:colOff>
      <xdr:row>184</xdr:row>
      <xdr:rowOff>7868</xdr:rowOff>
    </xdr:to>
    <xdr:sp macro="" textlink="">
      <xdr:nvSpPr>
        <xdr:cNvPr id="287" name="Textfeld 286">
          <a:extLst>
            <a:ext uri="{FF2B5EF4-FFF2-40B4-BE49-F238E27FC236}">
              <a16:creationId xmlns:a16="http://schemas.microsoft.com/office/drawing/2014/main" id="{60678C1F-E980-418E-B1C1-95832E70CAE5}"/>
            </a:ext>
          </a:extLst>
        </xdr:cNvPr>
        <xdr:cNvSpPr txBox="1"/>
      </xdr:nvSpPr>
      <xdr:spPr>
        <a:xfrm>
          <a:off x="1265464" y="38957250"/>
          <a:ext cx="575717" cy="42968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CH" sz="1800" baseline="0">
              <a:solidFill>
                <a:srgbClr val="FF0000"/>
              </a:solidFill>
            </a:rPr>
            <a:t>I</a:t>
          </a:r>
          <a:r>
            <a:rPr lang="de-CH" sz="1800" baseline="-25000">
              <a:solidFill>
                <a:srgbClr val="FF0000"/>
              </a:solidFill>
            </a:rPr>
            <a:t>Tot</a:t>
          </a:r>
        </a:p>
      </xdr:txBody>
    </xdr:sp>
    <xdr:clientData/>
  </xdr:twoCellAnchor>
  <xdr:twoCellAnchor>
    <xdr:from>
      <xdr:col>1</xdr:col>
      <xdr:colOff>530860</xdr:colOff>
      <xdr:row>228</xdr:row>
      <xdr:rowOff>70778</xdr:rowOff>
    </xdr:from>
    <xdr:to>
      <xdr:col>1</xdr:col>
      <xdr:colOff>530860</xdr:colOff>
      <xdr:row>234</xdr:row>
      <xdr:rowOff>6024</xdr:rowOff>
    </xdr:to>
    <xdr:cxnSp macro="">
      <xdr:nvCxnSpPr>
        <xdr:cNvPr id="288" name="Gerade Verbindung mit Pfeil 287">
          <a:extLst>
            <a:ext uri="{FF2B5EF4-FFF2-40B4-BE49-F238E27FC236}">
              <a16:creationId xmlns:a16="http://schemas.microsoft.com/office/drawing/2014/main" id="{33BF8919-E250-4BB6-8530-5CD40966F287}"/>
            </a:ext>
          </a:extLst>
        </xdr:cNvPr>
        <xdr:cNvCxnSpPr/>
      </xdr:nvCxnSpPr>
      <xdr:spPr>
        <a:xfrm>
          <a:off x="1292860" y="42814561"/>
          <a:ext cx="0" cy="1028550"/>
        </a:xfrm>
        <a:prstGeom prst="straightConnector1">
          <a:avLst/>
        </a:prstGeom>
        <a:ln w="12700">
          <a:solidFill>
            <a:srgbClr val="00B0F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36484</xdr:colOff>
      <xdr:row>229</xdr:row>
      <xdr:rowOff>188330</xdr:rowOff>
    </xdr:from>
    <xdr:to>
      <xdr:col>1</xdr:col>
      <xdr:colOff>748897</xdr:colOff>
      <xdr:row>231</xdr:row>
      <xdr:rowOff>167749</xdr:rowOff>
    </xdr:to>
    <xdr:sp macro="" textlink="">
      <xdr:nvSpPr>
        <xdr:cNvPr id="289" name="Textfeld 288">
          <a:extLst>
            <a:ext uri="{FF2B5EF4-FFF2-40B4-BE49-F238E27FC236}">
              <a16:creationId xmlns:a16="http://schemas.microsoft.com/office/drawing/2014/main" id="{20D41A9B-C72D-4EAB-92F4-0904A11BED03}"/>
            </a:ext>
          </a:extLst>
        </xdr:cNvPr>
        <xdr:cNvSpPr txBox="1"/>
      </xdr:nvSpPr>
      <xdr:spPr>
        <a:xfrm>
          <a:off x="798484" y="48942723"/>
          <a:ext cx="712413" cy="3876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CH" sz="1800">
              <a:solidFill>
                <a:srgbClr val="00B0F0"/>
              </a:solidFill>
            </a:rPr>
            <a:t>U</a:t>
          </a:r>
          <a:r>
            <a:rPr lang="de-CH" sz="1800" baseline="-25000">
              <a:solidFill>
                <a:srgbClr val="00B0F0"/>
              </a:solidFill>
            </a:rPr>
            <a:t>Tot</a:t>
          </a:r>
        </a:p>
      </xdr:txBody>
    </xdr:sp>
    <xdr:clientData/>
  </xdr:twoCellAnchor>
  <xdr:twoCellAnchor>
    <xdr:from>
      <xdr:col>2</xdr:col>
      <xdr:colOff>291920</xdr:colOff>
      <xdr:row>225</xdr:row>
      <xdr:rowOff>104913</xdr:rowOff>
    </xdr:from>
    <xdr:to>
      <xdr:col>2</xdr:col>
      <xdr:colOff>446528</xdr:colOff>
      <xdr:row>226</xdr:row>
      <xdr:rowOff>138043</xdr:rowOff>
    </xdr:to>
    <xdr:sp macro="" textlink="">
      <xdr:nvSpPr>
        <xdr:cNvPr id="290" name="Pfeil: nach oben 289">
          <a:extLst>
            <a:ext uri="{FF2B5EF4-FFF2-40B4-BE49-F238E27FC236}">
              <a16:creationId xmlns:a16="http://schemas.microsoft.com/office/drawing/2014/main" id="{F1410EA6-A850-4B99-90F7-A7CFE196DEF4}"/>
            </a:ext>
          </a:extLst>
        </xdr:cNvPr>
        <xdr:cNvSpPr/>
      </xdr:nvSpPr>
      <xdr:spPr>
        <a:xfrm>
          <a:off x="1815920" y="42302043"/>
          <a:ext cx="154608" cy="215348"/>
        </a:xfrm>
        <a:prstGeom prst="upArrow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1</xdr:col>
      <xdr:colOff>544286</xdr:colOff>
      <xdr:row>225</xdr:row>
      <xdr:rowOff>13607</xdr:rowOff>
    </xdr:from>
    <xdr:to>
      <xdr:col>2</xdr:col>
      <xdr:colOff>316353</xdr:colOff>
      <xdr:row>227</xdr:row>
      <xdr:rowOff>47349</xdr:rowOff>
    </xdr:to>
    <xdr:sp macro="" textlink="">
      <xdr:nvSpPr>
        <xdr:cNvPr id="291" name="Textfeld 290">
          <a:extLst>
            <a:ext uri="{FF2B5EF4-FFF2-40B4-BE49-F238E27FC236}">
              <a16:creationId xmlns:a16="http://schemas.microsoft.com/office/drawing/2014/main" id="{603072BE-3927-4B6D-B924-0C8F93B116C9}"/>
            </a:ext>
          </a:extLst>
        </xdr:cNvPr>
        <xdr:cNvSpPr txBox="1"/>
      </xdr:nvSpPr>
      <xdr:spPr>
        <a:xfrm>
          <a:off x="1306286" y="47924357"/>
          <a:ext cx="534067" cy="45556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CH" sz="1800" baseline="0">
              <a:solidFill>
                <a:srgbClr val="FF0000"/>
              </a:solidFill>
            </a:rPr>
            <a:t>I</a:t>
          </a:r>
          <a:r>
            <a:rPr lang="de-CH" sz="1800" baseline="-25000">
              <a:solidFill>
                <a:srgbClr val="FF0000"/>
              </a:solidFill>
            </a:rPr>
            <a:t>Tot</a:t>
          </a:r>
        </a:p>
      </xdr:txBody>
    </xdr:sp>
    <xdr:clientData/>
  </xdr:twoCellAnchor>
  <xdr:twoCellAnchor>
    <xdr:from>
      <xdr:col>1</xdr:col>
      <xdr:colOff>508773</xdr:colOff>
      <xdr:row>271</xdr:row>
      <xdr:rowOff>148083</xdr:rowOff>
    </xdr:from>
    <xdr:to>
      <xdr:col>1</xdr:col>
      <xdr:colOff>508773</xdr:colOff>
      <xdr:row>277</xdr:row>
      <xdr:rowOff>83328</xdr:rowOff>
    </xdr:to>
    <xdr:cxnSp macro="">
      <xdr:nvCxnSpPr>
        <xdr:cNvPr id="296" name="Gerade Verbindung mit Pfeil 295">
          <a:extLst>
            <a:ext uri="{FF2B5EF4-FFF2-40B4-BE49-F238E27FC236}">
              <a16:creationId xmlns:a16="http://schemas.microsoft.com/office/drawing/2014/main" id="{1328C720-FE39-40DC-9851-A6E29511DF01}"/>
            </a:ext>
          </a:extLst>
        </xdr:cNvPr>
        <xdr:cNvCxnSpPr/>
      </xdr:nvCxnSpPr>
      <xdr:spPr>
        <a:xfrm>
          <a:off x="1270773" y="50876300"/>
          <a:ext cx="0" cy="1028550"/>
        </a:xfrm>
        <a:prstGeom prst="straightConnector1">
          <a:avLst/>
        </a:prstGeom>
        <a:ln w="12700">
          <a:solidFill>
            <a:srgbClr val="00B0F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789</xdr:colOff>
      <xdr:row>273</xdr:row>
      <xdr:rowOff>102349</xdr:rowOff>
    </xdr:from>
    <xdr:to>
      <xdr:col>1</xdr:col>
      <xdr:colOff>719552</xdr:colOff>
      <xdr:row>275</xdr:row>
      <xdr:rowOff>81768</xdr:rowOff>
    </xdr:to>
    <xdr:sp macro="" textlink="">
      <xdr:nvSpPr>
        <xdr:cNvPr id="297" name="Textfeld 296">
          <a:extLst>
            <a:ext uri="{FF2B5EF4-FFF2-40B4-BE49-F238E27FC236}">
              <a16:creationId xmlns:a16="http://schemas.microsoft.com/office/drawing/2014/main" id="{8F9B733C-289E-436C-8E2B-00CFC0E240E5}"/>
            </a:ext>
          </a:extLst>
        </xdr:cNvPr>
        <xdr:cNvSpPr txBox="1"/>
      </xdr:nvSpPr>
      <xdr:spPr>
        <a:xfrm>
          <a:off x="762789" y="57987135"/>
          <a:ext cx="718763" cy="4012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CH" sz="1600">
              <a:solidFill>
                <a:srgbClr val="00B0F0"/>
              </a:solidFill>
            </a:rPr>
            <a:t>U</a:t>
          </a:r>
          <a:r>
            <a:rPr lang="de-CH" sz="1600" baseline="-25000">
              <a:solidFill>
                <a:srgbClr val="00B0F0"/>
              </a:solidFill>
            </a:rPr>
            <a:t>Tot</a:t>
          </a:r>
        </a:p>
      </xdr:txBody>
    </xdr:sp>
    <xdr:clientData/>
  </xdr:twoCellAnchor>
  <xdr:twoCellAnchor>
    <xdr:from>
      <xdr:col>2</xdr:col>
      <xdr:colOff>269833</xdr:colOff>
      <xdr:row>268</xdr:row>
      <xdr:rowOff>182217</xdr:rowOff>
    </xdr:from>
    <xdr:to>
      <xdr:col>2</xdr:col>
      <xdr:colOff>424441</xdr:colOff>
      <xdr:row>270</xdr:row>
      <xdr:rowOff>33130</xdr:rowOff>
    </xdr:to>
    <xdr:sp macro="" textlink="">
      <xdr:nvSpPr>
        <xdr:cNvPr id="298" name="Pfeil: nach oben 297">
          <a:extLst>
            <a:ext uri="{FF2B5EF4-FFF2-40B4-BE49-F238E27FC236}">
              <a16:creationId xmlns:a16="http://schemas.microsoft.com/office/drawing/2014/main" id="{A154736E-E81A-4FB7-B8F1-FF3086923150}"/>
            </a:ext>
          </a:extLst>
        </xdr:cNvPr>
        <xdr:cNvSpPr/>
      </xdr:nvSpPr>
      <xdr:spPr>
        <a:xfrm>
          <a:off x="1793833" y="50363782"/>
          <a:ext cx="154608" cy="215348"/>
        </a:xfrm>
        <a:prstGeom prst="upArrow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1</xdr:col>
      <xdr:colOff>462643</xdr:colOff>
      <xdr:row>268</xdr:row>
      <xdr:rowOff>81643</xdr:rowOff>
    </xdr:from>
    <xdr:to>
      <xdr:col>2</xdr:col>
      <xdr:colOff>294266</xdr:colOff>
      <xdr:row>270</xdr:row>
      <xdr:rowOff>124653</xdr:rowOff>
    </xdr:to>
    <xdr:sp macro="" textlink="">
      <xdr:nvSpPr>
        <xdr:cNvPr id="299" name="Textfeld 298">
          <a:extLst>
            <a:ext uri="{FF2B5EF4-FFF2-40B4-BE49-F238E27FC236}">
              <a16:creationId xmlns:a16="http://schemas.microsoft.com/office/drawing/2014/main" id="{CB4C7DB5-A4E5-4034-897F-6AE2311B85CF}"/>
            </a:ext>
          </a:extLst>
        </xdr:cNvPr>
        <xdr:cNvSpPr txBox="1"/>
      </xdr:nvSpPr>
      <xdr:spPr>
        <a:xfrm>
          <a:off x="1224643" y="56932286"/>
          <a:ext cx="593623" cy="4512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CH" sz="1600" baseline="0">
              <a:solidFill>
                <a:srgbClr val="FF0000"/>
              </a:solidFill>
            </a:rPr>
            <a:t>I</a:t>
          </a:r>
          <a:r>
            <a:rPr lang="de-CH" sz="1600" baseline="-25000">
              <a:solidFill>
                <a:srgbClr val="FF0000"/>
              </a:solidFill>
            </a:rPr>
            <a:t>Tot</a:t>
          </a:r>
        </a:p>
      </xdr:txBody>
    </xdr:sp>
    <xdr:clientData/>
  </xdr:twoCellAnchor>
  <xdr:twoCellAnchor>
    <xdr:from>
      <xdr:col>1</xdr:col>
      <xdr:colOff>692150</xdr:colOff>
      <xdr:row>111</xdr:row>
      <xdr:rowOff>153982</xdr:rowOff>
    </xdr:from>
    <xdr:to>
      <xdr:col>12</xdr:col>
      <xdr:colOff>711200</xdr:colOff>
      <xdr:row>112</xdr:row>
      <xdr:rowOff>1582</xdr:rowOff>
    </xdr:to>
    <xdr:cxnSp macro="">
      <xdr:nvCxnSpPr>
        <xdr:cNvPr id="313" name="Gerader Verbinder 312">
          <a:extLst>
            <a:ext uri="{FF2B5EF4-FFF2-40B4-BE49-F238E27FC236}">
              <a16:creationId xmlns:a16="http://schemas.microsoft.com/office/drawing/2014/main" id="{19AF9F94-8328-CF17-7274-986CD7DFA080}"/>
            </a:ext>
          </a:extLst>
        </xdr:cNvPr>
        <xdr:cNvCxnSpPr/>
      </xdr:nvCxnSpPr>
      <xdr:spPr>
        <a:xfrm flipH="1" flipV="1">
          <a:off x="1454150" y="23125107"/>
          <a:ext cx="8401050" cy="3810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76200</xdr:colOff>
      <xdr:row>111</xdr:row>
      <xdr:rowOff>114300</xdr:rowOff>
    </xdr:from>
    <xdr:to>
      <xdr:col>6</xdr:col>
      <xdr:colOff>165100</xdr:colOff>
      <xdr:row>112</xdr:row>
      <xdr:rowOff>12701</xdr:rowOff>
    </xdr:to>
    <xdr:sp macro="" textlink="">
      <xdr:nvSpPr>
        <xdr:cNvPr id="314" name="Ellipse 313">
          <a:extLst>
            <a:ext uri="{FF2B5EF4-FFF2-40B4-BE49-F238E27FC236}">
              <a16:creationId xmlns:a16="http://schemas.microsoft.com/office/drawing/2014/main" id="{E6CB9E18-BF70-904C-AEA8-B50E029E19EF}"/>
            </a:ext>
          </a:extLst>
        </xdr:cNvPr>
        <xdr:cNvSpPr/>
      </xdr:nvSpPr>
      <xdr:spPr>
        <a:xfrm>
          <a:off x="4648200" y="23647400"/>
          <a:ext cx="88900" cy="95251"/>
        </a:xfrm>
        <a:prstGeom prst="ellipse">
          <a:avLst/>
        </a:prstGeom>
        <a:solidFill>
          <a:schemeClr val="tx1">
            <a:lumMod val="95000"/>
            <a:lumOff val="5000"/>
          </a:schemeClr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10</xdr:col>
      <xdr:colOff>660400</xdr:colOff>
      <xdr:row>111</xdr:row>
      <xdr:rowOff>119743</xdr:rowOff>
    </xdr:from>
    <xdr:to>
      <xdr:col>10</xdr:col>
      <xdr:colOff>749300</xdr:colOff>
      <xdr:row>112</xdr:row>
      <xdr:rowOff>18144</xdr:rowOff>
    </xdr:to>
    <xdr:sp macro="" textlink="">
      <xdr:nvSpPr>
        <xdr:cNvPr id="332" name="Ellipse 331">
          <a:extLst>
            <a:ext uri="{FF2B5EF4-FFF2-40B4-BE49-F238E27FC236}">
              <a16:creationId xmlns:a16="http://schemas.microsoft.com/office/drawing/2014/main" id="{6E3A6A7D-3C60-B4C4-4EB5-AF4B036EA643}"/>
            </a:ext>
          </a:extLst>
        </xdr:cNvPr>
        <xdr:cNvSpPr/>
      </xdr:nvSpPr>
      <xdr:spPr>
        <a:xfrm>
          <a:off x="8280400" y="23563943"/>
          <a:ext cx="88900" cy="94344"/>
        </a:xfrm>
        <a:prstGeom prst="ellipse">
          <a:avLst/>
        </a:prstGeom>
        <a:solidFill>
          <a:schemeClr val="tx1">
            <a:lumMod val="95000"/>
            <a:lumOff val="5000"/>
          </a:schemeClr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12</xdr:col>
      <xdr:colOff>656771</xdr:colOff>
      <xdr:row>111</xdr:row>
      <xdr:rowOff>152400</xdr:rowOff>
    </xdr:from>
    <xdr:to>
      <xdr:col>12</xdr:col>
      <xdr:colOff>745671</xdr:colOff>
      <xdr:row>112</xdr:row>
      <xdr:rowOff>50801</xdr:rowOff>
    </xdr:to>
    <xdr:sp macro="" textlink="">
      <xdr:nvSpPr>
        <xdr:cNvPr id="333" name="Ellipse 332">
          <a:extLst>
            <a:ext uri="{FF2B5EF4-FFF2-40B4-BE49-F238E27FC236}">
              <a16:creationId xmlns:a16="http://schemas.microsoft.com/office/drawing/2014/main" id="{F189DBA0-5D9A-7849-BB6D-068C6D98CA39}"/>
            </a:ext>
          </a:extLst>
        </xdr:cNvPr>
        <xdr:cNvSpPr/>
      </xdr:nvSpPr>
      <xdr:spPr>
        <a:xfrm>
          <a:off x="9800771" y="23596600"/>
          <a:ext cx="88900" cy="94344"/>
        </a:xfrm>
        <a:prstGeom prst="ellipse">
          <a:avLst/>
        </a:prstGeom>
        <a:solidFill>
          <a:schemeClr val="tx1">
            <a:lumMod val="95000"/>
            <a:lumOff val="5000"/>
          </a:schemeClr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12</xdr:col>
      <xdr:colOff>330128</xdr:colOff>
      <xdr:row>15</xdr:row>
      <xdr:rowOff>284501</xdr:rowOff>
    </xdr:from>
    <xdr:to>
      <xdr:col>12</xdr:col>
      <xdr:colOff>430020</xdr:colOff>
      <xdr:row>16</xdr:row>
      <xdr:rowOff>74337</xdr:rowOff>
    </xdr:to>
    <xdr:sp macro="" textlink="">
      <xdr:nvSpPr>
        <xdr:cNvPr id="150" name="Ellipse 149">
          <a:extLst>
            <a:ext uri="{FF2B5EF4-FFF2-40B4-BE49-F238E27FC236}">
              <a16:creationId xmlns:a16="http://schemas.microsoft.com/office/drawing/2014/main" id="{DE367366-5C5F-32EF-4C47-3209D4B739F5}"/>
            </a:ext>
          </a:extLst>
        </xdr:cNvPr>
        <xdr:cNvSpPr/>
      </xdr:nvSpPr>
      <xdr:spPr>
        <a:xfrm>
          <a:off x="9474128" y="4164685"/>
          <a:ext cx="99892" cy="95639"/>
        </a:xfrm>
        <a:prstGeom prst="ellipse">
          <a:avLst/>
        </a:prstGeom>
        <a:solidFill>
          <a:schemeClr val="tx1">
            <a:lumMod val="95000"/>
            <a:lumOff val="5000"/>
          </a:schemeClr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13</xdr:col>
      <xdr:colOff>518790</xdr:colOff>
      <xdr:row>15</xdr:row>
      <xdr:rowOff>289515</xdr:rowOff>
    </xdr:from>
    <xdr:to>
      <xdr:col>13</xdr:col>
      <xdr:colOff>612332</xdr:colOff>
      <xdr:row>16</xdr:row>
      <xdr:rowOff>79351</xdr:rowOff>
    </xdr:to>
    <xdr:sp macro="" textlink="">
      <xdr:nvSpPr>
        <xdr:cNvPr id="155" name="Ellipse 154">
          <a:extLst>
            <a:ext uri="{FF2B5EF4-FFF2-40B4-BE49-F238E27FC236}">
              <a16:creationId xmlns:a16="http://schemas.microsoft.com/office/drawing/2014/main" id="{BCCAD656-3D18-00B8-D836-7465A6F38C3C}"/>
            </a:ext>
          </a:extLst>
        </xdr:cNvPr>
        <xdr:cNvSpPr/>
      </xdr:nvSpPr>
      <xdr:spPr>
        <a:xfrm>
          <a:off x="10424790" y="4169699"/>
          <a:ext cx="93542" cy="95639"/>
        </a:xfrm>
        <a:prstGeom prst="ellipse">
          <a:avLst/>
        </a:prstGeom>
        <a:solidFill>
          <a:schemeClr val="tx1">
            <a:lumMod val="95000"/>
            <a:lumOff val="5000"/>
          </a:schemeClr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5</xdr:col>
      <xdr:colOff>727441</xdr:colOff>
      <xdr:row>3</xdr:row>
      <xdr:rowOff>172829</xdr:rowOff>
    </xdr:from>
    <xdr:to>
      <xdr:col>6</xdr:col>
      <xdr:colOff>58983</xdr:colOff>
      <xdr:row>4</xdr:row>
      <xdr:rowOff>67768</xdr:rowOff>
    </xdr:to>
    <xdr:sp macro="" textlink="">
      <xdr:nvSpPr>
        <xdr:cNvPr id="293" name="Ellipse 292">
          <a:extLst>
            <a:ext uri="{FF2B5EF4-FFF2-40B4-BE49-F238E27FC236}">
              <a16:creationId xmlns:a16="http://schemas.microsoft.com/office/drawing/2014/main" id="{22CDDD38-3204-8B35-B88C-5D68FC2E3E24}"/>
            </a:ext>
          </a:extLst>
        </xdr:cNvPr>
        <xdr:cNvSpPr/>
      </xdr:nvSpPr>
      <xdr:spPr>
        <a:xfrm>
          <a:off x="4537441" y="901984"/>
          <a:ext cx="93542" cy="92008"/>
        </a:xfrm>
        <a:prstGeom prst="ellipse">
          <a:avLst/>
        </a:prstGeom>
        <a:solidFill>
          <a:schemeClr val="tx1">
            <a:lumMod val="95000"/>
            <a:lumOff val="5000"/>
          </a:schemeClr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4</xdr:col>
      <xdr:colOff>730616</xdr:colOff>
      <xdr:row>3</xdr:row>
      <xdr:rowOff>159691</xdr:rowOff>
    </xdr:from>
    <xdr:to>
      <xdr:col>5</xdr:col>
      <xdr:colOff>58983</xdr:colOff>
      <xdr:row>4</xdr:row>
      <xdr:rowOff>51455</xdr:rowOff>
    </xdr:to>
    <xdr:sp macro="" textlink="">
      <xdr:nvSpPr>
        <xdr:cNvPr id="300" name="Ellipse 299">
          <a:extLst>
            <a:ext uri="{FF2B5EF4-FFF2-40B4-BE49-F238E27FC236}">
              <a16:creationId xmlns:a16="http://schemas.microsoft.com/office/drawing/2014/main" id="{200CFCCA-5AE6-05FB-77E4-681D583B78C8}"/>
            </a:ext>
          </a:extLst>
        </xdr:cNvPr>
        <xdr:cNvSpPr/>
      </xdr:nvSpPr>
      <xdr:spPr>
        <a:xfrm>
          <a:off x="3778616" y="888846"/>
          <a:ext cx="90367" cy="88833"/>
        </a:xfrm>
        <a:prstGeom prst="ellipse">
          <a:avLst/>
        </a:prstGeom>
        <a:solidFill>
          <a:schemeClr val="tx1">
            <a:lumMod val="95000"/>
            <a:lumOff val="5000"/>
          </a:schemeClr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9</xdr:col>
      <xdr:colOff>742854</xdr:colOff>
      <xdr:row>15</xdr:row>
      <xdr:rowOff>190499</xdr:rowOff>
    </xdr:from>
    <xdr:to>
      <xdr:col>10</xdr:col>
      <xdr:colOff>92075</xdr:colOff>
      <xdr:row>16</xdr:row>
      <xdr:rowOff>62877</xdr:rowOff>
    </xdr:to>
    <xdr:sp macro="" textlink="">
      <xdr:nvSpPr>
        <xdr:cNvPr id="60" name="Ellipse 59">
          <a:extLst>
            <a:ext uri="{FF2B5EF4-FFF2-40B4-BE49-F238E27FC236}">
              <a16:creationId xmlns:a16="http://schemas.microsoft.com/office/drawing/2014/main" id="{91091990-449F-3D28-C293-AD9F70AFD940}"/>
            </a:ext>
          </a:extLst>
        </xdr:cNvPr>
        <xdr:cNvSpPr/>
      </xdr:nvSpPr>
      <xdr:spPr>
        <a:xfrm>
          <a:off x="7600854" y="4435928"/>
          <a:ext cx="111221" cy="76485"/>
        </a:xfrm>
        <a:prstGeom prst="ellipse">
          <a:avLst/>
        </a:prstGeom>
        <a:solidFill>
          <a:schemeClr val="tx1">
            <a:lumMod val="95000"/>
            <a:lumOff val="5000"/>
          </a:schemeClr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10</xdr:col>
      <xdr:colOff>709394</xdr:colOff>
      <xdr:row>3</xdr:row>
      <xdr:rowOff>190500</xdr:rowOff>
    </xdr:from>
    <xdr:to>
      <xdr:col>11</xdr:col>
      <xdr:colOff>55440</xdr:colOff>
      <xdr:row>4</xdr:row>
      <xdr:rowOff>66053</xdr:rowOff>
    </xdr:to>
    <xdr:sp macro="" textlink="">
      <xdr:nvSpPr>
        <xdr:cNvPr id="61" name="Ellipse 60">
          <a:extLst>
            <a:ext uri="{FF2B5EF4-FFF2-40B4-BE49-F238E27FC236}">
              <a16:creationId xmlns:a16="http://schemas.microsoft.com/office/drawing/2014/main" id="{E3E8292C-173F-648B-4C70-7E7FF3F7EF5C}"/>
            </a:ext>
          </a:extLst>
        </xdr:cNvPr>
        <xdr:cNvSpPr/>
      </xdr:nvSpPr>
      <xdr:spPr>
        <a:xfrm>
          <a:off x="8329394" y="923192"/>
          <a:ext cx="108046" cy="73380"/>
        </a:xfrm>
        <a:prstGeom prst="ellipse">
          <a:avLst/>
        </a:prstGeom>
        <a:solidFill>
          <a:schemeClr val="tx1">
            <a:lumMod val="95000"/>
            <a:lumOff val="5000"/>
          </a:schemeClr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12</xdr:col>
      <xdr:colOff>718039</xdr:colOff>
      <xdr:row>27</xdr:row>
      <xdr:rowOff>417635</xdr:rowOff>
    </xdr:from>
    <xdr:to>
      <xdr:col>13</xdr:col>
      <xdr:colOff>62281</xdr:colOff>
      <xdr:row>28</xdr:row>
      <xdr:rowOff>53606</xdr:rowOff>
    </xdr:to>
    <xdr:sp macro="" textlink="">
      <xdr:nvSpPr>
        <xdr:cNvPr id="301" name="Ellipse 300">
          <a:extLst>
            <a:ext uri="{FF2B5EF4-FFF2-40B4-BE49-F238E27FC236}">
              <a16:creationId xmlns:a16="http://schemas.microsoft.com/office/drawing/2014/main" id="{E909EC2C-3A5B-5642-2406-5EDA22D3E5F4}"/>
            </a:ext>
          </a:extLst>
        </xdr:cNvPr>
        <xdr:cNvSpPr/>
      </xdr:nvSpPr>
      <xdr:spPr>
        <a:xfrm>
          <a:off x="9862039" y="9847385"/>
          <a:ext cx="106242" cy="82913"/>
        </a:xfrm>
        <a:prstGeom prst="ellipse">
          <a:avLst/>
        </a:prstGeom>
        <a:solidFill>
          <a:schemeClr val="tx1">
            <a:lumMod val="95000"/>
            <a:lumOff val="5000"/>
          </a:schemeClr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4</xdr:col>
      <xdr:colOff>703385</xdr:colOff>
      <xdr:row>39</xdr:row>
      <xdr:rowOff>131885</xdr:rowOff>
    </xdr:from>
    <xdr:to>
      <xdr:col>5</xdr:col>
      <xdr:colOff>47627</xdr:colOff>
      <xdr:row>39</xdr:row>
      <xdr:rowOff>214798</xdr:rowOff>
    </xdr:to>
    <xdr:sp macro="" textlink="">
      <xdr:nvSpPr>
        <xdr:cNvPr id="302" name="Ellipse 301">
          <a:extLst>
            <a:ext uri="{FF2B5EF4-FFF2-40B4-BE49-F238E27FC236}">
              <a16:creationId xmlns:a16="http://schemas.microsoft.com/office/drawing/2014/main" id="{278BA440-586D-5C8C-ACC1-C4DE6CE926B4}"/>
            </a:ext>
          </a:extLst>
        </xdr:cNvPr>
        <xdr:cNvSpPr/>
      </xdr:nvSpPr>
      <xdr:spPr>
        <a:xfrm>
          <a:off x="3751385" y="14924943"/>
          <a:ext cx="106242" cy="82913"/>
        </a:xfrm>
        <a:prstGeom prst="ellipse">
          <a:avLst/>
        </a:prstGeom>
        <a:solidFill>
          <a:schemeClr val="tx1">
            <a:lumMod val="95000"/>
            <a:lumOff val="5000"/>
          </a:schemeClr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12</xdr:col>
      <xdr:colOff>692884</xdr:colOff>
      <xdr:row>39</xdr:row>
      <xdr:rowOff>139212</xdr:rowOff>
    </xdr:from>
    <xdr:to>
      <xdr:col>13</xdr:col>
      <xdr:colOff>43476</xdr:colOff>
      <xdr:row>39</xdr:row>
      <xdr:rowOff>218950</xdr:rowOff>
    </xdr:to>
    <xdr:sp macro="" textlink="">
      <xdr:nvSpPr>
        <xdr:cNvPr id="303" name="Ellipse 302">
          <a:extLst>
            <a:ext uri="{FF2B5EF4-FFF2-40B4-BE49-F238E27FC236}">
              <a16:creationId xmlns:a16="http://schemas.microsoft.com/office/drawing/2014/main" id="{7F2DB4EF-7D64-14AD-3E4B-44469E1BC325}"/>
            </a:ext>
          </a:extLst>
        </xdr:cNvPr>
        <xdr:cNvSpPr/>
      </xdr:nvSpPr>
      <xdr:spPr>
        <a:xfrm>
          <a:off x="9836884" y="14932270"/>
          <a:ext cx="112592" cy="79738"/>
        </a:xfrm>
        <a:prstGeom prst="ellipse">
          <a:avLst/>
        </a:prstGeom>
        <a:solidFill>
          <a:schemeClr val="tx1">
            <a:lumMod val="95000"/>
            <a:lumOff val="5000"/>
          </a:schemeClr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10</xdr:col>
      <xdr:colOff>696058</xdr:colOff>
      <xdr:row>39</xdr:row>
      <xdr:rowOff>117231</xdr:rowOff>
    </xdr:from>
    <xdr:to>
      <xdr:col>11</xdr:col>
      <xdr:colOff>43475</xdr:colOff>
      <xdr:row>39</xdr:row>
      <xdr:rowOff>203319</xdr:rowOff>
    </xdr:to>
    <xdr:sp macro="" textlink="">
      <xdr:nvSpPr>
        <xdr:cNvPr id="304" name="Ellipse 303">
          <a:extLst>
            <a:ext uri="{FF2B5EF4-FFF2-40B4-BE49-F238E27FC236}">
              <a16:creationId xmlns:a16="http://schemas.microsoft.com/office/drawing/2014/main" id="{76195015-FDA5-7FE8-56E7-C03FF2AD4DE9}"/>
            </a:ext>
          </a:extLst>
        </xdr:cNvPr>
        <xdr:cNvSpPr/>
      </xdr:nvSpPr>
      <xdr:spPr>
        <a:xfrm>
          <a:off x="8316058" y="14910289"/>
          <a:ext cx="109417" cy="86088"/>
        </a:xfrm>
        <a:prstGeom prst="ellipse">
          <a:avLst/>
        </a:prstGeom>
        <a:solidFill>
          <a:schemeClr val="tx1">
            <a:lumMod val="95000"/>
            <a:lumOff val="5000"/>
          </a:schemeClr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9</xdr:col>
      <xdr:colOff>732693</xdr:colOff>
      <xdr:row>39</xdr:row>
      <xdr:rowOff>109904</xdr:rowOff>
    </xdr:from>
    <xdr:to>
      <xdr:col>10</xdr:col>
      <xdr:colOff>80110</xdr:colOff>
      <xdr:row>39</xdr:row>
      <xdr:rowOff>195992</xdr:rowOff>
    </xdr:to>
    <xdr:sp macro="" textlink="">
      <xdr:nvSpPr>
        <xdr:cNvPr id="305" name="Ellipse 304">
          <a:extLst>
            <a:ext uri="{FF2B5EF4-FFF2-40B4-BE49-F238E27FC236}">
              <a16:creationId xmlns:a16="http://schemas.microsoft.com/office/drawing/2014/main" id="{8381E6AD-78CC-BBAD-2F59-403FC5151E14}"/>
            </a:ext>
          </a:extLst>
        </xdr:cNvPr>
        <xdr:cNvSpPr/>
      </xdr:nvSpPr>
      <xdr:spPr>
        <a:xfrm>
          <a:off x="7590693" y="14902962"/>
          <a:ext cx="109417" cy="86088"/>
        </a:xfrm>
        <a:prstGeom prst="ellipse">
          <a:avLst/>
        </a:prstGeom>
        <a:solidFill>
          <a:schemeClr val="tx1">
            <a:lumMod val="95000"/>
            <a:lumOff val="5000"/>
          </a:schemeClr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5</xdr:col>
      <xdr:colOff>718039</xdr:colOff>
      <xdr:row>39</xdr:row>
      <xdr:rowOff>117231</xdr:rowOff>
    </xdr:from>
    <xdr:to>
      <xdr:col>6</xdr:col>
      <xdr:colOff>65456</xdr:colOff>
      <xdr:row>39</xdr:row>
      <xdr:rowOff>203319</xdr:rowOff>
    </xdr:to>
    <xdr:sp macro="" textlink="">
      <xdr:nvSpPr>
        <xdr:cNvPr id="306" name="Ellipse 305">
          <a:extLst>
            <a:ext uri="{FF2B5EF4-FFF2-40B4-BE49-F238E27FC236}">
              <a16:creationId xmlns:a16="http://schemas.microsoft.com/office/drawing/2014/main" id="{A99482C0-BF57-B1AC-3C53-5BEF5CD93B7F}"/>
            </a:ext>
          </a:extLst>
        </xdr:cNvPr>
        <xdr:cNvSpPr/>
      </xdr:nvSpPr>
      <xdr:spPr>
        <a:xfrm>
          <a:off x="4528039" y="14910289"/>
          <a:ext cx="109417" cy="86088"/>
        </a:xfrm>
        <a:prstGeom prst="ellipse">
          <a:avLst/>
        </a:prstGeom>
        <a:solidFill>
          <a:schemeClr val="tx1">
            <a:lumMod val="95000"/>
            <a:lumOff val="5000"/>
          </a:schemeClr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695325</xdr:colOff>
      <xdr:row>1</xdr:row>
      <xdr:rowOff>0</xdr:rowOff>
    </xdr:from>
    <xdr:to>
      <xdr:col>1</xdr:col>
      <xdr:colOff>427718</xdr:colOff>
      <xdr:row>2</xdr:row>
      <xdr:rowOff>28121</xdr:rowOff>
    </xdr:to>
    <xdr:sp macro="" textlink="">
      <xdr:nvSpPr>
        <xdr:cNvPr id="2" name="Pfeil: nach recht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B38383C-683F-4257-A285-727C47CFC1A7}"/>
            </a:ext>
          </a:extLst>
        </xdr:cNvPr>
        <xdr:cNvSpPr/>
      </xdr:nvSpPr>
      <xdr:spPr>
        <a:xfrm rot="10800000">
          <a:off x="695325" y="180975"/>
          <a:ext cx="494393" cy="323396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 editAs="oneCell">
    <xdr:from>
      <xdr:col>1</xdr:col>
      <xdr:colOff>19050</xdr:colOff>
      <xdr:row>4</xdr:row>
      <xdr:rowOff>47625</xdr:rowOff>
    </xdr:from>
    <xdr:to>
      <xdr:col>6</xdr:col>
      <xdr:colOff>673724</xdr:colOff>
      <xdr:row>16</xdr:row>
      <xdr:rowOff>19349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B36F08A4-2431-D356-B9AC-1D148959A1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1050" y="885825"/>
          <a:ext cx="4464674" cy="2143424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  <xdr:twoCellAnchor editAs="oneCell">
    <xdr:from>
      <xdr:col>9</xdr:col>
      <xdr:colOff>73026</xdr:colOff>
      <xdr:row>3</xdr:row>
      <xdr:rowOff>171450</xdr:rowOff>
    </xdr:from>
    <xdr:to>
      <xdr:col>11</xdr:col>
      <xdr:colOff>396876</xdr:colOff>
      <xdr:row>8</xdr:row>
      <xdr:rowOff>178987</xdr:rowOff>
    </xdr:to>
    <xdr:pic>
      <xdr:nvPicPr>
        <xdr:cNvPr id="4" name="Grafik 3">
          <a:extLst>
            <a:ext uri="{FF2B5EF4-FFF2-40B4-BE49-F238E27FC236}">
              <a16:creationId xmlns:a16="http://schemas.microsoft.com/office/drawing/2014/main" id="{3F38F032-46A6-601B-947A-5BEEDDD305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931026" y="828675"/>
          <a:ext cx="1847850" cy="912412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  <xdr:twoCellAnchor editAs="oneCell">
    <xdr:from>
      <xdr:col>13</xdr:col>
      <xdr:colOff>733425</xdr:colOff>
      <xdr:row>3</xdr:row>
      <xdr:rowOff>161925</xdr:rowOff>
    </xdr:from>
    <xdr:to>
      <xdr:col>19</xdr:col>
      <xdr:colOff>530835</xdr:colOff>
      <xdr:row>16</xdr:row>
      <xdr:rowOff>140026</xdr:rowOff>
    </xdr:to>
    <xdr:pic>
      <xdr:nvPicPr>
        <xdr:cNvPr id="5" name="Grafik 4">
          <a:extLst>
            <a:ext uri="{FF2B5EF4-FFF2-40B4-BE49-F238E27FC236}">
              <a16:creationId xmlns:a16="http://schemas.microsoft.com/office/drawing/2014/main" id="{25A55D28-7221-786A-3D88-0C8DF7998C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639425" y="819150"/>
          <a:ext cx="4369410" cy="2330776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  <xdr:twoCellAnchor editAs="oneCell">
    <xdr:from>
      <xdr:col>1</xdr:col>
      <xdr:colOff>28575</xdr:colOff>
      <xdr:row>21</xdr:row>
      <xdr:rowOff>0</xdr:rowOff>
    </xdr:from>
    <xdr:to>
      <xdr:col>7</xdr:col>
      <xdr:colOff>130828</xdr:colOff>
      <xdr:row>36</xdr:row>
      <xdr:rowOff>121046</xdr:rowOff>
    </xdr:to>
    <xdr:pic>
      <xdr:nvPicPr>
        <xdr:cNvPr id="6" name="Grafik 5">
          <a:extLst>
            <a:ext uri="{FF2B5EF4-FFF2-40B4-BE49-F238E27FC236}">
              <a16:creationId xmlns:a16="http://schemas.microsoft.com/office/drawing/2014/main" id="{63EED871-1370-6BFA-ED4C-4B7D4879CD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0575" y="3914775"/>
          <a:ext cx="4674253" cy="2835671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13</xdr:col>
      <xdr:colOff>257743</xdr:colOff>
      <xdr:row>30</xdr:row>
      <xdr:rowOff>143122</xdr:rowOff>
    </xdr:to>
    <xdr:pic>
      <xdr:nvPicPr>
        <xdr:cNvPr id="7" name="Grafik 6">
          <a:extLst>
            <a:ext uri="{FF2B5EF4-FFF2-40B4-BE49-F238E27FC236}">
              <a16:creationId xmlns:a16="http://schemas.microsoft.com/office/drawing/2014/main" id="{8DBBAD87-5EC9-35F1-D732-2D1E21BCA3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096000" y="3914775"/>
          <a:ext cx="4067743" cy="1771897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  <xdr:twoCellAnchor editAs="oneCell">
    <xdr:from>
      <xdr:col>14</xdr:col>
      <xdr:colOff>0</xdr:colOff>
      <xdr:row>21</xdr:row>
      <xdr:rowOff>0</xdr:rowOff>
    </xdr:from>
    <xdr:to>
      <xdr:col>19</xdr:col>
      <xdr:colOff>419690</xdr:colOff>
      <xdr:row>34</xdr:row>
      <xdr:rowOff>19381</xdr:rowOff>
    </xdr:to>
    <xdr:pic>
      <xdr:nvPicPr>
        <xdr:cNvPr id="8" name="Grafik 7">
          <a:extLst>
            <a:ext uri="{FF2B5EF4-FFF2-40B4-BE49-F238E27FC236}">
              <a16:creationId xmlns:a16="http://schemas.microsoft.com/office/drawing/2014/main" id="{02D9BAF9-EBF4-68DE-BFF9-8E2410E9C7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668000" y="3914775"/>
          <a:ext cx="4229690" cy="2372056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  <xdr:twoCellAnchor editAs="oneCell">
    <xdr:from>
      <xdr:col>1</xdr:col>
      <xdr:colOff>0</xdr:colOff>
      <xdr:row>39</xdr:row>
      <xdr:rowOff>66675</xdr:rowOff>
    </xdr:from>
    <xdr:to>
      <xdr:col>8</xdr:col>
      <xdr:colOff>191271</xdr:colOff>
      <xdr:row>52</xdr:row>
      <xdr:rowOff>73355</xdr:rowOff>
    </xdr:to>
    <xdr:pic>
      <xdr:nvPicPr>
        <xdr:cNvPr id="9" name="Grafik 8">
          <a:extLst>
            <a:ext uri="{FF2B5EF4-FFF2-40B4-BE49-F238E27FC236}">
              <a16:creationId xmlns:a16="http://schemas.microsoft.com/office/drawing/2014/main" id="{C8C7D199-0D9B-BAC0-6FE5-235930630F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62000" y="7239000"/>
          <a:ext cx="5525271" cy="2359355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676275</xdr:colOff>
      <xdr:row>1</xdr:row>
      <xdr:rowOff>0</xdr:rowOff>
    </xdr:from>
    <xdr:to>
      <xdr:col>1</xdr:col>
      <xdr:colOff>408668</xdr:colOff>
      <xdr:row>2</xdr:row>
      <xdr:rowOff>31296</xdr:rowOff>
    </xdr:to>
    <xdr:sp macro="" textlink="">
      <xdr:nvSpPr>
        <xdr:cNvPr id="2" name="Pfeil: nach recht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B4DC7C4-FB0B-4B50-9D5E-05677DA8BD77}"/>
            </a:ext>
          </a:extLst>
        </xdr:cNvPr>
        <xdr:cNvSpPr/>
      </xdr:nvSpPr>
      <xdr:spPr>
        <a:xfrm rot="10800000">
          <a:off x="676275" y="180975"/>
          <a:ext cx="494393" cy="326571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 editAs="oneCell">
    <xdr:from>
      <xdr:col>2</xdr:col>
      <xdr:colOff>9525</xdr:colOff>
      <xdr:row>3</xdr:row>
      <xdr:rowOff>161925</xdr:rowOff>
    </xdr:from>
    <xdr:to>
      <xdr:col>9</xdr:col>
      <xdr:colOff>416727</xdr:colOff>
      <xdr:row>18</xdr:row>
      <xdr:rowOff>76567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0F77A1F2-DBBE-4173-DA96-C6E5AA87BA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33525" y="819150"/>
          <a:ext cx="5741202" cy="2629267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</xdr:row>
      <xdr:rowOff>0</xdr:rowOff>
    </xdr:from>
    <xdr:to>
      <xdr:col>18</xdr:col>
      <xdr:colOff>153166</xdr:colOff>
      <xdr:row>13</xdr:row>
      <xdr:rowOff>38358</xdr:rowOff>
    </xdr:to>
    <xdr:pic>
      <xdr:nvPicPr>
        <xdr:cNvPr id="4" name="Grafik 3">
          <a:extLst>
            <a:ext uri="{FF2B5EF4-FFF2-40B4-BE49-F238E27FC236}">
              <a16:creationId xmlns:a16="http://schemas.microsoft.com/office/drawing/2014/main" id="{DC4659E2-25C9-A809-DB69-BA2DB6F305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382000" y="657225"/>
          <a:ext cx="5487166" cy="1848108"/>
        </a:xfrm>
        <a:prstGeom prst="rect">
          <a:avLst/>
        </a:prstGeom>
      </xdr:spPr>
    </xdr:pic>
    <xdr:clientData/>
  </xdr:twoCellAnchor>
  <xdr:twoCellAnchor>
    <xdr:from>
      <xdr:col>16</xdr:col>
      <xdr:colOff>15875</xdr:colOff>
      <xdr:row>19</xdr:row>
      <xdr:rowOff>173037</xdr:rowOff>
    </xdr:from>
    <xdr:to>
      <xdr:col>22</xdr:col>
      <xdr:colOff>15875</xdr:colOff>
      <xdr:row>34</xdr:row>
      <xdr:rowOff>173037</xdr:rowOff>
    </xdr:to>
    <xdr:graphicFrame macro="">
      <xdr:nvGraphicFramePr>
        <xdr:cNvPr id="6" name="Diagramm 5">
          <a:extLst>
            <a:ext uri="{FF2B5EF4-FFF2-40B4-BE49-F238E27FC236}">
              <a16:creationId xmlns:a16="http://schemas.microsoft.com/office/drawing/2014/main" id="{B7A400EA-A412-F7DD-0749-B7F7BE59E6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8T14:54:09.191"/>
    </inkml:context>
    <inkml:brush xml:id="br0">
      <inkml:brushProperty name="width" value="0.05" units="cm"/>
      <inkml:brushProperty name="height" value="0.05" units="cm"/>
      <inkml:brushProperty name="color" value="#FF0066"/>
    </inkml:brush>
  </inkml:definitions>
  <inkml:trace contextRef="#ctx0" brushRef="#br0">0 1 24575,'0'0'-8191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26T08:39:45.043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6640 397 9856,'0'0'0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26T08:40:09.614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8729 290 22527,'0'0'0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06:31:22.911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103 16 16639,'-29'9'0,"29"-9"1,0 0 0,-1 0-1,1 0 1,0 0-1,0 0 1,0 0-1,-1 0 1,1 0 0,0 1-1,0-1 1,-1 0-1,1 0 1,0 0-1,0 0 1,-1 0-1,1 0 1,0 0 0,0 0-1,-1 0 1,1 0-1,0 0 1,-1 0-1,1 0 1,0 0 0,0 0-1,-1 0 1,1 0-1,0 0 1,0 0-1,-1 0 1,1 0-1,0 0 1,0 0 0,-1 0-1,1-1 1,0 1-1,0 0 1,-2 0-1,2 0 1,0 0 0,0 0-1,0 0 1,-1 0-1,1 0 1,0 0-1,0 0 1,0 0-1,0 0 1,0 0 0,-1 0-1,1 0 1,0 0-1,0-1 1,0 1-1,0 0 1,0 0 0,0 0-1,0 0 1,0 0-1,0 0 1,0 0-1,0 0 1,0 0-1,0-1 1,1 1 0,-1-6 68,0 6-69,1-2-19,-1 1 88,2 0-1,-2 0 1,1 0-1,-1 1 0,0-2 1,-1 1-1,1 1 1,0-2-1,-2 2 0,1-1 1,0 0-1,0 0 0,-2-1 1,3 1 59,-2 2 11,0 0-1,-1-1 1,1 1 0,0-1 0,0 1 0,0 0-1,-5 0 1,-13 3 415,18-3-403,0 1 0,1-1-1,-1 0 1,0 0 0,0 0 0,1 0 0,0 1 0,1-1 0,-1 0 0,1 0 0,0 1 0,0-1 0,1 1-1,-1 1 532,0-3 86,2 0-986,2 0-1,-1 1 0,-1-1 1,1 0-1,1 0 0,-1 0 1,3 0-1,3-3-10320,-4-1 4164,-3-1 2798,-7-2 2906,2 5 671,-1-1 0,-2 1 0,-6-3 0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06:31:28.846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266 0 18815,'3'4'20,"12"16"92,-15-20-103,0 1 1,0 0 0,0 0 0,0 0 0,0 0-1,0-1 1,0 1 0,0 0 0,0 0 0,0 0-1,0 0 1,0 0 0,-1-1 0,1 1-1,0 0 1,-1 0 0,1 0 0,0-1 0,-1 1-1,1 0 1,-1-1 0,1 1 0,-1 0 0,0-1-1,1 1 1,-1 0 0,-1 0 0,-14 13 299,0-1 0,-1-1 1,-29 16-1,39-24-246,-1-1 0,1 2 0,0-1 0,1 1 0,-13 10 0,16-12-11,1-1-1,-1 1 1,1 1-1,-1-1 1,1 0 0,0 1-1,0 0 1,1-1-1,-1 1 1,1 0 0,0 0-1,0 0 1,0 0-1,-1 6 1,2 4 50,1-1-1,0 1 1,1 0 0,1-1-1,7 26 1,-4-20 9,5 37 0,-5-11 129,-3-1 0,-1 2 0,-9 87 0,-14 51-48,1-1 149,11-127-207,2 1-1,3 0 0,4 61 1,2-86-70,2 20 177,-2 2 1,-10 101 0,-22 16-103,11-72 154,-7 111 0,28-151-719,1-46-1791,0-39-1668,0-60-11480,-3 43 11544,-2-1 3680,-4-36 141</inkml:trace>
  <inkml:trace contextRef="#ctx0" brushRef="#br0" timeOffset="612.9">236 80 19711,'-65'65'384,"61"-56"11,9-8-175,12-4 126,-16 2-261,28-9 322,-26 8-356,1 0 1,0 0-1,-1 1 1,1-1-1,0 1 1,0 0 0,0 0-1,0 1 1,0-1-1,1 1 1,-1 0-1,0 0 1,0 0-1,0 0 1,0 1 0,0 0-1,0 0 1,7 2-1,32 17-7,-16-6 34,0-2 0,31 10 0,60 8 211,-84-24-146,-1 2-1,1 2 1,-1 1 0,53 26-1,-69-28-123,-1 1 1,0 1-1,-1 0 0,0 2 0,-1-1 0,0 2 1,-1 0-1,0 0 0,10 18 0,-15-20-4,-1-1 0,0 2 0,-1 0-1,-1 0 1,0 1 0,-1 0 0,0-1-1,-1 1 1,-1 1 0,0-1 0,-1 0-1,-1 25 1,-1-18-6,-1 0 1,-1 0-1,-1 0 0,-1-1 0,-1 1 0,-13 29 0,12-36-2,0-1-1,-1 1 0,0-1 1,-1-1-1,0 1 1,-1-2-1,-1 1 0,0-1 1,-20 16-1,7-11 9,0-1-1,-1-1 0,-1-1 0,0-2 1,-1 0-1,-54 13 0,25-12-47,0-3 0,-87 4-1,128-11 2507</inkml:trace>
  <inkml:trace contextRef="#ctx0" brushRef="#br0" timeOffset="1368.4">1840 1052 19583,'0'0'2560,"7"6"-2453,8 7-103,0-3-1,2 1 1,-1-1-1,1 0 1,23 8-1,25 9 104,1-3 0,2-3-1,0-3 1,124 16 0,68-12-2155,-218-17-5416,-9 0 482,-14-5 5172,-19 0 1800,0 0-1,0 0 1,0 0 0,0 0-1,0 0 1,0 0 0,0 0-1,1 0 1,-1 0 0,0 0-1,0 0 1,0 0 0,0 0-1,0 0 1,0 0-1,0 0 1,0 0 0,0 0-1,0 0 1,0 0 0,1-1-1,-1 1 1,0 0 0,0 0-1,0 0 1,0 0 0,0 0-1,0 0 1,0 0 0,0 0-1,0 0 1,0-1-1,0 1 1,0 0 0,0 0-1,0 0 1,0 0 0,0 0-1,0 0 1,0 0 0,0 0-1,0-1 1,0 1 0,0 0-1,0 0 1,0 0-1,0 0 1,0 0 0,0 0-1,-1 0 1,1 0 0,0 0-1,0-1 1,0 1-113,-2-8-2160</inkml:trace>
  <inkml:trace contextRef="#ctx0" brushRef="#br0" timeOffset="1668.89">1818 668 23679,'0'0'0,"51"20"0,-33-12 0,-3-3 0,-2-2 0,-4-3 128,21-11 0,11-8-128,14-4 0,12-2-256,5 4 128,9 1-5376,15 14 1,10 3 5503,96-7-7552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06:41:12.742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39 264 14976,'0'0'1280,"0"4"-1046,-9 102 582,-1 2-224,-1 231 462,3-144-657,14 0 96,-1-102-240,-5-78-173,2-1-1,2 16 0,-3-26-57,0 0-1,0 0 0,0-1 0,0 1 0,1 0 0,0-1 0,-1 1 0,1-1 0,1 0 0,-1 0 0,0 0 1,1 0-1,3 3 0,-5-5-15,0 0 0,0-1 0,0 1 1,0 0-1,0-1 0,1 1 0,-1-1 0,0 1 1,0-1-1,1 0 0,-1 0 0,0 0 1,1 1-1,-1-1 0,0 0 0,1 0 0,-1-1 1,0 1-1,0 0 0,1 0 0,-1-1 1,0 1-1,0-1 0,1 1 0,-1-1 0,0 1 1,0-1-1,0 0 0,0 0 0,0 1 1,0-1-1,0 0 0,0 0 0,2-2 0,1-2 15,0 0 0,0 0-1,0 0 1,-1 0-1,6-12 1,27-73 103,6-13 8,16-18-57,95-146-1,-53 125-74,-45 67 0,-3-1 0,52-105 0,-76 120 16,0-2 40,58-91 0,-66 121-34,-18 50 191,-13 93 83,4-47-124,1 84 0,8-48-59,0 3 87,26 189-1,1-159-110,-10-51 5,10 112 0,-21-131-94,-4-34 0,1 37 0,-5-65-6,0 1 0,0 0 0,0-1 0,0 1 0,0-1-1,0 1 1,0 0 0,0-1 0,0 1 0,0-1 0,0 1-1,0-1 1,0 1 0,0 0 0,1-1 0,-1 1 0,0-1 0,1 1-1,-1-1 1,0 1 0,1-1 0,-1 1 0,0-1 0,1 1-1,0 0 1,0-1-16,-1-1 1,1 1-1,0 0 0,-1 0 0,1 0 0,-1 0 0,1-1 0,0 1 0,-1 0 0,1 0 0,-1-1 1,1 1-1,-1-1 0,1 1 0,-1 0 0,1-1 0,-1 1 0,1-2 0,21-27-1194,-17 20 579,0 0 0,0 0-1,-1-1 1,0 0 0,-1 0-1,0 0 1,3-19 0,1-17-10392</inkml:trace>
  <inkml:trace contextRef="#ctx0" brushRef="#br0" timeOffset="792.02">1951 880 18943,'3'-4'128,"4"-5"-38,0 0-1,16-15 0,-20 21-62,0 1 0,1-1-1,-1 1 1,0 0-1,1 0 1,0 0-1,-1 0 1,1 0 0,0 1-1,0 0 1,0 0-1,0 0 1,6 0-1,17 2 75,1 1 0,0 2 0,-1 0 0,0 2 0,45 16 0,37 8 189,-106-29-287,117 19 408,-107-19-367,-1 0 0,1-1 1,0 0-1,0-1 0,-1 0 1,1-1-1,17-6 0,-24 6-94,0-1 0,0 0 0,-1 0-1,0-1 1,1 1 0,-1-1 0,0 0-1,-1-1 1,1 1 0,6-10 0,-4 6-1316,-1-2 0,9-16 0</inkml:trace>
  <inkml:trace contextRef="#ctx0" brushRef="#br0" timeOffset="1117.99">1933 569 19327,'0'0'0,"60"16"0,-48-9 128,-10 3 0,-2 1 0,-5-2 0,10-4 0,3-2 0,9-3 0,11-3 0,15 1 0,11-1-384,22 3 128,13 0-512,-5 3 128,1-1-13183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06:41:19.808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114 266 13440,'0'0'3093,"-1"6"-2645,-1 10-236,0 0 1,1 0-1,2 30 1,-1 25 387,-9 59 46,-5 101 10,13-172-484,5 244 637,3-223-579,4 110 351,0-205-475,-9-1-197,0 1 0,-1-1 0,0 1 1,-1-1-1,-1 0 0,-1 1 0,-3-17 0,-1-19-355,-10-258-7511,16 257-320</inkml:trace>
  <inkml:trace contextRef="#ctx0" brushRef="#br0" timeOffset="546.12">0 307 14848,'8'-17'125,"0"0"0,1 1 1,0 0-1,19-23 1,-12 18 253,16-31 1,-26 42-266,-1 0-1,1 0 0,1 1 1,0 0-1,0 0 0,1 1 1,0 0-1,0 0 1,12-8-1,-14 12-54,2 0 0,-1 0 1,0 1-1,1-1 0,-1 2 0,1-1 0,0 1 1,0 0-1,0 1 0,0 0 0,0 0 0,0 1 1,13 0-1,-4 3 31,1-1 0,-1 2 0,0 1 0,0 0 0,-1 1 0,1 0 1,26 16-1,103 73 542,-135-87-577,4 2 38,0 2 0,-1-1 0,0 2 0,21 24 0,-30-30-59,0 0 0,-1 0 1,1 1-1,-1-1 0,-1 1 0,1 0 0,-1 0 0,-1 1 0,0-1 0,0 0 0,1 18 0,-2-17 28,0 1-1,-1 0 1,-1-1-1,0 1 0,-2 11 1,2-16-34,-1-1 0,1 0 0,-1 0 0,0 0 0,0 0 0,0-1 0,0 1 0,-1 0 0,1-1 0,-1 0 0,0 1 0,0-1 1,-1 0-1,-3 2 0,-41 28 146,-92 46 1,93-56-43,2 3 1,-82 59-1,120-79-119,0 0 0,1 0 0,0 0 0,0 1-1,0-1 1,0 2 0,1-1 0,1 0 0,-5 10-1,8-16-13,1 0 0,0-1 0,0 1 0,0 0 0,0 0 0,0-1 0,0 1 0,0 0 1,0 0-1,1 0 0,-1-1 0,0 1 0,0 0 0,1 0 0,-1-1 0,0 1 0,1 0 0,-1-1 0,1 1 0,-1 0 0,1-1 0,-1 1 0,1-1 0,-1 1 0,1-1 0,-1 1 0,1-1 0,0 1 0,-1-1 0,1 0 0,0 1 0,0-1 0,-1 0 0,1 0 0,0 1 0,0-1 0,-1 0 0,1 0 0,0 0 0,0 0 0,1 0 0,39 0-287,-37 0 191,31 0-2079,39 4 1,-51-2-66,8 0-7892</inkml:trace>
  <inkml:trace contextRef="#ctx0" brushRef="#br0" timeOffset="1636.56">381 789 17535,'11'0'19,"-2"-1"105,0 2 0,0-1 0,16 4 0,-21-3-87,0 0 1,-1 0-1,1 1 1,-1-1 0,0 1-1,0 0 1,1 0-1,-1 0 1,-1 0-1,1 1 1,0-1 0,4 6-1,0 0 56,1-2 1,0 1-1,0-1 1,0 0-1,0-1 0,19 9 1,-15-8 14,-1 0 0,0 1 0,0 0 1,12 12-1,-9-4 15,-2 0 1,0 2-1,0-1 0,-2 2 1,12 23-1,15 25 267,-22-43-283,-1 0 0,-1 1-1,-1 0 1,15 46 0,-9-22 8,-17-46-119,0 1 0,0-1 0,1 0 0,-1 0 1,0 0-1,1 0 0,0 0 0,-1 0 0,1-1 1,0 1-1,0 0 0,0-1 0,0 1 0,0-1 1,0 0-1,0 0 0,1 0 0,3 2 0,-5-3-18,0 0 0,0 0 0,0 0-1,0 0 1,0 0 0,0 0 0,1-1-1,-1 1 1,0 0 0,0 0 0,0-1-1,0 1 1,0-1 0,0 1 0,0-1-1,0 1 1,-1-1 0,1 0-1,0 1 1,0-1 0,0 0 0,1-1-1,14-25-1255,-9 14-644,20-32-10045</inkml:trace>
  <inkml:trace contextRef="#ctx0" brushRef="#br0" timeOffset="2116.27">1527 668 21887,'0'0'0</inkml:trace>
  <inkml:trace contextRef="#ctx0" brushRef="#br0" timeOffset="2829.45">2491 76 21247,'-31'38'0,"29"-31"0,7-8 0,11-8 0,-2-2 0,-15 23 0,-3 14 0,-4 253 406,31 186-236,-3-181-106,-17-241-77,-1-8-34,-2 41 1,-2-64 20,1-10-56,0 0-1,1 0 1,-1 0-1,1 0 1,0-1 0,0 1-1,-1 0 1,1 0-1,0 0 1,0 0 0,1 0-1,-1 0 1,0 0-1,1 0 1,0 2 0,-1-4 49,0 0-1,0 0 1,0 0 0,0 1 0,0-1 0,0 0-1,1 0 1,-1 0 0,0 0 0,0 0 0,0 0 0,0 0-1,0 1 1,0-1 0,0 0 0,0 0 0,1 0-1,-1 0 1,0 0 0,0 0 0,0 0 0,0 0 0,0 0-1,1 0 1,-1 0 0,0 0 0,0 0 0,0 0 0,0 0-1,0 0 1,1 0 0,-1 0 0,0 0 0,0 0-1,0 0 1,0 0 0,0 0 0,1 0 0,-1 0 0,0 0-1,0 0 1,0 0 0,0 0 0,0-1 0,0 1-1,1 0 1,-1 0 0,0 0 0,0 0 0,0 0 0,0 0-1,0-1 1,1-10-987,-3-14 257,-4-2-1711,-2-1-7339</inkml:trace>
  <inkml:trace contextRef="#ctx0" brushRef="#br0" timeOffset="3259.8">1855 96 20479,'11'11'6,"-8"-7"-6,0-1 0,0 0 0,1 0 1,-1 0-1,7 4 0,-8-6 14,0 0 1,0 0 0,0 0 0,0-1-1,0 1 1,0-1 0,0 0-1,0 1 1,0-1 0,0 0-1,0 0 1,0 0 0,0-1-1,0 1 1,0 0 0,4-2-1,47-12 175,2 2-1,-1 2 1,1 3-1,1 2 1,106 5-1,-21 3-49,141-14-1,-247 9-305,1 1 0,-1 2 0,1 1 0,-1 2 0,62 15 0,-86-15-329,0 0 0,-1 0 0,1 1 0,-1 1 0,1 0 0,-2 0 0,14 11 0,18 15-11173</inkml:trace>
  <inkml:trace contextRef="#ctx0" brushRef="#br0" timeOffset="3733.05">2184 1502 19583,'0'0'128,"4"-1"0,12-3-17,-1 0 0,1 2 0,0 0 0,0 0 0,19 2 0,86 9 296,-27-1-178,0-8 34,135-18 0,-142 8-1251,168 3-1,-137 15-2019,67 4-8042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06:42:04.021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291 726 16639,'0'0'128,"-5"2"0,-1 3-92,0 0-1,1 0 0,-1 1 0,1-1 0,0 1 1,0 1-1,1-1 0,0 1 0,0-1 0,0 1 0,-4 13 1,-5 14 101,-9 44 0,14-50-66,-43 224 465,14-54-197,6-7-184,27-159-139,-5 18 78,-17 55 0,13-56-26,5 6 20,7-55-99,1 0 0,0 1 1,0-1-1,0 0 0,0 0 1,0 1-1,0-1 0,-1 0 1,1 1-1,0-1 0,0 0 1,0 0-1,0 1 0,0-1 1,0 0-1,0 1 0,0-1 1,0 0-1,1 1 0,-1-1 1,0 0-1,0 0 0,0 1 1,0-1-1,0 0 0,0 0 1,1 1-1,-1-1 0,0 0 1,0 0-1,0 1 0,0-1 1,1 0-1,-1 0 0,0 0 1,0 0-1,1 1 0,11-26-1101,-8 8 342,0 1 0,-1-1 0,2-27 0,-3 24-779,3-26-7133</inkml:trace>
  <inkml:trace contextRef="#ctx0" brushRef="#br0" timeOffset="784.5">34 685 17663,'0'0'1024,"5"-1"-917,17-4-45,1 2-1,-1 1 1,1 0 0,-1 1-1,1 1 1,-1 1-1,1 1 1,24 5 0,100 38 44,-133-40-84,-1 0-1,1 0 0,-1 1 1,0 1-1,-1 1 0,0-1 1,0 2-1,0 0 0,-1 0 1,-1 1-1,1 0 0,-2 1 1,1 0-1,-2 1 0,1 0 1,-2 0-1,10 21 0,-11-18-21,-1 0 0,-1 1 0,-1 0 0,3 32 0,-5-42 0,-1 2 0,0 1 0,0-1-1,0 1 1,-1-1-1,0 0 1,-1 1-1,0-1 1,-1 0 0,1 0-1,-1 0 1,-8 13-1,-3 3 6,-2 0 0,-21 25-1,19-26 9,6-7 73,-27 27 0,35-39-48,-1 0-1,1 0 0,-1-1 0,0 0 0,0 0 0,0 0 1,0 0-1,0-1 0,-1 0 0,1 0 0,-8 1 0,12-2-37,-1-1 0,0 0 0,0 1 0,1 0 0,-1-1 0,0 1 0,0 0 0,1 0 0,-1 0 0,1 0 0,-3 2 0,3-3 0,1 1 0,0-1 0,-1 1 0,1-1 0,0 1 0,-1-1 0,1 1 0,0-1 0,0 1 0,0-1 0,0 1 0,0-1 0,-1 1 0,1-1 0,0 1 0,0 0 0,0-1 0,0 1 0,1-1 0,-1 1 0,0-1 0,0 1 0,0-1 0,0 1 0,0-1 0,1 1 0,-1-1 0,0 1 0,1-1 0,-1 1 0,0-1 0,1 1 0,-1-1 0,0 1 0,1-1 0,-1 0 0,1 1 0,-1-1 0,1 0 0,0 1 0,59 49 0,1-1 0,60 63 0,-92-81 9,-14-17 5,-1 1 0,0 1 0,-1 0 0,-1 1 0,0 0 0,13 29 0,-7-1 9,-15-33-24,1-1 1,1 1 0,0-1 0,0 0 0,1 0 0,1 0 0,0-1 0,10 13-1,-15-22-4,-1 0 0,1 1 1,-1-1-1,1 0 0,-1 0 0,1 1 0,0-1 0,-1-1 0,1 1 0,0 0 0,0 0 0,0-1 0,0 1 0,0-1 0,-1 1 0,1-1 0,0 0 0,0 0 1,0 0-1,0 0 0,0 0 0,0 0 0,0-1 0,0 1 0,0 0 0,2-2 0,-1 1-278,0-1-1,0 0 1,0 0-1,0 0 1,0-1-1,0 1 1,-1-1-1,1 1 1,-1-1-1,0 0 1,0 0-1,3-6 1,13-22-11130</inkml:trace>
  <inkml:trace contextRef="#ctx0" brushRef="#br0" timeOffset="1236.52">1640 1285 21759,'0'0'0,"-25"4"0,13-4 128,2-1-128,2-2 128,1-1 0,2 3 0,0-2 0,1 1-256,0-4 0,4 1-1408,5-3 0,3 2 256</inkml:trace>
  <inkml:trace contextRef="#ctx0" brushRef="#br0" timeOffset="1863.16">2495 605 18559,'0'0'747,"-1"7"-619,-45 317 194,10-55-111,-27 149-211,48-264-1642,28-191-297,-9 29 1138,0-1 1,-1 1-1,2-12 1,2-15-8032</inkml:trace>
  <inkml:trace contextRef="#ctx0" brushRef="#br0" timeOffset="2312.51">2079 311 19455,'3'13'-7,"-1"-8"46,0 1 1,-1 0-1,1-1 0,-1 1 0,-1 0 0,1 0 0,-1 0 0,0 0 0,-2 10 0,2-14 2,-1-1-1,0 1 1,1-1-1,-1 1 0,0-1 1,0 0-1,0 1 1,0-1-1,0 0 1,0 0-1,-1 0 0,1 0 1,0 0-1,-1 0 1,1 0-1,0 0 1,-1-1-1,-2 2 0,4-2-35,0 0 0,0 0 0,0 0 0,-1 0 0,1 0 0,0 1 0,0-1 0,0 0 0,0 0 0,0 0 0,-1 0 0,1 0 0,0 0 1,0 0-1,0 0 0,0 1 0,0-1 0,0 0 0,0 0 0,0 0 0,0 0 0,-1 0 0,1 1 0,0-1 0,0 0 0,0 0 0,0 0 0,0 0 0,0 0 0,0 1 0,0-1 0,0 0 0,0 0 0,0 0 0,0 0 0,0 1 0,0-1 0,0 0 0,0 0 0,1 0 0,-1 0 0,0 0 0,0 1 0,0-1 0,0 0 0,0 0 0,0 0 0,0 0 0,0 0 0,0 0 0,1 1 0,8 8 118,-4-7-93,0 0-1,1 1 1,-1-2-1,1 1 1,-1-1-1,1 1 0,0-1 1,6 0-1,53 0 179,-51-1-147,210-8 451,-79 4-348,-70 1-246,142 11 0,-212-7-167,0 0 0,0 0 0,-1 0 0,1 0 0,0 1 0,-1 0 0,1 0 1,-1 0-1,0 0 0,0 1 0,0 0 0,0-1 0,0 1 0,0 1 0,-1-1 1,0 1-1,1-1 0,-1 1 0,-1 0 0,1 0 0,0 0 0,-1 1 0,0-1 1,0 0-1,0 1 0,1 7 0,8 21-10076</inkml:trace>
  <inkml:trace contextRef="#ctx0" brushRef="#br0" timeOffset="2899.13">1534 2252 18431,'17'-4'2,"-10"2"2,1 0 0,-1 1 0,1 0 0,12 0 0,-20 1 6,0 1 1,0-1 0,0 0-1,0 0 1,0 1 0,-1-1-1,1 0 1,0 0 0,0 0-1,0 1 1,0-1 0,-1 0-1,1 0 1,0 0 0,0 0-1,-1 0 1,1 1 0,0-1-1,0 0 1,0 0 0,-1 0-1,1 0 1,0 0 0,-1 0-1,1 0 1,0 0 0,0 0-1,-1 0 1,1 0 0,0 0-1,0 0 1,-1 0 0,1 0-1,0 0 1,0 0 0,-1 0-1,1-1 1,0 1 0,0 0-1,0 0 1,-1 0 0,1 0-1,0 0 1,0-1 0,0 1-1,-1 0 1,1 0 0,0 0-1,0-1 1,0 1 0,0 0-1,-1 0 1,1 0 0,0-1-1,0 1 1,0 0 0,0 0-1,0-1 1,0 1 0,0-3 29,0 0 0,0 0 0,0 0 0,0 0 0,0 0 0,1 0 0,0 0 0,-1 1 0,1-1 0,0 0 0,0 0 0,1 1 0,-1-1 0,1 1 0,-1-1 0,1 1 0,0 0 0,-1-1 0,1 1 0,3-2 0,2-3 65,0 1 0,0-1 0,1 2 0,16-11 0,1 5 36,0 2-1,0 0 1,1 2 0,1 1-1,32-4 1,-28 5-46,86-11 448,194 1 1,-152 11-351,-147 3-183,89-6 105,-86 5-247,0 0 1,-1-1-1,0-1 0,24-8 0,-31 8-114,1-1-1,-1 0 1,0 0 0,0 0-1,8-9 1,3-2-2414</inkml:trace>
  <inkml:trace contextRef="#ctx0" brushRef="#br0" timeOffset="3205.86">3330 27 18687</inkml:trace>
  <inkml:trace contextRef="#ctx0" brushRef="#br0" timeOffset="3651.77">3330 27 18687,'0'0'512,"4"-1"-384,23-7 113,-15 4-110,0 0 0,0 1 0,0 0 0,13 0 0,-18 3-98,0 0 0,-1 0 0,1 1-1,0 0 1,-1 1 0,1 0-1,-1 0 1,1 0 0,-1 0-1,0 1 1,7 4 0,-4-1-3,0 0 1,-1 1-1,0 0 1,0 0-1,0 1 0,10 13 1,-8-7-1,0 1 0,-1 0 0,-1 1-1,0 0 1,-1 0 0,-1 1 0,0 0 0,3 22 0,-3 1-23,-3 1 0,-1 48 0,-2-79-7,-1 0 0,0 0 0,0-1 0,-1 1 0,0 0 0,-1-1 0,0 0 0,0 0 0,-1 1 0,0-2 0,-1 1 0,0-1 0,0 1 0,-1-1 0,0-1 0,0 1 0,-1-1 0,-13 11 0,-25 21 0,-48 40 0,89-76-1,-18 17-41,22-20 40,-1 1 0,1 0 0,-1-1 1,1 1-1,-1 0 0,1-1 0,0 1 0,0 0 1,-1-1-1,1 1 0,0 0 0,0-1 0,0 1 1,-1 0-1,1 0 0,0 0 0,0-1 0,0 1 1,0 0-1,1 0 0,-1-1 0,0 1 0,0 0 1,0-1-1,1 1 0,-1 0 0,0 0 0,1-1 1,-1 1-1,0 0 0,1-1 0,-1 1 0,1-1 0,0 2 1,15 12-8,1-1 1,21 13-1,3 3 13,-28-19 2,30 23-11,79 46-1,-107-71-352,1 0 0,0-1 1,0-1-1,1-1 0,0 0 0,0-1 0,0-1 0,0 0 0,25 0 0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06:41:55.624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111 157 15360,'0'0'277,"0"4"-64,3 15-18,-1 0 0,0 1-1,-2-1 1,-1 0-1,0 0 1,-1 0 0,-9 37-1,3-10 43,1 0-1,1 83 0,2-31 58,-65 843 389,69-756-509,2-125-220,-1-83-662,2-1 1,7-30 0,1-8-2398,-4 1-6281</inkml:trace>
  <inkml:trace contextRef="#ctx0" brushRef="#br0" timeOffset="871.25">1 26 17535,'5'49'0,"-5"-48"0,0-1 0,0 1 0,1-1 0,-1 1 0,0-1 0,0 1 0,0-1 0,0 1-1,1-1 1,-1 1 0,0-1 0,0 1 0,1-1 0,-1 0 0,0 1 0,1-1 0,-1 0-1,1 1 1,-1-1 0,0 0 0,1 1 0,-1-1 0,1 0 0,-1 0 0,1 1 0,-1-1 0,1 0-1,-1 0 1,1 0 0,-1 0 0,1 1 0,-1-1 0,1 0 0,-1 0 0,1 0 0,-1 0-1,1 0 1,-1-1 0,1 1 0,-1 0 0,1 0 0,-1 0 0,1 0 0,0-1 0,24-13 9,-18 9 8,11-5 68,0 1 0,0 0 1,1 2-1,0 0 0,0 1 1,1 1-1,0 1 0,0 0 1,24 0-1,-42 4-77,1 0 0,-1 0 0,1 0 0,-1 1 0,1-1 0,-1 1 1,0 0-1,1-1 0,-1 1 0,0 0 0,1 0 0,-1 1 0,0-1 0,0 0 0,0 1 0,0 0 0,0-1 0,0 1 0,-1 0 0,1 0 0,0 0 0,-1 0 0,1 0 1,-1 0-1,0 0 0,0 0 0,0 1 0,0-1 0,1 5 0,1 6 31,-1 0 0,0 1 0,0-1 1,-2 21-1,2 4 35,5 17-2,0-11-48,-3 1 1,-1 0 0,-5 71 0,-8-45 26,-22 89 1,21-120-14,-2-1 0,-1 0 1,-32 60-1,42-91-24,-1-1 0,0 0 1,0 1-1,0-2 0,-1 1 1,0-1-1,-9 8 0,12-12-14,-1 1-1,1-1 1,-1 0-1,0 0 1,0 0-1,0 0 1,0-1 0,0 1-1,0-1 1,0 0-1,0-1 1,0 1-1,-1-1 1,1 0-1,0 1 1,-7-2-1,3 0 1,0-1 0,0 0 0,1 0 0,-1 0 0,1-1 0,-11-5 0,14 6 0,1 0 0,-1-1 0,1 1 0,0-1 0,0 1 0,0-1 0,0 0 0,1 0 0,-1 0 0,1 0 0,0-1 0,0 1 0,0-1 0,-2-4 0,4 7 0,0 1 0,0 0 0,0 0 0,0 0 0,0-1 0,0 1 0,0 0 0,0 0 0,0-1 0,0 1 0,0 0 0,0 0 0,0 0 0,0-1 0,0 1 0,0 0 0,0 0 0,0 0 0,0-1 0,0 1 0,1 0 0,-1 0 0,0 0 0,0 0 0,0-1 0,0 1 0,0 0 0,1 0 0,-1 0 0,0 0 0,0 0 0,0 0 0,1 0 0,-1-1 0,0 1 0,0 0 0,0 0 0,1 0 0,-1 0 0,0 0 0,0 0 0,0 0 0,1 0 0,11-1 0,-9 1 0,17-1 0,0 0 0,0 1-1,1 1 1,20 4 0,-29-3 2,0 1 1,-1 0-1,0 0 1,1 1-1,-1 1 1,-1 0 0,1 0-1,13 10 1,-12-4 33,0 0 1,0 1 0,-1 1-1,0 0 1,16 28 0,-12-20-23,-3 0 14,-1 1-1,0 0 1,-2 1-1,0-1 0,5 26 1,-8-25 5,1 0 0,1-1 0,2 0 0,0 0 0,16 24 0,19 28-3,12 14 89,-54-84-227,0 0 1,1-1-1,-1 1 0,1-1 0,0 1 0,0-1 0,1-1 0,-1 1 0,1 0 0,5 1 0,-8-3-111,1 0-1,-1 0 1,0 0-1,1-1 1,-1 1-1,1-1 1,0 0-1,-1 0 1,1 0-1,-1 0 1,1 0-1,-1 0 1,1-1-1,-1 1 1,1-1 0,-1 0-1,1 1 1,-1-1-1,0 0 1,1-1-1,2-1 1</inkml:trace>
  <inkml:trace contextRef="#ctx0" brushRef="#br0" timeOffset="1250.83">1114 975 20607,'0'0'0,"33"-36"-1536,-9 17 512,7-1-128,-12 4 129</inkml:trace>
  <inkml:trace contextRef="#ctx0" brushRef="#br0" timeOffset="1920.27">2257 134 20607,'-35'14'0,"35"-14"0,0 0 0,0 0 0,0 0 0,0 0 0,0 0 0,0 0 0,0-1 0,0 1 0,0 0 0,0 0 0,0 0 0,0 0 0,0 0 0,0 0 0,0 0 0,0 0 0,0-1 0,0 1 0,0 0 0,0 0 0,0 0 0,1 0 0,-1 0 0,0 0 0,0 0 0,0 0 0,0 0 0,0 0 0,0 0 0,0 0 0,0-1 0,0 1 0,1 0 0,-1 0 0,0 0 0,0 0 0,0 0 0,0 0 0,0 0 0,0 0 0,0 0 0,0 0 0,1 0 0,-1 0 0,0 0 0,0 0 0,0 0 0,0 0 0,0 0 0,0 0 0,0 1 0,1-1 0,-1 0 0,0 0 0,0 0 0,0 0 0,0 0 0,0 0 0,0 0 0,9-14 79,-6 9 12,-6 13-26,-18 55-60,2 2 1,2 0-1,-14 130 0,17-62-5,-55 228 0,58-319 0,-58 222 0,66-248-1,-2 9-52,-2-1 0,0 0 0,-13 30 0,20-54 31,0 0 1,0 1-1,-1-1 0,1 0 1,0 0-1,0 0 1,0 0-1,0 0 0,0 1 1,0-1-1,0 0 0,0 0 1,0 0-1,0 0 0,0 0 1,0 0-1,0 1 0,0-1 1,0 0-1,-1 0 1,1 0-1,0 0 0,0 0 1,0 0-1,0 0 0,0 0 1,0 0-1,-1 0 0,1 0 1,0 1-1,0-1 0,0 0 1,0 0-1,0 0 0,-1 0 1,1 0-1,0 0 1,0 0-1,0 0 0,0 0 1,0 0-1,-1 0 0,1 0 1,0-1-1,0 1 0,-3-7-872,1-12-309,3-33-2509,-1 25-5525</inkml:trace>
  <inkml:trace contextRef="#ctx0" brushRef="#br0" timeOffset="2353.39">1622 274 18559,'24'43'0,"-25"-47"25,-6-29 88,6 31-107,1 0 0,0 0 0,0-1 0,0 1 0,0 0 0,0 0 0,0 0 0,0 0 0,1-1 1,-1 1-1,1 0 0,0 0 0,-1 0 0,1 0 0,2-2 0,1-1 5,2 0 0,-1 0 0,1 0-1,-1 1 1,1-1 0,0 2 0,1-1 0,-1 0-1,1 1 1,-1 1 0,1-1 0,0 1 0,0 0 0,9-1-1,12-1-15,1 1-1,36 1 1,-33 2 30,187 0 204,58-1 54,-162-8-121,57-2-239,-169 11-207,28 1-943,-14 5-3043</inkml:trace>
  <inkml:trace contextRef="#ctx0" brushRef="#br0" timeOffset="2835.33">1653 1723 19583,'19'-10'0,"-1"-1"0,34-26 0,-47 34 0,0-1 0,1 2 0,-1-1 0,0 0 0,1 1 0,0 0 0,0 0 0,-1 1 0,1 0 0,0 0 0,7 0 0,12-1 0,33 3 0,-37 0 0,165 16 175,-125-9-63,-1-3 1,110-4-1,-63-6-867,-34 4-2671</inkml:trace>
  <inkml:trace contextRef="#ctx0" brushRef="#br0" timeOffset="3697.8">3239 825 20607,'0'0'640,"34"-6"-2816,-15 4 1152</inkml:trace>
  <inkml:trace contextRef="#ctx0" brushRef="#br0" timeOffset="4486.65">4304 204 19967,'-12'53'16,"-8"101"-1,11 56 45,-1 24-23,-10-74-9,-4 62 51,23-169-63,1-33-21,0 1-1,-1-1 1,-1 0 0,-1 0-1,-1 1 1,-9 27 0,3-29-583,5-19-505,4-12-106,3-44-2406,-2 24-5611</inkml:trace>
  <inkml:trace contextRef="#ctx0" brushRef="#br0" timeOffset="4898.2">3718 129 19327,'8'1'107,"49"8"71,0-3 0,72-2-1,170-9 507,168-7-88,-449 10-833,37 1-29,-50 1-204,-1 1 0,0-1-1,0 1 1,1 0 0,-1 0 0,0 0 0,0 1 0,0 0 0,0 0 0,4 2 0</inkml:trace>
  <inkml:trace contextRef="#ctx0" brushRef="#br0" timeOffset="5313.82">3690 1524 20223,'0'0'0,"28"-17"0,-1 9 0,10 2 0,9 3 0,8 3 0,11 12 0,10 8 0,6 5 128,12 5-128,21 8 128,21 5-128,-18-8 0,-3-5-640,-9-10 128,-5-8-384,104 21-12159</inkml:trace>
  <inkml:trace contextRef="#ctx0" brushRef="#br0" timeOffset="7444.84">5912 1103 18303,'41'22'-4,"-17"-9"91,1-1 0,30 11-1,11 3 267,-52-20-272,0 1 0,1-2 1,0 0-1,0-1 0,1 0 0,-1-1 1,27 1-1,123 4-115,-114-5-913,-45-2 405,1-1 1,0 0 0,0-1-1,0 0 1,-1 0 0,1 0 0,8-3-1</inkml:trace>
  <inkml:trace contextRef="#ctx0" brushRef="#br0" timeOffset="7784.07">5793 864 18943,'0'0'0,"25"0"0,-5 0 0,7 3 0,20 0 0,15 2 0,-16 3 128,-9 4-128,-6-2 128,-2-1-128,4-3 0,1-4 0,0-7 0,4-4-384,14-2 0,10-2-512,-4 4 0,-1-2-10879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06:31:34.304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4667 278 18175,'0'0'640,"-1"4"-512,-16 62 0,3-2 0,3 2 0,-4 76 0,3 624 768,20-660-682,5-1-1,27 107 0,-28-161-79,32 89 0,-36-118-102,2-1 0,1 1 0,0-2-1,1 0 1,2-1 0,20 24 0,-30-38-28,1 0 0,0 0 0,0 0 0,0-1 0,1-1 0,0 1 0,-1-1 0,1 0-1,0 0 1,1 0 0,-1-1 0,0 0 0,1 0 0,-1 0 0,1-1 0,0 1 0,-1-2 0,1 1 0,0-1 0,0 0 0,-1-1 0,10-2 0,-4 0 1,-1-1-1,1 0 1,0 0 0,-1-1 0,0 0 0,0-1 0,0 0 0,-1-2 0,0 1 0,-1-1-1,11-10 1,-4 1-5,0-1 0,-1-1 0,20-32 0,31-68 0,-22 39 0,234-463 256,-214 397-256,14-30 0,-10 29 0,63-200 0,-34 59 0,-94 280 0,-1 3 0,0 0 0,-1 0 0,0-1 0,1 1 0,-2 0 0,1 0 0,0-1 0,-1-8 0,0 14 0,0-1 0,0 1 0,0 0 0,0-1 0,0 1 0,0 0 0,0 0 0,0-1 0,0 1 0,-1 0 0,1-1 0,0 1 0,0 0 0,0 0 0,0-1 0,0 1 0,0 0 0,-1 0 0,1-1 0,0 1 0,0 0 0,0 0 0,-1-1 0,1 1 0,0 0 0,0 0 0,0 0 0,-1 0 0,1 0 0,0-1 0,-1 1 0,1 0 0,0 0 0,0 0 0,-1 0 0,1 0 0,0 0 0,-1 0 0,1 0 0,0 0 0,0 0 0,-1 0 0,1 0 0,0 0 0,-1 0 0,1 0 0,0 0 0,0 0 0,-1 0 0,1 0 0,0 1 0,0-1 0,-1 0 0,1 0 0,0 0 0,0 0 0,-1 1 0,1-1 0,0 0 0,0 0 0,0 1 0,-1-1 0,1 0 0,0 1 0,-11 15 0,11-16 0,-11 22 8,1 1-1,2-1 1,0 3-1,-6 29 1,-11 103 61,2 187 174,18-226-187,1 367 200,41-162-32,-20-207-107,-8-57-97,-3-25-19,-2 0-1,-1 0 0,-2 57 0,-11 35-576,10-125 412,-1 0 0,1 0 0,0 0 0,0 0-1,0 1 1,0-1 0,0 0 0,0 0 0,0 0-1,0 0 1,1 0 0,-1 0 0,0 0 0,1 1-1,-1-1 1,1 0 0,-1 0 0,1 0 0,-1 0-1,1 0 1,0 0 0,-1 0 0,1-1 0,0 1-1,0 0 1,0 0 0,-1-1 0,1 1 0,0 0-1,0-1 1,0 1 0,2 0 0</inkml:trace>
  <inkml:trace contextRef="#ctx0" brushRef="#br0" timeOffset="449.29">6947 1166 23551,'0'0'0,"25"-29"-3200,-6 14 1408,4-3 1024,-6 5 128</inkml:trace>
  <inkml:trace contextRef="#ctx0" brushRef="#br0" timeOffset="1149.74">7958 278 21119,'-25'12'0,"25"-12"0,-1 0 0,1 0 0,0 1 0,0-1 0,0 0 0,0 0 0,-1 0 0,1 0 0,0 0 0,0 0 0,0 0 0,-1 0 0,1 0 0,0 0 0,0 0 0,0 0 0,-1 1 0,1-1 0,0-1 0,0 1 0,0 0 0,-1 0 0,1 0 0,0 0 0,0 0 0,0 0 0,-1 0 0,1 0 0,0 0 0,0 0 0,0 0 0,-1 0 0,1-1 0,0 1 0,0 0 0,0 0 0,0 0 0,2-8 0,10-9 0,-11 16 0,-3 7 0,1-2 0,1 1 0,-1-1 0,1 1 0,0 6 0,-1 6 0,-9 60 11,2 119 0,31 307 479,-21-452-445,6 596 550,-10-547-501,0-14 51,-17 129 0,14-198-187,1-14-24,-3-10-39,3-3-295,-1 1-1,1-2 1,1 1-1,0 0 1,0 0 0,1-1-1,-1-16 1,1-79-3124,2 70 1803,0-29-7665</inkml:trace>
  <inkml:trace contextRef="#ctx0" brushRef="#br0" timeOffset="1749.08">7254 148 19199,'46'37'0,"-41"-34"22,-6-5 4,1 1 0,0-1-1,-1 0 1,1 1 0,0 0 0,0-1 0,0 1 0,0-1 0,1 1 0,-1 0 0,0-1 0,0 1-1,2-2 1,-1-2-4,1 0-1,0 1 0,1-1 0,-1 2 0,1-2 0,0 0 0,0 1 0,0 0 0,1 1 0,-1-1 1,1 1-1,0-1 0,4-2 0,8-6 34,35-15 0,-26 15 22,1 1 0,0 2 0,0 1 0,1 0 0,0 2 0,0 1 0,0 2 0,42-1 0,16 6 75,122 20 0,-158-17-125,474 80 335,-291-41-24,-170-37-133,107 1-1,-156-8-163,0-1-1,0-1 1,14-3 0,-23 4-39,0 0 0,0 0 0,-1 0 0,1-1 0,0 1 0,-1-1 0,1 0 0,-1 0 1,0-1-1,1 1 0,-1 0 0,0 0 0,3-5 0,-5 5-75,0 1 1,-1 0-1,1-1 0,0 1 0,-1 0 1,1-1-1,-1 1 0,1-1 0,-1 1 1,0 0-1,1-1 0,-1 1 1,0-1-1,0 1 0,0-1 0,0 1 1,-1-3-1,-5-16-3930</inkml:trace>
  <inkml:trace contextRef="#ctx0" brushRef="#br0" timeOffset="2416.91">7213 2286 19711,'0'0'128,"5"1"0,21 3 16,1-1-1,-1-1 0,0-2 0,0 0 1,1-2-1,30-5 0,369-122 826,-234 64-765,-89 34-76,2 2 0,1 6 0,108-10 0,-40 22-426,223 15-1,-349-3-3605</inkml:trace>
  <inkml:trace contextRef="#ctx0" brushRef="#br0" timeOffset="184034.15">1243 3558 6400,'4'3'22,"9"15"83,-14-10-6,-12-4 59,-33 0 336,-75-2 1,77-3-320,0 1 0,-57 10 0,90-8-169,-12 1-22,0 0 0,1 1 0,-1 2 0,1 1 0,0 1 0,-21 12 0,-8 15-35,1 2-1,2 3 1,2 0 0,-42 49 0,33-27 102,2 4 0,4 2 0,2 1 1,-43 87-1,73-122 4,1 0-1,2 1 1,1-1 0,2 2 0,1 0 0,-8 69 0,-7 319 1678,27-337-1365,4 0 0,31 160 0,87 211 997,-97-382-1284,3 2 0,3-4 0,4-1 1,66 102-1,-67-119 9,37 57-62,-61-97-52,1-1 1,0 0-1,0-2 0,27 22 1,-32-30 18,1 0 0,0-1 0,0 1 0,0 0 0,1-2 0,-1 0 0,1 0 0,0-1 0,0 0 0,0 0 0,0-1 1,15-1-1,6-1-17,1-1 1,49-11 0,-52 5 21,0 1 0,0-2 0,-1-2 0,0-2 0,0 0 0,-3 1 0,1-5 0,38-28 0,13-18 0,86-93 0,-106 99 0,8-10 112,78-100 0,-113 124-55,-1 1 1,-3-1-1,-1-3 1,21-55 0,-21 33 146,-4-2 1,-3 0 0,14-105 0,-5-220 490,-31 189-172,-37-247 0,35 397-499,-39-266 196,33 261-185,-3-1 0,-2 2 0,-28-63 0,33 94-42,-2 4 1,0-2-1,-2 1 1,-1 1 0,-1 0-1,0 1 1,-2 2-1,-1 1 1,-29-25-1,44 43-53,0-1 0,0 1 0,0 0 0,-1 0 0,1 0 0,-1 1 0,1 0 0,-1 0 0,0 1 0,0 0 0,0 0 0,0 1 0,0 0 0,-9 0 0,4 1-395,0 1-1,-1 0 1,1 1-1,1 0 1,-1 0-1,0 1 1,-13 6 0,14-4-330,0 2 0,1-2 0,0 2-1,0-1 1,1 1 0,0 2 0,0-3 0,0 2 0,2 1 0,-1 0 0,1 1 0,0-1 0,1 0 0,-5 15 0,-7 23 785</inkml:trace>
  <inkml:trace contextRef="#ctx0" brushRef="#br0" timeOffset="185185.59">1972 4063 10368,'0'0'-86,"5"4"150,0 0-54,1-1 0,0 1 0,0 0 0,1 0 0,-1-1-1,1 1 1,0-1 0,0-1 0,0 0 0,0 0 0,0-1-1,11 1 1,3 0 66,-1-2 0,0 0 0,0-2 0,0 0 0,0-1-1,0-1 1,0-2 0,28-10 0,-4 1 121,-22 6-64,1 0 1,37-20-1,270-185 785,41-30-1,-300 193-618,114-60-1,-89 59 33,104-73 0,-165 97-137,53-51 0,-8 9 58,-38 35-106,72-54 127,-91 72-218,1 2 0,1 0 1,27-10-1,-37 19 12,0-2 1,0 0-1,-1 1 1,0-2-1,21-18 1,-21 18 21,-10 6-60,0 1 1,-1 0-1,1-1 1,0 0-1,-1-1 1,0 0-1,1 0 1,-1 1-1,4-9 1,-6 10-23,0 0 0,-1 0 0,1 0 0,0 0 0,0 0 0,0 0 1,1 0-1,-1 0 0,0-1 0,1 1 0,-1 1 0,1 0 0,-1 0 0,4-3 0,1-1-23,0-1 0,-1 0 0,1 1 0,-2-2 0,1 0 0,0 0 0,-1 1 0,-1 0 0,1-1 0,-1-1 0,3-9 0,-2 9-242,1 0 0,-1 0 0,1 0 0,1 0 1,0 0-1,0 1 0,0 0 0,14-11 0,18-22-2519,-18 16-5116</inkml:trace>
  <inkml:trace contextRef="#ctx0" brushRef="#br0" timeOffset="186102.31">4678 2189 15232,'-12'60'-128,"12"-59"119,-1 0 0,1 0 1,-1 0-1,1 0 1,-1 0-1,0-1 1,1 1-1,-1 0 1,0 0-1,0 0 1,1-1-1,-1 2 1,0-1-1,0-1 1,0 1-1,0 0 1,0-1-1,0 1 0,0-1 1,0 0-1,0 1 1,0-1-1,0 0 1,0 0-1,-2 1 1,-35 0-294,11-1 186,20 2 96,1 1 1,-1-1 0,0 1 0,1 0 0,-1 1-1,1 0 1,0 0 0,0 0 0,-5 6 0,-8 6-77,-18 24 0,-206 205 96,158-154 0,56-59 0,0-1 0,-42 32 0,53-48 2,10-8-7,0 0 1,0-1-1,-1 0 0,-12 6 0,37-16-162,2-1 0,-1 1 0,0 2 0,29-1 0,18-3-128,-37 2 303,13-2 102,47-1-1,-72 7-76,-1 1 0,0 0 0,0 1 0,0 0-1,0 1 1,0 1 0,14 6 0,17 12 226,-32-14 53,1-1 0,15 5 0,-29-12-289,1 0-1,-1 0 1,1 0 0,-1 0 0,1 0 0,-1 0-1,1 0 1,-1 0 0,1 0 0,-1-1-1,1 1 1,-1 0 0,1 0 0,-1 0 0,1-1-1,-1 1 1,1 0 0,-1-1 0,0 1-1,1 0 1,-1-1 0,1 1 0,-1 0 0,0-1-1,0 1 1,1-1 0,-1 1 0,0-1-1,0 1 1,1-1 0,-1 1 0,0-1 0,0 1-1,0-1 1,0 1 0,0-1 0,0 1-1,0-2 1,3-24 305,-2 23-285,2-47 264,1-7-154,-2-3 1,-9-92-1,6 144-425,2 7 133,-1 0 0,0 0 0,0 0 0,0 1 1,0-1-1,0 0 0,0 1 0,-1-1 0,1 0 0,0 0 0,0 0 0,-1 1 1,1-1-1,0 0 0,-1 0 0,1 0 0,-1 1 0,1-1 0,-1 0 0,1 0 0,-2 0 1</inkml:trace>
  <inkml:trace contextRef="#ctx0" brushRef="#br0" timeOffset="188088.37">10520 1249 18431,'19'-4'51,"0"-1"0,0 2-1,1 0 1,-1 2 0,1 1-1,-1 0 1,28 4 0,-27-1-43,71 10 41,113 28 0,-139-26-1201,1-2 0,0-2 1,1-4-1,78-2 0,-115-5-7680</inkml:trace>
  <inkml:trace contextRef="#ctx0" brushRef="#br0" timeOffset="188478.11">10335 723 18431,'0'0'0,"47"11"0,-16-5 0,3 2 0,4 4 0,4 3 0,2-3 0,6 2 0,10-2 0,7 1-128,4-6 128,5-6-768,4 3 128,3-4-383,-19-4 127,0 3-9728</inkml:trace>
  <inkml:trace contextRef="#ctx0" brushRef="#br0" timeOffset="206144.92">9029 5079 19071,'41'22'117,"0"0"-1,2-2 1,0-2-1,1-2 1,46 12-1,-26-15 67,0-2-1,-1-2 1,73 0 0,-44-9-432,0-3 0,176-31 0,-245 30-960,-1-1 0,34-15 1,-12 1-9800</inkml:trace>
  <inkml:trace contextRef="#ctx0" brushRef="#br0" timeOffset="206631.29">9035 4654 18815,'32'17'-128,"-32"-17"128,1 0 0,-1 0 0,0 0 0,1 0 0,-1 0 0,1 0 0,-1 0 0,1 0 0,-1 0 0,1 0 0,-1 0 0,1 0 0,-1-1 0,1 1 0,-1 0 0,1 0 0,-1 0 0,0-1 0,1 1 0,-1 0 0,1-1 0,-1 1 0,0 0 0,1-1 0,-1 1 0,0 0 0,1-1 0,-1 1 0,0 0 0,0-1 0,0 1 0,1-1 0,-1 1 0,0-3 0,6-4 0,4 4 0,0 0 0,0 1 0,0 0 0,0 1 0,0 0 0,16 0 0,69 8 0,-47-3 0,315 16 0,-231-13-448,0-6 0,1-5 0,190-32 0,-289 29-2026,-1 0-7339</inkml:trace>
  <inkml:trace contextRef="#ctx0" brushRef="#br0" timeOffset="207843.33">10634 4269 17919,'10'31'0,"-2"1"0,9 60 0,-10-56 19,14 41 1,5 21 69,-20-50-15,-1 2 0,-3-1 0,-7 96 0,0-55-7,4-52-51,-2 55 168,-17 114 0,16-197-163,-1-12-42,-4-20-64,4-4-37,1-1 1,1 0 0,1 0 0,2 0-1,3-35 1,0-17-303,-22-290-200,5 179 458,13 95 248,-2-24 156,1 105-202,0-1 0,-1-1-1,-1 1 1,0 1-1,-11-25 1,9 23 100,-11-20 146,16 35-231,0-1 0,0 0 0,0 0 0,0 1-1,-1-1 1,1 0 0,-1 1 0,1 1 0,-1-2 0,0 1 0,1 0 0,-1-1 0,-3 0-1,6 2-17,0 1-1,1 0 0,-1-1 0,0 1 0,1 0 0,-1 0 0,0 0 0,0 0 0,0 0 0,0-1 1,2 3-1,11 9 94,8 2-23,0-2-1,1-1 0,1 0 0,37 8 0,-15-3 6,49 13 105,1-3 1,147 17-1,-175-31-128,129 45 1,-83-25 46,-72-20-55,-2 0 0,62 27-1,-100-38-73,0 0 0,0 0-1,0 0 1,0 0 0,0 1-1,0-1 1,-1 1 0,1 0-1,0-1 1,-1 1 0,1 0-1,-1 0 1,0 0 0,0 0-1,0 1 1,0-1 0,0 0-1,1 4 1,-1-2 7,-1 0 1,1 0-1,-1-1 1,0 0-1,0 1 1,-1 0-1,1 1 0,-1-2 1,0 1-1,-2 6 1,-2 3 22,-1 0-1,0-1 1,-1 0 0,-1-1 0,-11 15 0,-168 189 202,-17-13 145,-134 151-1102,311-319-866,-23 40-1,41-60 52,-11 16-9492</inkml:trace>
  <inkml:trace contextRef="#ctx0" brushRef="#br0" timeOffset="210748.02">12892 3957 16639,'-2'538'670,"-1"-343"-465,-10 533 456,7-634-532,1-7-2796,3-108 256,0-2-6463</inkml:trace>
  <inkml:trace contextRef="#ctx0" brushRef="#br0" timeOffset="211196.28">12246 3912 20607,'37'-37'50,"0"3"0,74-52 0,-77 64-7,2 1 0,0 1-1,1 2 1,1 3 0,0 1 0,43-12 0,19 4-12,124-15 0,-133 29-347,0 2-1,0 5 1,0 3 0,-1 5-1,103 20 1,-173-24-606,-1 2 1,0 0-1,0 2 0,22 8 1,1 6-8828</inkml:trace>
  <inkml:trace contextRef="#ctx0" brushRef="#br0" timeOffset="211633.26">12293 5623 20735,'0'0'0,"55"-24"128,-17 6 0,4-3-128,13 1 128,12 0 0,2 1 0,9 5 0,29 8 0,24 6-128,4 12 128,7 7-128,-15 4 0,-9 2-640,1-3 0,-2 0-768,120 20-11903</inkml:trace>
  <inkml:trace contextRef="#ctx0" brushRef="#br0" timeOffset="212595.09">14161 4734 21375,'0'0'256,"5"4"-128,6 5-83,0-2-1,0-1 1,1 0-1,0 0 1,14 5-1,71 21 68,-70-24-85,154 44 181,81 28-2784,-234-68-1755</inkml:trace>
  <inkml:trace contextRef="#ctx0" brushRef="#br0" timeOffset="212880.66">14102 4430 21759,'0'0'128,"47"10"-128,-5-7 128,11-3-128,8-3 0,13-2-256,3-11 128,7-4-896,77-16-13695</inkml:trace>
  <inkml:trace contextRef="#ctx0" brushRef="#br0" timeOffset="-205365.54">15641 3055 17023,'0'0'1302,"-2"5"-1089,-19 38 97,9-19-134,-12 34-1,6 3-7,4 0-1,2 1 0,3 1 0,2-1 0,4 118 0,4-159-133,1-1 0,0-1 0,1 1 1,12 37-1,-12-49-27,0 0 0,0 0 0,1-1 0,0 1 0,0-1 0,0 0 0,1 0 1,1 0-1,-1-1 0,1 2 0,0-2 0,0-2 0,1 2 0,7 4 0,-9-8-7,-1 1 0,1-2 0,0 1 0,0-1 0,-1 2 0,1-2 0,0-1 0,0 1 0,0-1 0,0 0 0,0 0 0,0 0 0,0-1 0,0 1 0,0-1 0,0-2 0,0 2 0,5-3 0,9-4 0,1 0 0,33-23 0,-49 29 0,10-7 0,0-1 0,-1-1 0,-1 1 0,0-2 0,0 0 0,11-16 0,55-87 0,-70 102 0,68-127-20,6-6-109,-50 94 104,96-141-176,-92 144 133,76-81-1,-105 124 69,-6 4 0,1 0 0,-1 1 0,1-1 0,-1 0 0,1 0 0,0 0 0,0 1 0,0-1 0,0 1 0,0 0 0,0-1 0,0 1 0,5-2 0,-7 4 0,0-1 0,1 0 0,-1 0 0,0 1 0,0-1 0,0 0 0,1 1 0,-1-1 0,0 0 0,0 1 0,0-1 0,0 0 0,0 1 0,0-1 0,1 0 0,-1 1 0,0-1 0,0 0 0,0 1 0,0-1 0,0 1 0,0-1 0,-1 0 0,1 1 0,0-1 0,0 0 0,0 1 0,0-1 0,0 0 0,0 1 0,-1-1 0,-5 15 0,6-15 0,-28 62 65,16-40-12,2 2 1,0-1-1,-6 27 0,-50 284 506,60-300-500,-5 37 37,2 0 0,4 2 0,6 122 0,2-95-416,-3-99 257,0 0 0,0 0-1,0 0 1,0 0 0,0 0-1,0 0 1,0-1 0,0 1-1,0 0 1,0 0 0,0 0-1,1 0 1,-1 1-1,0-1 1,1 0 0,-1 0-1,0-1 1,1 0 0,-1 1-1,1 0 1,0-1 0,-1 1-1,1 0 1,0-1 0,-1 1-1,1 0 1,0-1 0,0 1-1,-1-1 1,3 1 0,-2-1-93,0 0 0,0 0 1,0-1-1,0 1 1,0 0-1,0-1 0,0 1 1,0-1-1,-1 1 1,1-1-1,0 0 0,0 1 1,0-1-1,-1 0 1,1 1-1,0-1 0,0 1 1,-1-1-1,1 0 0,-1 0 1,1-1-1,-1 1 1,1 1-1,-1-1 0,0 0 1,1-2-1</inkml:trace>
  <inkml:trace contextRef="#ctx0" brushRef="#br0" timeOffset="-204825.61">15303 4584 18047,'8'1'34,"0"0"-1,1-1 0,-1 1 0,1-1 0,-1-1 0,0 0 0,1 0 1,-1 1-1,14-7 0,-11 4 18,0 0 1,0 1-1,0 0 1,0 1-1,17 1 0,53 10 232,153 40 0,-107-20-187,-92-23-54,0-2 1,1-2 0,-1-1-1,1-1 1,41-6-1,174-36-1352,-201 31 551,80-20-2931,-83 18-5547</inkml:trace>
  <inkml:trace contextRef="#ctx0" brushRef="#br0" timeOffset="-204244.59">15901 5004 19455,'-6'18'0,"0"1"0,2 0 0,0 1 0,1-2 0,1 2 0,1 26 0,14 118 0,-13-160 0,30 174 3,2 26 101,-12 44-17,3 27-25,-20-258-316,-1-22-361,2-22-798,-3-7-1403,-1-1-7061</inkml:trace>
  <inkml:trace contextRef="#ctx0" brushRef="#br0" timeOffset="-203614.72">15700 4978 16639,'0'0'1046,"8"-1"-833,50-8 71,-17 2-123,1 1 1,69 2-1,-100 5-143,0 1 0,0-1 0,0 2 0,-1 0 0,1 1 0,-1 0 0,17 8 0,67 49 110,-63-40-101,103 80 42,-112-82-60,0 3 1,-2-2-1,29 42 0,-43-55-18,-1 1-1,0 1 1,0 1-1,-1-2 0,0 1 1,-1 1-1,1 0 1,-2 0-1,3 13 0,-5-17 2,0-1 0,1 0 0,-2 1 0,1-1 0,-1 0 0,1 0 0,-2 0 0,1 0 0,0 0 0,-1 0 0,0 0 0,0-1 0,-1 0 0,1 1 0,-1-1 0,0 0 0,0 1 0,0-1 0,-6 6 0,-5 0-68,0 1 0,-1 0 1,0-1-1,-1-1 0,-30 12 0,20-9-80,-31 19-1,5 3-109,-53 46-1,104-80 264,0 1 1,0-1-1,0 1 0,0 0 1,1 0-1,-1 0 0,0 0 1,0 1-1,1-1 0,-1 0 0,1 0 1,-1 0-1,1 0 0,-1 1 1,1-1-1,0 0 0,-1 0 1,1 1-1,0-1 0,0 0 0,0 1 1,0-1-1,0 0 0,1 1 1,-1-1-1,0 0 0,0 0 1,1 1-1,-1-1 0,1 0 1,-1 0-1,1 0 0,0 0 0,-1 2 1,1-2-1,0 0 0,0 0 1,0 0-1,-1-1 0,1 1 1,0 0-1,2 1 0,5 5 5,1-2 0,-1 1 0,1-1 0,11 6-1,114 51 11,31 17 126,-139-64-57,0 1 1,0 2-1,-2 1 1,0 0-1,-2 3 1,0-1-1,-1 3 0,-1-2 1,-2 3-1,22 35 1,-7-1 81,18 26-3121,-24-41-7708</inkml:trace>
  <inkml:trace contextRef="#ctx0" brushRef="#br0" timeOffset="-201934.18">13513 2928 13824,'-4'-5'-107,"-1"-3"143,-1-1 0,0 1 1,-1 1-1,0 0 0,0 0 1,0 0-1,-1 1 0,0 1 0,-13-8 1,8 8 9,-1 1 0,0 0 1,-1 0-1,1 1 0,0 2 1,-1-1-1,0 2 0,-19 1 1,6 1 35,0 3 1,1 0-1,-40 11 0,19 0-3,1 2 1,1 2-1,0 3 0,2-1 0,0 5 1,-69 54-1,64-42-8,9-9 0,-47 48 0,13 0 75,-95 131 0,134-160-102,3 2 0,2 1 0,2 2 0,-25 70 0,-101 300 212,137-371-225,2 2 0,2 0 0,3 0 0,-5 76 0,13-53 10,2 2 0,18 120-1,53 298 88,-63-446-128,1 1 0,31 91 0,50 104 0,-83-225 1,73 195 4,-68-189-10,2-2 1,1 1-1,2-3 1,0 1 0,30 34-1,-21-33-50,2 0 0,0-1-1,2-3 1,1 1 0,0-4-1,48 26 1,-57-35-28,0-1-1,1-1 1,1 0 0,-1-2 0,1-2-1,1-1 1,-1-1 0,1-1-1,-1 0 1,1-1 0,26-4 0,-6-2-70,-1-3 0,0-3 1,0-1-1,41-18 0,-26 5-12,-1-3 0,70-44 0,-76 35 153,78-70 0,-78 62 15,-1 0 35,-2-3 1,-2-1 0,52-71-1,-68 75 12,-1-1 0,-3-1 1,-1-2-1,30-82 0,-32 60 207,28-150 0,-10-77 360,-29 152-169,-7 0-1,-5 0 1,-34-258 0,-22 67 105,37 259-438,-2 2-1,-43-101 0,33 108-74,-3 4 0,-4-1 0,-53-76 0,59 101-24,-2 0 0,-1 3 0,-3 2 0,0 0 0,-67-48 0,85 70-16,0 4 0,-1 0 0,0 0 0,-1 0 0,0 1 0,-43-9 0,31 12 0,0 1 0,0 1 0,-60 2 0,53 5-132,0 1 0,1 3 0,0 0 0,0 2 0,1 2 0,0 3-1,1 0 1,-61 32 0,20 0-1214,2 3 1,-117 100-1,118-87-7635</inkml:trace>
  <inkml:trace contextRef="#ctx0" brushRef="#br0" timeOffset="-200910.41">12116 3819 16384,'34'-7'0,"-38"7"38,0 0-1,-1 0 1,1 0 0,0-1 0,0 0 0,0 0 0,0 0 0,0-1 0,0 0 0,0 1 0,-5-4 0,-60-32 297,28 14-123,19 14-153,0-1 0,0 1-1,-1 2 1,-38-7 0,-100-7 74,110 16-99,-410-52 447,372 39-359,1-2 0,2-4-1,-100-43 1,125 41-3,-92-55-1,128 65-63,1-1-1,0 0 1,1-3-1,1 0 1,1 0 0,-19-25-1,24 21-8,-1 3 1,-1 1-1,-1 0 0,-1 0 0,-39-27 0,-6 5 55,-2 4 0,-107-46 0,-158-43 253,132 55 13,-97-50 764,171 74-610,83 33-402,33 10-86,-1-2 0,1 1 1,0-1-1,1 0 0,-1 0 0,1-1 0,1-2 0,-14-15 1,-11-23 189,28 39-212,-4-1 79,8 10-88,1-1 1,0 1 0,0 0-1,-1 0 1,1 0 0,0 0-1,0 0 1,-1 0 0,1 0-1,0 0 1,0-1-1,0 1 1,-1 0 0,1 0-1,0 0 1,0 0 0,0-1-1,-1 1 1,1 0 0,0 0-1,0 0 1,0 0-1,0 0 1,0 0 0,0 0-1,-1-1 1,1 1 0,0 0-1,0 0 1,0-1 0,0 1-1,0 0 1,0 0 0,0-1-1,0 1 1,0 0-1,0 0 1,0-1 0,0 1-1,1 0 1,-1 0 0,0-1-1,0 1 1,0 0 0,0 0-1,0-1 1,0 1-1,0 0 1,1 0 0,-1 0-1,0-1 1,0 1 0,0 0-1,1 0 1,0-1-94,0 1 1,0-1-1,0 1 0,0 0 1,0-1-1,1 1 1,-1 0-1,0 0 0,0 0 1,0 0-1,0 0 0,1 0 1,-1 0-1,0 0 1,0 1-1,0-1 0,0 0 1,0 1-1,0-1 0,0 0 1,0 1-1,0 0 1,0-1-1,0 1 0,0-1 1,0 1-1,0 0 0,0 0 1,0 0-1,-1-1 1,2 2-1,5 6-616,-1 0 0,10 19 0,-7-13-1354,10 15-8883</inkml:trace>
  <inkml:trace contextRef="#ctx0" brushRef="#br0" timeOffset="-199987.58">8611 2258 20351,'42'6'-128,"-46"21"128,-1 30 0,4 82 0,2-65 0,13 177 107,-12-224 21,-1-1 0,-1 0 0,-4 33 0,1-96 128,7-103-101,8-101-161,-9 212 6,0-3 0,1-3 0,2 3 0,1-1 0,11-31 0,-12 44 0,-5 16 0,1-1 0,-1 1 0,1-1 0,0 2 0,0-1 0,4-7 0,-5 10 0,0 0 0,0 1 0,0-1 0,0 0 0,1 0 0,-1 0 0,0 0 0,1 0 0,-1 0 0,1 1 0,-1-1 0,1 0 0,-1 1 0,1 0 0,-1-1 0,1 1 0,0 0 0,-1 0 0,1 0 0,-1 0 0,1 0 0,0 0 0,1 0 0,5 2 0,1-1 0,-1 1 0,0 0 0,0 1 0,0-1 0,0 1 0,0 1 0,12 8 0,0 3 0,31 27 0,-39-30 0,0 0 0,1-2 0,0-1 0,0 0 0,1 1 0,26 10 0,-40-19 9,1-1 0,0 0 0,-1 1 0,1-1 0,0 1 0,-1-1 0,1 1 0,0-1 0,-1 1 0,1-1 0,-1 1 0,1 0-1,-1-1 1,0 1 0,1 0 0,-1-1 0,1 1 0,-1 0 0,0-1 0,0 0 0,1 1 0,-1 0 0,0 1 0,0-2 0,0 1 0,0 0-1,0 0 1,0-1 0,0 1 0,0 0 0,0 0 0,0 0 0,-1-1 0,1 1 0,0 0 0,0 0 0,-1-1 0,1 1 0,0 0 0,-1-1-1,1 0 1,-2 2 0,0 2 46,-1 0 0,0 1 0,0-1 0,-1-1 0,1 1-1,-5 5 1,-29 21-145,1 3-1,2 1 0,-50 63 1,79-90-46,0 0 1,1 0-1,0 0 1,1 1-1,-1-2 1,1 3 0,1-1-1,-1 0 1,1 0-1,1 0 1,0 1-1,-1 8 1,3 3-716,1 0 0,1-1 0,0 0 0,10 28 0,14 64-9410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06:42:35.764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49 218 18431,'10'36'168,"-2"1"0,-1 0 0,1 42-1,-5 116 425,-3-120-425,-41 846 1219,39-903-1661,1-26-825,2-34-853,-1-4-1332,0-5-6485</inkml:trace>
  <inkml:trace contextRef="#ctx0" brushRef="#br0" timeOffset="463.47">0 17 17919,'5'40'22,"0"-52"254,-1-12-40,-4 3 254,1 23-473,0 0 0,1-1 0,-1 0-1,0 0 1,1 1 0,-1-1 0,1 1 0,0-1-1,-1 0 1,1 0 0,0 0 0,0 0-1,0 0 1,2 0 0,1 1-13,26 14 4,0 1-1,39 28 0,-8 4 101,95 95 0,-126-109-83,-1 0 0,-2 1 0,-2 1 0,27 52 0,-41-64 26,-2-1-1,-1 1 1,-1-1 0,-1 2-1,-2-1 1,0 1 0,1 50-1,-8-60 31,0 0 0,0-1-1,-2 1 1,0-1 0,-13 30-1,16-44-73,-2 6 9,-1-1-1,0 1 1,0-1 0,-1 0-1,0 1 1,0-2 0,-1 1-1,1-1 1,-1 0 0,-1 0-1,1-1 1,-1 1 0,0-1-1,0-1 1,-9 5 0,1-2 6,-1 1 0,0-2 0,0 0 0,0-1 0,-1-1 0,-24 2 0,27-4-210,0-1-1,0-1 0,0 0 1,0-1-1,0 0 0,0-1 1,-14-5-1,4 0-996,1-1-1,0-2 1,-25-13 0,17 7-8564</inkml:trace>
  <inkml:trace contextRef="#ctx0" brushRef="#br0" timeOffset="967.28">1235 1214 20095,'19'-5'0,"0"0"0,0 1 0,1 1 0,-1 0 0,27 0 0,-13 5 2,0 2 0,63 12 0,62 27-19,-126-34 7,10 3-162,59 18-735,-33-13-3774</inkml:trace>
  <inkml:trace contextRef="#ctx0" brushRef="#br0" timeOffset="1313.62">1274 591 19199,'48'65'0,"-52"-68"22,-17-23-67,20 26 54,0-1 1,0 1 0,1-1-1,-1 0 1,1 0 0,-1 0-1,1 0 1,-1 0 0,1 0-1,0 0 1,-1 0 0,1 0-1,0 0 1,0 0-1,0 1 1,-1-1 0,1 0-1,0 0 1,1 0 0,-1 0-1,0 0 1,0 0 0,0 0-1,0 0 1,1 0-1,-1 0 1,1 0 0,-1 0-1,3 0 28,0 0 0,0-1 0,0 1 0,0 0 0,0 0 0,1 1 0,-1-1 0,0 1 0,6-1 0,-7 1-23,41 0 153,-1 1-1,1 2 1,66 13-1,-58-9-64,265 36-166,-299-40-563,0-1 0,0 2 0,0 1 0,27 11-1,5 6-11275</inkml:trace>
</inkml:ink>
</file>

<file path=xl/ink/ink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06:42:49.980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224 261 17535,'18'7'-2,"-18"-7"2,0 0 0,0 0 0,0 0 0,0 0 0,0 0 0,0 0 0,0 0 0,0-1 0,0 1 0,-1 0 0,1 0 0,0 0 0,0 0 0,0 0 0,0 0 0,0 0-1,0 0 1,0 0 0,0 0 0,0 0 0,0 0 0,0 0 0,0 0 0,1-1 0,-1 1 0,0 0 0,0 0 0,0 0 0,0 0 0,0 0 0,0 0 0,0 0 0,0 0 0,0 0 0,0 0 0,0 0 0,0 0-1,0 0 1,0 0 0,0 0 0,0 0 0,0 0 0,0 0 0,0 0 0,0 0 0,1-1 0,-1 1 0,0 0 0,0 0 0,0 0 0,0 0 0,0 0 0,0 0 0,0 0 0,0 0 0,0 0 0,0 0 0,0 0-1,0 0 1,0 1 0,0-1 0,1 0 0,-14-13 14,12 12-1,-8-5-52,4 3 171,1-1 0,-1 1 0,0 1 0,0-1 0,-8-3 0,11 6-101,1 0 0,-1-1 0,1 1 0,0 0 0,-1 0 0,1 0 0,-1 0 0,1 0 0,-1 0 0,1 1 0,0-1 0,-1 0 0,1 1 0,-1-1 0,1 1 0,0-1 0,0 1 0,-1 0 0,1-1 0,0 1 0,0 0 0,0 0 0,0 0 0,0 0 0,0 0 0,0 0 0,-1 2 0,-4 4 13,2 1 0,-1-1-1,1 1 1,0 1 0,1-1 0,-4 13-1,-11 57 148,15-64-155,-26 223 679,14-80-406,-1-41-193,-12 117 238,23-170-152,8 114 1,-3-172-185,1 0 1,-1-1-1,1 1 1,0-1-1,1 1 1,1 5-1,-2-9-13,-1-1-1,0 1 0,0-1 1,1 1-1,-1-1 1,0 1-1,1-1 1,-1 0-1,0 1 1,1-1-1,-1 1 1,1-1-1,-1 0 1,1 0-1,-1 1 1,1-1-1,-1 0 0,1 0 1,-1 0-1,1 1 1,-1-1-1,1 0 1,0 0-1,0 0 0,0 0 0,0-1 0,0 1 0,0 0 0,0-1 0,0 1 0,0-1-1,0 1 1,0-1 0,0 0 0,0 1 0,0-1 0,0 0 0,0 0 0,1-1 0,21-26 107,29-43 1,-28 37-79,151-231 139,-9 13 40,-120 185-91,-3-3-1,54-121 1,-104 248 7,-14 26-128,10-39 0,-8 51 0,6 48 0,-5 41 0,13-136 0,1 93 0,3-103 0,-2-1 0,-2 0 0,-14 57 0,13-74-81,6-26-145,0 5 43,3-8-195,1 0 0,0 0 0,0 0 0,1 1 0,0 0 0,1 0 0,0 0 1,0 1-1,9-9 0,22-31-2904,-12 8-7214</inkml:trace>
  <inkml:trace contextRef="#ctx0" brushRef="#br0" timeOffset="737.68">897 26 19711,'2'8'0,"-2"-6"0,1 0 0,-1-1 0,0 1 0,1-1 0,-1 1 0,1 0 0,-1-1 0,1 1 0,0-1 0,0 0 0,0 1 0,0-1 0,0 0 0,1 2 0,6-27 256,-7 22-233,1-1-1,-1 1 0,1 0 1,0 0-1,-1 0 0,1 0 1,0 1-1,0-1 0,0 0 1,1 1-1,-1-1 0,0 1 1,0 0-1,1 0 0,-1 0 1,1 0-1,-1 0 0,1 1 1,4-2-1,5 1 14,-1 0 1,1 0-1,13 2 1,-18-1-11,14 2 5,-1-1-1,0 2 1,0 1 0,0 1-1,19 6 1,-25-6 22,-1 1 0,0 0 0,0 1 0,0 0 0,-1 1 0,0 0 0,-1 1 0,13 12 0,-21-17-21,1 1 0,-1-1 1,0 1-1,0 0 0,0 0 0,-1 0 0,1 1 0,-1-1 0,-1 1 0,1-1 0,-1 1 0,1 8 0,-1-3 9,0 0 0,0 0-1,-2 0 1,1 1 0,-4 16 0,-3-4 0,-1 1-1,-2-1 1,0-1 0,-1 0 0,-22 33 0,0 3-52,19-36 11,-1 0 0,-24 28 0,20-28 0,14-15 0,0 0 0,1 1 0,-7 13 0,7-13 0,0 0 0,0 0 0,-8 10 0,11-17 0,1 0 0,-1 0 0,1 0 0,0 0 0,-1 1 0,1-1 0,0 0 0,0 0 0,1 0 0,-1 0 0,0 0 0,1 1 0,-1-1 0,1 0 0,0 0 0,0 0 0,2 3 0,1-2 0,1 0 0,-1 0 0,1 0 0,0-1 0,0 0 0,0 0 0,0-1 0,1 1 0,5 0 0,26 9 0,66 43 54,-77-39-41,1-1 0,0 0 1,40 12-1,-1-2-761,-21-1-3432,-10-4-7382</inkml:trace>
</inkml:ink>
</file>

<file path=xl/ink/ink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06:43:36.509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369 4440 14976,'0'0'384,"-3"5"-256,0 4-63,-1 1 1,2 0-1,-1-1 1,2 1-1,-1-1 1,1 1-1,0-1 1,1 2-1,0-1 1,1-1-1,0 1 1,0-1-1,6 19 1,-5-19 68,0-1 0,2 1 0,-1-1 0,8 15 0,-9-19-74,1-1 0,-1 0 1,1 0-1,0-1 0,0 1 1,0-1-1,0 1 0,1-1 1,-1 0-1,1 0 0,-1-1 1,1 1-1,4 1 0,6 1 94,0-1 0,1 0 0,-1 0 0,1-2 0,-1 0 0,1-1 0,-1 0 0,26-4 0,-3 1 18,137 5 397,-101 0-498,332 41 276,-180-14-332,-180-25-15,468 33 0,119-58 0,-443 8 0,81-7 0,-165 8 0,152-13 0,-25 16 0,340-30 0,-391 11 0,123-20 0,-239 34 0,-1-1 0,-1-3 0,-1-3 0,95-47 0,-108 43 0,-11 8 0,0-3 0,41-29 0,-56 31 0,90-60 0,-67 49 0,0-2 0,59-52 0,-79 59 0,-2-2 0,0 0 0,-2 0 0,38-62 0,10-41 0,67-175 0,-117 256-25,-3-1-1,-2 0 1,-2 0-1,6-54 0,-12 55 26,17-159 0,-22 170 0,-2-2 0,-1 1 0,-9-57 0,-2 37 71,-3 0-1,-2 1 0,-2 0 0,-3 3 1,-30-57-1,-10 0 295,-101-137 0,133 206-305,-15-23 102,-104-114 0,1 45 50,18 18-40,-121-94 113,-15 24-164,-122-55 106,84 53-92,295 183-135,-237-148 0,-8 19 0,110 71 0,-2 7 0,-3 6 0,-2 8 0,-1 5 0,-2 8 0,-193-12 0,239 37 0,-159 16 0,-98 40 0,287-34 0,1 6 0,-80 34 0,43-16 0,63-24 0,0 3 0,-92 51 0,84-33-21,2 3 0,-72 70-1,-89 113-42,164-163 23,3 2 1,-53 85-1,71-95 2,3 3 0,2 0 1,-27 83-1,31-65-25,3 2 0,3 0 0,-12 136 0,1 78-99,-3 27 85,25-2 84,11-129-6,5 78 0,-6-229 0,8 144 0,-10-129 0,12 87 0,5 0 0,-1 179 0,-16-282 0,2 48 0,2-1 0,5 2 0,3-2 0,41 142 0,-50-212 6,1-1 0,0 0 0,0-1 0,1 1 0,1-1 0,0 1 0,0-2 0,1 0 0,15 15 0,-10-13 16,2 1 0,-1-2 0,1 0 0,1-1 0,30 13 0,0-5 26,0-3 0,1-2 0,92 11 0,-57-11-42,341 40 133,3-21-28,-389-30-117,358 3-542,-345-10-81,-29 2-2113</inkml:trace>
</inkml:ink>
</file>

<file path=xl/ink/ink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06:43:38.461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102 719 20735,'13'319'281,"-13"-204"-178,-3 143 356,-44 284 0,44-516-432,-1 4-29,-1-1 0,-10 37 0,7-51-621,8-15 588,0 0-1,0 1 1,0-1-1,0 0 1,0 0-1,-1 0 0,1 0 1,0 0-1,0 0 1,0 1-1,0-1 1,0 0-1,-1 0 1,1 0-1,0 0 1,0 0-1,0 0 1,-1 0-1,1 0 0,0 0 1,0 0-1,0 0 1,0 0-1,-1 0 1,1 0-1,0 0 1,0 0-1,0 0 1,-1 0-1,1 0 1,0 0-1,0 0 1,0 0-1,-1 0 0,1 0 1,0 0-1,0 0 1,0-1-1,-2 0-111,1-1 0,0 0 0,0 0-1,1 1 1,-1 0 0,0-1-1,0 0 1,1 0 0,0 0 0,-1 0-1,1-3 1,-6-41-2690,-3-20-7232</inkml:trace>
  <inkml:trace contextRef="#ctx0" brushRef="#br0" timeOffset="448.6">21 127 18943,'6'-14'0,"2"2"0,16-24 0,-20 32 0,0-1 0,1 1 0,-1-1 0,1 2 0,0-1 0,0 0 0,0 1 0,0 0 0,1 0 0,6-3 0,-2 2 2,0 0-1,1 1 1,-1 1-1,1 0 1,-1 0-1,1 1 0,0 0 1,-1 0-1,1 1 1,0 0-1,0 1 0,-1 1 1,1-1-1,17 5 1,-1 6 97,0-1 1,0 1-1,-2 3 1,1-1 0,-2 2-1,0 1 1,-2 1-1,0 0 1,-1 1-1,0 2 1,-2 0-1,-1 2 1,-1-1-1,27 47 1,-31-43-7,-1 1 0,0 0 1,-3 1-1,0-1 0,-2 2 0,-1 0 1,3 40-1,-8-50-18,-1-1 1,-1 0 0,-1 1-1,-1-1 1,-7 26 0,6-32-37,0 1 1,-1-1 0,-1-1 0,0 1-1,0-1 1,-2 0 0,1 0 0,-14 14-1,13-17-14,0-2 0,-1 1 0,0 0-1,0-1 1,0 0 0,-1-1 0,0 0-1,0-1 1,0 1 0,0-2 0,-1 0-1,0 0 1,0-1 0,1 0 0,-2 0-1,1-1 1,0-1 0,0 0 0,0 0-1,0-1 1,0 0 0,0-1 0,0-1-1,-15-3 1,1-3 52,-43-19 0,59 23-632,-1-1-1,1 1 1,0-2 0,0 1 0,1-1 0,0-1-1,-12-13 1,-14-16-11775</inkml:trace>
  <inkml:trace contextRef="#ctx0" brushRef="#br0" timeOffset="1132.08">1350 1326 20223,'43'-2'0,"1"2"0,81 9 0,82 27 0,-139-22 0,-47-10-49,0 0 0,-1-2 0,1 0 0,27-2 0,-42 0-196,0 0 0,-1-1-1,1 0 1,-1 0 0,1 0-1,-1-1 1,0 0 0,0 0-1,0 0 1,0-1 0,0 1-1,0 0 1,0-1 0,-1-1-1,0 1 1,0-1 0,0 1-1,0-1 1,0 0 0,5-8-1,7-12-9716</inkml:trace>
  <inkml:trace contextRef="#ctx0" brushRef="#br0" timeOffset="1395.16">1391 841 20479,'0'0'256,"31"-5"-256,-1 0 0,11-2 0,4 3 0,10 1-128,4 3 128,9 4-1664,-4 1 128,0 2 257,-6-1-1,0-1-9088</inkml:trace>
</inkml:ink>
</file>

<file path=xl/ink/ink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06:43:40.876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42 726 19711,'6'18'3,"0"0"-1,0-1 1,-2 0-1,0 1 0,-1 0 1,-1 0-1,-1 0 0,-2 37 1,4 407 741,5-205-592,16 132 189,-22-358-307,-2-25-381,1-21-833,16-102-4303,-9 65-3903</inkml:trace>
  <inkml:trace contextRef="#ctx0" brushRef="#br0" timeOffset="668.8">1 504 18431,'21'-30'2,"-13"19"-3,0 0 0,1 0 0,11-11 0,-16 20 3,0-3 0,1 2 0,-1 0 0,1 0 0,0 0 0,0 1 0,0 0 0,0-1 0,0 1 0,1 1 0,6-2 0,5 1 47,0 1-1,-1 0 1,1 1 0,0 1 0,0 0-1,0 2 1,16 5 0,15 3 119,52 22-1,-67-20-88,0 1 0,57 36 1,-75-41-50,-1 1 1,0 0-1,-1 2 1,0-1-1,-1 1 1,0 1-1,-1 0 1,10 17-1,-15-21-6,-2 3 1,1-3-1,-1 3 0,-1-2 0,0 2 1,0-2-1,-1 2 0,-1-1 0,0 0 1,-1 22-1,-1-6 69,-1-1 0,-2 3 1,-9 34-1,10-53-72,0 1-1,-1-2 1,0 2-1,0-3 1,-1 3-1,0-3 1,-1 2-1,0-3 1,-11 14-1,6-9 31,-1-2 1,0 1-1,0-3 0,-1 2 0,-25 13 0,36-23-45,-13 7 44,0 1-1,1 2 0,0-1 0,-25 23 0,36-30-48,0 1-1,1-1 1,-1 1 0,1 1 0,0-1 0,0 0 0,0 0 0,0 0-1,1 0 1,-1 2 0,1-2 0,0 1 0,0-1 0,0 0 0,0 1-1,1 1 1,0-2 0,-1 1 0,1-1 0,1 1 0,-1 0 0,0 0-1,1 0 1,0-2 0,0 2 0,0-1 0,0 2 0,1-2 0,2 5-1,5 7 0,0-1 0,1-2 0,16 19 0,1 0 0,253 327 0,-241-306 17,-25-31 6,2 0-1,0-1 1,24 22-1,-22-24 108,-18-17-232,0-1 1,1 0 0,-1 0-1,0 1 1,1-1 0,-1 0-1,0 0 1,1 1-1,-1-1 1,0 1 0,0-1-1,1 0 1,-1 1 0,0-1-1,0 0 1,0 1 0,0-1-1,1 1 1,-1-1-1,0 0 1,0 1 0,0-1-1,0 1 1,0-1 0,0 1-1,0-1 1,0 0 0,0 1-1,0-1 1,-1 1-1,1-1 1,0 0 0,0 0-1,0 0 1,0 1 0,-1-1-1,1 0 1,0 1-1,0-1 1,-1 0 0,1 2-1,0-2 1,-1 0 0,1 1-1,0-1 1,-1 0 0,1 1-1</inkml:trace>
  <inkml:trace contextRef="#ctx0" brushRef="#br0" timeOffset="1097.08">1542 1139 21631,'0'0'0,"25"-1"-2944,-3-3 1152,4 0 641,24-3-9473</inkml:trace>
  <inkml:trace contextRef="#ctx0" brushRef="#br0" timeOffset="1614.1">2357 587 21503,'-4'81'0,"4"0"0,15 121 0,0 4 0,-21 391 0,4-570-11,-8 96-285,8-105 198,-1-2 0,-1 0 0,0 0 0,-1-1 0,-10 21-1,15-35 53,0-1-1,0 0 0,0 1 1,0-1-1,0 0 0,0 1 1,-1-1-1,1 0 0,0 1 1,0-1-1,0 0 0,-1 0 1,1 0-1,0 0 1,0 0-1,-1 1 0,1-1 1,0 0-1,-1 0 0,1 2 1,0-2-1,-1 0 0,1 0 1,0 0-1,-1 0 0,1 1 1,0-1-1,-1 0 0,1 0 1,0 0-1,-1 0 0,-7-10-3515</inkml:trace>
  <inkml:trace contextRef="#ctx0" brushRef="#br0" timeOffset="1983.45">1715 399 19967,'35'36'150,"-36"-38"-140,1 2 0,0 0 0,0-1 0,0 1 0,0 0 0,-1-1 0,1 1 0,0 0 0,0 0 0,0-1 0,0 1 0,0 0 0,0-1 0,0 1 0,0 0 0,0-1 0,0 1 0,0 0 0,0-1 0,0 1 0,1 0 0,-1-1 1,0 1-1,0 0 0,0-1 0,0 1 0,0 0 0,1 0 0,-1-1 0,0 1 0,0 0 0,0 0 0,1-1 0,-1 1 0,0 0 0,0 0 0,1 0 0,-1-1 0,0 1 0,1 0 0,-1 0 0,0 0 0,1 0 0,-1 0 0,1 0 0,15-6 126,20-3-89,2 2 1,-1 2-1,1 0 0,74 4 1,156 28 334,-38-4-212,92-27-2618,-272 1 758,3 0-10171</inkml:trace>
  <inkml:trace contextRef="#ctx0" brushRef="#br0" timeOffset="2447.84">1632 2157 20095,'4'2'24,"0"1"0,-1-1 0,1 0-1,0-1 1,0 2 0,0-2 0,0 1-1,0-1 1,1 0 0,5 1 0,-2-2 35,0 0 1,0 0-1,0-1 1,0 0-1,9-2 1,10-5 35,0-1 0,0-1 0,42-22 0,-41 18-51,0 1-1,1 2 1,35-9 0,202-24-16,-9 3-5709,-145 18-4559</inkml:trace>
  <inkml:trace contextRef="#ctx0" brushRef="#br0" timeOffset="3078.89">3136 1 21759,'79'2'0,"-35"-2"0,68 10 0,-84-6 16,0 2 0,0 0 0,33 14 0,-53-17-12,0 1 0,0 0 0,0 0 0,-1 1 0,0-1 0,0 2 0,0-1 0,0 1 0,-1 0 0,0 1 0,0-1 0,-1 1 0,0 1 0,0-1 0,4 9 0,-4-7-5,0 1 0,-1 0 0,0 0 0,-1 0 0,0 0 0,0 1-1,-1-1 1,0 1 0,-1-1 0,0 1 0,-1 0 0,-1 0 0,1-1 0,-1 1-1,-1 1 1,0-3 0,-1 1 0,-5 16 0,-13 19-24,-2-1 1,-2 0-1,-41 54 0,26-39 17,22-35 21,13-17-2,0-2-1,0 1 0,1 1 1,0-2-1,1 2 1,-1 1-1,1-3 1,-4 16-1,7-20-6,0 1 1,0-1-1,1 1 1,-1 0-1,0-1 1,1 1-1,-1 1 1,1-2-1,-1 1 0,1-1 1,0 1-1,0-2 1,0 2-1,-1-1 1,2 1-1,-1-1 1,0 0-1,0 0 1,0 1-1,0-1 0,1 0 1,-1 1-1,1-1 1,-1-1-1,0 1 1,1 0-1,0 0 1,-1-1-1,1 1 0,2 0 1,9 2 37,-1 0 0,26 5 0,-35-8-29,31 4-77,0-1 0,-1-3 0,1 0 0,0-1 0,-1-3 0,1-2 0,-1 0 0,0-1 0,-1-3 0,0 1 0,0-4 0,-1-1 0,41-22 0,-61 27-938,0 2-1,18-19 0,15-19-11476</inkml:trace>
</inkml:ink>
</file>

<file path=xl/ink/ink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06:45:46.704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323 857 23423,'44'-104'-108,"47"-94"-40,-59 138 148,40-71 0,-71 129 0,0-1 0,0 2 0,1-2 0,-1 1 0,0 0 0,1 0 0,0 0 0,-1 0 0,1 0 0,0 0 0,0 0 0,0 1 0,0-1 0,1 1 0,-1-1 0,4-1 0,-6 3 0,1 1 0,-1-1 0,1 1 0,0-1 0,-1 1 0,1-1 0,-1 1 0,1-1 0,-1 1 0,0 0 0,1-1 0,-1 1 0,0 0 0,1-1 0,-1 1 0,0-1 0,0 0 0,1 1 0,-1 0 0,0 0 0,0-1 0,0 1 0,0 0 0,0 0 0,0-1 0,0 1 0,-1 1 0,1-1 0,1 33 0,-3 0 0,-8 48 0,2-21 0,0 42 0,5 2 0,15 140 0,-12-240-1,1 2-153,0-1 0,0 0 0,0 1 0,3 7-1,-2-11-207,-1 0 0,1 0-1,0-1 1,0 1 0,0 0-1,0-1 1,1 0 0,-1 1-1,1-1 1,0 0 0,3 2-1</inkml:trace>
  <inkml:trace contextRef="#ctx0" brushRef="#br0" timeOffset="1478.7">141 0 18047,'-15'23'-2,"5"-8"10,-1 2 0,-13 30 0,-1 2 311,20-41-258,0 0 0,0 1 0,1-1 0,1 1 0,-1 0 0,-1 11 0,5-19-58,-7 43 259,2-1 0,1 47 1,0 37 581,0-4-263,5-104-491,0-1 1,2 1-1,1-1 1,9 30-1,5-4 49,2 0-1,2-1 1,50 72 0,-48-79-64,-16-23-30,1 1 0,1-1 0,20 21 1,-29-33-40,0 0-1,0 0 1,1 0 0,-1 0 0,0 0 0,0 0 0,0 0 0,1 0-1,-1 0 1,1-1 0,-1 0 0,1 1 0,-1-1 0,0 1 0,1-1 0,0 0-1,-1 1 1,1-1 0,-1 0 0,1 0 0,-1 0 0,1 0 0,2-1 0,-2 0 1,0 1 1,0-1 0,0 0 0,0 0 0,-1 0 0,1-1 0,0 1-1,0-1 1,-1 1 0,1-1 0,-1 1 0,1 0 0,-1-1 0,2-3-1,3-6 18,0 1 1,-1-1-1,0-1 0,3-15 0,50-226 278,-39 157-244,-3 40-59,2 0 0,39-80 0,16-46 0,-53 118 0,-21 57 0,0 10 0,2 8 0,-1-1 0,0 1 0,-1 0 0,0-1 0,-5 19 0,0 7 0,-3 13-4,4-25 17,-1 33 0,25 279 216,-1-104-117,3-66 31,-17-139-137,6 11 42,0-24-96,-10-14 43,1 1 0,-1-1 0,0 0 0,1 0-1,-1 0 1,0 0 0,1 0 0,-1 1 0,1-1-1,-1 0 1,0 0 0,1 0 0,-1 0 0,1 0-1,-1 0 1,0 0 0,1 0 0,-1 0 0,0-1-1,1 1 1,-1 0 0,1 0 0,-1 0 0,0 0 0,1 0-1,-1-1 1,0 1 0,1 0 0,-1 0 0,0-1-1,1 1 1,-1 0 0,0 0 0,0-1 0,1 1-1,-1 0 1,65-70-2875,-41 47-128</inkml:trace>
  <inkml:trace contextRef="#ctx0" brushRef="#br0" timeOffset="2302.86">1251 847 18687,'0'0'918,"7"3"-705,232 92 832,-207-82-842,63 17 0,-93-30-228,-1 1 1,1-1-1,-1 0 1,1 1-1,0-1 1,-1 0-1,1 0 1,-1 0-1,1 0 1,-1-1-1,1 1 1,0 0-1,-1-1 1,1 1-1,-1-1 1,1 1-1,-1-1 1,0 1-1,1 0 1,-1-1-1,1 0 1,-1 0-1,0 0 1,0 0-1,0 0 1,0 0-1,0-1 1,0 1-1,0 1 1,0-1 0,0-1-1,0 1 1,-1-1-1,1 1 1,0-2-1,2-4-752,-2 0-1,1 0 1,-1 0-1,0 1 1,0-15-1</inkml:trace>
  <inkml:trace contextRef="#ctx0" brushRef="#br0" timeOffset="2617.71">1280 495 19327,'0'0'1024,"7"2"-917,16 2-122,0-2-1,1 0 0,0 0 1,-1-2-1,1-1 1,0-1-1,-1-1 1,0 0-1,1-2 1,36-12-1,-34 9-1541,33-8 0,-14 7-10240</inkml:trace>
</inkml:ink>
</file>

<file path=xl/ink/ink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06:45:52.564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0 201 15104,'6'-3'-107,"10"-5"183,1 2 1,0 0-1,1 2 1,0-1-1,0 1 1,0 2-1,34-2 1,-28 3 70,-1 2 0,0 0 1,1 2-1,-1-1 0,0 3 0,22 6 0,-30-5-58,-1-1-1,0 2 0,-1-1 0,1 2 0,-1 0 0,-1 0 0,14 14 0,-7-6 56,-1 0 0,-1 2 0,23 32-1,-35-43-115,-1 0 1,0 1-1,-1-1 0,0 0 0,0 1 0,-1 0 0,0 0 0,0 0 0,-1-1 0,0 2 0,-1 8 0,-1 8 73,-1 0 0,-6 30 0,2-30-42,0-2-1,-2 0 0,-1 0 0,-1 0 0,-2-1 1,0-1-1,-1 1 0,-1-2 0,-1 0 0,-33 33 0,26-33 27,0-2-1,-1-1 1,-35 20-1,0 1 69,50-31-114,0-1-1,0 0 1,-8 10 0,14-14-31,0 0 1,0 1 0,0 0 0,0-1 0,0 1-1,1-1 1,0 1 0,-1 0 0,1 1-1,0-1 1,0-1 0,1 1 0,-1 6-1,1-9-8,0 2 0,0-1 0,1 1 0,-1-1 0,1 1 0,-1-1 0,1 1 0,0-1 0,-1 0 0,1 0 0,0 0 0,0 0 0,0 0 0,0 0 0,0 0 0,0 0 0,1 0 0,1 2 0,27 13 0,-24-13 0,66 30 0,1-4 0,82 23 0,-103-40 0,-40-10 0,1 0 0,-1 2 0,22 7 0,-30-8-106,0 1-1,0-1 1,0 1-1,0 0 1,0-1-1,5 9 1,-3-5-151,13 21-3199,-3-4-6933</inkml:trace>
  <inkml:trace contextRef="#ctx0" brushRef="#br0" timeOffset="974.45">957 219 18815,'25'-7'111,"0"0"0,1 2-1,50-5 1,-59 9-52,0 1 1,0 0-1,-1 1 0,1 0 1,0 1-1,0 1 0,19 6 1,-29-6-33,1 1-1,-1 0 1,0-1 0,0 2 0,-1 0 0,0-1-1,0 2 1,0-2 0,0 2 0,-1 0 0,6 8 0,2 4 79,-1 0 0,17 35 0,-26-46-78,0 1-1,0 1 1,-1-1 0,0 1 0,-1 0-1,0-1 1,-1 1 0,1-1 0,-2 1 0,1 0-1,-1-1 1,-1 1 0,-3 10 0,2-9 69,-1 1 1,0-1 0,0 1-1,-1-1 1,-1-1 0,0 1-1,-1 0 1,1-1-1,-17 15 1,23-23-97,0-1-1,-1 0 1,1 1-1,0-1 1,0 0 0,0 1-1,0-1 1,0 1-1,0-1 1,0 0 0,0 1-1,0-1 1,0 0-1,0 1 1,0-1 0,0 1-1,0-1 1,0 0-1,0 1 1,0-1 0,0 0-1,1 0 1,-1 0-1,0 0 1,0 1 0,0-1-1,1 0 1,-1 1-1,0-1 1,0 0 0,1 1-1,-1-1 1,0 0-1,1 0 1,-1 0 0,0 1-1,1-1 1,-1 0-1,0 0 1,1 0 0,-1 1-1,26 12 0,-6-3-4,27 16 4,-23-12 0,25 17 0,-42-26 0,0 0 0,0 2 0,0-2 0,-1 2 0,0-1 0,-1 2 0,7 8 0,-7-7 0,-1-2 0,0 1 0,0 0 0,-1 0 0,2 12 0,-5-16 0,1-2 0,-1 1 0,0 0 0,1 1 0,-2-2 0,1 1 0,0 1 0,-1-1 0,1-1 0,-1 1 0,0 1 0,1-1 0,-1 0 0,-1-1 0,1 1 0,-1 0 0,0-1 0,-2 4 0,-2 0 16,0 0-1,0 0 1,-1 0-1,0-1 0,0 0 1,0-1-1,-9 6 1,-59 20 223,11-4-90,53-20-583,-39 16 1484,46-21-2059,0 0 0,0 1-1,0-1 1,-1-1 0,-7 2-1</inkml:trace>
  <inkml:trace contextRef="#ctx0" brushRef="#br0" timeOffset="1787.59">2321 435 17279,'5'-4'1,"0"0"0,0 1 0,-1-1 0,1-1 0,-1 2 0,0-2 0,0 0 0,-1 0 0,0 0 0,1 0 0,-2 0 0,1-1 0,-1 2-1,0-2 1,0 0 0,0 0 0,-1 0 0,0 1 0,0-1 0,-1 1 0,0-2 0,0-9 0,-2 3 40,2 1 49,-2 1 1,-4-20-1,5 29-63,0-2 0,0 1 0,0 0 1,-1 1-1,1-1 0,-1 0 0,1 0 0,-1 1 0,0 0 1,0-1-1,-1 1 0,1 0 0,0-1 0,-1 1 0,-4-2 0,-3-2 39,-1 2-1,1-1 1,-1 1-1,-1 1 0,1 0 1,0 0-1,-1 0 0,-23-1 1,28 4-48,0 0 0,0 0-1,0 0 1,-1 1 0,1 0 0,0 1 0,0 0 0,0 0 0,0 0 0,1 1 0,-1-1 0,1 1-1,-1 1 1,1-1 0,-11 9 0,8-4-16,1 0 0,0 2 1,0-1-1,1 1 0,1-1 0,0 2 0,0-1 1,1 1-1,0-1 0,1 1 0,-4 19 0,-2 15-4,-5 76 0,10-69 1,0 6 52,2 63 0,5-89-18,1 1 0,1-1 1,15 49-1,-19-77-18,1-1 0,0 0 0,1 0-1,-1 0 1,1 0 0,-1 0 0,1-1 0,3 5 0,-4-5-3,1-1 1,-1 0-1,1 0 1,-1-1-1,0 1 1,1 0-1,-1-1 1,1 1-1,0 0 1,-1-1-1,1 1 1,0-1-1,-1 1 1,1-1 0,0 0-1,-1 0 1,1 0-1,0 0 1,2 0-1,3-1 18,-1 0 0,0 0 0,1 0 1,-1-1-1,0 1 0,0-1 0,0-1 0,0 0 0,-1 0 0,1 1 0,-1-2 1,1 0-1,-1 0 0,-1 1 0,1-1 0,7-9 0,3-5 95,-1 0 0,-1-2 0,12-23 0,-16 28-92,-3 4 11,-1-1-1,0 1 0,-1-1 1,0 0-1,3-19 0,1-63 82,-4 36-19,-3 51-88,0-2-1,0 2 1,-1-1-1,-1-1 1,1 2-1,-1-2 1,-1 2 0,1 0-1,-1-2 1,-1 2-1,0-1 1,0 1-1,0-1 1,-1 1 0,0 0-1,-6-7 1,-9-11 5,-6-9-131,6 14-3861</inkml:trace>
  <inkml:trace contextRef="#ctx0" brushRef="#br0" timeOffset="2568.34">2764 39 18303,'-37'26'0,"36"-25"1,1-1-1,-1 1 1,1-1-1,-1 1 1,1-1-1,-1 0 1,1 1-1,-1-1 1,1 0-1,-1 1 1,0-1-1,1 0 1,-1 0-1,1 0 1,-1 1-1,0-1 1,1 0-1,-1 0 1,0 0-1,1 0 1,-1 0-1,0 0 1,1 0-1,-1 0 1,0-1-1,1 1 1,-1 0-1,1 0 1,-1 0-1,0-1 1,1 1-1,-1 0 1,1-1-1,-1 1 1,1 0-1,-1-1 1,1 1-1,-1-1 1,1 1-1,-1-1 1,1 1-1,-1-2 1,-4 24 212,2-2-164,1-1 0,1 2-1,1-1 1,2 0 0,-1 0 0,2 0 0,6 20-1,50 134 358,-47-142-285,-7-17-71,10 25 282,1-1 0,28 46 0,-43-83-303,0 0 1,0-1-1,0 1 1,0 0-1,0-1 1,1 0-1,-1 0 1,1 1-1,-1-1 1,4 2-1,-4-2-13,-1-1-1,1 0 1,-1 0-1,1 0 1,-1 1-1,1-1 1,0 0-1,-1 0 1,1 0-1,-1 0 1,1 0-1,0 0 1,-1 0-1,1 0 1,-1-1-1,1 1 1,0 0-1,-1 0 1,1 0-1,-1-1 1,1 1-1,-1 0 1,2-1-1,1-2 43,0 0-1,0 0 0,0-1 1,0 0-1,0 1 0,-1-1 1,3-5-1,-2 2-60,24-36 241,-13 21-59,20-43 1,54-181 414,-63 171-313,8-55-196,-21 97-536,-12 32 350,0 0-1,1 1 0,-1-1 0,0 0 1,0 1-1,1-1 0,-1 0 0,0 1 1,1 0-1,-1 0 0,1-1 0,-1 0 1,1 1-1,-1-1 0,1 1 0,-1-1 1,1 1-1,-1 0 0,1-1 0,0 1 0,-1 0 1,1-1-1,0 1 0,-1 0 0,1 0 1,0-1-1,-1 1 0,1 0 0,0 0 1,0 0-1,-1 0 0,1 0 0,0 0 1,-1 0-1,1 0 0,0 0 0,0 1 1,-1-1-1,1 0 0,0 0 0,-1 1 1,1-1-1,1 1 0</inkml:trace>
</inkml:ink>
</file>

<file path=xl/ink/ink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06:42:51.491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1703 176 19711,'50'-9'0,"-29"8"18,-21 1-18,0 0 1,0 0 0,0 0-1,0 0 1,0 0 0,1 0-1,-1 0 1,0 0-1,0 0 1,0 0 0,0 0-1,0 0 1,0 0 0,0 0-1,0 0 1,0 0 0,0 0-1,1 0 1,-1 0-1,0 0 1,0 0 0,0 1-1,0-1 1,0 0 0,0 0-1,0 0 1,0 0 0,0 0-1,0 0 1,0 0-1,0 0 1,0 0 0,0 0-1,0 1 1,0-1 0,0 0-1,0 0 1,0 0 0,0 0-1,0 0 1,0 0-1,0 0 1,0 0 0,0 1-1,0-1 1,0 0 0,0 0-1,0 0 1,0 0 0,0 0-1,0 0 1,0 0-1,0 0 1,0 0 0,0 0-1,0 1 1,0-1 0,0 0-1,-1 0 1,1 0 0,0 0-1,0 0 1,0 0-1,0 0 1,-21 12 90,-10-6 143,33-9 53,7-4-190,12-6 95,24-16-1,-27 17-55,-1 1-1,25-11 1,4 3 51,1 4 0,1 1 0,0 2-1,1 2 1,95-6 0,-24 11-65,153 13 0,-199-1-62,1 5-1,0 0 1,-1 5 0,130 45 0,93 61 196,-281-118-242,0 1 1,1-2 0,-1 0-1,1-1 1,0-1 0,1 0-1,-1-1 1,33-1 0,-41-1-27,0 0 1,0-1-1,0 1 1,0-1-1,0-1 1,-1 0 0,0 0-1,1 0 1,-1-2-1,-1 2 1,1-3-1,-1 2 1,1-3-1,-2 2 1,1-1 0,-1 1-1,1-3 1,7-9-1,29-57-2589,-27 43-1134</inkml:trace>
  <inkml:trace contextRef="#ctx0" brushRef="#br0" timeOffset="2344.33">2146 614 4096,'0'0'18687,"0"4"-18559,-16 458 380,17-368-504,1 29 57,0-40 26,-16 168 0,13-245-78,-1 8 8,0-1 1,0 0-1,-1-1 1,-1 1 0,0 0-1,-1-2 1,-7 16-1,12-27-17,0 0 0,-1 0 1,1 0-1,0 0 0,0 0 0,-1 0 0,1 0 0,0 0 0,0 0 0,-1 0 0,1 0 1,0 0-1,0 0 0,0 0 0,-1-1 0,1 1 0,0 0 0,0 0 0,-1 0 0,1 0 1,0 0-1,0 0 0,0-1 0,0 1 0,-1 0 0,1 0 0,0 0 0,0 0 0,0-1 0,0 1 1,0 0-1,-1 0 0,1 0 0,0-1 0,0 1 0,0 0 0,0 0 0,0 0 0,0 0 1,0 0-1,0 0 0,0 0 0,0-1 0,0 1 0,0 0 0,0 0 0,0-1 0,0 1 1,0 0-1,-3-16-27,-3-26-223,-1-79 0,13-48-651,-2 81 531,27-307-675,-21 281 931,-9 79 121,3-1 0,0 0 1,19-66-1,-22 100 7,0 1 0,0-2 0,1 1 0,-1 0 0,0-1 0,1 2 0,-1 0 0,1-1 0,0 1 0,0-1 0,0 1 1,0 0-1,-1-1 0,2 1 0,-1 1 0,0-1 0,0 0 0,0 0 0,0 1 0,1-1 0,-1 1 0,0-1 0,1 1 0,-1 0 0,3 0 1,6-1 35,0 1 1,0 0-1,0 1 1,11 3-1,12 0 52,-1 3-1,0 1 0,44 16 1,-46-11-27,40 15 43,-64-23-100,1-2 1,-2 1-1,1 1 1,0-1-1,-1 1 1,0 1-1,6 6 1,4 6 17,0 2 25,-1-3 0,-1 1 0,-1 2 0,13 22 0,-23-35-43,0-1 0,-1 1 0,0-1 0,0 0 0,-1 1 0,0 0 0,0 0 0,0 1 0,-1-2 0,0 1 0,-1 0 0,1-1 0,-1 1 0,0 0 0,0 2 0,-1-4 0,0 1 0,-4 9 0,-5 5 44,0-1 1,-15 20-1,4-8 7,16-23-37,0 0 1,0 0-1,-1 0 1,0-2-1,0 0 1,-1 1-1,0-1 1,0 1-1,-13 5 1,0-3 65,-1 1 0,-42 12-1,51-21-61,10-1-26,0 0 0,-1 2 0,1-2 1,0 1-1,0-1 0,0 1 1,0 0-1,-4 1 0,-8 1-10,12-1 0,2 2 0,4 0 0,3-3 0,-2-4 0,39 34 0,-5 1 0,-30-27 0,0 2 0,0 0 0,13 14 0,-4 0 27,35 30-1,-35-36-7,-1 2 0,-1-1 0,22 28-1,21 64-18,4 3 0,-55-102 30,-1 0 1,2-2-1,-1 0 0,1 2 0,0-2 1,1-1-1,0 1 0,0-2 0,0 2 0,1-2 1,10 4-1,-12-7-21,5 6 259,-13-8-239,0 0 0,1 0 0,-1 0 0,0 0 0,0 1 0,1-1 0,-1 0 0,0 0 0,1 0-1,-1 0 1,0 0 0,1 0 0,-1 0 0,0 0 0,1 0 0,-1 0 0,0 0 0,1 0 0,-1 0 0,0 0 0,1 0-1,-1 0 1,0 0 0,0 0 0,1 0 0,-1-1 0,5 1-212,5 0-3124</inkml:trace>
  <inkml:trace contextRef="#ctx0" brushRef="#br0" timeOffset="191117.34">1832 2760 14464,'-3'24'114,"-1"3"1,2-1-1,1 0 1,2 33 0,19 104 523,-6-62-335,-2-1-164,57 499 277,-57-475-368,61 782-203,-63-737-600,-2-45-2778,-5-81-4509</inkml:trace>
  <inkml:trace contextRef="#ctx0" brushRef="#br0" timeOffset="191719.59">1014 4029 20607,'33'2'0,"57"-4"0,-56-1 0,0 3 0,0 2 0,61 9 0,100 30 0,-82-14 0,494 60 0,-177-31 0,218 75 324,-526-106-285,112 23 115,1-10-1,3-12 1,-1-5-1,295-20 1,-162-43-88,12-31-5077,-371 71 4708,161-33-10683</inkml:trace>
  <inkml:trace contextRef="#ctx0" brushRef="#br0" timeOffset="193435.9">1914 4395 18559,'41'-19'22,"-41"19"-20,-1 0 1,0 0 0,1 2-1,-1-2 1,0 0 0,1 0-1,-1 0 1,0 0 0,0 0-1,1 0 1,-1 0 0,0 0-1,1 0 1,-1 0 0,0 0-1,0 0 1,1-2 0,-1 2-1,0 0 1,1 0 0,-1-1-1,1 1 1,-1 0 0,0-1-1,1 1 1,-1-1 0,0 0-1,0-1 9,0 1-1,0-1 0,0 1 0,1-1 1,-1 0-1,0 1 0,1-1 0,0 1 0,-1-1 1,1 1-1,0-3 0,0-6 31,0 1 1,0 1-1,3-14 0,5-11-41,2-1 0,1-1 0,2 4 0,20-38 0,-18 41 51,2-1 1,1 3-1,1-2 0,35-36 0,102-86 375,-90 91-318,117-129 525,-151 154-541,-12 14-51,1-1-1,1 4 1,0-2-1,2 2 1,33-18 0,-37 22-8,1 4 1,0 0-1,0 2 1,1 0-1,0 0 1,1 3-1,33-5 1,-30 7-30,0 1 1,1 1-1,-1 1 1,-1 1-1,29 5 1,-42-3-6,0-2 1,-1 1 0,1 1-1,-1-1 1,0 3-1,0-1 1,0 0 0,-1 1-1,1 0 1,-2 4 0,1-3-1,-1 0 1,12 14-1,16 25 21,-2 2-1,52 98 1,31 114 71,-15-27 15,-102-229-107,8 10 19,-1 2 0,-1-1 0,0 2 0,-2-1 0,6 24 0,17 115 3,-12-36-21,-13-90 0,0 1 0,2-1 0,1 1 0,2 0 0,15 38 0,-17-56 0,11 27 0,1-1 0,2-4 0,47 67 0,-61-96 0,0 2 0,1-1 0,0-1 0,0 1 0,0-1 0,1-2 0,-1 2 0,1-2 0,0 2 0,17 3 0,5 1 0,56 6 0,-64-12 0,-20-2 0,42 5 79,85 3 1,-117-9-55,0 0 1,0 0-1,1-2 1,-1 0-1,0 0 1,0-1 0,-1 0-1,1-1 1,-1-2-1,0 2 1,0-1-1,13-9 1,58-44 113,80-74-1,-145 112-138,0 2 0,-2-2 0,0-2 0,12-21 0,14-20 0,-15 26 0,-8 14 0,-2 0 0,14-28 0,1-10 79,-2 0-1,29-95 0,-41 61 65,-1 10 98,-14 65-241,38 19-5099,-5-2-6676</inkml:trace>
  <inkml:trace contextRef="#ctx0" brushRef="#br0" timeOffset="197748.73">1164 3334 18815,'29'-13'-21,"0"2"0,1 0-1,0 1 1,1 3 0,0 1-1,0 1 1,1 2 0,-1 0-1,1 2 1,35 3 0,163 21-95,25 5 82,-140-20-19,189-10 0,-71-20-800,173-9-2731,-243 27-5824</inkml:trace>
  <inkml:trace contextRef="#ctx0" brushRef="#br0" timeOffset="199456.48">37 2860 18175,'0'3'107,"-3"9"-41,0 1 0,-9 22 0,9-27-28,-1 1-1,1 0 0,1 1 0,-1-2 0,2 2 1,-1-1-1,1 0 0,1 19 0,2-15-37,1 2-1,0-1 0,1 0 1,0-2-1,1 2 0,1-1 1,9 16-1,-12-24 2,0-2 1,0 3-1,1-2 0,-1 0 0,1 0 0,0 0 1,0-1-1,1 0 0,-1 1 0,1-2 0,-1 1 1,1-1-1,0 1 0,0 0 0,0-2 0,1 1 1,-1 0-1,0-1 0,1 1 0,-1-1 1,11 0-1,-3 0 13,0-1-1,0-1 1,1 0 0,23-7 0,-30 5-11,1 1 1,-1-1-1,0 0 1,-1 0-1,1-1 0,0 0 1,-1 1-1,0-2 1,0 0-1,5-6 0,33-31 76,-2-4-1,44-60 0,-35 41 36,11-18 177,-51 70-34,-11 13-253,0 0 0,0 0 0,0 0 0,0 0 1,1 0-1,-1 0 0,0 0 0,0 0 1,0 0-1,0 0 0,1 0 0,-1 0 0,0 0 1,0 0-1,0 0 0,0 0 0,1 0 1,-1 1-1,0-1 0,0 0 0,0 0 0,0 0 1,0 0-1,1 0 0,-1 0 0,0 0 1,0 1-1,0-1 0,0 0 0,0 0 0,0 0 1,0 0-1,0 0 0,0 2 0,1-2 1,-1 0-1,0 0 0,0 0 0,0 0 0,0 1 1,0-1-1,0 0 0,0 0 0,0 2 10,0 0 0,0 0-1,0 0 1,-1 1-1,1-1 1,0 0 0,-1 0-1,0 0 1,1 0-1,-1 0 1,0-1-1,-2 4 1,-5 9 30,-4 6 46,-18 38 0,28-53-86,0 0 0,0 0 0,0 2 0,1-2 0,0 2 0,0-2 1,1 1-1,-1 0 0,1 0 0,1-1 0,-1 1 0,3 9 0,2 4-21,-1 1-1,-1 1 0,0-1 0,-2 2 0,-2 36 1,1-53-102,-1-1 1,1 1-1,1 0 1,-1-1-1,1 1 1,0 0-1,0 1 1,0-2-1,1 0 1,3 9-1,-1-6-851,1 0 0,-1-1 0,10 11 0</inkml:trace>
  <inkml:trace contextRef="#ctx0" brushRef="#br0" timeOffset="202377.42">3183 2987 12160,'0'0'-363,"0"4"64,-2 19-62,-1-1-1,-1 1 0,-1 0 0,-1-1 1,-2-1-1,-11 27 0,6-15-142,-18 71-1,26-81 450,2 0-1,1 0 1,1 0-1,2 24 1,25 135-378,-6-70-30,24 330-1626,-24-199 765,6 13-383</inkml:trace>
  <inkml:trace contextRef="#ctx0" brushRef="#br0" timeOffset="204453.94">72 2259 18303,'0'0'2048,"2"-5"-1941,-2 4-107,24-58 150,-21 54-126,0-1-1,0-1 0,0 3 1,1-1-1,0 1 1,0-1-1,1 1 0,-1 0 1,9-8-1,179-122 233,-163 112-251,1 3 1,1-1-1,57-23 0,-87 43-5,0-1 0,1 0 0,-1 1 0,0 0 0,1-2 0,-1 2 0,1 0 0,-1-1 0,1 1 0,-1 0 0,1 0 0,-1 0 0,1 1 0,-1-1 0,0 0 0,1 2 0,-1-2 0,1 0 0,-1 1 0,0 0 0,0-1 0,2 2 0,0 0 0,-1 0 0,1 0 0,0 0 0,-1 1 0,0 0 0,1-1 0,-1 0 0,0 1 0,1 5 0,2 0 0,-1 1 0,-1 0 0,0 0 0,0-1 0,-1 2 0,2 13 0,1 74 0,4 38 0,12 83 256,-21-215-297,0 0-1,0 0 0,0 0 0,1 0 1,0 0-1,-1 0 0,1-2 1,0 3-1,0-1 0,1-1 0,2 5 1,-3-6-21,1 0 1,-1 3 0,1-3 0,-1 0 0,1 0-1,-1-1 1,1 0 0,0 1 0,-1-1-1,1 1 1,0-1 0,0 1 0,-1-1 0,1 0-1,0 1 1,0-1 0,0 0 0,2-1-1,13 1-2754</inkml:trace>
  <inkml:trace contextRef="#ctx0" brushRef="#br0" timeOffset="-210932.31">5428 2788 16639,'-1'4'-106,"-46"130"82,32-85 26,1-4 130,3 0-1,1 1 0,3 0 0,1-1 0,3 1 0,4 75 0,0-111-70,1-1 0,0 1 1,0-1-1,0 1 0,2 0 1,-1-1-1,8 13 0,-10-21-50,-1 1 0,1-1 0,-1 0 0,1 0 0,-1 0 0,1-1 0,0 1 0,0 0 0,-1-1 0,1 1 0,0 0 0,0-1 0,0 1 0,0-1 0,0 0 0,0 0 0,0 0 0,0 1 0,0-1 0,0 0 0,0 1 0,0-1 0,0 0 0,0 0 0,0 0-1,0 0 1,0 0 0,0 0 0,0-1 0,0 1 0,0 0 0,0 0 0,0-1 0,0 1 0,0 0 0,0 0 0,-1 0 0,1-1 0,0 0 0,0 1 0,0-1 0,0 0 0,0 0 0,6-6 49,0 1 0,0 0 1,10-13-1,-11 12-16,81-91 209,-13 17-49,76-110 1,-121 147-118,-20 26-38,1 2 1,2 1-1,-1-2 1,2 3-1,23-24 1,-24 30-25,-6 8 1,-5 18 17,-2 2-31,2 55 127,-10 79 0,-1-79-38,-1 20 11,9-6-11,-4 71 75,6-155-178,-1-1 0,1 3-1,1-3 1,-1 1 0,1 0-1,0 0 1,0-1-1,3 12 1,-4-16-1,0 0 0,0 0 0,1 0 1,-1 0-1,0 0 0,0 1 0,0-1 0,0 0 0,0 0 0,0 0 1,0 0-1,0 0 0,0 0 0,0 0 0,0 0 0,0 0 0,0 0 0,0 0 1,1 0-1,-1 0 0,0 0 0,0 0 0,0 0 0,0 1 0,0-1 1,0 0-1,0 0 0,0 0 0,0 0 0,1 0 0,-1 0 0,0 0 0,0 0 1,0 0-1,0-1 0,0 1 0,0 0 0,0 0 0,0 0 0,0 0 1,0 0-1,1 0 0,-1 0 0,0 0 0,0 0 0,0 0 0,0 0 1,0 0-1,0 0 0,0 0 0,0 0 0,0 0 0,0 0 0,0-1 0,0 1 1,0 0-1,0 0 0,0 0 0,0 0 0,1 0 0,-1 0 0,0 0 1,0 0-1,0-1 0,5-11-290,3-12-465,21-111-3679,-21 88-5611</inkml:trace>
  <inkml:trace contextRef="#ctx0" brushRef="#br0" timeOffset="-210237.9">5477 2552 17279,'0'0'256,"3"-5"-128,30-44 331,82-89 0,-95 114-313,-1 2 1,-1-3 0,-2 0-1,26-54 1,-22 41-6,-14 25-96,0 2 0,1-1-1,1 1 1,0 0-1,0 0 1,1 1 0,1 1-1,0-1 1,0 0-1,13-7 1,-22 15-41,-1 2 1,0 0-1,1 0 0,-1 0 0,0 0 1,1-1-1,-1 1 0,0 0 1,1 0-1,-1 0 0,0 0 0,1 0 1,-1 0-1,1 0 0,-1 0 1,0 0-1,1 0 0,-1 0 0,0 0 1,1 0-1,-1 0 0,0 1 1,1-1-1,-1 0 0,0 0 0,1 0 1,-1 0-1,0 2 0,1-2 1,-1 0-1,0 0 0,0 1 0,1-1 1,-1 0-1,0 1 0,0-1 1,1 0-1,-1 0 0,0 1 0,0-1 1,0 0-1,0 1 0,0-1 1,0 1-1,1-1 0,-1 0 0,0 1 1,0-1-1,0 0 0,0 1 1,0-1-1,0 0 0,0 1 0,-1-1 1,2 30 87,-1-20-36,1 40 71,-2 1 1,-15 90-1,8-84 13,-2 93-1,7-77-1013,4-72 758,-1 1 1,1-1 0,0 0-1,0 0 1,0 0 0,-1-1-1,1 1 1,0 1 0,0-2-1,0 1 1,0 0-1,0-1 1,0 0 0,0 0-1,0 0 1,0 1 0,1-1-1,-1 0 1,0 1 0,0-1-1,0 0 1,0 0 0,2 0-1,1 0-1424</inkml:trace>
  <inkml:trace contextRef="#ctx0" brushRef="#br0" timeOffset="-208405.46">6349 3285 17023,'28'-15'34,"-23"12"-18,0 0 1,1-1-1,-1 0 0,1 2 0,0-1 1,0 1-1,0 0 0,0 0 0,0 1 1,0 1-1,1-1 0,-1 0 0,0 1 1,9 0-1,-4 2 42,1-1 1,-1 2 0,0 1-1,0-1 1,0 2 0,-1 1-1,18 8 1,-22-11-65,1-1-1,0 0 1,0 0-1,-1-2 1,1 1-1,0 0 1,0 0-1,1-1 1,-1 0-1,0-1 1,8-1-1,5 2-256,-15 0-256,-1-1 0,1 1 0,-1-1-1,1 0 1,6-3 0</inkml:trace>
  <inkml:trace contextRef="#ctx0" brushRef="#br0" timeOffset="-208034.99">6364 3049 18175,'13'-3'-3,"0"0"0,0 2 0,0-2 0,0 2 0,0 1 0,21 1 0,187 7-3187,-179-8 748,-8 0-5856</inkml:trace>
  <inkml:trace contextRef="#ctx0" brushRef="#br0" timeOffset="-206901.12">7106 2687 18047,'8'-4'0,"0"0"0,0 1 0,0-1 0,14-2 0,-18 5 0,0 0 0,0 1 0,0 0 0,-1-1 0,1 1 0,0 1 0,0-1 0,0 0 0,0 1 0,0 0 0,-1 0 0,1 0 0,6 2 0,10 6 15,-10-6 23,0 2 0,16 11 0,-22-14-30,-1 0 1,0 1 0,0 0 0,0-1 0,0 1 0,-1 1 0,1 0 0,-1-2-1,0 2 1,0 0 0,2 3 0,0 5 12,-1-2 0,0 1 0,-1 0 1,0-1-1,-1 1 0,0 1 0,-1-2 0,0 0 0,-1 2 0,0-1 0,0-1 0,-2 1 0,1 0 1,-5 12-1,-8 14 65,-1 0 1,-32 53 0,22-43-24,-15 25 35,-24 49 188,61-112-274,1-2 0,0 1 0,1 1 0,0 1 0,0-2-1,1 0 1,0 1 0,0-1 0,1 0 0,1 1 0,-1 0 0,4 14 0,-2-15-5,0 0 1,0-2 0,1 1-1,0-1 1,0 1 0,0-1-1,1 0 1,0 0 0,0 0-1,1 1 1,0-2 0,0 0-1,0 0 1,1-1 0,9 8-1,-11-10-44,0 1 0,1-1-1,-1-2 1,0 3 0,1-2-1,-1 1 1,1-1 0,-1-1-1,1 1 1,-1-1 0,1 1-1,0-1 1,-1-1 0,1 1-1,-1-1 1,1 1 0,5-3-1,5-1-274,0-1 0,-1-2 0,25-10 0,-33 14-237,-1 0 0,0 0 0,0-2-1,0 2 1,0-3 0,0 2-1,3-5 1,12-12-8240</inkml:trace>
  <inkml:trace contextRef="#ctx0" brushRef="#br0" timeOffset="-206137.25">7421 2679 17919,'9'5'39,"1"3"-1,0-3 0,1 1 1,-1-2-1,1 1 0,0-1 1,1-1-1,-1 1 0,1-2 1,22 2-1,6 3 31,-36-6-62,1 0-1,-1-1 1,1 1-1,-1 1 0,0 0 1,0 0-1,0 0 1,0-1-1,0 2 1,0 1-1,0-1 1,-1 0-1,6 5 1,-4-1 1,0-1 1,-1 1-1,0-1 0,0 1 1,-1 1-1,5 13 0,-1-1 0,-3-9 11,0-2 0,-1 2 0,0-1 0,-1 0 0,1 14-1,-2-21-13,-2-1 0,1 1-1,0 0 1,0 0-1,-1-1 1,0 2-1,1-1 1,-1 0-1,0-2 1,-1 3-1,1-1 1,0 0 0,-1-2-1,1 2 1,-1-1-1,0 0 1,0 1-1,0-2 1,0 2-1,0-1 1,-1 0-1,1 0 1,-1-1 0,-3 2-1,-8 4-4,-1-2 0,0 2 0,0-2 0,-1-1 0,1 0 0,-21 1 0,36-5 0,-1 0-10,0 0 0,0 0 0,0 0-1,0 1 1,0-1 0,0 0 0,0 0 0,0 1 0,1-1-1,-1 1 1,0-1 0,0 1 0,0-1 0,1 1 0,-1-1-1,0 0 1,0 1 0,1-1 0,-1 1 0,1 0 0,-2 1-1,2-2-6,0 1-1,0 0 1,0 0 0,0 0-1,0-1 1,0 2-1,0-1 1,0-1-1,0 1 1,0 0-1,0-1 1,1 1-1,-1 0 1,0 0-1,1 0 1,-1-1-1,0 1 1,1 0 0,0 0-1,2 4-57,1-1 0,0 1 0,0-1-1,0 1 1,9 4 0,9 8-98,-1 3 0,-1 0 0,28 36-1,-38-43 120,-1-2 23,0 1 0,0-1 0,-2 1 0,1 1 0,-2 0 0,0 1 0,0 0-1,-1-1 1,4 20 0,-8-25 66,0-1 0,0 1-1,-1-1 1,0 0 0,0 1 0,-1-1 0,0 1-1,0 0 1,-1-1 0,0-1 0,0 2-1,-1-2 1,0 2 0,0-1 0,0-1-1,-1 1 1,0-1 0,-1 1 0,-7 6-1,7-9 24,1 1-1,-1-2 0,0 2 1,0-2-1,-1-1 0,1 1 1,-1 0-1,1-1 0,-1 0 1,0-1-1,0 1 0,-9 1 1,-6 0-15,0-1 0,-28-2 0,34 1-258,-47-2 262,57 0-499,0 0-1,0 0 1,0 0-1,0 0 1,0-1-1,0 1 0,0-1 1,1 0-1,-9-5 1</inkml:trace>
  <inkml:trace contextRef="#ctx0" brushRef="#br0" timeOffset="-205492.08">7977 2987 18303,'-1'-12'-2,"-3"-36"1,3 44-12,0 0 1,1 2 0,-1-2 0,-1 0 0,1 1 0,0-1 0,-1 0 0,0 2-1,0-1 1,0 0 0,-3-3 0,-28-36-457,33 42 455,-1-1 1,1 1 0,0 0-1,-1-1 1,1 1 0,0 0-1,-1 0 1,1 0 0,-1 0-1,1-1 1,-1 1 0,1 0-1,-1 0 1,1-1 0,0 1-1,-1 0 1,1 0 0,-1 0-1,1 0 1,-1 0 0,0-1-1,1 1 1,-1 0 0,1 0-1,-1 0 1,1 1 0,-1-1-1,1 0 1,-2 0 0,-9 13-393,-1 20 38,1 13 194,3 2-1,2 0 0,2 2 0,3 71 0,3-83 154,-3-21 21,2 1 0,0-1 0,1 0 0,1 1 0,7 23 0,-10-40 5,1 0 0,-1 1 0,1-1 0,-1 0 1,1-1-1,-1 1 0,1 0 0,0 0 1,0 0-1,-1 0 0,1 0 0,0 0 1,0 0-1,0 0 0,0 0 0,0-1 0,0 1 1,0-1-1,0 0 0,1 1 0,-1-1 1,0 1-1,0-1 0,0 0 0,2 1 1,0-1 20,-1 0 0,1 0 0,0-1 0,-1 1 0,1-1 0,0 1 0,-1-1 0,1 1 0,-1-1 0,1 0 0,2-2 0,5-3 89,-2 1 0,1-3 0,0 0 0,13-12 0,-14 10-5,0 1-1,0-2 0,-1 0 1,-1 1-1,7-17 0,22-61 365,-12 24-174,-3 19-22,-12 27-171,0 2-1,0-3 1,-3 2-1,0-3 1,0 2-1,3-31 1,-7 39-25,-1-1 0,0 1 1,0-2-1,-1 1 0,-1 1 0,-3-13 1,5 22-80,0 0 0,0 1 0,0 0-1,0 0 1,-1-1 0,1 0 0,0 1 0,0-1 0,-1 1 0,1-2 0,0 2 0,-1-1 0,1 1 0,0-1 0,-1 1 0,1-1 0,-1 1 0,1-1-1,-1 1 1,1 0 0,-1-1 0,1 1 0,-1 0 0,1-1 0,-1 1 0,0 0 0,1 0 0,-1 0 0,1 0 0,-1-1 0,1 1 0,0 0-1,-1 0 1,1 0 0,-1 0 0,0 0 0,1 0 0,-1 1 0,0-1 0,1 0 0,-1 0 0,1 0 0,-1 0 0,0 1 0,1-1 0,-1 0 0,1 1-1,-1-1 1,1 0 0,-1 1 0,1-1 0,-1 1 0,1-1 0,-1 2 0,-5 3-17,1 0 1,0 1-1,-8 9 0,3-2-704,2 3 0,-1-3 0,2 2 0,0 0-1,-8 28 1,4-11-9756</inkml:trace>
  <inkml:trace contextRef="#ctx0" brushRef="#br0" timeOffset="-204643.3">8363 2740 17919,'-5'35'118,"0"49"-1,4-60-18,-9 46 0,6-45-49,-3 36 1,13 53 92,-1-13 76,-6 16 443,39-174 84,-13-2-521,-4 1 0,22-95-1,14-40-23,-47 164-191,41-104 138,-39 108-108,1-1-1,30-43 1,-43 68-44,1 0 0,0 0 0,-1-1 0,1 1 0,0-1 0,0 1 0,0 1-1,0-1 1,0 1 0,0-1 0,0 0 0,0 1 0,0-1 0,1 0 0,-1 1 0,0-1-1,2 0 1,-2 1-29,0 0 0,-1 1 0,1-1 0,0 0 0,-1 0 0,1 0-1,0 1 1,-1-1 0,1 0 0,-1 1 0,1-1 0,0 0 0,-1 1-1,1-1 1,-1 1 0,1-1 0,-1 1 0,0-1 0,1 0 0,-1 0-1,1 1 1,-1-1 0,1 3 0,1 3-249,1-1 0,-1 1 1,-1-1-1,1 1 0,0 10 0,3 14-2683,0 2-7765</inkml:trace>
  <inkml:trace contextRef="#ctx0" brushRef="#br0" timeOffset="-204127.65">8998 3012 21631,'0'0'0</inkml:trace>
  <inkml:trace contextRef="#ctx0" brushRef="#br0" timeOffset="-202759.34">9160 2800 17407,'-1'8'0,"1"0"0,0 0 0,1 0 0,-1 0 0,1-1 0,4 11 0,-1 2 0,-3-16 0,0 0 0,0 0 0,0 0 0,0 1 0,1-2 0,3 8 0,5 5 0,0 1 0,-1 1 0,-1 0 0,-1 2 0,-2-3 0,1 1 0,4 31 0,2 35 21,18 111 726,-29-190-692,6 17 481,-7-21-528,0-1 1,0 0 0,1 0 0,-1 1 0,0-1 0,0 0 0,1 0 0,-1 1 0,0-1 0,1 0 0,-1 0 0,0 0 0,1 0-1,-1 0 1,1 0 0,-1 0 0,0 0 0,1 0 0,-1 0 0,0 0 0,1 0 0,-1 0 0,1 0 0,-1 0 0,0 0 0,1 0-1,-1 0 1,0 0 0,1 0 0,-1 0 0,1 0 0,-1 0 0,0 0 0,1 0 0,-1-1 0,0 1 0,1 0 0,-1 0 0,0-1 0,0 1-1,1 0 1,-1 0 0,0-1 0,0 1 0,0 0 0,1-1 0,-1 1 0,0 0 0,0-1 0,0 0 0,4-3 21,-1-1 1,-1 1 0,1 0-1,-1-1 1,1 0-1,-1 1 1,-1-1-1,1-2 1,-1 2 0,2-9-1,-1-9 35,0-28 0,-2 16-19,-2-610 1468,0 604-1311,4-41 0,-2 79-197,1-1-1,0-1 1,0 2 0,0-1 0,1 0 0,-1 1 0,1-1 0,0 1-1,0 0 1,0 0 0,1-1 0,-1 2 0,1-1 0,0 0 0,0-1-1,0 3 1,0-3 0,0 2 0,0-1 0,1 1 0,-1 1 0,1-1-1,4-1 1,6-2 28,0 1-1,0-1 1,0 2-1,0 0 1,18-1-1,-14 3 43,31 2 0,-39 0-63,0 0-1,0-1 1,0 0-1,0-1 1,0 0-1,0 0 1,0-1-1,0 1 1,17-9-1,-1-3-17,25-9 288,-50 21-198,3-3-42,-4 4 42,-5 17-59,1-9-31,-10 41 5,7-25 0,-7 44 0,11-47 0,-2 15 0,2 0 0,2-2 0,3 42 0,-1-52-18,-1 35 0,0 17-66,1-69 67,0 3 1,0-2 0,1-1 0,0 1-1,0 1 1,7 11 0,-8-18-101,-1-2 1,0 1 0,1-1 0,-1 1 0,1-1 0,-1 0 0,1 0-1,-1 1 1,1-1 0,-1 0 0,1 1 0,-1-1 0,1 0-1,-1 1 1,1-1 0,0 0 0,-1 0 0,1 0 0,0 1 0,-1-1-1,1 0 1,0 0 0,-1 0 0,1 0 0,0 0 0,-1 0-1,1 0 1,0 0 0,-1-1 0,1 1 0,-1 0 0,1 0-1,0 0 1,-1-1 0,1 1 0,-1 0 0,1-1 0,-1 1 0,1 0-1,-1-1 1,1 1 0,-1 0 0,1 0 0,0-1 0</inkml:trace>
  <inkml:trace contextRef="#ctx0" brushRef="#br0" timeOffset="-202061.08">9479 2687 18047,'11'-1'5,"1"1"0,0 1-1,-1 0 1,1 0 0,-1 2-1,1-2 1,16 9 0,-23-8-1,1-1 0,-1 2 0,1 0 0,-1 0 0,0-1 0,0 3 0,0-1 0,0-1 0,-1 1 1,1 0-1,-1 0 0,0 0 0,-1 0 0,1 3 0,-1-2 0,3 7 0,-3-6 16,-1 2 0,1 0 0,-2 1 0,1-2-1,-1 2 1,0-1 0,-1-1 0,0 1 0,0 0 0,-3 14 0,-1 4 73,-17 49 0,-9 1-93,12-34 0,11-23 0,5-15 0,1 1 0,-1-1 0,0 1 0,-1-1 0,1 1 0,-1 0 0,-5 4 0,7-7 0,0-1 0,0 2 0,0-1 0,0 0 0,0 0 0,0 0 0,0 0 0,0 0 0,1 1 0,-1-1 0,1 0 0,0-1 0,0 2 0,0-1 0,0 0 0,0 1 0,0-2 0,1 1 0,-1 0 0,1 1 0,-1-1 0,1 0 0,0 0 0,0 0 0,0 0 0,0 1 0,0-1 0,0-1 0,1 1 0,-1 0 0,3 1 0,2 4 0,1 1 0,0-1 0,1-1 0,-1 1 0,13 7 0,-2-4-715,0-1-1,32 13 0,-41-19-315</inkml:trace>
</inkml:ink>
</file>

<file path=xl/ink/ink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06:47:53.981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1 495 17151,'5'37'279,"-1"-1"-1,-2 76 1,0 0 272,11 274 599,-10-248-977,-10 1031 1192,2-764-1642,9-379-457,-4-26 723,0 0 0,0 1-1,0-1 1,0 0 0,1 0 0,-1 0-1,0 0 1,0 0 0,0 0 0,0 0-1,0 0 1,0 0 0,0 0 0,1 0-1,-1 0 1,0 0 0,0 0 0,0 0-1,0 0 1,0 0 0,1 0-1,-1 0 1,0 0 0,0 0 0,0 0-1,0 0 1,0 0 0,0 0 0,1 0-1,-1 0 1,0 0 0,0 0 0,0 0-1,0 0 1,0 0 0,0 0 0,1 0-1,-1 0 1,0-1 0,0 1-1,0 0 1,0 0 0,0 0 0,0 0-1,0 0 1,0 0 0,0-1 0,10-14-614,-4-2 43,0 1 0,-2-2 0,0 2 0,-1-1 0,0 0 0,-1-23 0,4-51-9530</inkml:trace>
  <inkml:trace contextRef="#ctx0" brushRef="#br0" timeOffset="1398.83">376 0 19583,'54'2'58,"0"2"0,-1 1 0,0 5 0,-1 0 0,0 2 0,74 28 0,-114-35-32,265 89 349,10-20-158,126-12-32,5-27 32,-276-25-128,658 28 256,1-76-7,27-74-11,-194 22-57,-280 34-96,-112 17 36,-204 33-178,0 1 0,1 3 0,70 3 0,83 22 105,43 3-20,-179-22-59,0-3-1,69-8 1,-109 6-45,-1 0 0,1 0 1,0 1-1,-1 1 0,1 1 1,0 0-1,28 8 0,-43-10-11,0 1-1,-1-1 1,1 0-1,-1 1 0,1-1 1,0 1-1,-1-1 1,1 1-1,-1-1 1,1 1-1,-1-1 1,1 1-1,-1 0 0,0-1 1,1 2-1,-1-1 1,0-1-1,1 1 1,-1 0-1,0-1 1,0 0-1,1 1 0,-1 0 1,0-1-1,0 1 1,0 0-1,0 0 1,0-1-1,0 1 0,0 0 1,-1 0-1,1-1 1,0 1-1,-1 1 1,-11 26 68,8-22-63,-4 12 2,1 1 0,1 0 0,0-1 0,2 1 0,-5 33 0,3 106 62,6-123-68,9 297-3,-4-232 0,23 324 0,3 99 0,-26-41 128,-32-3 0,13-363-88,-8 77 48,23-64-88,1-8 0,-2-120 0,0 0 0,0-1 0,0 1 0,0 1 0,0-1 0,0-1 0,0 1 0,-1 0 0,1 0 0,0-1 0,0 1 0,-1 0 0,1-1 0,0 0 0,-1 1 0,1-1 0,-1 1 0,1-1 0,-1 1 0,1 0 0,-1-1 0,1 1 0,-1-1 0,0 0 0,1 1 0,-1-1 0,0 1 0,1-1 0,-1 0 0,0 0 0,0 1 0,1-1 0,-1 0 0,0 0 0,0 0 0,1 0 0,-1 0 0,0 0 0,0 0 0,1 0 0,-1 0 0,0 0 0,0 0 0,1 0 0,-1-1 0,0 1 0,0 0 0,1 0 0,-1-1 0,0 1 0,0-1 0,-8-3 0,0 0 0,1-2 0,-12-6 0,10 5 0,-21-11 0,0 1 0,-2 1 0,0 2 0,0 2 0,-1-1 0,-1 3 0,0 2 0,-1 1 0,-63-6 0,-169 5 0,54 2 0,-229-29 0,304 21 70,0 8-1,0 5 0,-237 29 1,-147 48 143,62-7-64,-187-12 37,323-34-94,-517 23 292,678-43-293,-198 0-54,194-11 9,-181-1 14,259 14-740,-96-11 0,-100-34-4680,207 26-7119</inkml:trace>
</inkml:ink>
</file>

<file path=xl/ink/ink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06:47:59.148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73 165 17023,'0'0'2838,"1"7"-2625,28 121 555,-27-122-727,0 0-1,0 0 1,-1 1-1,0-1 1,-1 1-1,1-2 1,-1 3-1,-1-2 1,-2 12-1,1-10 15,0 0-1,1-1 1,0 1-1,0 1 1,1-2-1,1 1 1,-1-1-1,4 16 1,1-4 37,-1 0 1,-1 0-1,-1 1 1,0-1-1,-4 29 1,-21 202 653,17-215-640,-2-1 0,-15 40 0,16-53-61,4-10-39,1 1 0,0-1 1,1-1-1,1 2 0,0-1 1,2 18-1,1 24 121,-10-21-31,7-30-90,0-1-1,-1 0 1,1 0 0,-1 1-1,1-1 1,-1 1-1,0-2 1,0 1-1,1 1 1,-1-1-1,0-1 1,0 2-1,0-1 1,0 0 0,0 0-1,-1 0 1,1 0-1,0 0 1,-1 0-1,-1 1 1,0-2 15,-2 0-21,1-2 0,3 1 0,0 1 0,1 0 0,-1-1 0,0 1 0,1 0 0,-1-1 0,1 1 0,-1-1 0,1 1 0,-1-1 0,1 1 0,-1-1 0,1 1 0,0-1 0,-1 0 0,1 1 0,0-1 0,-1 1 0,1 0 0,0-1 0,0 0 0,-1 1 0,1-1 0,0 0 0,0 1 0,0 0 0,0-1 0,0 0 0,0 1 0,0-1 0,0 0 0,1 0 0,-1 1 0,0-1 0,0 1 0,1 0 0,-1-1 0,0 0 0,1 0 0,0 0 0,0 0 0,-1 0 0,1 0 0,0 0 0,0 0 0,0 1 0,0-1 0,0 0 0,0 1 0,1 0 0,-1-1 0,0 1 0,0-1 0,0 1 0,0 0 0,1 0 0,1 0 0,1 0 0,1 0 0,0 0 0,1 0 0,-1 0 0,0 0 0,8 2 0,-12-2 0,0 0 0,0 1 0,0-1 0,-1 1 0,1-1 0,0 1 0,0-1 0,0 1 0,0-1 0,-1 1 0,1 0 0,0-1 0,-1 1 0,1 0 0,0 0 0,-1-1 0,1 1 0,-1 0 0,1-1 0,-1 1 0,0 0 0,1 0 0,-1 0 0,0 0 0,0 0 0,1-1 0,-1 1 0,0 0 0,0 0 0,0 0 0,0-1 0,0 0 0,-1 1 0,1 0 0,0 0 0,-1 2 0,0 3 0,0-1 0,0 1 0,1 0 0,0-1 0,0 1 0,1 0 0,0-1 0,0 0 0,0 2 0,3 5 0,2 10 0,-5-15 0,0 0 0,-1 1 0,0-1 0,-1 0 0,0 1 0,-2 9 0,-3 22 0,-3 58 0,33-136-256,-14 12-684,-1 1 0,-2-1 0,-1 0-1,3-43 1,-4 31-1377,2-11-8840</inkml:trace>
  <inkml:trace contextRef="#ctx0" brushRef="#br0" timeOffset="683.83">80 90 20351,'4'-1'128,"10"-5"-21,-1 2-1,0-2 1,0 0-1,17-12 1,-13 8 57,32-14 1,-41 21-133,-1 0 0,0 2 1,1-1-1,-1 1 0,1-1 1,0 1-1,0 0 0,11 0 0,2 3 37,0 1 0,0-1 0,30 8 0,2 1 39,-11-2-8,115 22 184,-132-24-186,-1 0 0,1 2 1,-2 0-1,28 14 0,-48-22-78,1 2 0,-1-1 1,1 1-1,-1 0 0,0-2 0,0 1 1,0 2-1,-1-1 0,1-1 0,-1 2 1,0-1-1,0 0 0,0 0 0,2 6 0,-2-3 11,-1-3 0,0 2-1,-1 1 1,1-2-1,-1 1 1,0-1 0,0 2-1,-1-2 1,0 1-1,-3 9 1,0 1-20,-2 0 1,0-1-1,-1 0 1,0 1-1,-1-2 1,-1-1-1,-1 1 1,0 1-1,-1-2 1,0-1-1,-1 1 1,-25 17-1,33-26-11,-211 143 325,182-127-262,-1 0 0,-1-3 0,-2 0 0,-66 19 0,102-35-108,0 0 0,-1 0-1,1 0 1,0 1-1,0-1 1,-1 0 0,1 0-1,0-1 1,0 1 0,-1 0-1,1 0 1,0 0-1,0 0 1,-2 0 0,0-5-1097,10-2 298,11 2-2228</inkml:trace>
  <inkml:trace contextRef="#ctx0" brushRef="#br0" timeOffset="1649.83">1063 1041 8832,'0'0'0</inkml:trace>
  <inkml:trace contextRef="#ctx0" brushRef="#br0" timeOffset="3257.06">1113 1088 16000,'0'0'7039,"-4"-3"-6932,-11-5-96,2-1-7,-1 2 0,0-2 0,-23-7-1,32 14-3,1 1 0,-1-1 0,0 1-1,0 1 1,0-1 0,0 0-1,0 1 1,1-1 0,-1 1-1,0 1 1,0-1 0,0 1 0,0-1-1,0 1 1,0 0 0,-9 4-1,9-2 10,-1-1-1,1 1 0,0 1 1,-1 0-1,2-1 0,-1 1 0,0-1 1,1 2-1,0 0 0,0-1 1,1 0-1,-1 1 0,1 0 1,-2 6-1,-5 8 36,2 1-1,-8 28 1,15-45-44,0 1 0,0 1 0,0-1 0,0 1 0,0-1 0,1 1 0,0 0 0,0 7 0,1-10 0,0 2 0,0-1 0,0-1 0,0 0 0,1 1 0,-1 0 0,1 0 0,-1-2 0,1 2 0,0 0 0,0-2 0,0 1 0,5 3 0,2 3 0,1-1 0,0 0 0,1-1 0,0-1 0,0 1 0,18 5 0,74 18 0,-50-16 0,-50-12 0,0-1 0,0 0 0,0 2 0,0-1 0,0 0 0,0 1 0,0-1 0,0 1 0,0-1 0,-1 0 0,5 5 0,-6-5 0,-1 1 0,1-1 0,-1-1 0,1 2 0,-1-1 0,1 1 0,-1-1 0,0 0 0,0 0 0,0 0 0,0 1 0,0-2 0,0 2 0,0-1 0,0 1 0,-1-1 0,1 1 0,0-1 0,-1 0 0,1 0 0,-1 0 0,0 0 0,1 1 0,-1-2 0,0 1 0,0 0 0,0 0 0,-1 2 0,-8 9-1,0-2-1,-1 0 0,-1 1 1,-19 12-1,-56 31 80,-2 2 2,39-26-187,50-30 74,0 0-1,0 0 1,0 0-1,-1 0 1,1 1 0,0-1-1,0 0 1,0 0-1,0 0 1,0 0 0,0 0-1,0 0 1,0 1 0,0-1-1,0 0 1,1 0-1,-1 0 1,0 0 0,0 0-1,0 0 1,0 0-1,0 1 1,0-1 0,0 0-1,0 0 1,0 0 0,0 0-1,0 0 1,0 0-1,0 0 1,1 0 0,-1 0-1,0 0 1,0 1-1,0-1 1,0 0 0,0 0-1,0 0 1,0 0 0,1 0-1,-1 0 1,0 0-1,0 0 1,0 0 0,0 0-1,0 0 1,0 0-1,0 0 1,1 0 0,-1 0-1,0 0 1,0 0 0,0 0-1,0 0 1,0 0-1,0 0 1,0-1 0,1 1-1,-1 0 1,0 0-1,0 0 1,0 0 0,0 0-1,0 0 1,12-1-1232,21-10-2510</inkml:trace>
  <inkml:trace contextRef="#ctx0" brushRef="#br0" timeOffset="3797.29">1494 1331 20479,'-22'1'0,"22"-1"0,0 0 0,0 0 0,-1 0 0,1 0 0,0 0 0,0 0 0,-1 0 0,1 0 0,0 0 0,0 0 0,-1 0 0,1 0 0,0 0 0,0 0 0,0 0 0,-1 0 0,1 0 0,0 0 0,0 0 0,0 0 0,-1 0 0,1 0 0,0 0 0,0 0 0,0 1 0,0-1 0,-1 0 0,1 0 0,0 0 0,0 1 0,0-1 0,0 0 0,0 0 0,0 0 0,0 1 0,0-1 0,-1 0 0,1 0 0,0 1 0,0-1 0,0 0 0,0 0 0,0 0 0,0 1 0,0-1 0,0 0 0,1 0 0,-1 1 0,0-1 0,0 0 0,0 0 0,0 0 0,0 0 0,0 0 0,0 0 0,1 1 0,-1-1 0,0 0 0,0 0 0,0 0 0,0 1 0,0-1 0,0 0 0,0 0 0,0 1 0,0-1 0,0 0 0,0 0 0,0 0 0,0 1 0,0-1 0,0 0 0,0 0 0,0 1 0,-1-1 0,1 0 0,0 0 0,0 0 0,0 0 0,0 0 0,0 0 0,0 0 0,-1 0 0,1 0 0,0 1 0,0-1 0,0 0 0,0 0 0,-1 0 0,1 0 0,0 0 0,0 0 0,0 0 0,-1 1 0,1-1 0,0 0 0,0 0 0,-1 0 0,1 0 0,0 0 0,0 0 0,-1 0 0,1 0 0,0 0 0,0 0 0,0 0 0,-1 0 0,1 0 0,0 0 0,0-1 0,-1 1 0,1 0 0,-5 1-21,1-1 0,-1 2 0,1-1 0,-1 0 0,1 1 0,0 0 0,0-1 0,0 1 0,-7 3-1,-33 23-23,42-26 43,0-1 0,0 0-1,1 0 1,-1 1 0,0-1-1,1 1 1,0 0-1,-1 0 1,1 0 0,0 0-1,0-1 1,0 1 0,0 0-1,1-1 1,-1 2-1,0-1 1,1-1 0,0 2-1,-1-1 1,1 0 0,0 1-1,0-2 1,1 0-1,-1 2 1,0-1 0,2 3-1,0 1-4,0-2 0,1 2 0,0-1 0,0 0 0,0 0 0,1 0 0,0 0 0,7 7-1,-2-4-48,0-1 0,0 1 0,1-1 0,0-1 0,1 2 0,0-3 0,18 9 0,-23-12 4,1-1 0,-1 2 0,1-1 0,0-1 0,0 1 0,0-1 0,-1-1 0,1 1 0,0-1 0,0 0 0,0 0 0,0-1 0,0 0 0,0-1 0,8-2 0,48-19-4385</inkml:trace>
  <inkml:trace contextRef="#ctx0" brushRef="#br0" timeOffset="4373.69">1747 987 20607,'1'8'0,"-1"1"0,0-2 0,0 2 0,0-2 0,-1 2 0,-1-2 0,1 2 0,-6 13 0,0-6 6,2 0-1,0 0 0,1 0 1,1 2-1,-1 16 1,6 84 54,-1 7-25,-2-123-35,1 17 0,0-19 0,0 1 0,0-1 0,0 0 0,-1 1 0,1-1 0,0 0 0,0 1 0,0-1 0,0 0 0,0 1 0,0-1 0,0 0 0,0 1 0,1-1 0,-1 0 0,0 1 0,0-1 0,0 0 0,0 1 0,0-1 0,1 0 0,-1 1 0,0-1 0,0 0 0,0 0 0,1 0 0,-1 0 0,0 0 0,0 0 0,1 1 0,-1-1 0,0 0 0,0 0 0,1 0 0,-1 0 0,0 1 0,1-1 0,-1 0 0,0 0 0,1 0 0,-1 0 0,0 0 0,1 0 0,-1 0 0,0 0 0,1 0 0,-1 0 0,1 0 0,0-1 0,0 0 0,0 1 0,0-1 0,0 0 0,0 0 0,0 0 0,-1 0 0,1 0 0,0 0 0,-1-1 0,1 1 0,-1 0 0,1 1 0,-1-2 0,0 2 0,1-4 0,2-3 0,5-12-18,2 1 0,1 1 0,1-1-1,0 1 1,1 1 0,17-16-1,-24 27 19,0-1 0,1 1 0,0 0 0,0 1 0,0-1 0,1 1 0,-1 1 0,1-1 0,0 1 0,1 0 0,-1 0 0,18-2 0,-20 5 0,0-1 0,1 0 0,-1 0 0,0 1 0,1 1 0,-1-1 0,1 1 0,-1 0 0,0-1 0,0 0 0,0 2 0,0 0 0,0 1 0,0-1 0,0 0 0,0 1 0,-1 0 0,0 0 0,6 4 0,-5-1 1,0-1 0,0 0-1,-1 2 1,1-1-1,-2 1 1,1 0 0,-1-1-1,5 13 1,-6-14-3,-1 1 0,0-2 0,-1 2-1,1-1 1,-1 1 0,0-1 0,-1 1 0,0-1 0,0 1 0,0-1 0,-1 1 0,-2 10 0,2-14-40,0 0-1,0 0 1,0 0 0,0-2-1,0 2 1,0 0 0,-1 0-1,-2 2 1,4-4-158,-1 1 1,1-1 0,-1 1-1,1-1 1,-1 1-1,1-1 1,-1 0 0,0 1-1,1-1 1,-1 0-1,0 0 1,1 1-1,-1-1 1,0 0 0,1 0-1,-1 0 1,0 0-1,1 0 1,-1 0 0,0 0-1,0 0 1,1 0-1,-1 0 1,0 0-1,1 0 1,-1 0 0,0 0-1,1-1 1,-1 1-1,0 0 1,0-1 0</inkml:trace>
  <inkml:trace contextRef="#ctx0" brushRef="#br0" timeOffset="4924.01">2160 1366 16000,'0'0'128,"4"1"0,23 4 168,1-2 1,-1-1-1,42-1 1,-58-1-172,-1-1 1,0 0-1,0 0 1,0 0-1,0-2 1,-1 0 0,1 0-1,-1 0 1,1-1-1,-1 0 1,-1 0-1,1-1 1,10-8-1,-10 6 44,-1 1-1,0-2 0,0-2 1,-1 3-1,0-2 0,-1 1 0,0-2 1,5-11-1,-11 21-157,0 0 0,1-1-1,-1 0 1,0 1 0,0-1 0,0 0 0,0 1-1,0-1 1,-1 0 0,1 0 0,0 1 0,0-1-1,0 1 1,0-1 0,-1 0 0,1 1-1,0-1 1,-1 1 0,1 0 0,0-1 0,-1 1-1,1-1 1,-1 1 0,1-1 0,-1 1 0,1-1-1,-1 1 1,1 0 0,-1-1 0,0 1-1,0-1 1,-25-8 128,20 6-111,-9-2-4,-1 0 1,1 1-1,-1-1 0,0 1 1,0 2-1,-26-1 0,37 3-31,-1 0 0,1 0-1,-1 1 1,1-1-1,-1 1 1,1 0 0,-1 0-1,1 0 1,0 2-1,0-1 1,0 0 0,0 0-1,0 1 1,1 0-1,-1-1 1,1 1-1,0 1 1,0-1 0,0 1-1,0-1 1,1 1-1,-7 9 1,6-7-5,0 2 1,0 0-1,1 0 0,0 0 0,1-1 1,-1 2-1,2-1 0,0 0 0,0 0 1,0 1-1,1-1 0,1 0 0,-1 0 1,2 1-1,-1 0 0,1-2 1,1 1-1,0 0 0,5 11 0,-6-17 12,0 1 0,0-1 0,0 1 0,1 0 0,-1-2 0,1 1 0,-1 0 0,1 0 0,0 1 0,0-2 0,0 0 0,0 1 0,0 0 0,6 1 0,3 0 0,1 0 0,20 4 0,-25-6 0,0-1-135,1 0 0,0 0 0,-1 0-1,1-2 1,-1 1 0,1-1-1,-1 0 1,0-1 0,10-2 0,14-4-561,-3 1-2375,-2-1-7681</inkml:trace>
  <inkml:trace contextRef="#ctx0" brushRef="#br0" timeOffset="5206.96">2802 1327 20479,'0'0'0,"-3"25"0,2-18 0,1 2-128,0-2 128,1-5-512,5-4-1664,-4-7 513,3-5 127,1-11 0,-1 0-7296</inkml:trace>
  <inkml:trace contextRef="#ctx0" brushRef="#br0" timeOffset="5397.17">2805 830 19199,'0'0'0,"10"27"0,-7-13 0,-1 2 0,-2-2 0,0-1-512,-2 2 128,-1-4-640,3 1 1</inkml:trace>
  <inkml:trace contextRef="#ctx0" brushRef="#br0" timeOffset="5928.19">3059 1262 20095,'0'0'896,"5"-5"-768,39-38 101,-32 31-177,2-1 1,-1-1-1,2 3 1,18-14-1,-32 24-50,1 1 0,-1 0 1,0-1-1,1 1 0,-1-1 0,0 1 0,1-1 0,-1 1 1,1 0-1,-1 0 0,1 0 0,-1 0 0,1 0 0,-1 0 1,0 0-1,1 0 0,-1 0 0,3 1 0,0 0 5,-1 0-1,1 0 0,-1 1 0,1 0 0,-1 0 0,0 0 1,3 3-1,3 2 8,0 1 1,0-1 0,10 15-1,-3-1-46,-2 1 0,-1 0 0,0 0 0,-2 2 0,-1-1 0,-1 1 0,6 32 0,-14-54-616,-3-8 249,-3-12-2372,-2-6-9282</inkml:trace>
  <inkml:trace contextRef="#ctx0" brushRef="#br0" timeOffset="6875.2">3902 618 19199,'-24'28'0,"13"-21"2,6-9-5,5 1 4,0 0 0,0 0 0,-1 1 0,1-1 0,0 0 0,0 0 0,0 0 0,0 1 1,1-1-1,-1 0 0,0 1 0,0-1 0,0 1 0,1-1 0,-1 0 0,0 1 0,1-1 0,-1 0 1,0 1-1,1-1 0,10-5 95,-2 1-1,-9 5-89,0 0 0,0 0-1,-1 0 1,1 0 0,0 0-1,0 0 1,0 0-1,0 0 1,0 0 0,0 0-1,0 0 1,0 0 0,0 0-1,0 0 1,0 0 0,-1 0-1,1 0 1,0 0 0,0 0-1,0 0 1,0 0-1,0 0 1,0-1 0,0 1-1,0 0 1,0 0 0,0 0-1,0 0 1,0 0 0,0 0-1,-1 0 1,1 0 0,0 0-1,0 0 1,0 0-1,0 0 1,0 0 0,0 0-1,0 0 1,0-1 0,0 1-1,0 0 1,0 0 0,0 0-1,0 0 1,0 0 0,0 0-1,0 0 1,0 0 0,0 0-1,0 0 1,0-1-1,-2 2 18,-1 0 0,1 0 0,-1-1 0,1 1 0,-1 1 0,1-1 0,0 0 0,-1 0-1,1 0 1,0 1 0,0-1 0,0 1 0,0-1 0,0 1 0,1 0 0,-1-1 0,1 1-1,-1 1 1,1-1 0,0 0 0,0 0 0,0-1 0,0 2 0,-1 3 0,-3 7 83,2 1 0,-4 24 0,7-36-101,-22 112 194,-3 25-35,18-68-125,2-6-52,-4 0 0,-27 100 0,35-162-367,-3 12 216</inkml:trace>
  <inkml:trace contextRef="#ctx0" brushRef="#br0" timeOffset="7444.13">3913 1274 20863,'11'4'-38,"0"-2"0,0 1 0,1-1-1,-1 0 1,15 0 0,-19-2 20,0 0 1,0 0-1,1-1 0,-1 0 1,0 0-1,0-1 1,0 1-1,-1-1 1,14-6-1,-6 2 4,-1-1-1,0-1 1,0 1-1,0-2 1,-1 0-1,-1 0 1,18-18-1,-22 19 16,-1 0 0,1 0-1,-2-1 1,1 0 0,-1 0 0,-1 0-1,0-1 1,0 1 0,-1-1 0,-1 1 0,2-13-1,-4 17 0,0 1 0,0 0 0,0-1 0,-1 1 0,0 0 0,0 0 0,0 0 0,-1 0 0,1 0 0,-1-1 0,0 2 0,0 0 0,-1-1 0,0-1 0,-4-2 0,-4-5 0,0 1 0,-2 1 0,-13-11 0,25 21 0,0-1 0,-1 0 0,1 0 0,0 0 0,-1 1 0,1 0 0,0 0 0,-1-1 0,1 1 0,-1-1 0,1 1 0,-1 0 0,1 0 0,-1 0 0,1 0 0,-1 0 0,1 0 0,-1 0 0,1 0 0,-1 1 0,1-1 0,0 1 0,-1-1 0,1 0 0,-1 0 0,1 1 0,0 0 0,-1-1 0,1 1 0,0 0 0,0 0 0,-2 1 0,-4 3 0,0 2 0,1-1 0,-11 12 0,14-15 0,-5 8 0,0-1 0,1 2 0,1-1 0,0 0 0,1 1 0,0 0 0,1-1 0,-4 21 0,4-11 0,2-1 0,0 0 0,2 0 0,4 33 0,-2-42 0,0 0 0,1 2 0,7 14 0,-8-23 0,0 2 0,0-3 0,1 2 0,-1 0 0,1-1 0,0 0 0,1 0 0,-1 0 0,1 1 0,7 4 0,-7-7-14,-1-1 0,1 0 0,-1 0 1,1 0-1,-1 0 0,1 0 0,0 0 0,0-1 0,-1 1 0,1-1 0,0 0 0,0 0 0,0 0 0,-1-1 0,1 1 0,0-1 0,-1 0 0,8-2 0,6-3-504,-1 1 0,25-14-1,-36 16 355,63-35-3889,-35 18-5525</inkml:trace>
  <inkml:trace contextRef="#ctx0" brushRef="#br0" timeOffset="7692.96">4483 1226 21503,'0'0'0,"34"4"-6783,-13-16 5247</inkml:trace>
  <inkml:trace contextRef="#ctx0" brushRef="#br0" timeOffset="7854.9">4577 648 19327,'0'60'0,"3"37"384,-11-143 0,0 20 0,-1 4-128,0 9 0,1 7 0,-2 1 0,2 5-384,1 3 128,-1 1-384,3 0 128</inkml:trace>
  <inkml:trace contextRef="#ctx0" brushRef="#br0" timeOffset="8724">5058 1006 20607,'-32'-9'0,"23"5"21,11 2 24,2-1-4,-51 24-20,20-6-17,12-7-13,1 1 1,-26 17 0,38-23 0,-17 11-63,1 0 0,1 3 0,1-1 0,-28 34 0,44-48 61,-1-1-1,0 1 1,0-1-1,0 0 0,1 1 1,-1-1-1,1 0 1,-1 0-1,1 0 0,0 1 1,-1 0-1,1-1 1,0 1-1,0-1 0,0 0 1,0 1-1,0-1 1,1 1-1,-1-1 0,0 0 1,1 1-1,-1-1 1,1 0-1,0 0 0,0 1 1,-1-1-1,1 1 1,0-1-1,0 0 0,0 0 1,0 1-1,0-2 1,1 1-1,-1 0 0,0-1 1,1 1-1,-1 0 1,0 0-1,1 0 0,-1-1 1,1 1-1,-1-1 1,3 2-1,8 0-28,0 2 0,0-1 0,0-1-1,19-1 1,-27 0 40,44 2-48,0-2 0,-1-2 0,1-3 0,88-14 0,-136 18 41,21-2 154,-17 3 79,-10 5-62,-61 27 371,12-7-304,15-5-305,2 3-1,1 0 1,1 1 0,1 2 0,2 2 0,-38 41 0,67-65-326,-1 1 1,1-1-1,0 1 1,-3 8-1,1 3-2877</inkml:trace>
  <inkml:trace contextRef="#ctx0" brushRef="#br0" timeOffset="9253.99">5404 455 14848,'0'0'256,"0"4"85,-3 30 745,2 0-1,1 1 1,3-1 0,9 46 0,49 136-457,-1-16-522,-23-72-86,-25-91-107,-6-21-127,0 0 0,-2 1 0,0-1 0,-1 2-1,0 33 1,-3-51 185,0 1-1,0-1 1,0 0 0,0 0-1,0 0 1,0 1 0,0-1-1,0 0 1,0 0 0,0 0-1,0 0 1,0 0-1,0 0 1,0 0 0,0 1-1,0-1 1,0 0 0,0 0-1,0 0 1,0 0 0,0 1-1,0-1 1,0 0 0,-1 0-1,1 0 1,0 0 0,0 0-1,0 1 1,0-1 0,-1 0-1,1 0 1,0 0-1,0 0 1,0 0 0,-1 0-1,1 0 1,0 0 0,0 0-1,0 0 1,-1 0 0,1 0-1,0 0 1,0 0 0,-1 0-1,1 0 1,0 0 0,0 0-1,0 0 1,-1 0-1,-10-6-1472,7 4 260</inkml:trace>
  <inkml:trace contextRef="#ctx0" brushRef="#br0" timeOffset="9502.94">5324 979 21503,'0'0'0,"22"29"0,-14-18 0,-3-7 0,-2-8 0,3 1 0,5 0 0,6 6 0,8 1-768,10 3 0,7 4-768,-9-5 0,0 2-10367</inkml:trace>
  <inkml:trace contextRef="#ctx0" brushRef="#br0" timeOffset="10208.79">6111 1084 21119,'0'0'-128,"-3"6"-1045,-64 132-4693,64-130 6045,1 1 0,1-2 0,0 1 0,0-1 0,1 2 0,0 13 0,1-19-101,-1 0 1,0 1-1,1-1 1,0 0-1,0 1 1,0-1-1,0-1 1,1 2 0,-1 0-1,1-2 1,0 1-1,0 0 1,0 0-1,0-1 1,1 1-1,-1 0 1,7 3-1,-7-5-47,1 0 1,-1 0-1,1 0 0,-1 0 1,1-1-1,0 1 0,0-1 0,-1 0 1,1 1-1,0-1 0,0 0 1,-1-1-1,1 1 0,0 0 0,-1-1 1,1 0-1,0 0 0,-1 1 1,1-2-1,2 1 0,5-3 98,0-1 0,0 0 0,16-11 0,-14 6 24,0-2 0,-1 1-1,0 0 1,-1-2-1,0 1 1,11-20-1,9-12 60,-2 8-104,-8 11 19,23-37 1,-42 60-122,0 0-1,0 0 1,1 1-1,-1 0 1,0-1-1,1 0 1,-1 0 0,1 1-1,-1 0 1,1 0-1,0 1 1,0-2-1,-1 1 1,1 0 0,0 0-1,0 0 1,0 0-1,0 0 1,1 1-1,-1-1 1,0 1-1,4-1 1,-5 1-2,-1 0 0,1 0 0,-1 1 1,1-1-1,0 0 0,-1 1 0,1-1 0,-1 0 0,1 1 0,-1-1 1,0 0-1,1 1 0,-1-1 0,1 1 0,-1-1 0,0 1 0,1-1 1,-1 1-1,0-1 0,0 1 0,1-1 0,-1 1 0,0 0 0,0-1 1,0 0-1,0 0 0,0 1 0,0 0 0,0-1 0,0 0 0,0 0 1,0 1-1,0 0 0,0-1 0,0 1 0,-1 29 74,0-23-28,0 18 75,1 0 0,1 0 0,2 0 0,0 1 0,3-2 0,9 30 0,-7-31-37,-3-7-95,0 0-1,2 0 1,0 1-1,1-3 0,16 24 1,-24-38-58,0 1 1,1-1 0,-1 1 0,0 0-1,1-1 1,-1 0 0,1 0 0,-1 0-1,0 0 1,1 0 0,-1 0 0,1 1-1,0-1 1,-1 0 0,1 1-1,-1-1 1,1 0 0,-1 0 0,1 0-1,0 1 1,-1-1 0,1 0 0,-1 0-1,1 0 1,0 0 0,-1 0 0,1 0-1,0 0 1,0-1 0,1 1-19,-1-1 0,0 0 0,1 1 0,-1 0 1,0-1-1,0 0 0,1 0 0,-1 0 0,0 0 1,0 0-1,1-3 0,19-31-3238,-20 34 3207,11-27-9550</inkml:trace>
  <inkml:trace contextRef="#ctx0" brushRef="#br0" timeOffset="10792.95">6886 909 22783,'-24'41'26,"1"3"0,3 1-1,2 0 1,-14 53-1,25-72-28,2-1-1,0 0 1,2 1-1,1 1 1,2 35-1,2-60-89,2-8 46,3-9-10,-6 14 41,6-14-28,0 1 1,12-13 0,2-6 2,-6 11-49,0-1 1,2 2-1,1 0 0,1 0 0,1 2 1,32-24-1,-38 32 39,1 1 1,0-1-1,1 2 0,0 0 0,1 2 0,-1 0 1,2 0-1,-1 2 0,1-2 0,0 3 0,25-4 1,-39 8 49,0-1 0,-1 1 1,1 0-1,0 0 0,0 0 0,0 1 1,0-1-1,0 1 0,0 0 1,-1 0-1,1 0 0,0 1 1,-1-1-1,1 0 0,-1 0 0,1 1 1,-1 0-1,0 1 0,0-1 1,0 1-1,0-2 0,0 2 1,-1-1-1,1 1 0,-1-1 0,0 2 1,0-1-1,0 0 0,0-1 1,-1 2-1,1-1 0,0 4 0,4 10 2,-1 0-1,-2-1 1,0 2-1,1 32 0,-4-50 0,3 52-32,-2-1 0,-4-1 0,-12 74 0,23-136-2224,6-16-885,-5 6-7461</inkml:trace>
  <inkml:trace contextRef="#ctx0" brushRef="#br0" timeOffset="11506.68">8016 962 23167,'-60'29'0,"60"-29"0,-1 0 0,1 0 0,0 1 0,-1-1 0,1 0 0,0 0 0,-1 0 0,1 0 0,-1 0 0,1 1 0,0-1 0,-1 0 0,1 0 0,-1 0 0,1 0 0,-1 0 0,1 0 0,0 0 0,-1-1 0,1 1 0,-1 0 0,1 0 0,0 0 0,-1 0 0,1 0 0,0-1 0,-1 1 0,1 0 0,0 0 0,-1 0 0,1-1 0,0 1 0,-1 0 0,1-1 0,0 1 0,0 0 0,-1-1 0,1 1 0,0 0 0,0-1 0,0 1 0,-1 0 0,1 0 0,0 0 0,0 0 0,0 0 0,0-1 0,1-20 0,0 9 0,-1 11 0,-1 0 0,1 0 0,0 1 0,-1 0 0,1-1 0,0 0 0,-1 0 0,1 1 0,-1-1 0,1 0 0,-1 1 0,1-1 0,-1 1 0,1 0 0,-1-1 0,0 1 0,1-1 0,-1 1 0,0 0 0,1-1 0,-1 1 0,0 0 0,0-1 0,0 1 0,1 0 0,-1 0 0,0-1 0,0 1 0,0 0 0,1 0 0,-1 0 0,0 0 0,0 0 0,-1 1 0,-29 4 0,26-4 0,-11 3-48,1 1 0,-1 1 0,1 0 0,1 1 0,-1 0 0,1 0 0,1 2 0,-1 0 0,2 0 0,0 0 0,-22 24 0,26-26 14,1 3 1,0-2-1,0 2 0,1-2 0,1 2 0,0 0 0,1 0 0,0 0 0,0 0 0,1 0 1,0 1-1,1 0 0,1-1 0,0 1 0,0-1 0,3 21 0,1-14 27,0 1 0,2-2-1,0 0 1,1 1 0,0-1-1,2 0 1,11 17 0,-15-29 2,0 3 0,1-2 0,0 0 0,0 0 0,0 0 0,1 1 0,0-3 0,0 2 0,8 3 0,-9-5 3,0-2-1,0 1 0,0 0 0,0-1 1,1 1-1,-1-1 0,1 0 0,-1 0 1,1 0-1,-1-1 0,1 0 0,-1 0 1,1 0-1,6-2 0,1-1-4,-1-1 0,1 1 0,-1 0 0,0-2 0,0 0 0,-1-1 0,1 1 1,-1-2-1,18-13 0,-3 0-6,-2 0 1,35-37-1,-38 34 24,30-44 0,-39 44 157,-12 16-46,-13 15-28,0 3-43,1 0 1,1 2 0,0-1 0,1 1 0,1 1-1,-16 28 1,-31 95 191,27-59-102,11-33-56,-7 20 129,-64 111-1,-2-39-53,68-107-128,-1-1 0,-41 39 0,45-52-452,-1-1 0,-1-1 0,-36 19 0,6-5-460,6 1-2448,1-2-8703</inkml:trace>
</inkml:ink>
</file>

<file path=xl/ink/ink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06:48:17.734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1 298 17407,'0'0'1536,"5"2"-1408,-3-2-118,56 21 497,79 18 0,-53-23-249,-29-7 125,71 22 0,-116-27-323,0 1 0,0 1 0,-1-1 1,0 1-1,10 9 0,-8-7 18,0 0 0,0 0 1,24 11-1,-32-18-62,0 0 1,0 0-1,1 0 1,-1 0-1,1 0 1,-1-1-1,0 1 1,1-1-1,-1 0 0,1 0 1,-1 0-1,1-1 1,-1 1-1,0-1 1,1 0-1,-1 0 1,0 0-1,1 0 1,4-4-1,152-81-1211,-156 84 675,0 0 0,0 0 0,0-1 0,-1 1-1,1-1 1,-1 0 0,0 0 0,0 0 0,0 0-1,0 0 1,0-1 0,3-5 0</inkml:trace>
  <inkml:trace contextRef="#ctx0" brushRef="#br0" timeOffset="562.41">90 41 19711,'50'-14'0,"-29"7"0,0 1 0,1 1 0,24-2 0,-23 6 38,-1 1-1,1 1 0,0 1 1,33 7-1,87 32 182,-108-29-180,148 44 387,-149-48-399,0-1 1,0-2 0,55 0 0,-84-5-357,1 0-1,-1 0 1,0-1 0,1 0 0,-1 0 0,0 0 0,0-1 0,0 0 0,0 0-1,0 0 1,0-1 0,0 1 0,5-5 0,31-14-10380</inkml:trace>
</inkml:ink>
</file>

<file path=xl/ink/ink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06:50:05.444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1725 34 18815,'-1'0'0,"-1"1"0,0 0-1,0 0 1,0-1-1,0 1 1,0-1 0,0 0-1,0 0 1,0 0-1,0 1 1,-3-2-1,4 1 2,0-1 0,1 0 0,-1 1 0,0-1 0,1 0 0,-1 0 0,1 1 0,-1-1 0,1 0 0,-1 0 0,1 1 0,0-1 0,-1 0 0,1 1 0,0-1 1,0 0-1,-1 0 0,1 0 0,0 0 0,0 0 0,0 0 0,0 0 0,0 0 0,1 0 0,-1 0 0,0 0 9,0 0 0,0 1 1,-1-1-1,1 0 0,0 0 1,0 0-1,-1 1 0,1-1 1,-1 0-1,1 0 0,0 1 1,-1-1-1,1 0 0,-1 1 1,0 0-1,1-1 0,-1 1 1,0-1-1,1 1 0,-1-1 1,0 1-1,1-1 0,-1 1 1,0 0-1,0-1 0,0 1 1,1 0-1,-1 0 0,0-1 1,0 1-1,0 0 1,0 0-1,-1 0 0,-35 1 75,29-1-52,-87 11 378,1 3-1,-98 27 1,168-35-320,-1-1 31,1 2 0,1 0-1,0 2 1,0 0 0,0 1 0,-39 24 0,20-8 136,-89 39 0,91-47-131,1 1-1,-71 48 1,100-59-107,0-1-1,1 2 1,0 0-1,1 1 1,0-1-1,1 1 1,0 0-1,-7 13 1,11-16-5,0-2-1,0 2 1,1-1 0,0 1 0,0-1-1,1 1 1,0-1 0,0 2 0,0-2-1,1 0 1,0 2 0,1-2 0,0 1-1,0-1 1,0 1 0,3 7 0,0-4 1,0-1 1,1-1 0,0 0-1,1 1 1,0-1 0,0 0-1,12 12 1,-2-7 17,0-1 0,32 22-1,-11-9-33,-1 3 0,56 56 0,-78-70 55,0 1 1,19 27-1,-29-37-40,0 0 0,-1 1 0,0-1 0,-1 1 1,1-1-1,-1 2 0,0-2 0,-1 2 0,1-2 0,-1 2 1,-1-1-1,1 11 0,-4 16 65,2-17-33,0-1 0,-5 18 0,5-28-32,-1 0 0,1-1 0,-1 1-1,0 0 1,-1-1 0,0 1 0,1-1 0,-1 1-1,-1-1 1,-5 6 0,-8 5 18,-2-1 0,0 0 1,0-1-1,-1-1 0,-1-1 0,0-1 1,-1 0-1,-29 9 0,-11-2 212,-117 22 0,135-34-128,0-2 0,0-2 0,-47-3 0,-70 2 162,155 0-273,1 1 1,-1 0-1,1 0 1,0 1-1,0-1 1,0 1-1,0 0 1,-8 4-1,12-5-38,-1 0-1,1-1 0,0 1 0,0 0 0,0 0 0,0 0 0,0 0 0,0 0 0,0-1 0,0 1 0,0 1 0,1-1 0,-1 0 0,0 0 1,1 1-1,-1-1 0,1 0 0,-1 1 0,1-2 0,0 1 0,0 1 0,-1-1 0,1 1 0,0-1 0,0 0 0,0 1 0,1-1 0,-1 0 0,0 0 1,0 0-1,1 1 0,-1-1 0,1 0 0,-1 1 0,1-1 0,0 0 0,-1 0 0,1 0 0,1 1 0,1 1-422,0 0-1,0 0 1,0-1 0,0 0-1,0 1 1,0-1-1,1 0 1,0-1 0,6 4-1,-10-5 296</inkml:trace>
</inkml:ink>
</file>

<file path=xl/ink/ink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06:50:30.570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234 167 15872,'0'0'917,"1"5"-704,10 98 832,-6 153 1,-6-177-716,2-42-122,-7 53 0,-11 13 16,3-24 48,-4 115 0,17-139-179,-2 0-1,-17 90 1,-20 3 73,19-79-4,-17 112 0,37-164-110,-1 1 0,-1-1 0,-1 0 0,-1-2-1,0 2 1,-11 20 0,-15 43 119,30-79-161,1 0 0,-1-1 0,1 1 0,-1 0 0,1 0 0,0-1 0,-1 1 1,1 0-1,0-1 0,-1 1 0,1-1 0,0 1 0,0 0 0,0 0 0,0 0 0,0 0 0,0 0 1,0 1-1,15-4 195,-5 0-133,0-1-58,0 1-1,0 1 1,0-1-1,0 1 1,0 0-1,0 1 1,0 0 0,1 1-1,-1 0 1,13 2-1,137 44 9,-121-39 50,-1-2 0,1-1 0,-1-2 0,59-2 0,39 2 58,-119-2-133,0-1 0,0-1 0,0 0 0,0 0 0,0-1 0,16-6 0,-32 7-77,1 0-1,-1 1 1,0-2 0,0 2-1,1-1 1,-1 0 0,0 0-1,0-1 1,0 1 0,0 0-1,-1-1 1,1 1 0,0-1-1,-1 1 1,1 0 0,0 0-1,0-3 1,6-26-2037,-6 16-933</inkml:trace>
  <inkml:trace contextRef="#ctx0" brushRef="#br0" timeOffset="773.05">275 99 19967,'306'49'747,"-79"-17"-214,-108-3-254,-84-18-108,1-2-1,39 4 0,-45-12 24,-10 0-99,-18 0-432,-8-1-426,-5 2-2288</inkml:trace>
  <inkml:trace contextRef="#ctx0" brushRef="#br0" timeOffset="2816.53">1091 509 16767,'10'26'0,"-4"-19"114,-2-13 151,-3 5-223,-1 0-1,0-1 0,1 2 1,-1-2-1,0 1 1,0 0-1,0-1 1,0 1-1,0-1 0,0 1 1,0 0-1,-2-3 513,13 25 448,-10-15-856,-1-1 0,1 1 0,-1 0-1,-1-1 1,0 9 0,0-9-95,1-1 0,-1 1 1,1-1-1,0 1 0,0-1 0,1 1 0,0-1 1,-1 0-1,3 5 0,2 6 96,-1 0-1,0 0 1,-1-1 0,-1 1-1,-1 0 1,0 1 0,-2 26-1,-1-15 25,2 0 0,6 52-1,3 38 37,-1-3-51,3-44-73,21 116 218,-29-175-268,0 0 0,-2 0 1,1 1-1,-2 0 0,1-1 0,-2 0 0,0 1 0,-3 18 1,3-27-13,0 0 0,0-1 1,0 2-1,1-1 0,0 0 1,-1 0-1,1 0 0,0 1 1,1-1-1,0 4 0,-1-7-20,0 0 0,1 0 0,-1 1 0,0-1 0,0 0 1,1 0-1,-1 0 0,0 0 0,1 0 0,-1 0 0,0 1 0,1-1 0,-1 0 0,0 0 0,1 0 0,-1 0 0,0 0 0,1 0 0,-1 0 0,0 0 0,1 0 0,-1-1 0,0 1 0,1 0 0,-1 0 0,0 0 0,0 0 0,1 0 0,-1-1 0,0 1 0,1 0 0,-1 0 1,0 0-1,0-1 0,1 1 0,8-6 68,-4 2-54,1-2-1,-1 2 1,0-1-1,-1 0 1,1-1-1,-1 0 1,0 0-1,3-6 1,6-10 3,43-53-18,-29 40 0,30-49 0,-11-8 0,64-182 0,-85 213 0,2 0 0,3 2 0,55-80 0,-68 113 24,-8 10 29,2 0-1,-1 1 1,27-27 0,-66 105 96,-2-15-160,21-34-84,1 0-1,-12 23 0,9-14-938,9-18 504,0-1-1,1 0 1,-1 1 0,1 0 0,0-1 0,1 1-1,-1 0 1,1 0 0,0 7 0</inkml:trace>
  <inkml:trace contextRef="#ctx0" brushRef="#br0" timeOffset="4079.81">2265 505 18559,'-17'43'0,"20"-50"124,1-1 0,-2 1 0,1-1-1,2-12 1,-5 20-118,0 0 0,0 0 0,0 0 1,0 0-1,0-1 0,0 1 0,0 0 0,0 0 0,0 0 0,0 0 0,0-1 1,0 1-1,0 0 0,0 0 0,0 0 0,0 0 0,0 0 0,0-1 0,0 1 1,0 0-1,0 0 0,0 0 0,0 0 0,0 0 0,0 0 0,0-1 0,-1 1 1,1 0-1,0 0 0,0 0 0,0 0 0,0 0 0,0 0 0,0 0 0,-1 0 1,1 0-1,0 0 0,0 0 0,0-1 0,0 1 0,0 0 0,-1 0 0,1 0 1,-7 5 227,-6 11 73,5 1-128,1-1 0,1 2 0,0 0 0,1 0 0,-2 21 0,-3 6 27,-2 8 31,2-7-100,-21 58 1,-123 288 502,151-385-611,-1 0-1,0 0 1,0 0 0,0-1 0,-1 1 0,0-1 0,0 1 0,-1-1-1,0-1 1,0 1 0,0-2 0,-1 1 0,0 0 0,0-1 0,0 0-1,-10 4 1,17-8-29,0 0 0,0 0 0,0 0 0,0 0 0,0 1 0,-1-1 0,1 0 0,0 0 0,0 0 0,0 0 0,0 0 0,-1 0 0,1 0 0,0 0 0,0 0 0,0 0 0,0 0 0,-1 0 0,1 0 0,0 0 0,0-1 0,0 1 0,0 0 0,0 0 0,-1 0 0,1 0 0,0 0 0,0 0 0,0 0 0,0 0 0,0 0 0,0-1 0,-1 1 0,1 0 0,0 0 0,0 0 0,0 0 0,0 0 0,0-1 0,0 1 0,0 0 0,0 0 0,0 0 0,0 0 0,0 0 0,0-1 0,0-10 0,6-13 0,13-22 0,37-64 0,9-20 0,146-437 0,-181 496 0,-33 84 38,0 1-1,2-1 1,-1 1 0,2-1-1,0 1 1,3 22-1,0 17 63,-2-23-57,2-1-1,0 0 1,3 1 0,0-1-1,2-1 1,18 42 0,80 254 282,-29 7-32,-73-313-293,1 2 0,-1 0 0,-1 0 0,-1 0 0,0 1 0,-3 25 0,-2-35-10,1-14-17,1-20-42,7-38-1364,0-16-3321,-6 41-7384</inkml:trace>
  <inkml:trace contextRef="#ctx0" brushRef="#br0" timeOffset="4593.72">2066 1113 16000,'7'3'-27,"-3"0"12,0 0 0,0 0 0,0 0 0,0 0 0,4 6 0,-7-9 16,-1 1 0,1-1-1,-1 0 1,1 1 0,-1 0 0,1 0 0,-1-1-1,0 1 1,1 0 0,-1 0 0,0 0-1,0 0 1,0-1 0,0 1 0,0 0 0,0 0-1,0 0 1,0 0 0,0 0 0,0-1-1,0 0 1,0 1 0,0 0 0,-1 0 0,1 0-1,0-1 1,-1 1 0,1 0 0,-1 0-1,1-1 1,-1 1 0,1 0 0,-1-1 0,1 1-1,-1 0 1,0-1 0,1 1 0,-1-1-1,-1 1 1,-2 2 156,-1 0 0,1-1 0,-1 1 0,0 0-1,0-1 1,0-1 0,0 1 0,0-1 0,0 1 0,-1-1 0,1 0-1,-1-1 1,1 1 0,0-1 0,-1 0 0,-8-2 0,14 2-125,0 0 0,-1 0 0,1 0 0,0-1 0,0 1-1,0 0 1,-1 0 0,1-1 0,0 1 0,0 0 0,0 0 0,0-1 0,0 1 0,0 0 0,0 0 0,-1-1 0,1 1 0,0 0 0,0 0 0,0-1 0,0 1 0,0 0 0,0-1 0,0 1 0,0 0 0,1 0-1,-1-1 1,0 1 0,0 0 0,0 0 0,0 0 0,0 0 0,0 0 0,0-1 0,1 1 0,-1 0 0,0 0 0,6-11 247,-3 8-218,0-1 0,0 0 0,1 0 0,0 2 0,-1-2 0,1 1 0,0 0-1,0 1 1,1 0 0,-1-1 0,1 1 0,-1 0 0,1 0 0,0 1 0,0-1 0,7 0 0,5 0 102,1 1-1,-1 0 1,26 3 0,9-1 219,92-1 365,-142 0-771,0 0 16,1 0 0,-1 0 0,0 0-1,0 0 1,0-1 0,0 1 0,0 0-1,0-1 1,0 0 0,0 1 0,0-1-1,0 0 1,0 0 0,0 0 0,0 0-1,-1-1 1,1 1 0,0 0 0,-1 0-1,1 0 1,-1-1 0,2-1 0</inkml:trace>
  <inkml:trace contextRef="#ctx0" brushRef="#br0" timeOffset="6163.95">2253 110 18175,'0'0'1430,"6"1"-1217,351 16 1088,-320-18-1207,0 0-1,61-10 1,72-24 312,-14 3-90,-107 24-254,46-9 132,-65 7-111,-26 8-56,0 0 0,0 1 0,0-1 0,1 1 0,-1 0 0,0 0 0,9-1 0,-13 2-22,0 1 1,1-1-1,-1 1 1,0-1-1,0 0 1,1 1 0,-1-1-1,0 1 1,0-1-1,0 1 1,0-1-1,0 1 1,0-1 0,1 1-1,-1-1 1,0 0-1,-1 0 1,1 1-1,0-1 1,0 1 0,0-1-1,0 0 1,0 1-1,0-1 1,0 1-1,-1-1 1,1 1-1,0-1 1,0 1 0,-1-1-1,1 0 1,0 1-1,-1-1 1,1 0-1,0 1 1,-1-1 0,1 0-1,-1 1 1,1-1-1,0 0 1,-1 0-1,1 1 1,-1-1 0,1 0-1,-1 0 1,-24 7 67,10-3-19,1 1 0,-18 7 0,27-9-43,0-1 1,0 1 0,1 0-1,-1 0 1,1 1-1,0-1 1,0 1 0,0 0-1,0 0 1,-3 5-1,-3 7-11,0 1 0,2-1 0,0 2 0,1 0 0,0 0 0,2-1 0,0 2 0,-3 33 0,5-5 0,2 0 0,7 64 0,1-61 0,3 1 0,3-2 0,25 66 0,4 14 0,-18-42 0,-4 2 0,8 103 0,9 69 0,-34-244 0,8 128 11,-4-35 128,-5-86-81,-1-1 1,-2 1 0,-3 29-1,5-29-58,-1-23 0,1 1 0,-1 0 0,0 0 0,0-1 0,0 1 0,0 0 0,0 0 0,0 0 0,0 0 0,-1 0 0,1 0 0,-1-1 0,1 1 0,-1 0 0,0 0 0,0-1 0,0 1 0,-1 2 0,0-2 1,0 2 1,-1 0-1,2 0 0,-1-1 0,0 1 0,1 0 1,0 0-1,0 0 0,0 0 0,0 1 0,1-2 1,-1 1-1,1 1 0,0-2 0,1 2 0,-1-1 0,2 5 1,-2-7 1,1-1 1,-1 1-1,0-1 1,0 1-1,0-1 1,0 0-1,0 1 0,-1-1 1,1 1-1,0-1 1,-1 1-1,1-1 1,-1 1-1,1-1 1,-1 0-1,0 0 1,0 0-1,0 0 1,1 1-1,-1-1 1,-1 0-1,1 0 1,0 0-1,0 0 1,0 0-1,0 0 1,-1 0-1,1 0 1,0 0-1,-1-1 1,1 0-1,-3 1 1,-6 4 24,-1-1 0,0-1 0,-16 3 0,15-4-21,-3 1-7,0-1 0,0-1 0,-18 0 0,-1 0 0,-50-1 192,-137-14-1,109 4-83,61 7 1,-97 8 1,117-2-73,0 1 0,1 1 1,0 3-1,-41 12 0,65-17-172,0-1-1,0 1 0,1-1 0,-1 2 1,1-1-1,0 1 0,0-1 1,-6 8-1,8-8 30,1-2-1,0 2 1,0 0 0,0 0-1,0 1 1,0-2 0,1 1-1,0 1 1,-1-1 0,1 0-1,0 0 1,1 1 0,-1-1-1,1 1 1,-1 3 0,1 6-3180</inkml:trace>
</inkml:ink>
</file>

<file path=xl/ink/ink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06:50:51.267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172 3097 17151,'0'0'2155,"6"1"-1984,54 6 78,1-2 0,62-2-1,311-31 1012,-251 16-728,96 4 107,-270 8-638,28 0-978,-13 0-2910</inkml:trace>
  <inkml:trace contextRef="#ctx0" brushRef="#br0" timeOffset="674.53">0 2972 20095,'9'-5'0,"-6"4"0,0 0 0,0 0 0,0-1 0,0 0 0,1 0 0,-1 0 0,0 1 0,1 1 0,-1-1 0,1 0 0,-1 0 0,1 1 0,4-1 0,-4 2 22,1-1-1,0 0 1,-1 0-1,1 0 0,-1-1 1,1 0-1,-1 0 0,1 0 1,-1 0-1,1 0 1,-1 0-1,5-5 0,55-24 400,-54 25-373,14-10 61,-1 5-1,2-1 1,-1 0-1,1 3 1,1 0 0,0 2-1,0 1 1,1 1-1,0-1 1,46 1 0,396-5 381,-309 16-151,17 0 156,-144-8-410,-1-1 0,0-1 0,43-9 0,-71 11-188,-1 1 0,0-2 1,1 1-1,-1 0 1,0-1-1,1 1 0,-1 0 1,0-1-1,0 1 1,-1-1-1,1 0 0,0 0 1,-1 0-1,1-2 1,-1 1-1,0 2 0,0-2 1,0 0-1,0 0 1,2-4-1,-4 7-1,0-1 0,0 1 1,0-1-1,0 1 0,0 0 0,0-1 1,0 1-1,0 0 0,0 0 0,0-1 0,0 1 1,-1-1-1,1 1 0,0 0 0,0-1 1,0 1-1,0-1 0,-1 1 0,1 0 0,0-1 1,-1 1-1,1 0 0,0-1 0,-1 1 1,1 0-1,0 0 0,-1-1 0,1 1 0,0 0 1,-1 0-1,1-1 0,-1 1 0,1 0 0,0 0 1,-1 0-1,0 0 0</inkml:trace>
  <inkml:trace contextRef="#ctx0" brushRef="#br0" timeOffset="40116.83">2685 1066 17407,'0'0'384,"5"-3"-149,6-7-137,0 1-1,1 2 1,1 0-1,0 1 1,0-2 0,0 3-1,17-7 1,-8 7 6,-1 0 0,1 1 0,0-2 0,30 0 0,107 4 568,-135 4-525,-1 0 0,1 2 1,-1 2-1,37 8 0,-54-12-119,0 1 0,0-1 0,0 1 0,0 1 0,-1-2 0,1 2 0,-1 1 0,0-1 0,-1-1 0,1 1 0,-1 1 0,0-1 0,4 7 0,-3-2 1,0-1-1,-1-1 0,0 2 0,0-1 0,-1 2 0,-1-2 0,4 21 0,-5-13 18,0 1-1,-1 2 0,-1-2 0,0 2 0,-2-2 1,0 1-1,-2 0 0,-8 21 0,-4 3 50,-2 0-1,-3 0 1,-1-2-1,-2-1 1,-2-2-1,-38 43 1,48-66-29,15-11-45,-1-2 0,1 2 0,-1-1 0,1 0 0,0 0-1,0 1 1,0 0 0,-2 3 0,4-5-17,0 0 1,-1 1-1,1-2 0,0 1 0,0 1 0,0-1 0,0-1 0,1 2 1,-1-1-1,0 0 0,0 0 0,1 0 0,-1 0 0,1 0 1,-1 0-1,1 1 0,-1 0 0,1-1 0,0 0 0,0 0 1,0-1-1,-1 1 0,1 0 0,0 0 0,2 1 0,3 2 5,-1 1 0,1-1 0,0-1-1,0 0 1,0 1 0,1-3-1,0 2 1,-1 1 0,1-2 0,0 0-1,10 1 1,9 1 69,47 0 0,-53-3-61,66-3 135,5 1 51,-79 1-280,-1 0 0,1 2 0,-1 0 0,1 1 0,19 6 0,-28-7-109,0-1 1,0 1-1,1-1 1,-1 0-1,0 0 1,0 2-1,0-1 1,-1 0-1,1 0 0,-1 1 1,3 2-1,0 2-699,-1-2-1,-1 1 0,1 3 0,2 3 0</inkml:trace>
  <inkml:trace contextRef="#ctx0" brushRef="#br0" timeOffset="41183.57">3849 935 22015,'2'-5'0,"0"1"0,1-2 0,-1 1 0,1 1 0,0 1 0,0 0 0,1-2 0,0 1 0,-1 0 0,1 0 0,0 1 0,1 1 0,-1-1 0,1 0 0,-1 1 0,1 0 0,5-3 0,-4 3 0,0 1 0,0-1 0,0 1 0,0-1 0,1 2 0,-1-1 0,0 1 0,0 1 0,0-1 0,1 2 0,-1-1 0,0 0 0,0 1 0,11 4 0,309 132 0,-313-131 2,-1 1-1,0 1 1,0-1-1,-1 1 1,0 2-1,-1-1 1,0-1 0,-1 2-1,0 1 1,-1-2-1,0 2 1,-1 0-1,10 24 1,-15-28 9,0-3 1,0 1 0,-1 1 0,0-3 0,0 2-1,-1 0 1,0 1 0,0 0 0,0-3 0,-1 3-1,0-1 1,-3 7 0,1-4 15,0-1 1,-1 1-1,0-2 1,-1 0-1,0 3 1,0-3-1,-11 11 0,-2-2 18,0 2-1,-1-3 1,-1 0 0,0-3-1,-32 18 1,32-18 24,0-2 0,-1 0 1,0-2-1,-38 13 0,53-20-56,-1 1 0,1-1 0,-1 0 0,0 0 0,1-1 0,-1 0 0,0 0 0,1-1 0,-1 0 0,0 0 0,1 0 0,-1-1 0,1 0 0,0-1 0,0 0-1,-1 1 1,2-1 0,-1 1 0,0-1 0,-7-6 0,12 8-13,0 1 0,0-1 0,1 1 0,-1-1 0,0 1 0,1-1 0,-1 0 0,0 1 0,1 0 0,-1-1 0,1 1 0,-1-1 0,1 0 0,0 0 0,-1 1 0,1-1 0,0 0 0,-1 0 0,1 0 0,0-1 0,0 2 0,0 0 0,0 0 0,0-1 0,0 0 0,0 0 0,0-1 0,1 1 0,-1 0 0,1 0 0,0 0 0,0 0 0,0 1 0,0-1 0,0 0 0,0 1 0,0-1 0,0 0 0,0 0 0,0 1 0,0-2 0,0 2 0,3-2 0,4 0 0,1 0 0,0 0 0,-1 1 0,12-1 0,2 1 0,0 1 0,1 1 0,-1 0 0,0 2 0,0 0 0,34 12 0,-40-10 0,0 0 0,-1 1 0,0 1 0,0-1 0,-1 1 0,0 3 0,0 0 0,-1-2 0,17 18 0,-26-22 0,-1-1 0,1 4 0,-1-4 0,0 2 0,0 0 0,-1 0 0,1-1 0,-1 4 0,-1-3 0,1 1 0,-1-1 0,0-2 0,0 5 0,-1-3 0,0 2 0,0-2 0,0 1 0,-2 5 0,1-3 0,0 0 0,-1-2 0,0 1 0,-1 0 0,1-1 0,-1 0 0,-1 2 0,1-3 0,-1 2 0,-1-1 0,1-1 0,-1 1 0,0-2 0,-7 9 0,-4-3 6,1 0 0,-1-1 0,-1-1 0,0 0 1,0 0-1,0-3 0,-36 11 0,-135 16-156,165-29 38,11-3-783,10 0 313,0 0-1,0 0 1,0 1-1,0-1 1,0 0-1,0 2 1,1-2-1,-1 1 1,-2 0-1</inkml:trace>
  <inkml:trace contextRef="#ctx0" brushRef="#br0" timeOffset="41934.42">5233 1283 22015,'-22'7'0,"22"-7"0,0 0 0,0 0 0,0 0 0,0 0 0,0 0 0,0 0 0,-1 1 0,1-1 0,0 0 0,0 0 0,0 0 0,0 0 0,0 0 0,-1 0 0,1 0 0,0 0 0,0 0 0,0 0 0,0 0 0,0 0 0,0 0 0,-1 0 0,1 0 0,0-1 0,0 1 0,0 0 0,0 0 0,0 0 0,0 0 0,-1 0 0,1 0 0,0 0 0,0 0 0,0 0 0,0 0 0,0-1 0,0 1 0,0 0 0,0 0 0,0 0 0,0 0 0,-1 0 0,1 0 0,0 0 0,0-1 0,0 1 0,0 0 0,0 0 0,0 0 0,10-14 0,-8 12 0,0-2 0,0-2 0,0 1 0,0 0 0,-1-1 0,1 1 0,-2-1 0,1 1 0,-1-2 0,1 1 0,-2 1 0,1-1 0,-1 2 0,0-3 0,-3-8 0,-1-2 0,-1 0 0,-1-1 0,-12-20 0,18 35 0,-1 0 0,1 1 0,-1-1 0,0 1 0,0 0 0,0 0 0,0-1 0,-1 1 0,1 0 0,-1 1 0,0-1 0,1-1 0,-1 0 0,0 1 0,-5 0 0,2 1 0,1-1 0,0 1 0,-1 0 0,1 1 0,-1-1 0,1 1 0,-1 0 0,1 1 0,-7 0 0,-3 2 1,0 0-1,0 0 0,1 4 1,-1-2-1,1 0 0,1 1 1,-1 0-1,1 1 1,0 2-1,1 0 0,0-1 1,1 0-1,0 2 0,-12 13 1,6-5-5,0 4 1,1-3 0,1 3-1,1-2 1,1 4 0,2-1-1,-11 26 1,9-10-12,3-2 0,1 2-1,2 1 1,2-2 0,2 2 0,3 64-1,2-91 16,-1 0-1,2-1 0,-1 0 1,2 0-1,0-1 0,1 1 1,11 20-1,-14-28 2,1 1 0,0 0 0,0-1 1,0 0-1,0-1 0,1 1 0,0 0 0,0-2 0,0 2 1,0-1-1,1 0 0,-1 0 0,1 1 0,0-1 0,0-3 1,0 2-1,0-1 0,0 1 0,0-1 0,1 0 0,-1 0 0,7 0 1,-4-2 11,1 1 0,0 0 0,-1-1 1,1-1-1,-1 0 0,0 1 0,1-1 1,-1 0-1,0-2 0,-1 0 0,1 0 1,-1-1-1,1 2 0,-1-2 0,-1 1 1,1-1-1,6-8 0,6-6 18,0-1 0,-2 0 0,28-44 0,-15 16-33,-2-2 0,-3-1-1,24-71 1,29-166 118,-74 268-31,0-3 1,-1-36-1,-2 59-85,-1 0 1,0 0-1,0-2 1,0 2-1,-1 0 1,1-1-1,0 1 1,0 0-1,0-1 1,0 1-1,0 0 1,0-1-1,0 1 1,0 0-1,-1-1 1,1 1-1,0 0 1,0 0-1,0 0 1,-1 0-1,1 0 0,0 0 1,-1-1-1,1 1 1,0 0-1,0 0 1,-1 0-1,1-1 1,0 1-1,-1 0 1,1 0-1,0 0 1,-1 0-1,1 0 1,-16 2-77,-15 12-228,22-9 50,0 1-1,1-1 1,0 3 0,0 0-1,0-2 1,1 1-1,-10 15 1,-1 4-1924,-18 41 0,35-66 2106,-47 85-10232</inkml:trace>
  <inkml:trace contextRef="#ctx0" brushRef="#br0" timeOffset="42548.27">5653 937 21887,'9'82'0,"15"102"0,-15-130 10,40 189 130,-32-167-65,34 116 106,-49-182-166,10 20 183,-11-30-193,-1 1 0,0-1 0,0 0 0,1 0 0,-1 0 0,1 1 0,-1-1 0,0 1 0,1-1 0,-1 0 0,1 1 0,-1-1 0,0 0 0,1 0 0,-1 1 0,1-1 0,-1 0 0,1 0 0,-1 0 0,1 1-1,0-1 1,0 0-1,0-1-1,0 1 0,-1 0 0,1 0 1,0-1-1,0 1 0,-1-1 0,1 1 0,0 0 1,-1-1-1,1 0 0,-1 1 0,1 0 1,0 0-1,-1-1 0,1 1 0,-1-1 0,1 0 1,7-12 39,-1 0 1,-1 1-1,0 0 1,-1-1 0,0 0-1,3-17 1,-1 7 13,4-15 16,7-24 116,2 2 0,53-104 0,-41 107-167,3 2-1,82-101 0,11-7-3936,-103 126 1302,19-23-8714</inkml:trace>
  <inkml:trace contextRef="#ctx0" brushRef="#br0" timeOffset="44079.37">2836 209 19711,'-17'8'0,"1"2"0,0 1 0,0-3 0,-14 19 0,-53 51 0,58-55 0,9-7 0,1 0 0,1-1 0,1 3 0,-18 28 0,26-36 0,0 1 0,0-1 0,2 1 0,-1 0 0,2 1 0,-1-2 0,2 1 0,-1 2 0,2-3 0,0 18 0,5 16-20,21 84 0,27 45-57,-27-90 45,73 214-162,-73-233-104,3 1 0,58 92 0,-49-101-651,57 62 0,77 65-2443,7 4-5056</inkml:trace>
  <inkml:trace contextRef="#ctx0" brushRef="#br0" timeOffset="44785.36">6526 192 18687,'12'32'0,"1"-1"0,2 1 0,25 40 0,86 124 0,-103-153 0,-2-1 0,28 86 0,-29-58 46,-4 2 0,-3 1 0,-4-2 0,-1 133 0,-10-158-17,-3 1 0,-1 0 0,-3-3 0,-2 3 0,-3-3 0,-1 0 0,-3 1 0,-38 67 0,4-28-114,-3-1-1,-72 83 1,114-151-207,-1-2 1,0 2-1,-18 9 0,26-19-114,-1 0 0,0 0 0,-1-1 0,1-2 0,-1 2 0,0 0 0,0-2 0,0 1 1,-17 2-1,-17 0-8810</inkml:trace>
  <inkml:trace contextRef="#ctx0" brushRef="#br0" timeOffset="45430.35">6973 109 19327,'34'-6'0,"0"-3"0,59-20 0,5-3 0,-72 24 0,-5 2 0,1 2 0,0-3 0,25 1 0,-40 5 0,-1 1 0,1-1 0,0 2 0,-1-1 0,1 1 0,-1 0 0,1 0 0,-1 0 0,1 1 0,-1 0 0,0 1 0,0 0 0,0-2 0,0 4 0,6 1 0,-5-1 0,0 0 0,-1 2 0,0-2 0,0 1 0,0 2 0,-1-2 0,0-1 0,-1 3 0,1-1 0,-2 1 0,1 0 0,-1-2 0,0 2 0,-1 0 0,0-1 0,0 3 0,-1-1 0,1 10 0,-2 5 0,-2 1 0,0-2 0,-2 2 0,0-2 0,-10 26 0,-3 2 0,-49 101 0,-42 40 1,29-55 20,63-108 36,-2 2 123,1 1 0,-15 44 0,32-75-167,0 0 0,-1 0 0,1-1 1,0 2-1,0-1 0,0 0 0,0 0 0,0 0 0,0 0 0,0 0 1,0 0-1,0 0 0,1-1 0,-1 1 0,0-1 0,1 1 0,-1 0 0,1 0 1,-1 1-1,1 0 0,-1-1 0,1-1 0,0 1 0,-1 0 0,1-1 1,0 1-1,0-1 0,0 1 0,-1 0 0,1-1 0,0 1 0,0-1 0,0 1 1,0-1-1,2 1 0,3 1 20,1 0 0,-1-2 0,2 2 0,9-1 0,-16-1-31,52 2 67,0-1 0,-1-2 1,99-14-1,153-50-3333,-219 45-8831</inkml:trace>
  <inkml:trace contextRef="#ctx0" brushRef="#br0" timeOffset="47013.57">1889 2850 19327,'12'-6'-76,"-9"4"28,1-1 0,0 1 0,0 1-1,-1 0 1,1 0 0,1-1 0,-1 1-1,0 0 1,0 0 0,0 0 0,1 0 0,-1 1-1,0 0 1,1 0 0,-1 0 0,5 1-1,0 1-32,0-1-1,1 1 1,-1-2-1,0 1 1,1-2-1,14-1 1,60-13-180,-34 5 90,-23 5 121,68-10-203,182-12 1,-123 30 135,230 31-1,-159 12 118,-145-27 0,82 10 0,347 19 128,-420-45 270,124-9 0,-38-3 321,-49 6 113,224-33 0,-126-16-55,-94 18-530,182-31 286,-199 29-256,-11 4-148,183-27 272,6 0-290,-224 40-23,-16 6 39,97-19-1,-116 30-119,62 3-1,-13 1 109,116-2-94,45 0 107,-204-3-154,1-1 0,40-8 0,-72 10-2,-3 2-190,0-1 0,0 0 1,0-2-1,0 1 0,0 1 0,5-3 1,2-6-3465</inkml:trace>
  <inkml:trace contextRef="#ctx0" brushRef="#br0" timeOffset="49382.53">3242 4014 19199,'4'-5'87,"-4"4"-46,0 0-1,1 0 1,-1 0 0,1 1 0,0-1-1,-1-1 1,1 0 0,0 1 0,-1 0 0,1 0-1,0 0 1,0 1 0,0-1 0,0 0-1,0 1 1,0-1 0,0 1 0,0-1-1,1 0 1,-1 1 0,0-1 0,2 0-1,15-17 238,-3 4-169,23-26 1,-24 22-38,22-17-1,189-133 390,-22 20-175,-161 113-235,-20 14 31,1 2 1,49-32 0,-70 50-73,-1-1 0,1 2 0,0-1 0,0 0 0,0 1-1,0-1 1,0 0 0,0 1 0,0-1 0,1 1 0,-1-1 0,0 1 0,0 0 0,0 0 0,0 0 0,1 0 0,2 1 0,-4 0-5,0-1 1,0 1-1,0 0 1,0 0-1,1 0 0,-1-1 1,-1 0-1,1 1 1,0 0-1,0 2 0,0-1 1,0-1-1,-1 0 1,1 0-1,-1-1 0,1 1 1,-1 0-1,1 0 1,-1 0-1,1 1 0,-1-1 1,0 0-1,0 1 1,0-1-1,0-1 0,0 2 1,0-1-1,0 0 1,-1 2-1,-4 46 52,-2 1 0,-21 70 0,10-54 31,-17 59 37,23-83-97,3 1 0,1 0 0,-1 44 0,-8 49 9,5-72-118,-20 124-862,33-170-88,-1-17 958,0-1 0,0 0 0,0 0 1,0 0-1,0 0 0,0 0 0,0 0 0,0 1 1,0-1-1,0 0 0,1 0 0,-1 0 1,0 1-1,0-1 0,0 0 0,0 0 1,1 0-1,-1 0 0,0 1 0,0-1 1,0 0-1,1 0 0,-1 0 0,0 0 1,0 0-1,1 0 0,-1 0 0,0 1 1,0-1-1,1 0 0,-1 0 0,0 0 1,0 0-1,1 0 0,-1 0 0,0 0 1,0 0-1,1 0 0,-1-1 0,0 1 1,0 0-1,1 0 0,-1 0 0,0 0 1,0 0-1,0 0 0,1 0 0,-1-1 1,0 1-1,0 0 0,0 0 0,1 0 0,-1 0 1,0-1-1,0 1 0,0 0 0,0 0 1,0 0-1,1-1 0</inkml:trace>
  <inkml:trace contextRef="#ctx0" brushRef="#br0" timeOffset="49709.87">4486 4371 19967,'0'0'0,"-37"-3"0,52 3 0,-4 3 0,5 1 0,-8 1 0,-3-3 0</inkml:trace>
  <inkml:trace contextRef="#ctx0" brushRef="#br0" timeOffset="50596.36">5192 3364 22143,'-44'36'0,"43"-35"-2,0-1 0,0 1 0,0 0 0,1-1-1,-1 1 1,0 0 0,0-1 0,0 1 0,0-1 0,-1 0-1,1 0 1,0 0 0,0 0 0,0 0 0,0 1-1,0-1 1,0 0 0,0 0 0,0 0 0,-1-1 0,1 1-1,0 0 1,0 0 0,0 0 0,0 0 0,0 0 0,0-1-1,0 1 1,0-1 0,0 1 0,-2-2 0,2 1-4,0 0 0,0 1 0,0 0 0,-1 0 0,1 0 0,0 0 0,-1-1 0,1 1 0,0 0 0,-1-2 0,1 2 0,0 0 0,-1 0 0,1 0 1,0 0-1,-3 0 0,-4 3-84,-1-1 1,1 2-1,-1-2 1,1 1-1,1 2 1,-1-1-1,1 3 1,-1-4-1,1 3 1,1-1 0,-11 11-1,5-3-66,1 1-1,0-1 1,1 2-1,-14 24 1,20-31 139,0 2 1,1-1-1,0 0 0,0 1 1,1-2-1,1 2 1,0 1-1,0-4 1,1 3-1,0 0 1,1-2-1,0 2 0,0 0 1,1-2-1,1 1 1,0 2-1,0-3 1,9 19-1,-4-14 0,-1-3 0,2 1 1,0 2-1,0-1 0,2-3 0,-1 1 0,1 1 0,1-1 1,0-3-1,0 2 0,1-1 0,17 9 0,22 7 17,-1 2 0,-2 3 0,90 68 0,-136-95 0,-1 1 0,0-2 0,1 0 0,-1 1 0,0 1 0,0-2 0,-1 2 0,1 0 0,0-1 0,-1 0 0,0 2 0,1-1 0,-1 0 0,1 2 0,-2-2 0,-1 1 0,1-1 0,0 0 0,-1 0 0,0 1 0,0-1 0,0-1 0,0 1 0,0 0 0,-1 0 0,-3 7 0,-7 10 124,-1 1 0,-2 1 0,0-1-1,-31 30 1,41-46-87,-1-1-1,1-1 1,0 0-1,-1 0 1,0 0-1,0-1 1,0 1 0,0 1-1,-1-2 1,1 0-1,-1-1 1,1 1-1,-1-1 1,0 0 0,1-1-1,-1 1 1,0-1-1,0-1 1,1 1-1,-1-1 1,0 0 0,1-1-1,-1 1 1,1-1-1,0 0 1,-1-2-1,1 1 1,0 1 0,0-1-1,1 0 1,-1 0-1,1 0 1,0-1-1,-9-9 1,5 4-23,1-2 0,0 3 0,0-1 0,1-4 0,1 3 0,0 0 0,1-2 1,0 1-1,1-2 0,0 3 0,1-1 0,0-2 0,1 2 0,0-2 0,2 2 0,-1-2 0,3-18 0,0 9-9,2 1 0,0-3 0,2 5 0,1-4 0,0 4 1,2-3-1,0 3 0,25-38 0,52-53 99,8-12 51,-83 105-138,-1 0 1,-1 0-1,-1 0 0,-1 0 0,9-34 0,-15 48-43,0 2-69,-1-1 0,1 1 1,-1-1-1,1 0 0,-1 1 1,0-1-1,1 0 0,-1 1 1,0-1-1,-1 0 0,1 0 1,0 0-1,0 1 0,-1 0 1,1 0-1,-1-1 0,1-2 1,-1 3-1,-1-3 0,1 4-14,1 0 0,-1 0 0,1 0-1,-1 0 1,0 0 0,1 0 0,-1 0 0,1 0-1,-1 0 1,1 0 0,-1 0 0,1 0-1,-1 0 1,1 0 0,-1 0 0,1 0-1,-1 1 1,1-1 0,-1 0 0,1 0 0,-1 1-1,1-1 1,-1 0 0,1 0 0,-1 0-1,1 0 1,0 1 0,-1-1 0,1 1 0,0-1-1,-1 1 1,1 1 0</inkml:trace>
  <inkml:trace contextRef="#ctx0" brushRef="#br0" timeOffset="51405.94">5929 3475 20607,'-91'1'128,"90"-1"-121,0 0-1,0 0 1,0 0-1,0 0 0,0 0 1,0 0-1,0-1 0,-1 1 1,1 0-1,0-1 1,1 1-1,-1 0 0,0-1 1,0 0-1,-1 0 1,1 1 0,1-1 1,0 1 0,0-1 0,-1 1 0,1 0 0,0 0 0,0 0-1,0-1 1,0 1 0,0-1 0,-1 1 0,1-1 0,0 1 0,0 0-1,0-1 1,0 1 0,0-1 0,0 1 0,1-2 0,-1 2 0,0-1-1,0 1 1,0-1 0,2-1 76,-1 0-1,1 0 0,0-2 1,-1 4-1,1-3 1,5-4-1,-51-2 194,34 8-299,-1 1 0,1-1-1,0 1 1,-1 1-1,1-1 1,0 1 0,0 1-1,0 0 1,-14 4-1,19-4 9,0 0 0,0 0-1,1 1 1,-1-3-1,1 4 1,-1-2 0,1 1-1,0 0 1,0 1-1,1-1 1,-1 1 0,1 0-1,-1-1 1,1 2-1,1-1 1,-1-1 0,0 1-1,1 0 1,-3 10-1,3-9-20,0 3 0,1-1 0,0-1 0,0 2-1,1-1 1,0 0 0,0 0 0,0 0 0,1-1 0,1 1-1,2 12 1,0-9-3,0-1-1,0-2 0,1 2 1,0 0-1,1-2 1,0 2-1,11 10 0,5 2-19,2-3-1,0 3 1,1-4-1,43 23 0,-53-31 59,-1-1 0,0 2 0,-1 0 0,0 0 0,0 0 0,-1 3 0,17 19 0,-26-26 0,1-1 0,-1 0 0,0 0 0,0 1 0,-1-1 0,0 2 0,0-2 0,-1 1 0,1 0 0,-1 0 0,-1 0 0,1-1 0,-1 2 0,0-1 0,-1 0 0,1 1 0,-1-2 0,-1 1 0,1 0 0,-1-1 0,0 2 0,-1-2 0,-3 8 0,-3 2 0,0 0 0,-19 24 0,23-34 0,-1 1 0,1-1 0,-1 1 0,-1 0 0,1-2 0,-1-1 0,0 2 0,-12 6 0,11-9 6,-4 4-9,0-1 0,0 0 0,0-2-1,-17 5 1,26-7 9,-1-1-1,1 0 0,-1 0 1,1 0-1,-1 0 0,1 0 0,0 0 1,-1 0-1,1-1 0,-1 0 1,1 0-1,0 0 0,0 1 1,0-3-1,-1 2 0,1-1 1,0 1-1,1 0 0,-1-2 0,0 1 1,-3-3-1,1 0-1,0 1 1,1-3-1,0 3 1,0-2-1,0 3 0,1-5 1,-1 2-1,2 0 0,-1 0 1,1 1-1,0-2 1,0 1-1,-1-10 0,2 5 7,1 1-1,1 1 0,-1-2 1,2 1-1,0 1 1,0-1-1,0 0 0,5-9 1,6-9 13,2-2 1,1 5-1,1-1 1,35-43-1,-4 14-24,-22 25 0,25-35 0,-39 48-12,25-43-187,-33 53 141,-1 0 0,0 1-1,0-3 1,-1 2 0,1 0 0,-1-12 0,-2 10-1323</inkml:trace>
  <inkml:trace contextRef="#ctx0" brushRef="#br0" timeOffset="52196.89">6500 3351 22143,'-75'10'0,"71"-10"0,5-1 0,12-3 0,3 3 0,-15 1 0,-1 0 0,0 0 0,1 0 0,-1 1 0,0-1 0,1 0 0,-1 0 0,0 0 0,0 0 0,1 1 0,-1-1 0,0 0 0,1 0 0,-1 0 0,0 1 0,0-1 0,1 0 0,-1 0 0,0 1 0,0-1 0,0 0 0,0 1 0,1-1 0,-1 0 0,0 1 0,0-1 0,0 0 0,0 0 0,0 0 0,0 0 0,0 1 0,0-1 0,0 0 0,0 1 0,0-1 0,-8 30 0,6-23 0,0-1 0,0 1 0,-1 12 0,-2 15 0,-1-1 0,-2 2 0,-13 33 0,9-32 0,-15 79 0,25-104 2,0 10 32,-1 38 1,4-55-31,-1 3 1,1-2 0,1 2 0,-1-1 0,1 0-1,0 0 1,0-1 0,2-1 0,-2 2 0,1 0 0,5 4-1,-7-8 1,0-1-1,0 1 0,0-2 0,1 1 0,-1 1 1,1-1-1,-1-1 0,1 0 0,-1 1 0,1 0 1,-1 0-1,1-1 0,0 1 0,-1-1 0,1 0 1,0 1-1,0-1 0,-1 0 0,4 0 1,1 0 48,-1 0 1,0-1-1,0 0 1,0 0-1,7-1 1,-11 0-40,1 0 1,-1 0-1,1 1 1,-1-1 0,0 1-1,1-1 1,-1 0-1,0-1 1,0 1 0,-1 1-1,1-2 1,0 1-1,-1-1 1,1-1-1,1 0 2,15-50-5,-7 22 25,25-56-1,-30 79-31,0-2 0,1 3 0,0-1 1,0 0-1,1 0 0,0 2 0,1-2 1,0 2-1,0 1 0,11-9 0,-13 11-49,-1 1 0,1 1-1,0-1 1,-1 1 0,1 0-1,1 1 1,-1-1 0,0 0-1,10 0 1,-14 1 4,1 1 1,0 0-1,0 0 1,0 0-1,0 0 1,0 1-1,0-1 0,0 1 1,0 0-1,-1 0 1,1 0-1,0 0 0,-1 0 1,1-1-1,0 2 1,-1-1-1,0 0 1,1 1-1,-1 0 0,0-1 1,0 1-1,4 4 1,1 5-1631,0-1 0,10 22-1</inkml:trace>
  <inkml:trace contextRef="#ctx0" brushRef="#br0" timeOffset="52542.35">6587 3816 21887,'0'0'0,"13"30"0,-8-17 0,1 1 0,5 0 0,-2 1 0,12 1 0,5 0 0,2 8 0,-1-1-384,-2 4 0,0-1-1536,-5-11 128,-2-6 129,-9 2 127</inkml:trace>
  <inkml:trace contextRef="#ctx0" brushRef="#br0" timeOffset="53704.2">7145 3998 21119,'80'20'0,"-54"-12"0,1 0 0,-1-3 0,55 5 0,-61-8 0,-12-2 0,1 1 0,-1-1 0,14-2 0,-20 1 22,-15-9 84,-13-16-106,1-2 0,2 1 0,1-2 0,1-2 0,-22-41 0,39 63 24,0 3-1,1-1 0,-1 1 0,2-1 1,-1 0-1,1-2 0,1 2 1,-1 0-1,1-1 0,1 2 0,0-3 1,0 1-1,0 0 0,1 2 0,0-1 1,1-1-1,0 0 0,0 2 1,1-2-1,-1 0 0,6-6 0,-3 6 1,-1 0 0,1 1 0,1 1 0,-1-1 0,1 0-1,1 1 1,-1 0 0,1 1 0,1 0 0,-1-1 0,1 1-1,-1 1 1,2 0 0,-1 0 0,0 1 0,15-5 0,-16 4-17,1 2 0,0-1 0,0 2 0,0-1 0,0 1 0,0 0 0,0 1 1,0-2-1,1 2 0,-1 0 0,0 2 0,0-2 0,0 1 0,12 3 0,6 5 25,-1 1 0,0-1 0,27 16 0,-42-19-19,0-1 0,-1 2 0,1 1 0,-1-3-1,-1 3 1,1 0 0,-2 1 0,1-1 0,10 15-1,-15-18-12,0 1 0,-1 1 0,1-2 0,-2 0 0,1-1 0,0 1 0,-1 2 0,0-1 0,-1 1 0,0-3 0,0 3 0,0-2 0,-1 7 0,-3 5 0,0-3 0,-1 5 0,-8 12 0,-5 19 0,18-49 0,0 1 0,-1 0 0,1 0 0,0 0 0,0-1 0,0 1 0,0 0 0,0 0 0,1 0 0,-1 0 0,1-1 0,-1 1 0,1 0 0,0 0 0,0 0 0,0-2 0,0 1 0,0 1 0,0-1 0,0 1 0,0-1 0,1 1 0,-1 0 0,0-1 0,1 0 0,0 1 0,-1-2 0,1 1 0,2 2 0,7 2 0,0 0 0,1-1 0,20 7 0,-17-8 0,4 3-172,-1 0-1,1-3 1,0 1 0,0-2-1,27 2 1,-34-4 25,-1-1 1,0 1-1,1-1 1,-1-2 0,0 1-1,0-1 1,1 1-1,-1-2 1,0 0-1,14-8 1,-22 12-26,-1-1 1,0-1-1,0 1 1,0-1-1,0 0 1,0 1-1,0 0 0,0-1 1,-1 0-1,1 0 1,0 0-1,-1 0 0,0 0 1,0 0-1,1 1 1,-1-3-1,-1 2 0,1-1 1,0 1-1,-1-1 1,1 2-1,-1-5 1,5-25-10645</inkml:trace>
  <inkml:trace contextRef="#ctx0" brushRef="#br0" timeOffset="54415.23">7664 2367 17279,'5'12'0,"-3"-7"0,-1-2 0,1 1 0,-1-2 0,0 2 0,0-1 0,0 8 0,-1-11 14,0 0 0,0 0 0,0 0 0,0 0 0,0 0 0,0 1 0,0-1 0,0 0 0,0 0 0,0 1-1,-1-1 1,1 0 0,0 0 0,0 1 0,0-1 0,0 0 0,0 0 0,0 0 0,-1 1 0,1-1 0,0 0-1,0 0 1,0 0 0,-1 0 0,1 1 0,0-1 0,0 0 0,0 0 0,-1 0 0,1 0 0,0 0 0,0 0-1,-1 0 1,1 0 0,0 0 0,0 0 0,-1 0 0,1 0 0,0 0 0,0 0 0,-1 0 0,1 0 0,0 0-1,0 0 1,0 0 0,-1 0 0,1 0 0,-13-4 462,12 3-446,-5 1 124,0 0 0,0 1 0,0-1 0,0 1 0,0 1 0,0-1 0,0 0 0,-8 3 0,13-4-136,1 0-1,0 2 0,0-2 0,-1 0 0,1 0 0,0 0 1,-1 0-1,1 1 0,0-1 0,0 0 0,-1 0 0,1 1 0,0-1 1,0 0-1,0 0 0,-1 1 0,1-1 0,0 0 0,0 1 1,0-1-1,0 0 0,0 1 0,-1-1 0,1 0 0,0 1 1,0-1-1,0 0 0,0 1 0,0-1 0,0 0 0,0 0 1,0 0-1,0 0 0,1 1 0,-1-1 0,0 0 0,0 1 0,0-1 1,0 0-1,0 0 0,0 1 0,1-1 0,-1 0 0,0 1 1,0-1-1,0 0 0,1 0 0,-1 2 0,0-2 0,0 0 1,1 0-1,-1 0 0,0 1 0,1-1 0,0 0 0,0 1 26,1 0-1,-1 0 1,1-1 0,-1 1-1,1-1 1,0 1-1,0 0 1,0 0-1,2-1 1,100 20 705,-71-13-482,45 3 0,-47-7-165,0 1 1,-1 1-1,49 15 0,-45-11-846,-7-3-3459</inkml:trace>
  <inkml:trace contextRef="#ctx0" brushRef="#br0" timeOffset="55024.47">9078 2658 21503,'2'3'128,"-1"-1"-124,1 3 56,1-1 1,0-1 0,0 1-1,6 8 1,-8-11-47,0 0-1,0 0 1,0 0 0,-1 0 0,1-1-1,0 1 1,0-1 0,1 1 0,-1-1-1,0 1 1,0-1 0,0 1 0,0-1-1,0 1 1,1-1 0,-1 0 0,0 0-1,0 0 1,1 2 0,-1-2 0,0 0-1,0-2 1,1 2 0,-1 0 0,0 0-1,0 0 1,0-1 0,1 1 0,-1-1-1,0 1 1,2-1 0,10-5 1,1 1 0,0-2 0,1 3 0,-1 1 0,1-1 0,0 2 0,0-1-1,0 2 1,26-2 0,-36 4-29,-1-1 0,1 2-1,0-1 1,0 0-1,-1 0 1,6 2-1,-6-1-44,0-1 0,0 0-1,1 1 1,-1-2 0,1 0-1,-1 1 1,8-1-1,-1-1-646,0 1 1,-1-2-1,15-3 0,-2-4-2998</inkml:trace>
  <inkml:trace contextRef="#ctx0" brushRef="#br0" timeOffset="55287.68">9045 2295 21887,'0'0'0,"36"56"0,-36-51 128,-11-16-128,7 11 128,2 0-128,7 6 128,7 3-128,10 4 128,11 7-128,11-4 128,14 2-256,6-5 0,14-7-256,-6-7 0,0-2-15231</inkml:trace>
  <inkml:trace contextRef="#ctx0" brushRef="#br0" timeOffset="-212233.01">10347 1879 21119,'20'-11'0,"-6"3"0,1-2 0,-2 1 0,0 0 0,22-24 0,-32 49 79,0 1-1,-1 22 0,-2-3-33,-1 1 0,-2-3 0,-2 1 0,-1-1 0,-2 3 0,-2-3 0,-2 0 0,-29 60 0,1-24 238,-3-1 0,-3-4-1,-80 92 1,122-154-268,1 2 1,-1-3-1,1 2 1,-1 2-1,1-1 1,1 0-1,-1-1 1,1 2-1,-3 7 1,4-10-11,1 0 0,0-1 1,0 1-1,0 0 0,0-1 1,1-1-1,-1 2 0,1 1 1,0-1-1,0-2 0,0 2 1,0 0-1,0-1 0,0 0 1,1 0-1,-1 2 0,1-3 1,0 0-1,-1 0 0,1 1 1,0 1-1,4 2 0,5 3-5,1-1 0,1 0 0,-1 2 0,1-4 0,16 5 0,15 12 0,-41-21 0,62 29 11,100 37 0,-115-51 106,0 0 0,2-6 1,79 13-1,-118-22-252,22 1-119,-8-8-3688</inkml:trace>
  <inkml:trace contextRef="#ctx0" brushRef="#br0" timeOffset="-211344.93">9959 2063 22271,'0'0'256,"0"-6"-149,1-3-73,1 2 0,-1 1 0,1-3 0,1 0 0,0 2-1,0 0 1,0 0 0,1-1 0,0 1 0,1 1 0,0-3 0,0 3 0,1 1 0,-1 0 0,2-1 0,9-9-1,1 3 3,0 1-1,2-1 1,-1 1-1,2 1 1,35-13-1,-27 11 14,39-20 0,-49 20-22,2 2 1,-1 2-1,1-1 1,38-10-1,-56 19-23,0 0-1,0 0 1,0 0 0,0-2-1,0 2 1,0 0 0,0 0 0,0 2-1,0-2 1,0 0 0,0 0-1,0 0 1,0 1 0,0 0 0,0 0-1,0-1 1,0 1 0,-1 0-1,1 0 1,0 0 0,-1 0-1,1 0 1,-1 0 0,1 1 0,-1-1-1,1 1 1,-1-1 0,0 1-1,0-1 1,0 1 0,0 0 0,0-1-1,1 5 1,2 4 30,0 1 0,-1 1 0,0 1-1,2 12 1,-2-6-30,1 4 102,-4-23-113,0 1 0,0-1 0,0 0 0,0 0 0,0 0-1,0 1 1,0-1 0,1 0 0,-1 0 0,0 0 0,0 0 0,0 1 0,0-1-1,0 0 1,0 0 0,0 0 0,0 0 0,0 1 0,1-1 0,-1 0-1,0 0 1,0 0 0,0 0 0,0 0 0,1 0 0,-1 0 0,0 0 0,0 0-1,0 0 1,0 0 0,1 0 0,-1 0 0,0 0 0,0 0 0,0 0-1,1 0 1,-1 0 0,0 0 0,0 0 0,0 0 0,1 0 0,-1 0 0,0 0-1,0 0 1,0 0 0,0 0 0,1 0 0,-1 0 0,0 0 0,0 0 0,0 0-1,1 0 1,-1 0 0,0 0 0,0 0 0,0 0 0,0 0 0,0-1-1,0 1 1,1 0 0,-1 0 0,0 0 0,0 0 0,0-1 0,0 1 0,0 0-1,6-12-3610</inkml:trace>
  <inkml:trace contextRef="#ctx0" brushRef="#br0" timeOffset="-210442.26">11547 1760 22015,'-51'18'0,"51"-17"2,-1-1-1,1 0 1,-1 0-1,1 0 1,-1 0-1,1 0 1,-1 1-1,1-1 1,-1 0-1,1 0 1,-1 0-1,1 0 1,-1 0-1,1 0 1,-1 0-1,0 0 1,1 0-1,-1 0 1,1 0-1,-1 0 1,1 0-1,-1 0 1,1 0-1,-1-1 1,1 1-1,-1 0 1,1 0-1,-1 0 1,0 0-1,5-12 98,0 1-18,-4 11-79,0 0-1,0 0 0,0-1 1,0 1-1,0 0 0,0 0 0,0-1 1,0 1-1,0 0 0,0 0 0,0 0 1,0-1-1,-1 1 0,1 0 1,0 0-1,0-1 0,0 1 0,0 0 1,0 0-1,0 0 0,0 0 0,-1-1 1,1 1-1,0 0 0,0 0 1,0 0-1,0 0 0,-1 0 0,1 0 1,0 0-1,0 0 0,0 0 0,-1 0 1,1 0-1,0 0 0,0 0 1,-1 0-1,1 0 0,0 0 0,-1 0 1,-7 0 16,0 0 1,-1 0 0,1 1 0,0 0-1,0 1 1,0 0 0,0 0-1,0 1 1,0 0 0,1-1 0,0 2-1,-9 4 1,-15 11 51,-36 26 1,20-9 99,-78 79 1,122-112-157,0 0 1,0 1-1,0-2 1,0 2-1,1-1 1,0 1-1,0 2 0,0-3 1,0 1-1,1 1 1,-1-2-1,1 1 0,0-1 1,0 7-1,1-7-2,0-1 0,1 2-1,-1-3 1,1 2 0,-1-2-1,1 1 1,0 0 0,0 0-1,0 1 1,0 0 0,1-1-1,-1-1 1,0 1 0,1 0-1,-1-1 1,1 1 0,0 0-1,0-2 1,0 2 0,0-1-1,0 0 1,0 1 0,0-1-1,0 0 1,1 1 0,-1-2-1,0 2 1,3-1 0,19 6 9,0-3-1,0 0 1,1-1 0,29 0 0,-21-1 3,12 1-7,0 1 0,0 3 1,82 21-1,-114-25-15,-1 0 0,0 3 0,-1-1 0,1 0 0,-1 1 0,0 0 0,-1 1 0,1 1 0,-1-1 0,-1 1 0,0 0 0,0 1-1,-1 2 1,0-3 0,-1 2 0,0 0 0,0 0 0,6 17 0,-6-10 2,-2-2-1,0 3 0,-1 0 1,-1-1-1,-1 1 1,0-1-1,-2 3 0,0-4 1,-1 1-1,-6 30 1,0-19 7,-1 2 1,-1-2-1,-2-1 1,-2 1-1,-22 38 1,32-61 1,1 0 0,-1 0-1,-1 0 1,1-1 0,-1 2 0,0-3 0,0 1-1,0 0 1,-1-1 0,0 1 0,1-1 0,-1 0-1,-1 1 1,1-1 0,0-2 0,-1 3 0,1-3-1,-1 2 1,-11 1 0,1-1 23,0-1 0,-26-1-1,35-1-19,1 0-1,0-1 1,-1 0-1,1 0 1,0-1-1,0 1 1,0-1-1,-1 0 0,1-2 1,-6-1-1,-8-6 42,1-2-1,-1 0 0,2 0 0,-20-20 1,32 28-44,1 0 0,-1-1 0,1-2 0,1 3 0,-1-2 0,1 0 0,0 1 0,1-2 0,-1 1 0,2-1 1,-1 1-1,1 0 0,0-1 0,1 1 0,-1-11 0,3 2-2,0 3 1,1-3-1,0 3 0,2-4 1,0 6-1,0-5 0,13-22 1,-5 15-1,0 4 1,2-2 0,0 2-1,19-20 1,34-35-424,4 4-1,124-99 1,-160 145-718,-18 18-1964</inkml:trace>
  <inkml:trace contextRef="#ctx0" brushRef="#br0" timeOffset="-207957.96">12112 2827 22271,'0'0'512</inkml:trace>
  <inkml:trace contextRef="#ctx0" brushRef="#br0" timeOffset="-207162.97">12618 2284 20607,'0'0'384,"4"-3"-256,212-221 1131,-82 76-1067,29-27 21,-125 140-196,87-73 94,-118 103-111,0-3 0,1 4 0,-1-1 0,15-4 0,-21 8 1,0 1 1,-1 0-1,1 0 0,-1-1 0,1 1 0,-1 0 0,1 0 0,0 0 0,-1-1 1,1 1-1,0 0 0,-1 0 0,1 0 0,-1 0 0,1 0 0,0 0 0,-1 0 1,1 1-1,0-1 0,-1 0 0,1 0 0,-1 0 0,1 1 0,0-1 1,-1 0-1,1 1 0,-1-1 0,1 0 0,-1 0 0,1 0 0,-1 1 0,1-1 1,-1 0-1,0 0 0,1 1 0,-1-1 0,0 1 0,1-1 0,-1 1 0,0-1 1,0 1-1,1 0 0,-1-1 0,0 1 0,0-1 0,0 1 0,0 0 0,0-1 1,0 0-1,0 1 0,0 0 0,0 3 14,0 0 0,0 2 0,-1-2 0,0 1 1,-2 6-1,-88 216 346,77-196-338,-25 54 78,-47 116 54,-37 221-49,117-397-106,-10 49 0,-42 111 0,57-182 0,-7 22 0,8-24 0,-1 0 0,1-1 0,0 1 0,0 0 0,0 0 0,0 0 0,0 0 0,0 0 0,0 0 0,1 0 0,-1 0 0,0 0 0,0-1 0,1 1 0,-1 0 0,1-1 0,-1 1 0,1 0 0,-1 0 0,1 0 0,1 3 0,-2-4-2,0 0 0,0 0 0,0 0 0,0 0 0,0 0 0,1 0 0,-1 0 0,0 0 0,0 1 0,0-1 0,0 0 0,0 0 0,1 0 0,-1 0 0,0 0 0,0 0 1,0 0-1,0 0 0,0 0 0,1 0 0,-1 0 0,0 0 0,0-1 0,0 1 0,0 0 0,0 0 0,1 0 0,-1 0 0,0 0 0,0 0 0,0 0 0,0 0 0,0 0 0,0 0 0,1-1 0,-1 1 0,0 0 0,0 0 0,0 0 0,0 0 0,0 0 0,5-12-215,2-11-411,-6 20 468,23-75-3850,-8 39-8811</inkml:trace>
  <inkml:trace contextRef="#ctx0" brushRef="#br0" timeOffset="-205960.97">13870 1677 20351,'0'0'256,"-6"5"-128,-4 7-71,0 2 0,2 0 0,-1 0 0,2 1 0,0-2 0,1 2 0,1 0-1,-5 18 1,-19 209 437,20 2-92,10-138-287,1-41 9,-10 81 0,4-124-85,2-16 13,1-1 1,1 0-1,-1 0 0,1-1 1,0 2-1,1 8 0,-1-14-40,1 0-1,0 0 0,-1 0 0,1 0 0,0 0 1,-1 0-1,1 0 0,-1 0 0,1-1 1,0 1-1,-1 0 0,1-1 0,-1 1 1,1-1-1,-1 1 0,1-1 0,-1 1 1,1-1-1,-1 1 0,0-1 0,1 1 1,-1-1-1,0 1 0,1-2 0,19-21 37,-17 18-14,114-150 119,-55 69-50,190-259-60,-181 237 74,15-19 0,-79 116-117,2 1 0,-1 1 0,1-2 0,1 2 0,0 0 0,0 1 0,23-13 0,-32 20-1,0 1-1,0-1 1,0 1-1,0-1 1,0 1-1,0 0 1,0 0-1,0 0 1,0 0-1,0 0 1,0 0-1,0 0 1,0 0-1,1 0 1,-1 0-1,0 0 1,0 0-1,0 0 1,0 0-1,0 1 1,0-1-1,0 1 1,0-1-1,1 1 1,-1-1-1,-1 1 0,1 0 0,-1-1 1,1 1-1,-1-1 0,0 1 0,1 0 0,-1-1 1,0 1-1,0-1 0,0 1 0,1-1 0,-1 1 0,0 0 1,0 0-1,0-1 0,0 1 0,0 0 0,0 0 0,-1-1 1,1 1-1,0 0 0,0 0 0,0-1 0,-1 0 1,1 1-1,0-1 0,-1 1 0,1 0 0,0-1 0,-1 1 1,1-1-1,-1 1 0,1-1 0,-1 1 0,0-1 0,0 2 1,-27 19-814,-2 0-3917</inkml:trace>
  <inkml:trace contextRef="#ctx0" brushRef="#br0" timeOffset="-204892.36">14864 1788 20991,'-6'17'32,"0"-4"0,0 3 0,-1-3 0,-1 4 0,0-6 0,-1 4 0,-15 14 0,-29 33 340,-70 110-1,88-121-324,-23 29 70,22-30-5,-40 71 0,57-85-79,-4 5 25,-22 62 0,62-141-58,36-56 0,162-335 233,-170 330-210,-15 41 41,66-95 0,-93 148-45,1 1 0,-1 0-1,1 1 1,0-2 0,0-1-1,0 4 1,9-7 0,-19 43 237,6-30-220,-1-1 1,-1 2-1,1 0 1,-1-3-1,0 3 1,-3 4 0,4-7-24,0-1 0,1 1 1,-1 0-1,1 1 1,0-2-1,-1 1 0,1-1 1,0 1-1,0-1 1,0 1-1,1 0 0,-1 0 1,0-1-1,1 1 1,-1-1-1,1 2 0,0-1 1,1 1-1,20 36 150,-17-34-111,2 9-9,0-3 0,-1 3 0,0-1 0,6 20 0,7 61 109,-5-26-114,94 440-38,-103-468 0,-9-86-170,4-8-1959,0-2-4062,0 33-4518</inkml:trace>
  <inkml:trace contextRef="#ctx0" brushRef="#br0" timeOffset="-204558.25">14520 2345 20479,'0'0'662,"6"-5"-449,6-4-106,1 0 1,0 2-1,1 0 0,18-8 1,-25 12-78,1 1 0,-1-1-1,1 1 1,0 0 0,0 1 0,0 0 0,1 0 0,-1 0 0,0 1 0,0 0 0,10 2 0,2 1-1,-1 2 0,1 0 1,-1 2-1,23 9 0,70 40-879,-108-54 765,30 16-679,-17-14-2035</inkml:trace>
  <inkml:trace contextRef="#ctx0" brushRef="#br0" timeOffset="-202912.99">9748 3256 18687,'0'0'128,"7"3"-21,76 23 49,123 25 0,-89-24-41,308 60 424,-340-75-354,-1-3 1,0-3-1,100-7 0,-71-7 199,184-38 0,-101-6-25,9-5-78,-116 44-57,139-8 0,98 16 9,-109 3-61,762-16 212,-650-4-237,20-1 346,-271 24-394,64-1 101,-34-3-91,-75 3-59,0 0 1,-1-4 0,1 2 0,53-12-1,51-18-50,-32 9 0,-86 19 0,1 1 0,-1 1 0,1 2 0,22-2 0,-41 4-17,0-2 0,0 0 0,0 0 1,0 0-1,0 0 0,0 0 0,0 0 0,1-2 0,-1 2 0,0 0 0,0 0 0,0-1 0,0 1 0,0-1 0,0 1 1,0 0-1,-1 0 0,1-2 0,0 2 0,0-1 0,0 0 0,0 0 0,-1 1 0,1-1 0,0 1 0,-1-1 0,1 0 1,0 0-1,-5-2-1893,3 2 1698,1 1 0,-1 0 0,0 0 0,1 0 0,-1-1-1,1 1 1,-1 0 0,0 0 0,-1 0 0</inkml:trace>
  <inkml:trace contextRef="#ctx0" brushRef="#br0" timeOffset="-201082.92">9758 3715 18687,'0'0'1280,"4"1"-1152,42 9 30,-1-1 0,0-2 0,1-2 0,56 0 0,88 2 278,-48-1-232,107 7 199,126 2-60,103-29 63,-229-3-219,-139 8-118,-20 1 12,87-6 51,-151 13-99,497-15 190,-437 10-203,155-12 259,-32 1-23,-154 12-209,1 3 1,84 5 0,-77-1-3,97-5 1,117-38-50,-87 7 30,-99 14 78,-58 13-49,42-7-1,192-20 95,-223 28-149,-31 4 0,0-1 0,0 1 0,20 1 0,-9 2 0,-6 1 0,-1-2 0,0 0 0,21-3 0,-18-1 64,0 2 0,-1 1 0,28 2 0,-44-1-35,0 0 0,1 0 0,-1 0 0,1 1 0,-1-1 0,0-1 0,1 1 0,-1 0 0,0 0 0,1-1 0,-1 0 0,0 0 0,6-1 0,-8 1-16,0 1 1,1-1 0,-1 1 0,0-1 0,1 1-1,-1-1 1,0 1 0,1 0 0,-1 0 0,0 0-1,1 0 1,-1 0 0,1 0 0,-1 0 0,0 0-1,1 1 1,-1-1 0,0 0 0,1 1 0,-1-1-1,0 1 1,1 0 0,-1-1 0,0 1 0,0-1-1,0 1 1,0 0 0,0 0 0,0 0 0,0-1-1,0 1 1,0 0 0,1 3 0,2-3-1147,-4-8 428,-1-3-262,1 9 871,-15-47-4598,3 17-7657</inkml:trace>
</inkml:ink>
</file>

<file path=xl/ink/ink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06:55:04.343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6 419 24191,'-2'-6'0,"2"5"0,-1 0 0,1-1 0,-1 1 0,1-1 0,0 1 0,-1-1 0,1 1 0,0-1 0,0 1 0,0-1 0,0 1 0,0-1 0,1-2 0,14 11 0,-4-5 0,-1-1 0,1-1 0,0 1 0,17-3 0,4 0 0,-11 3-277,0-1-1501,0 0 0,24-5 0,-39 4 1176,0 0 0,0 0-1,-1-1 1,1 0 0,0 0 0,-1 0 0,0-1 0,0 0-1,1 0 1,-1 0 0,-1-1 0,7-4 0,9-18-7615,-9 11 7794,-3 5-665</inkml:trace>
  <inkml:trace contextRef="#ctx0" brushRef="#br0" timeOffset="216.93">44 0 22271,'0'0'0,"47"57"0,-40-45 0,-7-10 256,-4-4 512,13 2-768,8 0 0,16 2 0,14 2-11263,6-13-641,10-13 11904,51-11 3328</inkml:trace>
</inkml:ink>
</file>

<file path=xl/ink/ink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06:54:54.498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20 79 16128,'0'0'2922,"-2"6"-2794,-3 11-43,1 1 0,1 0 0,0-1 0,2 1 0,0 0 0,1 19 0,15 116 541,-1-27-332,14 389 922,-14-373-1058,-5-66 58,-1 95-1,-9-147-188,0 0 0,-2 0 0,-1 0 0,-1 0 0,-1-1 0,0 0 0,-2 0 0,-12 25 0,20-48-125,0 1-1,0-1 1,0 0 0,0 1 0,1-1 0,-1 0 0,0 1 0,0-1 0,0 0 0,1 1 0,-1-1 0,0 0-1,1 0 1,-1 1 0,0-1 0,1 0 0,-1 0 0,0 1 0,1-1 0,-1 0 0,0 0 0,1 0 0,-1 0-1,1 0 1,-1 0 0,0 0 0,1 0 0,0 1-16,-1-1 0,0 0 0,1 0 1,-1 0-1,0 0 0,0 0 0,1 0 0,-1 0 0,0 0 0,1 0 0,-1 0 0,0 0 1,1 0-1,-1 0 0,0 0 0,0 0 0,1 0 0,-1 0 0,0 0 0,1-1 0,-1 1 1,3-7-2848,-5-35-8805,3-21 9132,2 9 2634</inkml:trace>
  <inkml:trace contextRef="#ctx0" brushRef="#br0" timeOffset="670.66">47 110 18175,'8'36'8,"-5"-19"104,-2-15 128,-3-7 190,-1-4-97,1-1-1,0 0 1,0 0 0,1-11 0,2 19-308,0 0 0,1 0 0,-1 0 0,1 0 0,-1 0 0,1 0 0,0 1 0,0-1 0,0 1 0,0-1 0,3-1 0,1-1 16,7-5 89,0 0 0,1 1 0,1 1 1,-1 0-1,1 1 0,0 0 0,1 1 0,-1 1 0,31-4 0,-34 6-108,1 1-1,0 0 0,0 1 1,0 1-1,0 0 0,-1 1 1,1 0-1,0 1 0,-1 0 1,0 1-1,24 10 0,-28-9-6,1 0 0,-1 0 0,-1 0 1,1 1-1,-1 0 0,0 0 0,0 1 0,0 0 0,-1 0 0,0 1 0,-1 0 0,0 0 0,0 0 0,-1 0 0,0 1 0,5 14 0,-2 2 4,0 0-1,-2 0 0,-1 0 0,-1 0 1,-1 1-1,-2 26 0,-1-38-7,0 1 0,-1 0-1,-1 0 1,0-1 0,-1 1-1,-1-1 1,0 0 0,-1-1-1,0 1 1,-1-1 0,-15 22-1,10-20 19,0 0 0,-1 0 0,0-1 0,-1 0 0,-1-2 0,0 1 0,0-2 0,-1 0 0,-1-1 0,0-1 0,0 0 0,-1-1 0,-23 7 0,32-13-8,1 0 0,-1-1 1,1 0-1,-13-1 0,20 0-170,72 21-23125</inkml:trace>
  <inkml:trace contextRef="#ctx0" brushRef="#br0" timeOffset="2117.03">762 1128 17535,'1'7'125,"-2"12"-36,1-18-48,0-1 0,0 1-1,0-1 1,-1 0 0,1 1-1,0-1 1,0 1 0,0-1 0,-1 1-1,1-1 1,0 0 0,0 1-1,-1-1 1,1 1 0,0-1 0,-1 0-1,1 1 1,-1-1 0,1 0-1,0 0 1,-1 1 0,1-1 0,-1 0-1,1 0 1,0 0 0,-1 1-1,1-1 1,-1 0 0,1 0 0,-1 0-1,1 0 1,-1 0 0,-3-9 1435,3 9-1471,1 0-1,0 0 0,0-1 1,0 1-1,0 0 0,0 0 1,0 0-1,0 0 1,0-1-1,-1 1 0,1 0 1,0 0-1,0 0 1,0 0-1,0 0 0,0 0 1,-1 0-1,1 0 1,0-1-1,0 1 0,0 0 1,-1 0-1,1 0 1,0 0-1,0 0 0,0 0 1,0 0-1,-1 0 0,1 0 1,0 0-1,0 0 1,0 0-1,-1 0 0,1 0 1,0 0-1,0 0 1,0 0-1,-1 1 0,1-1 1,0 0-1,0 0 1,0 0-1,0 0 0,0 0 1,-1 0-1,1 0 1,0 1-1,0-1 0,0 0 1,0 0-1,0 0 1,0 0-1,-1 1 0,1-1 1,0 0-1,0 0 0,0 0 1,0 0-1,0 1 1,0-1-1,0 0 0,0 0 1,0 0-1,0 1 1,0-1-1,0 0 0,0 3 24,0 0 0,0 0 0,0 0 0,1 0 0,-1 0 0,1 0 0,0-1 0,0 1 0,0 0 0,0 0 0,3 3 0,-1 1-1,5 13 35,19 26-1,-20-34-57,0-1 0,-1 1-1,0 0 1,-1 1 0,0 0 0,4 17-1,-5-3-4,-2-15-3,0-1 0,0 1 0,1 0 0,7 15 0,-10-27 2,0 0-1,0 1 1,0-1 0,0 0-1,1 1 1,-1-1 0,0 0 0,0 0-1,0 1 1,0-1 0,1 0-1,-1 0 1,0 0 0,0 1-1,1-1 1,-1 0 0,0 0-1,0 0 1,1 0 0,-1 1 0,0-1-1,1 0 1,-1 0 0,0 0-1,0 0 1,1 0 0,-1 0-1,0 0 1,1 0 0,-1 0 0,0 0-1,1 0 1,-1 0 0,0 0-1,0 0 1,1 0 0,-1 0-1,0 0 1,1 0 0,-1-1-1,0 1 1,1 0 0,13-15-17,9-23 52,74-203 73,-97 241-106,0-1 0,0 0 0,0 1 0,0-1 0,0 0 0,1 1 0,-1-1 0,0 1 0,1-1 0,-1 0 0,0 1 0,1-1 0,-1 1 0,0-1 0,1 1 0,-1-1 0,1 1 0,-1-1 0,1 1 0,-1-1 0,1 1 0,0 0 0,-1-1 0,1 1 0,-1 0 0,1 0 0,0-1 0,-1 1 0,1 0 0,0 0 0,-1 0 0,1 0 0,0 0 0,-1 0 0,1 0 0,0 0 0,-1 0 0,1 0 0,0 0 0,-1 0 0,1 1 0,0-1 0,-1 0 0,1 0 0,-1 1 0,1-1 0,0 0 0,-1 1 0,1-1 0,-1 1 0,1-1 0,0 1 0,4 4 0,0 0 0,0 0 0,-1 1 0,5 6 0,-4-5 0,17 27-34,-2 1-1,-1 1 0,25 70 0,0-2 89,-43-101-40,13 20 321,-13-23-328,-1 0 0,1 1-1,-1-1 1,1 0 0,-1 1-1,1-1 1,0 0 0,-1 1 0,1-1-1,-1 0 1,1 0 0,0 0-1,-1 0 1,1 0 0,-1 0 0,1 0-1,0 0 1,-1 0 0,1 0-1,0 0 1,-1 0 0,1 0-1,0 0 1,-1 0 0,1-1 0,-1 1-1,1 0 1,-1 0 0,1-1-1,0 1 1,-1 0 0,1-1 0,-1 1-1,0-1 1,1 1 0,0-2-1,6-5 22,-1 0 0,-1-1-1,1 1 1,-1-2 0,0 1-1,-1 0 1,0-1-1,0 0 1,4-14 0,-6 14 5,1 0 0,0 0 0,1 1 0,0-1 0,0 1 0,1 0 0,0 1 0,0-1 0,1 1 0,11-12 0,4 2 2764,1 0-4358,48-34-16724,-39 31 12935,-7 6 5350</inkml:trace>
  <inkml:trace contextRef="#ctx0" brushRef="#br0" timeOffset="2517.73">1835 1284 22015,'0'0'0,"-30"18"0,25-3 0,8 6 0,-1-7 0,4 1 0,-1-1 0,3-1-256,-3-2 128,-4-3-512,2-4 0</inkml:trace>
  <inkml:trace contextRef="#ctx0" brushRef="#br0" timeOffset="2741.83">1922 757 22271,'-1'25'0,"-5"15"0,1-29 0,-3-16 0,3 2 0</inkml:trace>
  <inkml:trace contextRef="#ctx0" brushRef="#br0" timeOffset="3255.25">2171 1274 18687,'-15'-67'534,"16"64"287,3 6-512,3 5 75,-4-3-259,-1-1-1,1 1 0,-1-1 0,0 1 1,-1 0-1,1 0 0,-1 0 0,0 0 1,0 0-1,0 5 0,-4 53 6,2-49-117,0 1 0,1 20 0,5 57 265,-1-92-124,4-8-92,7-12-22,39-72 97,-4 5-40,-36 66-1186,1 1-1,29-31 0,-36 45 280,-1-1 0,1 1 0,0 0 0,0 1 0,1 0-1,-1 0 1,1 1 0,0 0 0,17-5 0,5 2-6592,15 0 5057,-23 4 2279,7-2-894</inkml:trace>
  <inkml:trace contextRef="#ctx0" brushRef="#br0" timeOffset="3769.42">2878 554 20479,'-19'92'128,"17"-77"169,1 0 68,-6 31-297,1-15 15,-1 50 0,18 101-83,-1-47 0,-8-34 54,3 68 170,-2-152 48,1-13 107,-2-5-355,0 0 1,-1-1-1,1 0 1,-1 1-1,1-1 1,-1 0-1,0 0 1,0 0-1,2-3 1,36-68 175,-4 7-3093,-26 52-775,0-1 1,16-16-1,-2 5-3126,3-2 4735,-7 3 2059</inkml:trace>
  <inkml:trace contextRef="#ctx0" brushRef="#br0" timeOffset="4017.59">3126 1339 22655,'0'0'0,"10"38"0,-5-18 0,-2 0-128,1 2 128,4 3-512,5 3 128,4 5-2688,0-8 129,0-3-4481,18 3-640,-16-37 8064</inkml:trace>
  <inkml:trace contextRef="#ctx0" brushRef="#br0" timeOffset="4665.49">3676 421 23551,'-22'43'0,"21"-42"0,1 0 0,0-1 0,-1 1 0,1 0 0,0-1 0,-1 1 0,1-1 0,-1 1 0,1 0 0,-1-1 0,1 1 0,-1-1 0,1 1 0,-1-1 0,0 1 0,1-1 0,-1 0 0,0 1 0,1-1 0,-1 0 0,0 0 0,1 1 0,-1-1 0,-1 0 0,-8-8 0,9 8 0,1-1 0,0 1 0,0-1 0,-1 1 0,1-1 0,0 1 0,0 0 0,-1-1 0,1 1 0,0 0 0,-1-1 0,1 1 0,-1 0 0,1-1 0,0 1 0,-1 0 0,1 0 0,-1-1 0,1 1 0,-1 0 0,1 0 0,-1 0 0,1 0 0,-1-1 0,1 1 0,-1 0 0,1 0 0,-1 0 0,1 0 0,-1 0 0,1 1 0,-1-1 0,1 0 0,-1 0 0,1 0 0,0 0 0,-1 0 0,1 1 0,-1-1 0,1 0 0,-1 0 0,1 1 0,0-1 0,-1 0 0,1 1 0,-1-1 0,1 0 0,-1 1 0,-4 7-20,0-1 0,0 1 0,1 0 0,0 0 0,0 1 0,1-1 0,0 1 0,1-1 0,-3 16 0,0 11-116,0 40 0,4-56 118,-8 296-1037,9-235-1269,0 5-3801,0-1-5217,0-81 10919,1 33 850,2-20-1750</inkml:trace>
  <inkml:trace contextRef="#ctx0" brushRef="#br0" timeOffset="5196.96">3742 1194 19839,'0'0'3,"0"0"-1,0 0 1,0 0-1,0 0 1,0 0-1,0 0 1,1 0-1,-1 0 1,0 0-1,0 0 1,0 1-1,0-1 1,0 0-1,0 0 0,0 0 1,0 0-1,0 0 1,0 0-1,0 0 1,0 0-1,0 0 1,0 1-1,0-1 1,0 0-1,0 0 1,0 0-1,0 0 1,0 0-1,0 0 1,0 0-1,0 0 0,0 1 1,0-1-1,0 0 1,0 0-1,0 0 1,0 0-1,0 0 1,0 0-1,0 1 1,23-4 226,34-7 166,-41 6-394,1-2 1,-1 0-1,0-1 1,-1 0-1,1-1 1,-1-1-1,-1-1 1,0 0-1,0-1 1,-1 0-1,0-1 1,-1 0 0,14-19-1,-24 26 117,1 0 0,-1 0 0,0 0 0,0 0-1,-1 0 1,1 0 0,-1-1 0,0 1 0,-1 0 0,1-7 0,-1 3 35,0-1 1,-1 1 0,0 0-1,0 0 1,-4-9 0,5 17-138,0-1-1,0 1 1,-1 0 0,1 0 0,-1-1 0,1 1 0,-1 0 0,1 0 0,-1 0 0,0 0 0,0 0 0,1 0 0,-1 0 0,0 0-1,0 0 1,0 0 0,0 0 0,0 0 0,0 1 0,0-1 0,-1 0 0,1 1 0,0-1 0,0 1 0,0-1 0,-1 1 0,1 0-1,0-1 1,-1 1 0,1 0 0,0 0 0,0 0 0,-1 0 0,1 0 0,0 0 0,-1 1 0,1-1 0,-3 1 0,-3 2-8,-1 0 1,1 0-1,-1 1 1,1 0 0,-7 5-1,6-4 45,-12 8-57,0 0 1,1 2-1,1 0 1,0 1-1,1 1 1,1 0-1,-27 38 1,37-46-30,1 0-1,0 0 1,0 1 0,1-1 0,0 1 0,1 0-1,0 0 1,0 1 0,1-1 0,1 1 0,0-1-1,0 1 1,1-1 0,0 1 0,1-1 0,0 1-1,1-1 1,0 1 0,1-1 0,4 12 0,-5-16-21,0-1 0,1 1-1,0-1 1,0 0 0,0 0 0,0 0 0,1 0 0,0-1 0,0 1 0,0-1 0,1 0 0,-1 0 0,1-1 0,0 1 0,0-1 0,0 0 0,0-1 0,1 1 0,-1-1 0,8 2 0,-6-2-520,0-1 0,1 1 0,-1-2 0,0 1 0,1-1 1,12-1-1,-11-1-1120,0 1-1,0-1 1,0-1 0,0 0 0,13-6 0,2-4 830,29-21 0,-17 9-2848</inkml:trace>
  <inkml:trace contextRef="#ctx0" brushRef="#br0" timeOffset="5435.6">4351 1123 21887,'0'0'0,"-39"0"0,48-7-640,-1 2 0</inkml:trace>
  <inkml:trace contextRef="#ctx0" brushRef="#br0" timeOffset="5668.56">4421 205 23935,'0'0'0,"-4"30"0,0-10 0,3 2 0,-2-6 0,3-4-1408,0-2 128</inkml:trace>
  <inkml:trace contextRef="#ctx0" brushRef="#br0" timeOffset="6351.76">4750 784 19711,'-49'-21'0,"39"20"7,8 6 13,7 9 60,-4-14-59,1 8 176,1-1 0,-1 1-1,0 0 1,1 9-1,-2-9-627,-1 0 0,0 0 0,0-1 0,-1 1 0,0 0 0,-3 14-1,0-11-266,0-1 0,0 1-1,-1-1 1,0 0 0,-1 0 0,0-1-1,-1 1 1,-10 11 0,14-18 1325,-1 1 0,1 0-1,1 1 1,-1-1 0,1 0 0,-1 1 0,-2 7 0,5-10-597,-1-1 0,1 1 0,0-1 1,-1 1-1,1-1 0,0 1 0,0-1 0,0 1 0,0-1 0,0 1 0,0-1 0,1 1 0,-1-1 0,0 1 0,1-1 0,-1 1 1,1-1-1,0 1 0,-1-1 0,1 0 0,0 1 0,0-1 0,0 0 0,0 0 0,0 0 0,0 0 0,0 0 0,1 1 0,3 1-113,-1 0-1,1 0 1,0-1-1,0 0 0,0 0 1,0 0-1,0-1 0,0 0 1,6 1-1,51 2-558,-45-4 1595,31 4-1,-46-4-815,0 0-1,0 1 0,0-1 1,0 1-1,0 0 1,0-1-1,0 1 1,-1 0-1,1 0 0,0 0 1,0 0-1,-1 0 1,1 1-1,0-1 1,-1 1-1,1-1 1,-1 1-1,0-1 0,0 1 1,1 0-1,-1-1 1,0 1-1,1 2 1,-1 1 19,0 0 1,0-1 0,-1 1 0,1-1 0,-1 1-1,0 0 1,0-1 0,-1 1 0,-1 8 0,-1 3-66,-1 0 0,-1-1 1,-1 1-1,0-1 1,-1 0-1,0-1 1,-18 27-1,-34 35 226,16-28-3270,-14 16-7921,33-52 1104</inkml:trace>
  <inkml:trace contextRef="#ctx0" brushRef="#br0" timeOffset="6749.44">5323 40 22527,'-107'194'112,"78"-137"-96,13-24-81,1 1 0,3 1 0,0 0 0,-11 66 0,12-30-210,-3 107 1,21 4-706,-2-91 402,2-27 281,-4-45-913,-2 1 1,0 35 0,-12-96-14961,9 6 16170</inkml:trace>
  <inkml:trace contextRef="#ctx0" brushRef="#br0" timeOffset="6951.13">5044 739 13824,'12'48'384,"-11"-47"-269,-1 0 0,1 0 0,-1 0 0,1 0 0,-1 0 0,1 0 0,-1 0 0,1 0 0,0 0 0,-1 0 0,1 0 0,0-1 0,0 1 0,0 0 0,0-1 0,0 1 0,0 0 0,0-1 0,0 1 0,0-1 0,0 0 0,0 1 0,0-1 0,0 0 0,0 1 0,0-1 0,0 0 0,0 0 0,0 0 0,1 0 1,-1 0-1,0 0 0,0-1 0,0 1 0,0 0 0,0 0 0,0-1 0,1 0 0,0 1-52,0-1 0,0 1 1,-1 0-1,1 0 1,0 0-1,0 0 0,0 0 1,0 0-1,3 1 0,10 5 16,1-2 0,24 5 0,-16-5-3318,0-2-1,1-1 1,-1-1 0,0-1-1,27-5 1,-14 1 3239</inkml:trace>
  <inkml:trace contextRef="#ctx0" brushRef="#br0" timeOffset="7702.88">5525 987 23551,'0'9'-2,"0"14"-91,0 1 1,2 0 0,6 30 0,-7-48 73,0-1 0,1 0 0,-1 1 0,1-1 0,0 0 0,1 0 1,-1 0-1,1-1 0,0 1 0,0-1 0,0 1 0,1-1 0,0 0 0,0 0 1,0-1-1,0 1 0,0-1 0,1 0 0,-1 0 0,7 3 0,-7-5 14,-1 0 0,0-1 0,0 1 0,0-1 0,1 0 0,-1 0 0,0 0 1,0 0-1,1 0 0,-1-1 0,0 0 0,0 1 0,0-1 0,0 0 0,1-1 0,-2 1 0,1 0 0,0-1 0,0 0 0,3-2 0,8-6 47,-2 0 1,20-20-1,-28 26-43,34-40 70,-1-1 0,-3-2 1,42-74-1,-47 73-5,-15 26-64,-2-1 0,15-36 0,-19 45-15,-4 24 25,-5 28 16,-15 80-26,-2 13 0,17-113 0,0-13 0,0 1 0,1 0 0,0-1 0,1 10 0,-1-15-1,0 0 0,0 1 0,0-1-1,0 0 1,0 1 0,0-1 0,0 0-1,0 1 1,0-1 0,1 0 0,-1 1-1,0-1 1,0 0 0,0 0 0,0 1-1,0-1 1,1 0 0,-1 0 0,0 1-1,0-1 1,0 0 0,1 0 0,-1 1-1,0-1 1,1 0 0,-1 0 0,0 0-1,0 0 1,1 1 0,2-3-68,1 0 16,-1-1 0,0 1 1,-1-1-1,1 0 1,0 0-1,-1 0 0,0 0 1,1-1-1,-1 1 0,2-6 1,16-42-652,-14 34 451,5-14-56,-8 18 169,1 1 0,1 0 0,0 0 0,1 0 0,0 1-1,0 0 1,15-19 0,-20 30 143,-1-1-1,1 1 0,-1-1 0,1 0 0,-1 1 0,1-1 1,0 1-1,-1 0 0,1-1 0,0 1 0,-1-1 1,1 1-1,0 0 0,-1 0 0,1-1 0,0 1 0,-1 0 1,1 0-1,0 0 0,0 0 0,-1 0 0,1 0 0,0 0 1,0 0-1,-1 0 0,1 0 0,0 0 0,1 1 1,-1 0 8,0 0 0,1 0 0,-1 0 1,0 0-1,0 0 0,0 1 1,0-1-1,0 0 0,0 1 1,0-1-1,0 0 0,0 3 1,3 6 60,-1 0 1,0 1-1,2 10 1,-5-18-62,5 24-64,-1 0 0,-2 0-1,-1 29 1,-3-27-3394,-3-2-3388</inkml:trace>
  <inkml:trace contextRef="#ctx0" brushRef="#br0" timeOffset="8584.13">6461 887 19199,'-4'31'-119,"3"-23"33,0 1-1,-1 0 1,0-1 0,0 1 0,0-1-1,-1 0 1,0 0 0,-6 10-1,7-13 140,0-1-1,0 0 0,0 0 0,1 0 1,0 1-1,0-1 0,0 1 0,1-1 1,-1 1-1,1-1 0,0 1 0,0-1 1,1 1-1,-1-1 0,2 7 0,0-3 144,-1 1-1,-1-1 1,0 1-1,-1 10 1,0-10-129,0 0 0,1 0 1,0 0-1,0 0 0,1 0 1,0 1-1,1-2 0,0 1 1,4 13-1,4 2 272,25 44 0,-24-46-304,-5-9-35,-5-10 0,0 0 0,0-1 0,1 1 0,-1 0 0,1-1 0,-1 1 0,4 2 0,4-3 0,3-12 0,-8 3 1,0 0 0,0 0 0,-1 0 1,4-14-1,2-2-49,15-41-304,21-93 0,-37 127 305,2 0 1,1 1 0,1 0 0,1 0 0,20-30-1,-31 55 93,0 1-1,0 0 1,1 0-1,-1 0 0,1 0 1,-1 0-1,1 0 1,0 1-1,0-1 1,0 1-1,1 0 0,-1 0 1,0 0-1,1 0 1,0 1-1,-1 0 0,1-1 1,0 1-1,-1 0 1,1 1-1,0-1 1,0 1-1,0 0 0,0 0 1,0 0-1,0 0 1,-1 0-1,1 1 1,0 0-1,4 1 0,29 3 211,-33-5-211,1 1 0,0-1 1,0 1-1,0 0 1,-1 0-1,1 0 1,4 2-1,-6 0-33,-1-1 1,0 1-1,0 0 0,0 0 1,-1 0-1,1 0 1,-1 0-1,1 0 0,-1 0 1,0 0-1,0 1 1,0 3-1,1 0-2,38 151 459,-27-109-436,4 17-215,-16-82-2044,22-48-18033,-14 44 22179</inkml:trace>
  <inkml:trace contextRef="#ctx0" brushRef="#br0" timeOffset="9229.69">7553 815 24191,'-60'10'0,"59"-9"0,1-1 0,-1 0 0,1 0 0,-1 0 0,1 0 0,-1 0-1,1 0 1,-1 0 0,0 0 0,1 0 0,-1-1 0,1 1 0,-1 0 0,1 0-1,-1 0 1,1-1 0,-1 1 0,1 0 0,-1 0 0,1-1 0,-1 1 0,1 0-1,0-1 1,-1 1 0,1-1 0,0 1 0,-1-1 0,1 1 0,0-1 0,-1 1-1,1-1 1,0 0 0,1-17 2,1 1 22,-3 14-21,0-1 0,0 1 1,0-1-1,-1 1 0,1 0 1,-1-1-1,0 1 0,0 0 1,0 0-1,0 0 0,0 0 1,-1 1-1,1-1 0,-1 1 1,0-1-1,0 1 0,0 0 1,0 0-1,0 0 0,0 0 1,-1 1-1,1-1 0,0 1 1,-1 0-1,1 0 0,-1 0 1,0 1-1,1-1 0,-1 1 1,0 0-1,-4 0 0,-1 0-21,0 1-1,0 0 0,0 0 0,0 1 1,0 0-1,0 1 0,0 0 1,1 0-1,-1 1 0,1 0 1,-9 6-1,12-7-10,0 0-1,1 1 1,0-1 0,0 1-1,0 0 1,0 0 0,0 1-1,1-1 1,0 1 0,0 0-1,0 0 1,0 0 0,1 0-1,0 0 1,0 1 0,0-1 0,1 1-1,0-1 1,-1 9 0,1-7 1,1 0 1,1 0 0,-1-1-1,1 1 1,0 0 0,1-1-1,0 1 1,0-1 0,0 1-1,0-1 1,1 0 0,0 0-1,1 0 1,-1 0 0,1 0 0,0-1-1,1 0 1,-1 0 0,1 0-1,0 0 1,6 4 0,-2-3-1,0 0 0,1-1 1,-1 0-1,1 0 1,0-1-1,0 0 0,1-1 1,-1 0-1,1 0 0,-1-1 1,1-1-1,19 1 1,-4-3 27,0 0 0,0-2 1,43-10-1,-53 9 30,0-1 1,0-1-1,0 0 0,-1-1 0,0-1 1,26-18-1,49-51 222,-86 73-227,1 2 179,-8 10-59,-11 18 4,11-22-135,-133 245 269,-16 28-341,43-98-4113,94-153 1343,-2 5-2688,-8-5-5233,12-16 12669</inkml:trace>
</inkml:ink>
</file>

<file path=xl/ink/ink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06:55:06.373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257 259 19455,'0'0'1280,"-2"4"-1109,-2 13 61,0-1-1,1 1 1,1 0 0,-1 21-1,-2 21-24,-6 8 8,4-32 158,-3 64-1,6 15-137,-32 199 0,-39 140 127,4-52-84,66-379-262,2-16-66,2 0 0,-1 0 0,1 0 0,0 1 0,0-1 0,1 1 0,0 10 0,-3-50-4336,1-1-1,3-43 1,7-13-4280,0 25 6465,-4 33 2782,12-105 1339</inkml:trace>
  <inkml:trace contextRef="#ctx0" brushRef="#br0" timeOffset="587.29">323 137 21503,'-32'32'0,"51"-41"448,32-22 0,-42 25-436,-1 1-1,1 0 1,0 0-1,0 1 0,1 0 1,0 1-1,-1 0 1,1 0-1,0 1 0,0 1 1,0 0-1,0 0 0,1 0 1,-1 2-1,0-1 1,18 4-1,-1 2 48,0 2 1,0 0-1,-1 2 1,48 25-1,-64-29-40,0 0-1,0 0 1,0 1-1,-1 1 1,0 0-1,0 0 1,-1 1-1,0 0 1,-1 0-1,0 1 1,0 0 0,-1 0-1,0 0 1,-1 1-1,0 0 1,-1 0-1,0 0 1,0 1-1,-2 0 1,1-1 0,-1 1-1,0 20 1,-1-6 41,0-13-31,-1 1 0,0 0 0,-1-1 0,0 1 0,-6 21 0,1-15 0,0 0-1,-2-1 1,0 0-1,-1-1 0,-1 0 1,-1-1-1,-1 1 1,0-2-1,-1 0 1,-1-1-1,0 0 1,-1-1-1,0 0 0,-1-1 1,-1-1-1,0-1 1,-31 16-1,0-6-28,23-10 0,1 0 0,0 2 0,-25 17 0,39-22-13,8-6-214,0 0 0,0 0 0,0 0 0,0 0-1,0-1 1,0 1 0,-1-1 0,1 0 0,0 0-1,-1 0 1,1 0 0,-1 0 0,1 0 0,-1 0 0,-4 0-1,-44 3-20059,33 1 20287</inkml:trace>
  <inkml:trace contextRef="#ctx0" brushRef="#br0" timeOffset="1814.56">1646 362 22143,'0'0'256,"0"5"-149,3 71-94,16 84-1,-2-34-16,-3 44 4,-8 1 0,-7-1 0,-38 286 0,36-436 0,0-1 0,1 1 0,0 21 0,3-46 11,1 1 0,0 0-1,0-1 1,0 1-1,1 0 1,0 0 0,-1 0-1,1 1 1,0-1 0,4-3-1,1-2 1,5-4-11,0 1 0,1 1 0,0 0 0,1 0 0,0 2 0,28-15 0,-18 11 0,12-6 2,0 3 0,1 1 0,0 1 0,1 3 0,1 1 0,0 1 0,0 3 0,1 1 0,-1 2 0,57 3 0,-77 1 24,22-1 21,0 3 0,0 1-1,42 10 1,-25 3-23,-32-8-25,1-2 0,43 6 0,-67-12-77,0-1 0,0 0-1,0 0 1,0 0 0,0-1-1,0 1 1,0-1 0,0 0-1,0 0 1,-1-1 0,1 1-1,0-1 1,0 0 0,-1 0-1,1 0 1,-1 0 0,0 0-1,0-1 1,4-4 0,-4 4-300,0 0 1,0-1 0,-1 0-1,1 0 1,-1 1 0,0-1-1,0-1 1,-1 1 0,1 0-1,1-8 1,2-15-11313</inkml:trace>
  <inkml:trace contextRef="#ctx0" brushRef="#br0" timeOffset="2282.77">1727 473 23167,'17'39'0,"-18"-42"13,1 1 1,-1-1-1,1 1 0,0-1 0,-1 1 0,1-1 1,0 1-1,1 0 0,-1-1 0,0 1 0,1-1 1,-1 1-1,1-1 0,0 1 0,0 0 0,0 0 1,0-1-1,2-2 0,1-2 43,0 0 1,1-1 0,0 1-1,8-9 1,-6 10-42,-1 1 0,1 0 0,0 0 0,1 0 0,-1 1 0,1 0 0,0 1 0,0-1 0,0 1 0,0 1 0,0 0 0,1 0 0,13-1 0,10 1 0,0 1-1,40 4 1,-55-2-13,163 19 118,32 1-6,-174-20-147,-6 1-217,0-1 1,0-2 0,0-1 0,59-11-1,-63 0-1579,-15 6-1650,-13 7 3305</inkml:trace>
  <inkml:trace contextRef="#ctx0" brushRef="#br0" timeOffset="3368.83">3180 142 21759,'-51'25'0,"44"-23"41,6-4 66,9-8 225,6 4 16,-13 6-342,-1 0 0,1 1-1,-1-1 1,1 0-1,-1 0 1,0 0 0,1 0-1,-1 1 1,1-1-1,-1 0 1,0 1 0,1-1-1,-1 0 1,0 0-1,0 1 1,1-1 0,-1 1-1,0-1 1,0 0-1,1 1 1,-1-1 0,0 1-1,0-1 1,0 0-1,0 1 1,1-1 0,-1 1-1,0-1 1,0 1-1,0-1 1,0 0 0,0 1-1,0-1 1,-1 2-1,70 555 891,10-135-768,-39-245-128,-40-177 0,0 1 0,0-1 0,0 0 0,0 1 0,0-1 0,0 0 0,0 1 0,0-1 0,0 0 0,1 1 0,-1-1 0,0 0 0,0 1 0,0-1 0,1 0 0,-1 0 0,0 1 0,0-1 0,0 0 0,1 0 0,-1 1 0,0-1 0,1 0 0,-1 0 0,0 0 0,0 0 0,1 0 0,-1 1 0,0-1 0,1 0 0,0 0 0,7-8 0,8-22 0,-15 26 0,14-34 0,13-52 0,-3 6 0,106-274 0,-71 226 0,-60 131 0,1 0 0,-1 0 0,0 0 0,1 0 0,-1 0 0,1 0 0,-1 0 0,1 0 0,0 0 0,-1 0 0,1 0 0,0 1 0,0-1 0,-1 0 0,1 1 0,0-1 0,0 0 0,0 1 0,1-1 0,-1 1 0,0 0 0,0 0 0,-1 0 0,1 0 0,0 0 0,-1 0 0,1 0 0,0 1 0,-1-1 0,1 0 0,0 1 0,-1-1 0,1 0 0,-1 1 0,1-1 0,-1 1 0,1-1 0,-1 1 0,1-1 0,-1 1 0,1-1 0,0 2 0,4 6 0,0 0 0,-1 1 0,6 15 0,-2-6 0,8 17 20,-2 0-1,-1 0 0,11 47 1,15 115 108,-27-127-99,-6-33-5,-3-15 49,11 39 1,-14-61-71,1 0 0,-1 0 0,0 0 0,0 1 0,0-1 0,1 0 0,-1 0 0,0 0 0,0 0 0,0 0 0,1 0 0,-1 0 0,0 0 0,0 0 0,0 0 0,1 0 0,-1 0 0,0 0 0,0 0 1,0 0-1,1-1 0,-1 1 0,0 0 0,0 0 0,0 0 0,0 0 0,1 0 0,-1 0 0,0 0 0,0-1 0,0 1 0,0 0 0,1 0 0,-1 0 0,0 0 0,0-1 0,0 1 0,0 0 0,0 0 0,0 0 1,0-1-1,8-13 84,-2 0 1,1-1 0,-2 0 0,7-28-1,-8 26-35,21-79 185,-13 41-60,3 1 0,34-79 0,9 19-14,17-40 37,-65 132-192,1 0-1,19-26 1,5-9-31,-33 52-84,-1 4-21,-4 17-1472,3-12 1166,0-1 0,1 1 1,-1-1-1,1 1 0,0-1 0,0 0 0,0 1 0,1-1 0,2 5 0,1 2-1563,8 24-9778</inkml:trace>
  <inkml:trace contextRef="#ctx0" brushRef="#br0" timeOffset="4281.84">4335 10 22015,'-3'28'32,"1"-17"8,3-17 16,-1 4-17,0 0 0,0 0-1,0 1 1,1-1 0,-1 0-1,1 0 1,-1 1-1,1-1 1,0 1 0,-1-1-1,1 0 1,0 1 0,0-1-1,0 1 1,0 0-1,0-1 1,0 1 0,1 0-1,-1 0 1,0-1 0,1 1-1,-1 0 1,3-1 0,1 1 8,0-1 0,0 1 1,0 1-1,0-1 0,0 1 1,11 0-1,28 3 128,0 2 1,86 21-1,-91-18-146,12 5 29,0-3 1,0-3 0,100 3-1,-112-12-15,-25 0-13,1 1 1,-1 0-1,1 1 1,-1 1-1,0 0 1,18 4-1,-31-5-29,0 1 1,0-1-1,0 0 0,0 1 0,0-1 1,0 1-1,0-1 0,0 1 0,0-1 1,0 1-1,-1 0 0,1 0 0,0-1 0,0 1 1,-1 0-1,1 0 0,0 0 0,-1 0 1,1 0-1,-1 0 0,1 0 0,-1-1 0,0 2 1,1-1-1,-1 0 0,0 0 0,0 0 1,1 0-1,-1 0 0,0 0 0,0 0 1,0 0-1,-1 0 0,1 0 0,0 0 0,0 0 1,0 0-1,-1 0 0,1 0 0,-1 0 1,0 2-1,-3 5 13,0 0 0,0-1 0,-1 1 0,-6 7 0,4-4-8,-19 30-6,3 1 0,1 1 0,2 1 0,3 0 0,1 2 0,2 0 0,2 1 0,-6 55 0,7-7 0,4 0 0,4 1 0,11 105 0,-4-147-13,2-1 0,3 0-1,1 0 1,4-1 0,1 0-1,3-1 1,42 85 0,-53-125-6,11 17 16,-18-28 3,1 1 0,-1 0 0,1 0 0,-1 0 0,0 0 0,1 0 0,-1 0 0,0 0 0,0 0 0,1 0 0,-1 0 0,0 0 0,0 0 0,0 0 0,0 0 0,0 0 0,0 0 0,-1-1 0,1 1 0,0 0 0,0 0 0,-1 0 0,1 0 0,-1 0 0,0 1 0,-5 4 0,0-1 0,0 0 0,-1 0 0,0 0 0,0-1 0,0 0-1,-1 0 1,1-1 0,-11 3 0,-14 4 49,-33 5-1,4-2 112,16-2-5,0-2-1,-75 4 1,-92-8-819,167-6-10,6 3-708,0 0-3167</inkml:trace>
</inkml:ink>
</file>

<file path=xl/ink/ink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06:55:12.487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0 294 23679,'16'1'0,"0"-2"0,0 0 0,-1 0 0,1-2 0,-1 0 0,30-9 0,-24 6 0,0 0 0,33-3 0,-41 9 0,-1 0 0,0 1 0,0 0 0,1 1 0,-1 0 0,-1 1 0,1 0 0,0 1 0,16 8 0,9 6 0,50 35 0,-27-16 0,-46-29-1088,1 0 0,0-1 0,17 5 0</inkml:trace>
  <inkml:trace contextRef="#ctx0" brushRef="#br0" timeOffset="354.55">151 63 23551,'0'0'0,"34"12"0,-21-9 0,-6-1 0,-2-2 0,-5-5 0,0-3 0,0-4 0,10-7 0,5-6-128,10 14 128,10 11-1664,4 11 0,11 8 512,39 12-11903</inkml:trace>
</inkml:ink>
</file>

<file path=xl/ink/ink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07:03:38.524"/>
    </inkml:context>
    <inkml:brush xml:id="br0">
      <inkml:brushProperty name="width" value="0.1" units="cm"/>
      <inkml:brushProperty name="height" value="0.1" units="cm"/>
      <inkml:brushProperty name="color" value="#66CC00"/>
    </inkml:brush>
  </inkml:definitions>
  <inkml:trace contextRef="#ctx0" brushRef="#br0">1 187 16384,'4'-1'127,"78"-36"513,-80 37-608,-1 0-1,0 0 0,0 0 0,0 0 1,0 0-1,0 0 0,0 0 0,0 0 1,0 1-1,0-1 0,0 2 0,0-2 1,0 1-1,0-1 0,-1 1 0,1 0 0,0-1 1,0 1-1,0 0 0,-1 0 0,1 0 1,0 1-1,20 24 325,-20-25-300,19 31 781,25 51 0,4 4-58,35 49-214,109 167 257,-169-274-758,2 1 0,0 0 0,38 27 0,-34-30 21,-1 3 1,48 59-1,3 15 128,122 123 1,-113-143 2,-60-59-121,-1-1 1,-2 4-1,25 30 0,-14 2-1,-2-2 0,-3 0 1,25 72-1,30 55 62,-60-141-111,2 0-1,39 44 1,19 27 56,4 7 32,20 32 11,-77-95-144,-3-1 0,-3 0 0,40 126 0,-2 66 0,-59-224 0,6 16 22,2 0 0,2-2 0,28 47 0,10 25 40,-22-37-9,36 123 0,-47-124-53,37 80 0,-41-113 0,7 32 114,21 95 0,3 10 64,-1-15 163,-40-142-312,1-6-1,1 5 1,1-3 0,16 22-1,-14-23-22,25 43-6,-28-42 0,1 0 0,1 0 0,25 29 0,13 7 0,-29-32 0,1 3 0,2-4 0,37 30 0,-37-35 0,-1 2 0,0 3 0,-1-3 0,-1 4 0,0-1 0,-2 3 0,-1-2 0,25 43 0,-36-56 0,1 2 0,1 1 0,0-2 0,0-1 0,0 2 0,1-3 0,22 17 0,-28-22 2,-1 1 1,0-1-1,0 0 0,0 1 1,0 1-1,0 0 0,-1-1 0,0 0 1,1 0-1,1 7 0,13 40 50,-16-43-46,1 2 1,1-1-1,0 0 1,0 1-1,0-3 0,1 2 1,8 12-1,-10-17-6,2 0 0,-3 1 0,4-2 0,0 2 0,-2 4 0,2-5 0,-1 0 0,-3 0 22,-1-2 170</inkml:trace>
  <inkml:trace contextRef="#ctx0" brushRef="#br0" timeOffset="1681.72">3810 5252 20223,'0'1'8,"-1"4"8,0-4 0,0 2-1,0 0 1,1-1 0,-1 1 0,1 0 0,0-1 0,0 0 0,0 1 0,0 1-1,0-2 1,0 1 0,1-2 0,-1 3 0,1-2 0,2 6 0,-2-7 36,-1 1 1,1 1-1,-1 0 1,1-1-1,-1 0 1,0 0-1,0 0 1,0-1-1,0 1 1,0 1-1,0-1 1,0-1-1,-1 0 1,1 1-1,-1 0 1,0-1-1,1 2 1,-1-2-1,0 2 1,0-1-1,0 0 1,0-1-1,0 1 1,-2 1-1,-4 5 61,-1 0 0,1-3 0,-16 12 0,2 0-85,-61 46 367,58-45-299,1-1 0,1 2 0,0-1-1,-19 27 1,-5 12 70,9-9 71,-67 66 0,-246 187 147,344-295-384,-1-1 0,0 0 0,1-1 0,-2 0 0,1-1 0,0 2 0,-13 2 0,34-26-132,29-38 0,-38 52 119,229-246-647,-204 220 595,116-135-33,-20 18 46,-74 92 52,-11 11 0,2 0 0,76-61 0,-117 104 19,1 0 0,-1 1-1,1-1 1,-1 1 0,1 0-1,0 1 1,0-1 0,-1 0-1,1-1 1,0 2 0,6-1-1,-9 1-10,1 0-1,0 0 1,-1 0-1,1 0 1,-1 0-1,1 0 1,0 0-1,-1 0 1,1 0-1,-1 1 1,1-1-1,-1 0 1,1 2-1,0-2 0,-1 0 1,1 1-1,-1-1 1,0 1-1,1-1 1,-1 0-1,1 0 1,-1 1-1,1 0 2,0 1 0,-1-1 0,1 1 0,-1 0 0,0-1 0,1 1 0,-1-1 0,0 2 0,0-3 0,0 3-1,0-1 1,-1 1 0,-2 22 161,1-15-136,1-1-1,0 3 1,1-3 0,0 2-1,0 0 1,3 9 0,3 13 29,27 170 258,-32-195-300,21 155 64,-16-144-69,0 1-1,1 0 0,1-3 1,12 21-1,-8-16 11,15 42-1,85 222-25,-76-202 0,-34-79 0,0 1 3,0 1 0,1-1 0,0-1 0,0 1 0,1-1 0,6 9 1,-9-13 81,3-1-42,-24-14 191,-10 6-234,1-1 0,-44-22 0,-14-7 0,21 17 7,-219-75 93,236 87-94,0-1 0,0 5 1,-57-1-1,-11-1-10,61 1 63,0 2 0,1 3-1,-69 8 1,123-6-58,0-1 0,0 0 1,0 0-1,0 0 0,0 0 0,0 0 1,0 0-1,0 0 0,0 0 0,0 0 1,0 0-1,0 0 0,0 0 0,0-1 1,-1 0-1,2 1-1,0 0 0,0-1 0,0 1 0,0 0 1,0 0-1,0 0 0,0 0 0,0-2 0,0 2 0,0 0 0,0-2 0,0 2 0,1 0 1,-1-1-1,0 1 0,0 0 0,0 0 0,0-1 0,1 1 0,-1 0 0,0 0 0,0 0 1,1 0-1,-1 0 0,0 0 0,1 0 0,-1-1 0,30-18-2,-18 12-12,1 4 0,-1-3 0,1 2-1,0 2 1,0-1 0,21-4 0,-5 6-75,59 2 0,-73 1 24,-6-2-210,1 0 1,-1 1-1,0 1 1,0 0-1,1 0 1,-1 0-1,9 2 1,-17-3 92,0 0 0,0 0 0,0 1 1,0 0-1,0-1 0,0 0 1,0 0-1,-1-1 0,1 1 0,0 0 1,-1 2-1,1-2 0,-1 0 1,0 1-1,1-1 0,-1 1 0,0 0 1,0 0-1,0-1 0,0 2 1,1 6-1913,6 23-9041</inkml:trace>
  <inkml:trace contextRef="#ctx0" brushRef="#br0" timeOffset="4663.26">2327 0 18303,'0'0'768,"3"8"-640,10 23 171,-3 5 0,10 44-1,-16-60-154,1 0 0,1 1 0,1-1 0,10 20 0,-6-14 126,11 35-1,3 20 85,-13-47-211,8 43 0,22 100 33,-23-112-64,-4 2 0,11 118 0,-21-81 80,-15 168 0,2-159-81,6-69-64,-1 0 0,-3 1 0,-15 58 0,-9-4 244,-5-2 1,-65 128-1,92-214-291,-1 3 0,0-4 0,-1 2 0,0-1 0,-1 1 0,-22 14 0,14-9 0,-26 26 0,27-20 0,-17 30 0,22-33 0,-2 0 0,-23 27 0,-10 12 119,32-38-50,-22 22-1,24-31-113,-30 21 0,2-6-5326</inkml:trace>
  <inkml:trace contextRef="#ctx0" brushRef="#br0" timeOffset="6972.72">1631 768 11392,'0'0'8469,"-2"4"-8128,-24 47 441,13-28-494,1 3-1,0-4 0,2 4 0,-8 32 1,12-33-149,2-3-89,0-2 1,1 3-1,0 20 1,3 4-44,1 0 0,13 76 0,-10-103 7,-3-9 8,1-1 0,0 1 0,1-3 0,0 4 0,1-1 0,0-3 0,0 4 0,1-2 0,1-1 0,7 11 0,-4-10-22,0 0 0,1-2 0,0 3 0,0-3 0,1 1 0,1-3 0,-1 1 0,1-1 0,20 10 0,-23-13 0,-3 0 0,-1-1 0,1 0 0,0 0 0,0-2 0,0 0 0,0 1 0,0 0 0,0-1 0,0 2 0,0-4 0,0 2 0,9-2 0,0 1 4,2-3 19,0 0 1,20-10-1,-32 12-18,0 0-1,-1 0 1,1-1-1,0 0 1,-1 0-1,0 0 1,0-1-1,0 2 1,0-2-1,0 0 1,5-8-1,12-21 21,54-84 185,-68 96-168,0 3 0,0-2 1,-2 0-1,-1 1 0,4-34 0,5-28 4,-10 64-16,-1 2 0,-1-1 0,-1-1 0,0 2 0,-3-26 0,-1-19 24,4 58-45,0 0-1,0 0 1,-1-1-1,1 0 1,-1-1-1,0 1 1,0 0 0,0 1-1,0 0 1,0-1-1,-1 0 1,1 1-1,-1-1 1,-1-2-1,0 0-8,3 5 0,0 0 0,0-2 0,0 2 0,0 0 0,0-1 0,0 1 0,0 0 0,0 0 0,0-1 0,0 1 0,-1 0 0,1 0 0,0 0 0,0 0 0,0 0 0,0-1 0,0 1 0,-1 0 0,1 0 0,0-1 0,0 1 0,0 0 0,-1 0 0,1 0 0,0-1 0,0 1 0,-1 0 0,1 0 0,0 0 0,-1 0 0,1 0 0,0 0 0,0 0 0,-1 0 0,1-1 0,0 1 0,-1 0 0,1 0 0,0 0 0,-1 0 0,1 0 0,0 0 0,0 1 0,-1-1 0,1 0 0,0 0 0,-1 0 0,1 0 0,0 0 0,0 0 0,-1 0 0,1 1 0,0-1 0,0 0 0,-1 0 0,1 0 0,0 1 0,0-1 0,-1 0 0,-10 16 0,11-15 0,-43 78 0,-1 1 0,39-70 0,-1 1 0,2 1 0,-1-1 0,2 2 0,0-1 0,0 0 0,-1 18 0,-9 38 0,-68 269 0,75-307 24,4-20-7,0 1 1,1 0-1,0-2 0,0 3 1,2 11-1,-1-7-17,1 1 0,-2-1 0,0 0 0,-1 0 0,-5 18 0,-2 13 0,9-45 0,0 1 0,0-1 0,0 0 0,1 1 0,-1 1 0,1-1 0,-1-1 0,1 0 0,0 0 0,2 7 0,-2-7 0,0 0 0,0 0 0,0 0 0,-1 0 0,1 0 0,-1 0 0,1 0 0,-1 0 0,0 0 0,0-1 0,0 1 0,0 0 0,0 4 0,0-2 0,0-3 0,0 0 0,0 0 0,0 0 0,0 0 0,0 1 0,1-1 0,-1 0 0,0 1 0,1-1 0,0 0 0,-1 1 0,1 0 0,0-1 0,-1-1 0,3 3 0,-2-3 0,0 2 0,0 1 0,0-2 0,0 1 0,0 1 0,0-1 0,-1-1 0,1 0 0,-1 1 0,1 0 0,-1 2 0,0 6 22,0-2-1,-1 2 0,-1-2 1,-2 10-1,4-16-11,-1-1 0,1-1-1,0 2 1,0-1 0,0 0 0,0 0 0,0 1 0,0 0 0,0-1-1,0-1 1,0 1 0,1 0 0,-1 0 0,1 2 0,-1-2 0,0 0-1,1 0 1,0 0 0,-1 0 0,1 0 0,1 2 0,20 13 168,-13-11-61,-9-3-109,0 0-1,0 0 1,0 0 0,0 0 0,0 0-1,0-2 1,0 2 0,-1 1-1,1-1 1,0 0 0,-1 0 0,0 0-1,1-1 1,-2 2 0,1-1-363,5-7-601,-3 1 224,1-1-1,0 0 1,-1 2 0,0-1-1,2-6 1</inkml:trace>
</inkml:ink>
</file>

<file path=xl/ink/ink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07:03:52.309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1 559 15232,'0'0'128,"4"-2"0,20-6 40,-17 5-22,-1 0 0,1 0 1,0 1-1,0 0 0,0 0 0,0 1 1,0 0-1,0 0 0,0 1 0,0 0 0,0 0 1,14 3-1,-10-2-13,0 1 1,0-1 0,0-1 0,0 0-1,0 0 1,17-4 0,7 1 82,277-7 1042,-219 9-878,178 20-1,-74-2-220,-26-7 161,249 46 0,-364-45-200,-1 2-22,1-3 0,0-3 0,59 1 0,121-26 126,-101 5-107,-98 10-107,424-21 129,-395 27-139,100 18 0,46 3 0,-109-22 139,117-14 0,-189 7-104,1-2 1,36-12-1,-2 0-13,377-73 84,-418 89-106,0 2 0,0 1 0,28 3 0,16 1 0,-64-5 0,-4 1 0,0 0 0,0 0 0,0 0 0,0 0 0,0 0 0,0 0 0,0 0 0,0 0 0,0 0 0,0 0 0,0 1 0,0-1 0,0 0 0,-1 1 0,1-1 0,0 1 0,0-1 0,0 1 0,1 1 0,2 2 0,-5 0 22,1-3 42</inkml:trace>
  <inkml:trace contextRef="#ctx0" brushRef="#br0" timeOffset="1364.8">3898 235 19199,'15'8'1,"-9"-5"3,0 0-1,-1 1 1,0-1-1,0 1 0,8 8 1,-12-12 12,-1 1 0,0 0 0,0 0 0,0 0 0,0-1 0,0 1 0,0 0 0,0 0 0,0 0 0,0-1 0,0 1 0,0 0 0,0 0 0,-1 0 0,1-1 0,0 1 0,-1 0 0,1 0 0,0-1 0,-1 1 0,1 0 0,-1-1 0,1 1 0,-1 0-1,1-1 1,-1 1 0,0-1 0,0 1 0,-6 8 33,3 1-24,-1 0 0,1 1 1,1-1-1,0 1 0,1-1 0,0 1 1,0 0-1,1 0 0,0 12 0,2 19 37,8 46-1,-2-16 33,-2 284 290,-5-333-324,2 0 0,0 0-1,1 0 1,13 45 0,-16-68-60,0 0 1,0 0-1,0 0 1,0 0-1,0 0 1,0 1-1,0-1 1,0 0-1,0 0 1,0 0-1,0 0 1,0 0-1,0 0 0,0 0 1,0 1-1,0-1 1,0 0-1,0 0 1,0 0-1,0 0 1,0 0-1,0 0 1,0 0-1,0 1 1,0-1-1,0 0 1,0 0-1,0 0 1,0 0-1,0 0 1,1 0-1,-1 0 1,0 0-1,0 0 1,0 0-1,0 1 1,0-1-1,0 0 1,0 0-1,1 0 1,-1 0-1,0 0 1,0 0-1,0 0 0,0 0 1,0 0-1,0 0 1,0 0-1,1 0 1,-1 0-1,0 0 1,0 0-1,0 0 1,0 0-1,0 0 1,0 0-1,0 0 1,1-1-1,-1 1 1,0 0-1,0 0 1,0 0-1,0 0 1,0 0-1,6-12 32,3-23 10,-8 31-41,34-141-161,17-163 0,-45 239 96,-3-1 0,-3 1 0,-3-1 0,-18-110 0,11 128 64,-19-58 0,28 110 0,0-1 0,0 0 0,0 1 0,-1-1 0,1 0 0,0 0 0,0 1 0,0-1 0,-1 0 0,1 1 0,0-1 0,-1 0 0,1 1 0,-1-1 0,1 1 0,-1-1 0,1 1 0,-1-1 0,1 1 0,-1-1 0,0 1 0,1-1 0,-1 1 0,1 0 0,-1-1 0,0 1 0,1 0 0,-1-1 0,0 1 0,0 0 0,1 0 0,-1 0 0,0 0 0,0 0 0,1 0 0,-1 0 0,0 0 0,1 0 0,-1 0 0,-1 0 0,1 1 0,0 0 0,1-1 0,-1 1 0,0 0 0,0-1 0,1 1 0,-1 0 0,0 0 0,1 0 0,-1 0 0,1 0 0,-1 0 0,1 0 0,-1-1 0,1 1 0,0 0 0,-1 1 0,1-1 0,0 0 0,0 0 0,0 0 0,0 0 0,0 0 0,0 0 0,0 0 0,1 2 0,0 5 25,1 1-1,1 0 0,-1-1 0,1 1 1,1-1-1,0 0 0,0 0 0,1 0 1,-1-1-1,2 1 0,-1-1 0,1 0 1,0-1-1,1 1 0,-1-1 0,1-1 0,0 1 1,1-1-1,-1 0 0,1-1 0,12 5 1,245 101 684,-118-52-437,-133-50-244,0 0 1,0 0-1,-1 1 0,0 1 0,0 0 1,-2 1-1,12 12 0,-8-8 22,0-1 0,0 0 1,27 16-1,-21-19 1,-12-6 2,1 0 1,-1 1 0,0 0-1,10 9 1,-17-14-48,-1 1 0,1-1 1,-1 1-1,1-1 1,-1 1-1,0 0 0,0 0 1,0-1-1,0 1 0,0 0 1,0 0-1,0 0 0,-1 0 1,1 0-1,-1 0 0,1 1 1,-1-1-1,0 0 0,0 0 1,0 0-1,0 0 1,0 0-1,0 1 0,0-1 1,-1 0-1,-1 3 0,0-2-6,0 0 0,0-1 0,0 1 0,0-1 0,-1 1 0,1-1 0,-1 0 0,0 0 0,0 0 0,0-1 0,0 1 0,-4 1 0,-8 5 0,-77 57 0,27-17 0,-2-4 0,-80 40 0,35-35 112,-76 39-4277,159-72-8549</inkml:trace>
</inkml:ink>
</file>

<file path=xl/ink/ink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07:05:04.049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628 920 15616,'0'0'256,"-6"0"-128,-24-3 148,1 2 1,-50 5 0,68-3-192,-1 1 1,1 0-1,0 1 1,0 0-1,0 1 1,1 0-1,-1 1 1,1 0-1,0 0 1,-17 13-1,-160 147 704,164-146-713,2 1 0,-38 46 0,51-56-50,1 0 1,0 1-1,1 0 0,0 1 1,1-1-1,1 1 0,-1 0 0,2 0 1,-4 18-1,7-28-19,0 1-1,0-1 0,-1 0 1,2 0-1,-1 0 1,0 1-1,0-1 1,1 0-1,-1 0 1,1 0-1,-1 0 0,1 0 1,0 0-1,0 0 1,0 0-1,0 0 1,0 0-1,1 0 1,-1-1-1,0 1 1,1 0-1,0-1 0,-1 1 1,1-1-1,0 0 1,0 1-1,-1-1 1,4 1-1,5 3 13,1-1 0,0 0 0,0 0 0,16 2-1,-4-1-22,8 2 115,1-1 0,38 1-1,9 2 177,-75-9-259,-1 1 0,1-1 1,-1 0-1,1 0 0,0 0 0,-1 0 0,1-1 1,0 1-1,-1-1 0,1 0 0,-1 0 0,1-1 0,5-2 1,-2-1-1000,0 0 0,1-1 1,-2 0-1,9-8 1</inkml:trace>
  <inkml:trace contextRef="#ctx0" brushRef="#br0" timeOffset="701.11">998 1224 16384,'0'0'127,"-1"-5"1,-2-15-7,-16-80 564,16 88-559,0 1 0,-1 0-1,-1 0 1,0 0 0,0 0-1,-12-16 1,17 26-121,-1 0 0,0-1 0,0 1 0,0 0 0,0 0 0,0 0 0,0 0 0,0 0 0,0 0 1,-1 0-1,1 0 0,0 0 0,0 1 0,-1-1 0,1 0 0,-1 1 0,1-1 0,0 1 0,-1 0 0,1-1 0,-1 1 0,-2 0 0,0 1-6,1 0-1,-1 0 0,0 0 0,1 1 0,-1 0 0,1 0 0,-6 3 0,5-3 7,-5 4-13,0 0-1,0 1 0,1-1 0,0 1 0,0 1 0,0 0 0,1 0 0,0 0 0,1 1 1,0 0-1,-5 11 0,3-6-13,1 1 0,0 0-1,1 0 1,1 0 0,1 1 0,-5 30 0,7-33 10,2 0 0,0 0-1,0 0 1,1 0 0,1-1 0,0 1-1,1 0 1,0 0 0,6 13-1,-7-22 13,-1-1 0,1 1 0,0 0 0,0-1 0,1 0 0,-1 1 0,1-1 0,-1 0 0,1 0 0,0 0 0,0 0 0,1-1 0,3 3 0,-5-4 4,-1 0-1,0-1 0,1 1 1,-1-1-1,0 0 0,1 1 1,-1-1-1,0 0 0,1 0 1,-1 0-1,1 0 0,-1 0 1,0 0-1,1 0 0,-1 0 1,1-1-1,-1 1 0,0 0 0,1-1 1,-1 1-1,3-2 0,22-17 137,-20 14-97,3-2-5,1-1-1,-2 0 0,1 0 0,-1-1 0,0 0 1,-1-1-1,0 0 0,-1 0 0,0 0 0,9-22 0,-9 15-186,0-1-1,-2 0 0,0 0 0,-1-1 0,-1 1 0,0-23 0,-2-35-4649</inkml:trace>
  <inkml:trace contextRef="#ctx0" brushRef="#br0" timeOffset="1383.25">1483 1042 19199,'-3'0'0,"0"-1"0,0 1 0,0-1 0,0 0 0,0 0 0,0 0 0,0-1 0,-3-1 0,5 2 0,0 1 0,0-1 0,0-1 0,1 1 0,-1 0 0,0 0 0,0 0 0,1 0 0,-1 0 0,1-1 0,-1 1 0,1 0 0,0-1 0,-1 1 0,1 0 0,0-1 0,0 1 0,0 0 0,0-1 0,0-1 0,0 2 0,0-1-1,-1 1 1,1 0-1,-1-1 1,1 1-1,-1 0 1,1-1-1,-1 1 1,1 0-1,-1 0 1,0 0-1,0-1 1,0 1-1,0 0 1,0 0-1,0 0 1,0 0-1,0 1 1,0-1-1,0 0 1,-1 0-1,1 1 1,0-1-1,0 0 1,-1 1-1,1-1 1,-1 1-1,1 0 0,-2-1 1,-6-1-59,0 1 0,-1 0 1,-10 0-1,18 1 32,-8 0-10,0 1-1,0 0 1,0 0 0,0 1-1,1 1 1,-1 0 0,1 0-1,-1 0 1,1 2 0,0-1-1,1 1 1,-10 6 0,4-1-19,1 0 1,0 1-1,1 0 0,0 1 1,1 0-1,-15 22 0,22-29 56,1 1 0,0 0 0,0 0 0,1 0 0,0 0 0,0 1 0,0-1 0,1 1 0,0-1 0,0 1 0,0-1 0,1 1 0,0-1 0,0 1 0,1-1 0,0 1 0,0-1 0,1 1 0,-1-1 0,1 0 0,1 1 0,-1-1 0,1 0 0,0-1 0,1 1 0,-1 0 0,1-1 0,0 0 0,0 0 0,1 0 0,-1 0 0,1-1 0,0 0 0,1 0 0,-1 0 0,1 0 0,-1-1 0,1 0 0,0 0 0,0-1 0,1 0 0,-1 0 0,0 0 0,1-1 0,-1 0 0,1 0 0,-1 0 0,11-1 0,28-4 0,61-12 0,-87 8 102,-35 17 31,-38 30-46,-18 13-34,-92 50-1,142-88-2910</inkml:trace>
  <inkml:trace contextRef="#ctx0" brushRef="#br0" timeOffset="3480.41">1916 403 16128,'0'0'2943,"-3"4"-2836,-10 19-71,1 0-1,1 2 1,1-1-1,1 1 1,2 0-1,1 1 1,0 0 0,2 0-1,0 0 1,2 1-1,2 41 1,-1-32 38,-2 1 0,-12 58 0,10-64-62,2-3 58,1 0 0,4 52 0,-1-59-45,-1-16-17,1 0-1,0 0 1,0 0 0,0 0 0,1 0-1,-1 0 1,1-1 0,0 1 0,1-1-1,-1 1 1,1-1 0,0 0-1,0 0 1,0 0 0,0 0 0,1-1-1,0 1 1,-1-1 0,1 0 0,6 4-1,-3-3-8,0 0 0,0-1 0,0 0 0,1 0 0,-1 0 0,1-1 0,0 0 0,-1-1 0,1 0 0,0 0 0,0 0 0,10-1 0,0-2 1,0 0 0,-1 0 0,0-2 0,1 0 0,-1-1 0,-1-1 0,1 0 0,-1-1 0,0-1 0,0-1 0,-1 0 0,-1-1 0,23-19 0,60-52-1,-63 55 9,-2-1-1,36-38 1,-56 50 25,0-1-1,-1 0 1,-1 0 0,-1-2 0,15-33 0,-10 11 50,14-67-1,-23 87-68,0 0 0,-2 0-1,-1-1 1,0 1-1,-1-1 1,-2 1-1,0-1 1,-1 1 0,-1-1-1,-7-26 1,9 44-9,0 0 1,0 0-1,0 0 1,0 0-1,0 1 1,-1-1 0,1 1-1,-1-1 1,0 1-1,0-1 1,0 1-1,0 0 1,0 0-1,0 0 1,0 0 0,-1 0-1,1 1 1,-1-1-1,1 1 1,-1-1-1,0 1 1,0 0-1,-3-1 1,2 1 1,-1 1 0,0 0-1,1 0 1,-1 0 0,0 0 0,1 1-1,-1 0 1,0 0 0,1 0 0,-1 0-1,1 1 1,-1 0 0,1 0 0,-5 3-1,-3 1-13,1 0 0,0 1 0,0 0 0,1 0 0,0 2 0,0-1 0,1 1-1,0 0 1,1 1 0,0 0 0,1 1 0,-1-1 0,2 1 0,-7 14 0,1 12-49,2 1 0,1 0 0,-4 43 0,-1 5 2,-2 20 54,-2 119 0,8-71 0,-3-34 0,-34 142 0,38-225 0,0 8 0,-24 65 0,16-67-1,-26 73-3,39-100 9,0 0-1,1 1 1,0-1-1,2 0 0,0 23 1,1 40-27,0-78 2,0-1-1,0 0 0,0 1 1,-1-1-1,1 0 1,0 0-1,0 1 0,0-1 1,0 0-1,0 1 0,0-1 1,0 0-1,0 1 0,0-1 1,0 0-1,0 0 0,0 1 1,0-1-1,0 0 1,0 1-1,1-1 0,-1 0 1,0 0-1,0 1 0,0-1 1,0 0-1,1 0 0,-1 1 1,0-1-1,0 0 0,0 0 1,1 1-1,-1-1 1,0 0-1,0 0 0,1 0 1,-1 0-1,0 1 0,0-1 1,1 0-1,-1 0 0,0 0 1,1 0-1,-1 0 0,0 0 1,1 0-1,-1 0 1,0 0-1,0 0 0,1 0 1,-1 0-1,0 0 0,1 0 1,-1 0-1,0 0 0,1 0 1,-1 0-1,0-1 1,2 0-79,-1 0 0,1 0 0,-1 0 1,0 0-1,0-1 0,1 1 0,-1 0 1,0-1-1,0 1 0,1-4 0,9-29-2802,-2-5-7509</inkml:trace>
  <inkml:trace contextRef="#ctx0" brushRef="#br0" timeOffset="4213.02">1735 174 19455,'0'7'0,"-2"15"0,2-21 0,0-1 0,0 1 0,0-1 0,0 1 0,0 0 0,0-1 0,0 1 0,-1-1 0,1 1 0,0-1 0,0 1 0,-1-1 0,1 1 0,0-1 0,-1 1 0,1-1 0,0 1 0,-1-1 0,1 1 0,-1-1 0,1 1 0,-1-1 0,1 0 0,-1 1 0,0-1 0,-2 0 0,-1 1 0,1-1 0,0 1 0,-1-1 0,1 1 0,0 0 0,0 0 0,-1 1 0,1-1 0,0 1 0,0-1 0,1 1 0,-1 0 0,0 0 0,0 0 0,1 1 0,0-1 0,-1 1 0,1-1 0,0 1 0,0 0 0,0-1 0,1 1 0,-1 0 0,1 0 0,-3 7 0,-14 36 0,1 2 0,-16 84 0,-6 105 0,35-206 0,-19 155 0,3 302 0,21-434 1,4 0 0,17 90-1,-14-114-3,0 0 0,2-1-1,1 0 1,1-1 0,1 0-1,20 30 1,-21-42-199,1 0 1,0 0-1,1-2 0,1 1 0,0-2 1,25 17-1,-3-6-2505,74 37 0,-53-33-5549</inkml:trace>
  <inkml:trace contextRef="#ctx0" brushRef="#br0" timeOffset="4830.15">2718 1 17791,'2'4'107,"5"12"-56,-1 0 1,0 0-1,-2 1 0,0-1 0,2 19 1,14 50 67,8 12-20,-4 1 1,-4 2-1,-5 0 1,-4 0 0,-3 118-1,-10-122-18,-4-1 0,-4 0 0,-5 0 0,-30 107 0,-69 123 338,83-256-338,-3-2 0,-66 99 0,36-75-412,-119 129 0,179-216 100,1 0 0,0-1 0,-1 1-1,0-1 1,0 0 0,0 0-1,0 0 1,0-1 0,-1 1-1,1-1 1,-1 0 0,0 0 0,0-1-1,1 0 1,-1 1 0,0-2-1,0 1 1,-8 0 0,-29 1-9838</inkml:trace>
  <inkml:trace contextRef="#ctx0" brushRef="#br0" timeOffset="5645.64">3391 1228 18303,'0'0'384,"4"1"-256,12 1 20,0-1 0,20-1-1,-21-1-107,0 1-1,0 1 1,0 0-1,17 4 0,-14-1-737,0-1 0,-1-1 0,27 0 0,-34-2-413,40 3-9321</inkml:trace>
  <inkml:trace contextRef="#ctx0" brushRef="#br0" timeOffset="5946.09">3374 934 19967,'0'0'0,"26"8"0,-18-5 128,-3-3-128,2 0 128,3 0 0,2 0 0,7 0 0,-2 0 0,5 0-128,0 0 0,6 0-512,7 2 128,6 4-384,-12-4 0</inkml:trace>
</inkml:ink>
</file>

<file path=xl/ink/ink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07:05:19.101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193 210 17535,'0'0'128,"1"5"22,4 13-21,-2-11 53,-1 1 0,0 0 1,0 0-1,-1 0 1,0 0-1,0 0 1,-1 0-1,-1 9 0,-12 42 433,-38 100-1,3-9-93,-8 84-73,54-214-386,-1 1 5,1-21-161,-3-11-155,2-2-406,1 0 0,0 0 0,2 0 0,-1 0 0,1 0 0,1 0 0,4-25-1,-2 22-780,3-30-8590</inkml:trace>
  <inkml:trace contextRef="#ctx0" brushRef="#br0" timeOffset="523.41">287 32 18303,'18'0'107,"-1"-1"0,1-1-1,-1 0 1,1-1 0,-1-1-1,28-10 1,-42 13-99,-1 0-1,0 1 1,1-1-1,-1 0 1,1 1-1,0-1 1,-1 1 0,1 0-1,-1 0 1,1 0-1,-1 0 1,1 0-1,0 1 1,-1-1 0,1 1-1,-1-1 1,1 1-1,-1 0 1,3 1-1,0 2-3,0 0-1,0 0 1,-1 0-1,0 0 1,0 1-1,6 7 1,8 9 76,-6-6-51,-1 0-1,-1 1 0,0 0 1,-1 0-1,0 1 1,-2 0-1,0 1 1,-1 0-1,-1 0 1,0 0-1,-1 0 0,-1 1 1,-1-1-1,-1 27 1,-1-37 0,-2 1 1,1-1-1,-1 0 0,-1 0 1,1-1-1,-1 1 1,-5 9-1,-32 49 286,29-49-247,-12 18 177,-1 0-1,-33 34 1,45-55-164,-1-2 1,0 0 0,-1-1-1,0 0 1,-1-1 0,0 0-1,-28 12 1,14-10 100,-51 14 0,71-24-178,1 0-1,-1 0 1,0-1-1,0 0 0,0-1 1,1 0-1,-1 0 1,0-1-1,0 0 0,0 0 1,-9-4-1,14 4-85,0-1-1,0-1 0,0 1 0,0-1 0,0 1 0,1-1 1,-1 0-1,1-1 0,0 1 0,-4-6 0,-7-6-2142,-34-32-10766</inkml:trace>
</inkml:ink>
</file>

<file path=xl/ink/ink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07:05:25.580"/>
    </inkml:context>
    <inkml:brush xml:id="br0">
      <inkml:brushProperty name="width" value="0.1" units="cm"/>
      <inkml:brushProperty name="height" value="0.1" units="cm"/>
      <inkml:brushProperty name="color" value="#66CC00"/>
    </inkml:brush>
  </inkml:definitions>
  <inkml:trace contextRef="#ctx0" brushRef="#br0">727 1 20095,'6'42'0,"-6"-41"0,0-1 0,0 1 0,0 0 0,1-1-1,-1 1 1,0 0 0,0 0 0,0-1 0,0 1 0,0 0-1,-1-1 1,1 1 0,0 0 0,0-1 0,0 1-1,-1 0 1,1-1 0,0 1 0,0 0 0,-1-1-1,1 1 1,-1-1 0,1 1 0,-1 0 0,0 0 0,-13-2 9,8 0 8,-17 0 72,0 1-1,1 0 1,-1 2 0,-41 8 0,15 1 190,-53 20 0,92-27-256,1 0-1,-1 1 1,1 0-1,0 1 0,1 0 1,-1 0-1,1 1 1,0 0-1,-13 16 0,16-18-11,0 1 0,1 0-1,0 1 1,0-1 0,0 1-1,1 0 1,0 0 0,0 0-1,1 0 1,0 0 0,0 1-1,0-1 1,1 1 0,0 11-1,2-13-20,0-1 0,0 1 0,0-1 0,1 0 0,0 1 0,0-1-1,0 0 1,1 0 0,-1 0 0,1-1 0,0 1 0,1-1 0,4 6 0,8 7-92,33 27 1,-37-34 83,12 10 1,17 13-27,-3 2 0,69 79-1,-104-110 45,-1-1 0,1 1 0,-1-1 0,0 1 0,0 0 0,-1 0 0,1 0 0,-1 0 0,0 0 0,0 0 0,0 0 0,0 0 0,-1 8 0,0-6 0,-1 0 0,0-1 0,0 1 0,-1-1 0,1 0 0,-1 1 0,0-1 0,-1 0 0,1 0 0,-5 5 0,0 2 4,-36 53 103,37-58-86,0 1-1,0-1 1,-1-1 0,0 1 0,0-1 0,-8 6-1,5-8 16,0 1-1,-1-1 1,1-1-1,-1 0 1,0 0-1,1-1 1,-1-1-1,-17 1 1,-2 1 28,-274 28-1088,276-28-3029</inkml:trace>
</inkml:ink>
</file>

<file path=xl/ink/ink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07:05:40.234"/>
    </inkml:context>
    <inkml:brush xml:id="br0">
      <inkml:brushProperty name="width" value="0.1" units="cm"/>
      <inkml:brushProperty name="height" value="0.1" units="cm"/>
      <inkml:brushProperty name="color" value="#66CC00"/>
    </inkml:brush>
  </inkml:definitions>
  <inkml:trace contextRef="#ctx0" brushRef="#br0">825 14 16384,'0'0'1023,"-4"-1"-895,-4-2-54,0 1-1,-1-1 0,1 2 1,-1-1-1,1 1 0,-1 0 1,1 1-1,-1 0 0,0 1 1,1-1-1,-1 2 0,1-1 1,-1 1-1,1 0 0,-12 5 1,-194 93 475,178-80-436,1 2 1,2 1-1,-58 51 0,90-72-114,-1-1 0,0 1 0,1-1 0,-1 1 0,1 0 0,0 0 0,-1-1 0,1 1 0,0 0 0,0 0 0,0 0 0,0 0 0,0 0 0,1 1 0,-1-1 0,1 0-1,-1 0 1,1 4 0,0-4-1,1 0 0,-1 0-1,1-1 1,-1 1-1,1 0 1,0 0-1,0-1 1,0 1-1,0-1 1,0 1 0,0 0-1,0-1 1,1 0-1,-1 1 1,0-1-1,1 0 1,2 2-1,4 2-6,1 0 0,0-1 0,0 0 0,0 0 0,1-1 0,16 4-1,7 0-15,-1 1-1,0 1 1,0 2-1,52 25 0,-72-28 26,-1 0 0,0 0 0,0 1 0,-1 0 0,0 1 0,-1 0 0,0 1 0,-1 0 0,0 0 0,0 1 0,-1 0 0,6 16 0,-12-24 26,0 0-1,-1 0 1,0-1-1,0 1 0,0 0 1,0 0-1,0 0 1,-1 0-1,0 0 0,0 0 1,0-1-1,0 1 1,0 0-1,-1-1 0,0 1 1,0-1-1,0 0 1,0 1-1,0-1 0,-1 0 1,-4 4-1,-3 5 64,-2-1 0,1 0-1,-2-1 1,-12 8 0,-22 15 113,5-4-6,-1-1 0,-53 25-1,20-20 253,-119 35 0,190-67-650,1-1 0,0 1 0,-1 0 0,1-1 0,-1 0 0,1 0 0,-1-1 0,-7-1 0,9 2-224,0-1-1,-1 0 1,1 0 0,0 0 0,0-1-1,0 1 1,0-1 0,0 1 0,1-1 0,-1 0-1,-4-5 1</inkml:trace>
</inkml:ink>
</file>

<file path=xl/ink/ink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07:05:48.131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0 103 20937,'2095'-103'0</inkml:trace>
</inkml:ink>
</file>

<file path=xl/ink/ink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07:05:50.745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235 1 17535,'0'0'1920,"-1"5"-1792,-38 159 918,-12 73-428,37-168-404,-4-2-1,-28 70 0,27-96 30,-24 41 0,43-81-238,0-1-6,0 0 0,0 0 1,0 0-1,0 0 0,0 0 0,0-1 0,0 1 1,0 0-1,0 0 0,-1 0 0,1 0 0,0 0 1,0 0-1,0 0 0,0 0 0,0 0 0,0 0 1,0 0-1,0 0 0,0 0 0,0 0 0,0 0 1,0 0-1,0 0 0,0 0 0,0 0 1,0 0-1,-1 0 0,1 0 0,0 0 0,0 0 1,0 0-1,0 0 0,0 0 0,0 0 0,0 0 1,0 0-1,0 0 0,0 0 0,0 0 0,0 0 1,0 0-1,-1 0 0,1 0 0,0 0 0,0 0 1,0 0-1,0 0 0,0 0 0,0 0 0,0 0 1,0 0-1,0 0 0,0 0 0,0 0 0,0 0 1,0-6-62,2 2-81,0 0 1,1 0-1,-1 0 0,1 0 0,0 1 0,0 0 0,0-1 0,5-2 1,10-13-1047,20-26-3270</inkml:trace>
  <inkml:trace contextRef="#ctx0" brushRef="#br0" timeOffset="667.45">221 34 16000,'0'0'2175,"4"-2"-1940,14-4-90,-1 1 18,-1 0 1,24-3 0,-33 7-138,-1 0 0,1 1 0,0 0 0,0 1 0,-1-1 0,1 1 0,-1 0 0,1 1 0,12 4 0,-4 0 18,-1 0 0,1 1 0,-1 1 0,0 0 1,-1 1-1,0 0 0,0 1 0,-1 1 0,0 0 0,-1 1 0,0 0 0,-1 0 0,-1 1 0,9 14 0,-11-14 15,32 59 352,-35-65-328,-1 1 0,0 0-1,0 0 1,-1 1-1,0-1 1,-1 0-1,1 13 1,-2-16-30,-1 0 1,0 0-1,0 0 1,0 0-1,-1-1 1,0 1-1,0 0 0,0-1 1,0 1-1,-1-1 1,0 0-1,1 0 1,-2 0-1,1 0 0,0 0 1,-1-1-1,0 1 1,0-1-1,0 0 1,-6 3-1,-10 7 71,-1-1 0,-43 17 1,54-25-84,-75 29 137,41-17 127,-74 38 1,94-46-553,21-8-212,1 1 1,-1-1-1,1 1 1,0 0-1,0 0 1,-1-1-1,1 2 1,0-1-1,0 0 1,0 0-1,0 1 1,-2 1-1</inkml:trace>
</inkml:ink>
</file>

<file path=xl/ink/ink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07:05:56.990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32 698 17535,'61'-8'22,"-96"7"340,16 2-155,16-1-179,0 0 1,0 0-1,1 0 1,-1 0-1,0 1 1,0-1-1,1 1 0,-5 1 1,7-2-27,-1 1-1,0-1 1,0 1 0,1 0-1,-1 0 1,1-1-1,-1 0 1,0 1 0,1 0-1,-1-1 1,1 1 0,0 0-1,-1 0 1,1 0 0,0 0-1,-1 0 1,1-1 0,0 1-1,0 0 1,0 0 0,0 0-1,0 0 1,0 0 0,0 0-1,0-1 1,0 1-1,0 0 1,1-1 0,-1 2-1,1 3 10,1-2 0,-1 2 0,1-2 0,0 2 0,0-2 0,0 1 0,0 0 0,1-1 0,-1 1-1,1-1 1,0 1 0,1-1 0,-1 0 0,1 0 0,-1 0 0,1-1 0,0 0 0,0 1 0,0-1-1,0 0 1,1 0 0,-1-1 0,0 1 0,1-1 0,4 1 0,11 2 60,0 0 0,1-2 1,-1 0-1,31-1 0,66-6 417,171-27 0,-54 4-56,-97 17-289,106-12 77,-208 17-172,-29 4-24,0 0 1,0 2-1,0-1 0,0 0 1,0 0-1,0 1 1,0 0-1,0 0 1,0 0-1,0 1 1,10 1-1,-15-2-344,-15-3-3925</inkml:trace>
  <inkml:trace contextRef="#ctx0" brushRef="#br0" timeOffset="645.41">42 330 19583,'13'6'24,"-7"-3"26,0 0 0,0 0 0,0-1 0,11 4 1,-15-6-39,0 0 1,0 1-1,1-1 1,-1 0-1,0 0 1,0 0-1,1 0 1,-1 0-1,0-1 1,0 1-1,0-1 1,0 0-1,1 1 1,-1-1-1,0 0 1,0 0-1,0 0 1,2-2-1,33-24 250,-29 20-224,1 0 1,-1 1-1,1 0 0,1 1 0,18-10 0,-5 7 8,0 2 0,0 0-1,1 1 1,46-4 0,101 5 143,-83 4-95,40-5-72,195 3-1,-300 4 6,0 2-1,-1 0 1,35 11 0,-32-8-28,-21-7-188,0 1 0,1-1-1,-1 0 1,0 0-1,0 0 1,8 0 0,6-1-4715</inkml:trace>
  <inkml:trace contextRef="#ctx0" brushRef="#br0" timeOffset="1696.16">1322 13 19327,'0'0'0,"-1"22"0,-2-11 0,3-11 0,-1 0 0,1 0 0,0 0 0,0 1 0,0-1 0,0 0 0,0 0 0,0 0 0,-1 0 0,1 0 0,0 1 0,0-1 0,0 0 0,0 0 0,-1 0 0,1 0 0,0 0 0,0 0 0,0 0 0,0 0 0,-1 0 0,1 0 0,0 0 0,0 0 0,0 0 0,-1 0 0,1 0 0,0 0 0,0 0 0,0 0 0,0 0 0,-1 0 0,1 0 0,0 0 0,0 0 0,0 0 0,-1 0 0,1 0 0,0 0 0,0-1 0,0 1 0,-1 0 0,1 0 3,0-1 1,0 1-1,0-1 0,0 1 0,0 0 0,0-1 0,0 1 0,0-1 0,0 1 0,0 0 0,0-1 0,0 1 0,0-1 0,0 1 0,0 0 0,0-1 0,1 1 0,-1 0 0,0 0 0,0 0 0,0-1 0,1 1 0,-1 0 1,0 0-1,0-1 0,1 1 0,-1 0 0,0-1 0,1 1 0,-1 0 0,0 0 0,1 0 0,-1-1 0,1 1 0,-1 0-2,1 0 0,-1 0 1,0 0-1,1 0 0,-1 0 0,0 0 0,0 0 0,1 0 1,-1 0-1,0 0 0,1 0 0,-1 0 0,0 0 0,1 1 1,-1-1-1,0 0 0,0 0 0,1 0 0,-1 0 0,0 1 1,0-1-1,1 0 0,-1 0 0,0 1 0,0-1 0,0 0 1,1 0-1,-1 1 0,0-1 0,0 0 0,0 0 0,3 15 44,-4 18 20,0-29-63,-25 261 148,20-210-98,-4 0 0,-24 77 1,-50 105 131,51-150-163,32-85-20,-7 17 4,8-19-6,0 1 0,0-1 0,-1 1 0,1 0 0,0-1 0,0 1-1,-1-1 1,1 1 0,0-1 0,-1 1 0,1-1 0,-1 1 0,1-1 0,-1 1 0,1-1 0,-1 0 0,1 0 0,-1 0 0,1 1 0,-1-1 0,1 0 0,-1 1 0,0-1 0,1 0 0,-2 1 0,-2-8-84,1-6-11,2 2 0,-1-2 1,2 1-1,1-18 0,10-53-727,21-39-686,1-6-53,-22 57 944,25-112-172,-19 125 790,13-81 0,-29 121 211,-1 13-102,1 1 0,-1-2-1,1 2 1,0-2 0,0 2 0,0-1-1,1 0 1,0 0 0,0 1 0,5-9 0,-6 13-76,-1-1 0,1 1 0,-1 0 0,1-1 0,0 1 0,-1 0 0,1-1 0,0 1 0,-1-1 0,1 1 0,0 0 0,-1 0 0,1-1 0,0 1 0,0 0 0,-1 0 0,1 0 0,0 0 0,0 0 0,-1 0 0,1 0 0,0 0 0,0 0 0,0 0 0,-1 0 0,1 1 0,1-1 0,23 11 530,-13-6-259,4 0-93,1 0-1,0-1 0,0 0 0,24 0 0,-21-1-91,1 0 0,33 9 0,91 39 155,-117-40-209,-1 2 0,-1 1 0,26 18 0,-46-29-46,0 2-1,-1-1 1,0 2 0,0-2 0,0 2 0,-1-1 0,0 0 0,5 9 0,0 3 52,10 28 0,-15-35-42,-3-8-23,-1 1 0,1 0 0,-1 0 0,1 0 0,-1 0 0,0-1 0,0 2 0,0-1 0,-1-1-1,1 2 1,-1-1 0,1-1 0,-1 1 0,0 0 0,-1-1 0,1 1 0,0 0 0,-1-1 0,-3 5 0,-3 3 19,-1 0 0,-1 0 0,-14 12 0,8-8 12,-120 97 129,-14 13 52,135-111-208,0-1-1,-1-1 1,0 0-1,0-1 1,-2 0-1,-33 13 1,6-7-1,-79 20 0,102-31-468,-30 4 0,21-9-2697</inkml:trace>
</inkml:ink>
</file>

<file path=xl/ink/ink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07:06:02.451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291 272 20223,'2'5'128,"0"-1"-98,1-1 1,-2 1-1,0 0 0,1 0 0,-1-1 0,-1 1 0,1 1 0,-1-2 0,0 2 1,0-1-1,0 1 0,0-3 0,-1 3 0,1 0 0,-1-1 0,-3 7 0,-31 82 191,6 1-1,-20 110 1,7 52-15,-19 77 57,-8-81-114,69-252-169,0 1 0,0 0-1,-1 0 1,1-1 0,0 1 0,0 1-1,0-2 1,-1 1 0,1 0 0,-1-1-1,1 1 1,0 2 0,-1-3-1,1 1 1,-1 0 0,0 0 0,1-1-1,-2 2 1,-2-17-885,4-31-962,7-21-2058,-4 38-6272</inkml:trace>
  <inkml:trace contextRef="#ctx0" brushRef="#br0" timeOffset="514.29">329 192 18687,'9'-1'3,"6"-2"21,-1 2 1,1-4-1,-1 3 1,0-2-1,18-8 1,-29 10-3,0 1-1,0 0 1,0 1 0,0-1 0,0 0 0,1 1 0,-1 0 0,0 0 0,1 0-1,-1 0 1,0 0 0,0 0 0,1 0 0,-1 1 0,0-1 0,0 1-1,0-1 1,0 1 0,0 1 0,0-1 0,0 2 0,0-2 0,4 4 0,-2-1-4,0-1 0,0 1 0,0 1 0,0 1 1,-1-2-1,0 2 0,0-2 0,0 3 1,-1-2-1,5 10 0,10 29 36,-1 1 0,11 51 1,-23-73-2,-1-2 0,0 4 0,-2-4 0,-1 2-1,-1 2 1,-4 30 0,1-43 13,0 2 0,-1-2-1,0 1 1,-1-1 0,0 0-1,-1-2 1,-1 4-1,0-3 1,0-2 0,-17 20-1,-3 0 72,-1-3-1,-43 32 0,64-52-123,-1-1 0,1 0-1,-1-1 1,-1 1 0,1 0 0,0-2 0,-1-1-1,0 3 1,0-4 0,0 2 0,0-2 0,-1 1-1,2 0 1,-1-2 0,-16 0 0,8-3-580,0 0 0,0 0 0,0-2 0,1 2 0,-1-4 0,1 1 0,-22-12 0</inkml:trace>
  <inkml:trace contextRef="#ctx0" brushRef="#br0" timeOffset="1236.99">1066 1022 19711,'6'1'107,"10"2"26,0-1 1,0-1-1,31 0 0,-9-2 50,-1 2-1,1 2 0,42 8 0,-32-4-152,62-1 1,-109-6-56,71 2-1496,-24 4-3120</inkml:trace>
  <inkml:trace contextRef="#ctx0" brushRef="#br0" timeOffset="1483.76">1181 681 20095,'0'0'0,"36"29"0,-27-23 128,-1-1 128,-6-10-256,5-1 128,4-6-128,16 2 128,11-6-896,16 10 128,18 5-640,56-10-11391</inkml:trace>
  <inkml:trace contextRef="#ctx0" brushRef="#br0" timeOffset="9491.94">2519 371 17791,'0'0'640,"-10"-1"-533,-2 1-82,0-1 0,0 1 0,-1 1 0,1-1 0,0 1-1,0 1 1,0 0 0,0 0 0,0 3 0,1-2 0,-14 8 0,-18 13 35,2 0 1,0 2-1,1 2 1,1 1-1,-38 38 0,51-42-60,13-11 0,-24 25 0,34-33 0,-1-1 0,1 1 0,0-2 0,1 1 0,-1 3 0,1-3 0,0-1 0,0 3 0,1-1 0,-1 6 0,2-8 0,0 2 0,1-2 0,-1 0 0,1-1 0,0 2 0,0-1 0,0 0 0,1-1 0,0 3 0,0-3 0,3 8 0,34 41 0,-21-28 0,0-1 0,28 28 0,-32-39 0,-2 3 0,1-4 0,-2 7 0,0-3 0,-1-1 0,10 21 0,-18-30 0,5 12 0,0 0 0,7 30 0,-12-42 0,-2 2 0,1-1 0,-1-2 0,0 3 0,0-2 0,0 1 0,-1 0 0,0-1 0,0 1 0,0 1 0,-1-3 0,-4 12 0,1-6 8,-1 1 0,-1-2 0,0 0 0,0 2-1,-16 15 1,-51 37 194,21-20-67,-104 87 409,134-115-464,0 1 0,-1-4 0,0 2 0,-2-2 0,-37 12 0,42-18-234,-40 7-1,54-12-228,0 0 0,0-1 0,0 0 0,0 0 0,0-1 1,-1 1-1,1-1 0,0 0 0,-13-6 0</inkml:trace>
  <inkml:trace contextRef="#ctx0" brushRef="#br0" timeOffset="10178.27">2596 1018 21631,'0'0'427</inkml:trace>
  <inkml:trace contextRef="#ctx0" brushRef="#br0" timeOffset="11543.15">3747 671 19199,'0'0'512,"-4"0"-362,-38 3-38,1 4 0,0-1 0,2 2 0,-1 5 0,0-4 0,1 6 0,-58 28 0,75-30-80,0 1 0,2 0 1,-1 1-1,2 1 0,0 2 0,1 1 1,1 0-1,1-1 0,1 2 1,-19 33-1,20-27-17,1-1 0,1 1 0,1 1 0,2 0 0,0 0 0,2 1 0,2-2 0,-5 59 0,10-65-16,1-1 0,1 0-1,1-2 1,1 3-1,0-1 1,1-1-1,2 0 1,-1 1 0,2-2-1,1 0 1,0 0-1,1 0 1,1-2-1,14 17 1,-20-26-11,0-2 0,0-1 1,0 2-1,1 0 0,0-1 0,0-1 1,0 0-1,0 0 0,0 0 0,1-1 1,-1 0-1,1-1 0,0 0 0,-1 1 0,2-1 1,-1-1-1,0 0 0,0 2 0,0-4 1,-1 2-1,1-1 0,0 0 0,0-1 1,-1 1-1,1-1 0,-1 0 0,1 0 0,7-6 1,-9 6-216,1-3 0,-2 0 0,1 0 1,0 2-1,6-11 0,11-11-1314,3 3-1317,14-14-7019</inkml:trace>
  <inkml:trace contextRef="#ctx0" brushRef="#br0" timeOffset="12240.69">4149 1240 19199,'-2'-1'1,"0"1"0,1 0-1,-1-2 1,1 2-1,-1 0 1,0-1-1,1 1 1,-1-2-1,1 1 1,0 0-1,-1 0 1,1 0 0,0 0-1,-1 0 1,1 1-1,0-2 1,0 1-1,0 1 1,0-4-1,0 3 1,1 0-1,-1 0 1,0-1 0,0 1-1,1-1 1,-1 0-1,1 1 1,0-2-1,-1 2 1,1-1-1,0 0 1,0 1-1,0 0 1,0 0 0,0 0-1,1-1 1,-1-1-1,1 1 1,0-9 61,0 1 0,-1-2 0,0 2 1,-1 0-1,0-1 0,-1 0 0,0 2 1,-1-1-1,0-1 0,0 2 0,-9-19 0,-79-112 429,89 139-489,1-1-1,-1 0 1,0 0 0,0-1-1,0 2 1,0-2 0,0 1-1,0 1 1,-1-1 0,1 1-1,0 0 1,-1 0 0,1 0-1,-1 0 1,0 1 0,1-1-1,-1 1 1,-4-3 0,2 3-5,0 0 1,1 2 0,-1-2-1,0 1 1,1 0 0,-1-1-1,1 1 1,-1 0 0,1 1-1,-6 2 1,-3 3-17,1 1 0,0-1 0,1 2-1,-2 0 1,3-1 0,-15 19 0,12-12-44,1 1 0,1 3 0,0-2 0,1 0 0,1 1 0,1 1 0,-11 38 0,12-30-17,2-1 1,0 0-1,2 0 1,1 2-1,2 39 1,0-61 77,1 0 0,0 0 1,0-1-1,1 3 0,-1-2 1,1 0-1,1-1 0,-1 0 1,1 1-1,0-1 1,0 2-1,1-4 0,4 7 1,-6-7 1,0 0 0,0-2 0,1 1 0,-1 0 0,0-1 0,1 0 0,0 0 0,-1 2 0,1-2 0,0 0 0,0 0 0,-1 0 0,1 0 0,0-1 0,0 1 1,0-1-1,0 0 0,0 0 0,0 0 0,0 0 0,0 0 0,0 0 0,0-1 0,0 0 0,0 1 0,0-1 0,-1 0 0,1-1 0,3-2 0,21-10-1,1 2-1,-3-6 0,0 2 0,-1-3 0,-1 1 0,33-36 0,-17 10 57,-1-2-1,41-64 0,-76 105-33,0-1-1,0 2 1,0-3 0,2-8 0,-5 14-23,1 1 0,-1 0 0,0 0 0,0 0 0,1-1 0,-1 0-1,0 1 1,0-1 0,0 0 0,0 1 0,0-1 0,0 0 0,0 1 0,0-1 0,0-1 0,0 2 0,0 0 0,0-1 0,0 1 0,-1-1 0,1 0 0,0 1 0,0-1 0,-1 0 0,1 1 0,0-1 0,-1 1 0,1-1 0,-1 1 0,1-1 0,-1 1-1,1 0 1,-1 0 0,1-1 0,-1 1 0,1 0 0,-1-1 0,0 1 0,1 0 0,-1 0 0,1-2 0,-1 2 0,0 0 0,1 0 0,-1 0 0,0 0 0,0 0 0,1 0 0,-1 0 0,-1 0 0,-5 2-47,1-1 1,-1 0-1,0 0 1,0 1-1,1 0 0,-1 1 1,1 0-1,0 0 1,0 0-1,0 0 1,-9 9-1,-8 6-1334,-28 29 1,43-39 570,-29 30-9641</inkml:trace>
  <inkml:trace contextRef="#ctx0" brushRef="#br0" timeOffset="12909.05">4737 968 20991,'-8'4'0,"-22"1"0,29-5 0,0 0 0,0 0 0,0 0 0,0-1 0,-1 1 0,1 0 0,0-1 0,0 1 0,0 0 0,0-1 0,0 1 0,0-1 0,0 0 0,0 1 0,0-2 0,0 1 0,1 0 0,-1 1 0,0 0 0,0-2 0,1 1 0,-1 0 0,0 0 0,0-2 0,-1 2 0,0 1 0,0-1 0,0-1 0,-1 1 0,1 0 0,0 1 0,0-1 0,-1 0 0,1 1 0,-1-1 0,1 1 0,0 0 0,-1 0 0,-4 0 0,2 0 0,-4 0-26,-1 0-1,1 0 0,0 1 0,0 0 0,0 0 1,0 1-1,0 1 0,0-2 0,0 3 0,1 0 1,-1 0-1,1 0 0,0 0 0,0 0 0,1 1 1,0 1-1,-1-1 0,2 2 0,-1-1 0,1 1 1,0 0-1,0-1 0,1 2 0,0 0 0,0-2 1,0 3-1,1-2 0,0 3 0,1-2 0,0 1 0,1 0 1,0-1-1,0 2 0,1-3 0,0 2 0,1 2 1,0-4-1,2 16 0,-2-17 6,1 1 1,0-1-1,0-1 0,1 2 0,0-1 0,0 1 1,1-2-1,0 1 0,0 1 0,5 3 1,-4-4-2,-1-3 0,1 0 0,0 2 0,0-4 1,1 3-1,-1 0 0,1-2 0,-1 1 0,1 0 0,0-2 1,0 1-1,9 2 0,-7-3-27,-5-1 43,0 3-1,0-3 1,1 1 0,-1 0-1,0 1 1,0-1-1,0 0 1,0 0 0,3 2-1,-5-2 7,1-1 1,-1 1-1,0 1 0,0-1 0,1 0 0,-1-1 0,0 0 1,0 1-1,0 0 0,0 0 0,0 0 0,0 0 1,0 0-1,0-1 0,0 0 0,-1 1 0,1-1 1,0 2-1,0-2 0,-1 1 0,1 0 0,-1 1 1,1-2-1,0 1 0,-1 0 0,1 0 0,-1-1 1,0 1-1,1-1 0,-1 0 0,0 1 0,-3 4 22,-4 6 16,0-2 0,-1 0 0,0 2-1,0-1 1,-1-2 0,0 0 0,-1-1 0,-15 9 0,-12 5-109,-56 23 110,82-40-306,2-1 1,-2 2-1,0-2 0,0-1 1,0 0-1,-19 0 0,28-2-54,-1 0-1,1 0 0,0 0 0,0-1 0,0 1 0,-1-1 0,1 0 0,0 0 0,0 0 0,-4-3 0</inkml:trace>
  <inkml:trace contextRef="#ctx0" brushRef="#br0" timeOffset="15291.39">5058 316 15360,'0'0'3711,"-2"5"-3476,-17 27 94,10-19-166,-1-2-1,3 4 1,0-3-1,0 4 1,1-4-1,1 3 1,1 0-1,-5 22 1,6 28 40,2-2-1,4 1 1,13 77 0,-12-102-168,-1-2 1,-3 62-1,-1-69 8,1-2 0,1 2-1,1-2 1,2 1 0,10 35-1,-6-34-42,-5-20 0,-1 3 0,2-3 0,-1 1 0,2 0 0,-1 1 0,2-3 0,-1 2 0,1-1 0,1 0 0,12 14 0,-1-5 0,-14-13 0,1 0 0,0 0 0,0-1 0,0 0 0,1-1 0,0 1 0,0 0 0,0-2 0,1 0 0,-1 3 0,1-3 0,12 6 0,-3-7 0,1 0 0,-1-1 0,1 0 0,26-3 0,66-11 0,-49 2 0,-35 8 0,30-11 0,-10 3 0,-40 8 0,-1 2 0,2 0 0,-2-1 0,0 0 0,1 0 0,-1 1 0,0-3 0,0 1 0,-1 1 0,1-1 0,0-1 0,-1 2 0,0-2 0,5-7 0,-2 5 0,22-21 384,-27 26-277,3-2-86,0-3-21,-4 6 0,0-1 0,0 1 0,0 0 0,0-1 0,1 1 0,-1-2 0,0 2 0,0 0 0,0 0 0,0 0 0,0-1 0,0 1 0,0 0 0,0 0 0,0 0 0,-1-1 0,1 1 0,0-1 0,0 1 0,0 0 0,0-1 0,0 1 0,-1 0 0,1-1 0,0 1 0,0 0 0,-1-1 0,1 1 0,0 0 0,0-1 0,-1 1 0,0 0 0,0-5 0,0 1 0,1-1 0,-1-1 0,1 2 0,0 0 0,0-1 0,0 0 0,1 0 0,0 3 0,0-4 0,3-7 0,2-17 0,-3-26 0,-2 30 0,5-35 0,-3 36 48,-2 0 0,0 2 1,-5-43-1,0 4 37,3 47-61,0-2 0,-1 2 0,-1 0 1,-4-16-1,4 22 24,0 2-1,0-2 1,0 2-1,-1-1 1,0 2 0,-1-1-1,0 1 1,0-3-1,-8-5 1,-66-69 229,66 69-277,11 12 0,1 1 0,-1-2 0,1 1 0,-1 1 0,1-1 0,-1 2 0,0-1 0,0 0 0,0-2 0,0 2 0,0 0 0,0-1 0,-1 2 0,1-1 0,-2 0 0,0 0 0,0 0 0,-1 0 0,1 1 0,0 0 0,0-1 0,0 1 0,0 1 0,-1-1 0,1 1 0,0-1 0,0 1 0,0 1 0,0-1 0,0-1 0,1 3 0,-1 0 0,0-1 0,0-1 0,1 0 0,0 2 0,-1-1 0,1 1 0,0 0 0,0 0 0,-3 5 0,1-4 0,1 3 0,0 2 0,0-4 0,1 2 0,-1-1 0,1 3 0,1-3 0,0 1 0,0 1 0,0-2 0,1 1 0,0 15 0,-14 189 0,0 13 0,-10 197 0,16-345-250,4 2-1,3-3 0,13 123 1,-8-184-254,0-2 1,0 3-1,1-3 1,12 24-1,-16-36 466,0 0 0,0 1 0,0-1 0,0 0-1,0 0 1,0 0 0,0 0 0,1 0 0,-1 1-1,0-1 1,0 0 0,0 0 0,0 0 0,0 0-1,0 0 1,0 0 0,1 0 0,-1 0 0,0 1-1,0-1 1,0 0 0,0 0 0,0 0-1,1 0 1,-1 0 0,0 0 0,0 0 0,0 0-1,0 0 1,1 0 0,-1 0 0,0 0 0,0 0-1,0 0 1,0 0 0,0 0 0,1 0 0,-1 0-1,0 0 1,0 0 0,0 0 0,0 0 0,1 0-1,-1-1 1,0 1 0,0 0 0,0 0 0,0 0-1,0 0 1,0 0 0,1 0 0,5-8-1880</inkml:trace>
  <inkml:trace contextRef="#ctx0" brushRef="#br0" timeOffset="16068.84">5007 0 18687,'1'3'1,"1"2"20,0-1 0,-1-1 1,1 2-1,-1-1 0,0 1 0,0 8 1,-3-12 71,1-1 1,-1 1-1,0-1 1,0 0-1,0 0 1,1 0-1,-1 0 0,0 0 1,0 0-1,-3-1 1,0 1 136,-6 5-184,0 2 0,0-1 0,1-1 0,0 3 0,-10 9 0,15-13-39,0 2 1,1 0-1,0-3 0,0 4 0,0-1 1,1 0-1,0-1 0,0 0 0,1 2 1,-1-1-1,-1 7 0,-59 321 142,50-205-149,5 4 0,12 155 0,4-198 3,20 93 0,33 85-18,-45-201 3,0-10-65,2-1 0,4-1 1,2-2-1,34 56 0,-58-109 75,44 74-268,-39-68 182,0 0-1,1 1 0,0 0 1,0-2-1,0-1 0,1 4 0,13 6 1,-18-13 9,0 0 0,0-1 1,0 0-1,0 1 0,0-1 1,0 0-1,1 0 1,-1 1-1,0-1 0,0 0 1,0 0-1,1 0 0,-1 0 1,0-1-1,0 1 0,3 0 1,33-16-2885,-33 15 2207</inkml:trace>
  <inkml:trace contextRef="#ctx0" brushRef="#br0" timeOffset="16668.64">5836 88 17919,'0'0'1920,"-1"5"-1792,-3 17-68,1-2 0,0 3 0,2-2-1,0 2 1,5 29 0,23 114 197,-1-13-83,-4 103 17,-20-197-141,-3 1 0,-11 78 0,-97 321 186,29-148-323,59-216-723,-5-3-1,-41 91 0,21-70-2154,-1-6-7765</inkml:trace>
</inkml:ink>
</file>

<file path=xl/ink/ink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07:07:04.741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767 64 21503,'-24'-11'0,"6"2"0,0 1 0,-1 1 0,0 0 0,0 1 0,-1 2 0,-21-4 0,15 6 54,0 0-1,-1 2 0,1 1 1,0 2-1,0 0 0,0 1 1,0 2-1,1 1 0,-34 13 1,49-15-24,-1 0 0,1 0 0,0 1 0,0 1 0,1-1 0,0 2 0,-9 8 0,16-14-22,0 0 0,0 0 0,0 0 0,0 1 0,1-1 0,-1 1 0,1-1 0,-1 1 0,1 0 0,0-1 0,0 1 0,1 0 0,-1 0 0,0 0 0,1 0 0,0-1 0,-1 1 0,1 0 0,0 0 0,1 0 0,-1 0 0,0 0 0,1 0 0,0 0 0,0-1 0,-1 1 0,2 0 0,-1 0 0,0-1 0,0 1 0,1-1 0,0 1 0,2 2 0,15 18 61,1-2 0,35 30-1,15 14 67,-50-43-132,-1 1 0,-1 0-1,-1 1 1,19 37 0,-28-45 9,-1 0 1,-1 0 0,0 0 0,-1 1-1,0 0 1,-2 0 0,0 0-1,1 31 1,-5-40 7,1-1 0,-1 0 0,-1 1 1,1-1-1,-1 0 0,-1 0 0,1 0 0,-1 0 0,0-1 0,-1 1 0,0-1 1,0 0-1,0 0 0,-1 0 0,1 0 0,-2-1 0,1 0 0,0 0 0,-1 0 1,0-1-1,-9 6 0,-3 1 14,-1-2 0,1 0 1,-2 0-1,1-2 0,-1-1 0,-25 6 1,-155 30 349,193-40-376,1 0 1,-1 0 0,1 0 0,0 0 0,0 1 0,0 0 0,0 1 0,0-1 0,1 1-1,0 0 1,-7 6 0,12-9-22,0-1 0,0 1 0,-1 0 0,1-1-1,0 1 1,0 0 0,0 0 0,0-1 0,0 1 0,0 0-1,0 0 1,0-1 0,0 1 0,0 0 0,0 0 0,1-1-1,-1 1 1,0 0 0,0 0 0,1-1 0,-1 1 0,1 0-1,-1-1 1,0 1 0,1-1 0,-1 1 0,1 0 0,-1-1-1,1 1 1,0-1 0,1 1 0,20 14-952,60 20-4027,-47-19-7189</inkml:trace>
  <inkml:trace contextRef="#ctx0" brushRef="#br0" timeOffset="456.47">1190 526 23423,'0'0'0,"-49"3"0,59 1 0,-1 0 128,3-4-128,-1 0 128,2-4-128,-7 3 0,-1-2-640,1-2 0,-1-3-256,0 0 0</inkml:trace>
</inkml:ink>
</file>

<file path=xl/ink/ink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07:07:06.482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445 1381 19839,'-38'5'0,"37"-5"8,1 1-1,-1-1 0,1 0 0,-1 0 0,1 0 1,-1 0-1,1 0 0,0 0 0,-1 0 1,1 0-1,-1 0 0,1 0 0,-1 0 0,1 0 1,-1 0-1,1 0 0,0-1 0,-1 1 0,1 0 1,-1 0-1,1 0 0,-1-1 0,1 1 0,0 0 1,-1-1-1,1 1 0,0 0 0,-1-1 1,1 1-1,0 0 0,0-1 0,-1 1 0,1-1 1,3-14 483,-3 15-475,0-1 0,0 1 0,1-1-1,-1 1 1,0 0 0,0-1 0,0 1-1,0-1 1,1 1 0,-1-1 0,0 1-1,0-1 1,0 1 0,0-1 0,0 1-1,0-2 1,0 2 0,0-1 0,0 1-1,0 0 1,-1-1 0,1 1 0,0-1-1,0 0 1,-3 0 38,0 0 0,0 0 0,0 0 0,0 0 0,-1 1 1,1 0-1,0-1 0,0 1 0,0 0 0,0 0 0,-2 1 0,-2 0 0,-43 12 238,38-10-242,-10 4 5,1 1-1,0 1 1,1 1-1,-1 1 1,2 0-1,0 2 1,0 1-1,-26 24 1,37-29-40,1-1-1,-1 1 1,2 0-1,-1 1 1,1 1-1,0-2 1,1 2 0,1 1-1,-1-2 1,1 2-1,1-1 1,0-1-1,1 2 1,-2 18 0,1-6 11,2 1 1,1-2 0,1 2-1,1-1 1,1 1 0,6 25-1,-2-22-26,1 1 0,19 48 0,-22-67 0,0 1 0,0 0 0,1-2 0,1 1 0,-1 0 0,2-1 0,-1-1 0,1 0 0,1 0 0,8 6 0,-8-7 19,0-1-1,0 0 0,1-1 1,0 0-1,0-1 1,0 1-1,0-2 0,20 4 1,-24-6-7,1-1 0,-1 0 1,1 0-1,-1 0 0,0-1 1,1 0-1,-1 0 0,1 0 1,-1-1-1,0 0 0,0 0 1,0-1-1,0-1 0,-1 1 1,11-9-1,7-6-359,-2-2-1,-1 0 1,-1-1-1,-1-3 1,16-24-1,14-17-4287,-4 8-6159</inkml:trace>
  <inkml:trace contextRef="#ctx0" brushRef="#br0" timeOffset="586.2">1269 1597 23167,'-48'-11'0,"47"10"0,0 1 0,0-1 0,0 1 0,0-1 0,0 0 0,0 1 0,0-1 0,0 0 0,0 0 0,0 0 0,0 1 0,0-1 0,0 0 0,1 0 0,-1 0 0,0-2 0,1 2 0,-1 0 0,1 0 0,-1 0 0,1 0 0,0-1 0,-1 1 0,1-2 0,0-4 0,0 2 0,0 0 0,0-2 0,3-8 0,-2 11 0,-1 1 0,1 0 0,-1-1 0,1 0 0,-1 2 0,0-2 0,0 1 0,-2-8 0,1 8-7,0 1-1,-1-1 1,0-1-1,1 2 1,-1 0-1,0-1 1,0 1-1,0 0 0,-1 0 1,1-1-1,0 1 1,-1 0-1,1 0 1,-1 1-1,0-1 1,0 1-1,1 0 1,-1 0-1,0 0 0,0 0 1,0-1-1,0 2 1,0 0-1,0-1 1,0 1-1,0 0 1,0 0-1,-6 1 1,0 1-28,0-1 0,0 1 0,-1 0 0,1 1 0,-1 0 0,2 0 0,-1 1 0,-9 6 0,10-4 16,0-1 0,0 1 0,1 1-1,0 0 1,0-2 0,1 3 0,-1 0 0,1 0 0,1 0-1,-6 12 1,4-7-29,1 2 0,1 0-1,0-1 1,0 1-1,1 0 1,-2 18 0,4-10-3,0 0 1,1-1 0,1 1-1,1 1 1,1-1-1,1 0 1,0-1 0,14 45-1,-14-59 60,0-1-1,0-1 0,1 2 0,0-1 0,0 0 0,0-1 1,1 0-1,0 1 0,0-1 0,0 0 0,1-1 0,0 0 1,0-1-1,12 9 0,-13-10-1,0 0-1,-1-1 1,1-1 0,0 1 0,0-1-1,0 0 1,0 0 0,0 0 0,1-1-1,-1 0 1,1 0 0,-1 0-1,0-1 1,0 1 0,0-1 0,0 0-1,0-1 1,0 1 0,0-1-1,0-1 1,-1 1 0,8-5 0,5-6 23,0-1 0,0 0 0,-1-2 0,-1 0 0,26-31 0,8-29-1509,-9-3-3558</inkml:trace>
  <inkml:trace contextRef="#ctx0" brushRef="#br0" timeOffset="1230.43">1859 1455 23423,'-60'17'0,"42"-11"0,15-6 0,7-2 0,10-4 0,7-3 0,-20 6 0,-13-1 0,-10 2-31,2-1-122,-1 2 0,-29 0 0,49 1 133,0 0 0,1 0 1,-1 0-1,0 1 1,0-1-1,0 0 0,0 0 1,0 1-1,0-1 1,0 0-1,1 1 0,-1-1 1,0 1-1,0-1 0,0 1 1,1 0-1,-1-1 1,0 1-1,1 0 0,-1-1 1,1 1-1,-1 1 1,1-1-1,-1 0 0,1-1 1,-1 1-1,1 0 1,0 0-1,0 0 0,-1 0 1,1 0-1,0 0 0,0 0 1,0 0-1,0-1 1,0 1-1,0 0 0,0 0 1,0 1-1,0-1 1,0 0-1,1 0 0,-1 0 1,0 0-1,1 0 1,0 1-1,1 4-61,1 2 0,0-2 0,0 0 0,0 0 0,6 7 0,7 10 23,1-2 0,1 1 0,1-2 0,0-1 0,2-1 0,38 28 0,-51-42 63,0 2 24,-1-1 0,0 0-1,0 1 1,0-1 0,8 10 0,-14-13-22,0-1-1,0 1 0,0-1 0,0 0 1,0 1-1,0 1 0,-1-2 0,1 1 1,0-1-1,-1 1 0,1 0 0,-1 0 1,0-1-1,1 1 0,-1 0 0,0 1 0,0-2 1,0 1-1,-1 0 0,1 0 0,0-1 1,-1 1-1,1 0 0,-1-1 0,1 2 1,-1-1-1,0-1 0,0 1 0,1-1 1,-1 1-1,0-1 0,-3 3 0,-4 5 55,-2-1 0,1 1 0,-1-2-1,0 0 1,0-1 0,-1 1 0,-21 9 0,-8 3-14,-41 28-410,-109 43 0,184-89-13,-6 4 219</inkml:trace>
  <inkml:trace contextRef="#ctx0" brushRef="#br0" timeOffset="1901.15">2646 462 22399,'-10'23'0,"2"-15"0,-2-2 0,-16 23 0,2 3 0,-42 63 0,56-78 0,-19 34 29,2-1-1,2 3 1,2 0-1,3 3 1,2-2-1,2 4 0,3-3 1,-11 91-1,20-93 19,3 2 0,1-1 0,3 0 0,17 97 0,-17-131-37,2 2 0,0-2 0,1 0 0,0 0 0,2-2 0,1 2 0,0-1 0,1 0 0,0-2 0,2 1-1,0-2 1,1 0 0,0 0 0,31 27 0,9-6-1007,-44-32 653,-1 0-1,1 1 1,-1 0 0,0 2-1,-1-2 1,0 1 0,0 2 0,11 14-1,-6-1-2726</inkml:trace>
  <inkml:trace contextRef="#ctx0" brushRef="#br0" timeOffset="3129.19">3226 485 20223,'-11'35'0,"-1"6"0,-32 72 0,25-75 45,2 1 0,1 1 0,2 1 1,2-1-1,1 1 0,2 1 0,2 1 0,-2 47 0,7-41 20,2-1 1,9 80 0,-6-109-49,0 0-1,1 0 1,1 0-1,1-2 1,0 2-1,2-1 1,0 0-1,0-1 1,18 24-1,-25-38-13,1 0-1,0-1 0,0 0 0,0 0 0,1 0 1,-1 0-1,0 0 0,1 1 0,-1-2 1,1 1-1,0-1 0,-1 0 0,1 1 0,0-1 1,0-1-1,0 1 0,4 1 0,-3-2 6,0-1-1,0 1 0,0 0 1,0-1-1,0 0 0,0 0 1,0 0-1,-1 0 0,1-1 1,0 1-1,5-5 0,5-4 19,1-1 0,-2 0-1,0 0 1,21-27-1,69-99-25,-66 85 0,56-85 0,-76 107 0,-1-1 0,23-57 0,-24 47 22,39-120 81,-44 127-17,-1-1 1,6-58-1,-14 76-24,0 0 0,-1-1 0,-4-29 0,3 40-40,0 0 0,-1-1 0,0 1 0,0-1 0,-1 1 1,1 0-1,-1 0 0,-1-1 0,0 2 0,-7-11 0,10 15-14,-1 0 0,-1 0-1,1-1 1,0 1 0,0 0 0,-1 0-1,1 1 1,-1-1 0,1 1 0,-1 0-1,0 0 1,0 0 0,1 0 0,-1 0-1,0-1 1,-5 1 0,3 1-5,1 0-1,-1 1 1,0-1 0,1 2-1,0-1 1,-1 0 0,1 1-1,-1-1 1,-7 5 0,1 1-5,1 0 1,0 1 0,0-1 0,0 1 0,1 2 0,1-1-1,-11 13 1,-1 5 1,3 2 0,0 0 0,2 2 0,0-1 0,3 2 0,0 1 0,2-2 0,-7 40 0,0 23 0,-10 163 0,11 235 192,46 2 0,-18-434-506,-8-46 14,-1 1 0,-1-1 0,2 25 0</inkml:trace>
  <inkml:trace contextRef="#ctx0" brushRef="#br0" timeOffset="3709.55">4025 0 21887,'-2'9'4,"1"-7"3,0 1 0,0 0 0,0-1 0,0 1 0,1 1-1,-1-1 1,1 0 0,0-1 0,0 1 0,0 0 0,0 1 0,0-1 0,0 0 0,1 0 0,-1-1 0,1 0 0,0 2 0,0-1 0,0-1 0,2 5 0,52 74 99,-23-26-10,-3 1 0,-2 1 0,23 65 0,-27-59 27,-2 3 0,-2-1-1,17 122 1,-29-127-98,-3 0 0,-3 2 1,-2-2-1,-2 2 0,-3-3 0,-2 2 0,-3-2 1,-2 1-1,-3-2 0,-44 109 0,2-42-403,-4-2-1,-4-4 0,-138 187 1,-29-31-1943,129-154-905,2-2-7760</inkml:trace>
</inkml:ink>
</file>

<file path=xl/ink/ink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07:07:13.413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0 93 14208,'0'0'3455,"4"-5"-3327,2-3-71,0 1 0,1-1 0,0 1 0,1 1 0,0-1 0,0 1 0,0 1 0,11-6-1,-14 9-28,6-3 55,1 1 0,22-6 0,-30 9-37,1 1 0,-1-1 0,0 1 0,0 0 0,0 0 0,0 1 0,1-1 0,-1 1 0,0 0 0,0 0 0,0 0 0,7 4 0,-2-1 4,-1 1 0,1-2-1,0 1 1,0-1 0,17 3 234,-21-3 1252,-7-3-1268,4 0-152,11 2 216,-11 4 126,-2-5-454,0-1 1,0 1-1,-1-1 1,1 1-1,0-1 1,-1 1-1,1-1 1,0 1-1,-1-1 1,1 0-1,-1 1 1,1-1-1,-1 0 1,1 1 0,-1-1-1,1 0 1,-1 1-1,1-1 1,-1 0-1,1 0 1,-1 0-1,0 0 1,1 1-1,-1-1 1,0 0-1,-18 2 108,17-1-107,-34 2-159,3 0-2563,-57 13-1,60-8-8844</inkml:trace>
</inkml:ink>
</file>

<file path=xl/ink/ink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07:07:23.417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0 416 22015,'7'6'9,"1"-1"-1,-1 0 1,1 0-1,0-1 1,0 0-1,0-1 1,1 0-1,11 3 0,11 1 58,33 3 0,7 1-18,35 18 22,-74-18-33,1-2 0,0-2 1,0-1-1,43 3 0,46 3-101,-77-7-21,45 1 0,-81-6-129,0 0 0,0-1 0,0 0 0,0-1 0,0 0 0,16-6 0,-21 7-68,-1-1-1,0 0 0,1 1 0,-1-1 1,0 0-1,0-1 0,0 1 1,0 0-1,0-1 0,-1 0 0,1 0 1,-1 1-1,0-1 0,0-1 0,0 1 1,0 0-1,0 0 0,2-8 1,3-14-10150</inkml:trace>
  <inkml:trace contextRef="#ctx0" brushRef="#br0" timeOffset="272.17">249 0 22783,'0'0'0,"44"5"0,-8-2 0,8-1 0,-2-2 0,3 0-512,12 0 0,10 0-640,-6-2 0,-1-1-12671</inkml:trace>
</inkml:ink>
</file>

<file path=xl/ink/ink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07:07:30.565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0 330 21759,'7'2'107,"32"14"-85,-26-10-5,-1 0 1,1-1 0,0-1 0,0-1-1,26 5 1,2-6-15,-2 2 0,1 2 0,0 2 0,0 2 0,-1 2 0,63 27 0,-91-34 2,0 0-1,0 2 0,-1 0 0,0 0 0,0 0 0,0 1 1,-1 1-1,0 0 0,-1 0 0,1 1 0,-2 0 1,0 0-1,9 18 0,-9-12 5,0-1 0,0 1 0,-2 0 0,0 1 0,0 0 0,-2 0 0,0 0 1,-1-1-1,0 32 0,-3-13 22,-1-1 0,-2 0 0,-2 0 0,0 0 0,-18 51 1,-71 154 130,33-94-42,-15 17 136,68-143-213,1 0-8,7-16-31,0 0 0,0 0 0,0-1-1,0 1 1,0 0 0,-1 0-1,1 0 1,-1-1 0,0 1 0,1-1-1,-1 0 1,0 0 0,0 0 0,-1 1-1,1-1 1,0 0 0,-1 0 0,-4 2-1,6-4-2,1 0 0,-1 0 0,0 0 0,1 0 0,-1 0 0,0 0-1,1 0 1,-1 0 0,1 1 0,-1-1 0,0 0 0,1 1 0,-1-1 0,1 0 0,-1 1-1,1-1 1,-1 0 0,1 1 0,-1-1 0,1 1 0,-1-1 0,1 1 0,0-1-1,-1 1 1,1-1 0,0 2 0,-1-1 0,1-1 0,0 1 0,0-1 0,-1 1 0,1 0-1,0 0 1,1 1 6,0 0 0,0 0 0,0 0-1,0 0 1,0 0 0,0 0 0,1 0-1,2 2 1,2 2 9,4 4 30,0-1 1,1 0-1,0-1 0,1-1 0,19 11 1,-17-10-26,3 1 41,1 0 0,0-1 1,0-2-1,1 1 1,0-2-1,30 5 0,34-4-1404,7-8-3854,-24-1-6131</inkml:trace>
  <inkml:trace contextRef="#ctx0" brushRef="#br0" timeOffset="861.14">1300 360 22527,'0'36'0,"0"-9"0,-4 49 0,4-75 0,0 0 0,0 0 0,0 0 0,-1 0 0,1 0 0,0 0 0,-1 0 0,1 0 0,-1 0 0,1 1 0,-1-2 0,1 1 0,-1 0 0,0 0 0,1 0 0,-2 0 0,1-1 0,1 1 0,-1-1 0,1 0 0,-1 0 0,1 0 0,-1 0 0,1 0 0,-1 1 0,1-1 0,-1 0 0,1 0 0,-1 0 0,0 0 0,1-1 0,-1 1 0,1 0 0,-1 0 0,1 0 0,-1 0 0,0-1 0,-2-1 0,-1 0 0,1-1 0,0 1 0,1 0 0,-1-1 0,-3-3 0,3 3 0,-2-2 0,-2-2 0,-1 0 0,0 0 0,-1 1 0,-16-11 0,21 16 0,0 0 0,0-1 0,0 2 0,0-1 0,1 0 0,-1 1 0,0 0 0,0-1 0,0 2 0,0-1 0,0 0 0,0 1 0,0 0 0,0 0 0,-6 2 0,-1 2-23,-1 1 0,1 0-1,0 0 1,1 1 0,-1 0-1,1 1 1,1 1 0,-1-1-1,2 2 1,0-1 0,0 2-1,0-1 1,1 1 0,0-1-1,0 2 1,2 0 0,-1-1-1,1 2 1,1 0 0,0-1-1,1 1 1,0 0 0,1-1-1,0 2 1,1-1 0,0 0-1,1 0 1,0 1 0,1-2-1,1 2 1,5 21 0,-4-26 20,0 0 0,1-1 0,1 1 0,-1-1 0,1 1 0,1-2 0,-1 0 0,9 10 0,58 52 8,-53-53-5,16 11 0,1-2 0,0-1 0,68 29 0,-54-27 0,62 41 0,-106-63 4,0 2 0,0-1 0,0 0 0,-1 2-1,0-2 1,0 1 0,0 0 0,-1 1 0,0 0-1,0 1 1,-1-2 0,1 1 0,-2 1 0,1 0-1,-1-1 1,0 1 0,0 0 0,-1 0 0,0 0 0,0-1-1,-1 2 1,0-1 0,0 0 0,-1 0 0,0 1-1,-1-2 1,-4 16 0,4-12 13,-1-1-1,0 0 1,-1 0-1,0 0 1,0-1 0,-1 1-1,0-1 1,-1 1-1,0-2 1,0 1 0,-1-2-1,0 2 1,0-2-1,-1 0 1,0 0-1,0-1 1,-11 8 0,2-5 29,-1 0 0,0-2 1,0 0-1,-1 0 0,-37 5 0,48-10-22,1 0 0,-1-2-1,1 1 1,-1-1-1,0 0 1,1-1-1,-1-1 1,0 1-1,1-1 1,0 0 0,-1 0-1,1-1 1,0 1-1,0-2 1,0 0-1,1 0 1,-1 0-1,-7-7 1,7 4-12,0 0 0,0-2 0,1 1 0,0-1-1,0 1 1,1-2 0,0 1 0,0-1 0,1 1 0,1-1 0,-1 0 0,-3-21 0,5 18 0,1-1 0,0-1 0,1 1 1,0 1-1,1-2 0,1 1 0,0 0 1,0 1-1,8-23 0,-1 5-12,2 2 0,1 0 0,0 1 0,2 0 0,2 1 0,0 1 0,1 0 0,23-25 0,230-276 256,-264 318-245,0 0-1,-1-1 0,-1 1 1,1-1-1,-1 1 0,-1-2 1,0 2-1,0-2 1,2-19-1,-4 21-224,-1 2 1,0-1-1,0 0 1,-1 1-1,0-1 1,-2-9-1,1 11-385,0 0 0,0 0 0,0 1-1,-1-1 1,1 0 0,-1 1 0,-1 0 0,-5-7-1</inkml:trace>
  <inkml:trace contextRef="#ctx0" brushRef="#br0" timeOffset="2527.75">1795 1475 22271,'0'0'0,"-3"31"0,1-17 128,-1-1-128,3-8 128,0-2-128,0-11 0,3-2-640,2-1 0,3 0-128,-2 4 0</inkml:trace>
  <inkml:trace contextRef="#ctx0" brushRef="#br0" timeOffset="3294.53">2115 1056 19967,'14'-13'49,"-1"-1"0,-1 0-1,20-30 1,-2 4 34,-19 26-9,-2-1 0,13-27 0,4-7 66,-25 47-133,102-184 498,-81 143-343,2 1 0,47-64 0,-15 25 120,-23 20-4,-39 125 78,5-52-328,0 9 19,-1 10 8,-1 0 1,-10 47-1,-73 384 242,32 5-74,32-262-210,19-174-126,3-26-459,3-16-535,11-40-1432,-4 20-468,0-2-7830</inkml:trace>
  <inkml:trace contextRef="#ctx0" brushRef="#br0" timeOffset="6259.87">3064 456 21503,'-6'25'13,"1"0"0,2 2-1,0-1 1,1-1 0,1 29-1,15 131 116,-6-114-97,12 160 97,11 107 43,-22-282-86,3 0 0,35 104 1,-45-155-61,7 20 30,-8-24-48,-1 0 1,1 0-1,-1 0 0,1 0 1,-1 0-1,1 0 1,0 0-1,-1 0 0,1-1 1,0 1-1,0 0 1,0-1-1,0 1 0,-1 0 1,1-1-1,0 1 1,2 1-1,-2-2-2,0-2 0,0 1 0,-1 1 1,1-1-1,0 1 0,0-1 0,-1 0 0,1 0 0,-1 1 0,1-1 1,0 0-1,-1 0 0,1 0 0,-1 0 0,0 1 0,1-1 0,-1 0 1,0 0-1,0 0 0,1-1 0,0-4 15,8-22 23,-1-1 0,-1 1 1,2-33-1,5-18 40,12-59-23,31-125 29,-38 192-89,60-204 0,-65 233 0,3 1 0,27-45 0,-24 48 0,-19 37-59,0-1-1,0 0 0,0 0 0,0 0 1,0 0-1,1 0 0,-1 1 0,1-1 1,-1 1-1,1 0 0,-1-1 1,1 1-1,0 0 0,-1 0 0,1 0 1,0 0-1,0 0 0,0 1 0,0-1 1,0 0-1,0 1 0,0-2 0,0 2 1,0 0-1,0 0 0,0 0 1,0 0-1,0 0 0,0 0 0,0 2 1,0-2-1,0 1 0,0-1 0,0 1 1,0 0-1,0-1 0,-1 1 1,1 0-1,0 0 0,0 1 0,-1-1 1,1 0-1,-1 0 0,3 3 0,-3 0-224,1-2-1,-1 1 0,0 0 0,0 0 1,0 0-1,0-1 0,0 2 1,-1-1-1,1 0 0,-1 0 0,0 7 1,1-1-1505</inkml:trace>
  <inkml:trace contextRef="#ctx0" brushRef="#br0" timeOffset="7269.25">3875 628 22015,'-3'34'24,"-1"2"0,-1-1 0,-2 0 0,-21 62 0,13-45 6,-35 120 130,-51 190 192,92-322-293,4-15 1,-1-3 1,0 1 0,-1-1 0,-17 35-1,24-57-60,0 0 0,0 0 0,-1 0 0,1 0 0,0 0 0,0 0 0,0 0 0,0 0 0,0 0 0,0 0 0,0 0 0,-1 0 0,1 0 0,0 0 0,0 0 0,0 0 0,0 0 0,0 0 0,0 0 0,0 0 0,0 0 0,-1 0 0,1-1 0,0 1 0,0 0 0,0 0 0,0 0 0,0 0 0,0 0 0,0 0 0,0 0 0,0 0 0,0-1 0,0 1 0,0 0 0,0 0 0,0 0 0,0 0 0,0 0 0,0 0 0,0 0 0,0-1 0,0 1 0,0 0 0,0 0 0,0 0 0,0 0 0,0 0 0,0 0 0,0 0 0,0-1 0,0 1 0,0 0 0,0 0 0,0 0 0,0 0 0,0 0 0,0 0 0,0 0 0,0 0 0,1-1 0,-1-11 0,4-10-86,1-1 0,14-35-1,6-26-187,64-507-857,-87 570 1131,2-19 0,1 0 0,3 1 0,16-56 0,-12 60 9,32-78 578,-46 122-377,-6 29 8,8 7-120,2 0-1,2-1 1,13 69-1,-3-21 4,58 376 198,-29-161-43,-41-292-217,2 0 0,-1 0 0,2-1 0,0 0 0,11 24 0,-13-14-788,-2-14-11,1-14 51,3-29-3835</inkml:trace>
  <inkml:trace contextRef="#ctx0" brushRef="#br0" timeOffset="7595.71">3716 1228 23039,'0'0'0,"41"-5"-128,-16 3 128,2-2-512,2 4 0,0 0-2176,1 6 0,3 2 1409,-8 5-1,0 0-8448</inkml:trace>
  <inkml:trace contextRef="#ctx0" brushRef="#br0" timeOffset="8324.53">4577 906 23551,'0'0'256,"-28"15"-256,14-7 0,-2-4-128,7 2 128,1 0-1280,5-1 128,6 1-384,0 2 0</inkml:trace>
  <inkml:trace contextRef="#ctx0" brushRef="#br0" timeOffset="9744.14">5603 605 22015,'-16'10'0,"0"-2"0,-1 1 0,-20 6 0,-11-1 0,0 4 0,0 2 0,1 2 0,-48 33 0,62-34 0,1 3 0,0 1 0,2 1 0,2 2 0,-1 0 0,-23 34 0,43-49-6,1 0 1,0-1-1,0 2 0,2 0 0,-1 0 0,2-1 0,0 2 0,0 0 1,-4 26-1,8-30 0,0-1 0,0 0 1,1 0-1,0 1 0,0-1 1,1 1-1,1-1 0,0 1 1,0-1-1,1 0 0,0 0 1,0 0-1,1-1 0,1 1 1,6 11-1,-7-16-7,0 1 0,1-1 1,-1-1-1,1 1 0,0 0 0,1-1 0,-1 0 1,1-1-1,-1 0 0,1 0 0,0 1 0,0-1 1,1-1-1,-1 0 0,0 0 0,1-1 0,-1 0 1,8 0-1,13 1-60,1-1 1,54-6 0,-61 3 41,-9 1-54,0-1 0,0 0-1,-1 0 1,1-1 0,-1-2-1,0 1 1,0 0 0,0-1-1,0-2 1,-1 1 0,18-14-1,-26 18-273,0 0-1,0-1 1,0 0-1,0 0 0,-1 1 1,1-1-1,-1 0 1,0 1-1,1-1 0,-1-1 1,0 1-1,-1 0 0,2-5 1</inkml:trace>
  <inkml:trace contextRef="#ctx0" brushRef="#br0" timeOffset="10387.63">5886 974 20479,'-2'0'0,"1"0"0,-1 0 0,0 0 0,1 0 0,-1 0 0,0-1 0,1 1 0,-1-2 0,0 2 0,1-1 0,-1 0 0,1 1 0,-1-1 0,1 0 0,0 0 0,-1 0 0,1 0 0,0 0 0,-1 0 0,1 0 0,0-1 0,0 1 0,0 0 0,0-1 0,0 1 0,0-2 0,1 2 0,-1-1 0,0 1 0,1-1 0,-1 0 0,1 1 0,-1-4 0,0 3 0,0-1 0,0 1 1,0 0-1,-1 0 0,1 0 0,-1 0 0,0 0 0,1 0 0,-1 0 0,0 1 0,0-2 0,0 2 0,0 0 0,0-1 0,0 1 0,-1 0 0,1 0 0,0 0 0,-3 0 1,-9-3-4,1-1 0,-18 0 0,16 2-11,10 3-4,0-1 0,0 1 0,1 0 0,-1 0 0,0 1 0,0-1 0,0 1 0,0 0-1,0 1 1,1-1 0,-1 1 0,1 1 0,-1-1 0,1 0 0,0 1 0,-1-1 0,1 1 0,1 0 0,-7 7 0,4-4 5,1-1 1,0 2-1,0-1 1,1 0-1,-1 2 0,1-2 1,1 2-1,-1-1 1,1 0-1,1 1 1,-4 15-1,3-3-6,1 0-1,2 1 0,0-1 1,0 1-1,2-1 1,1 0-1,0 0 1,1 0-1,1 0 1,1-1-1,12 30 0,-16-46 29,-1-1 0,0 1-1,1 1 1,-1-2-1,1 1 1,0 0-1,0-1 1,0 0-1,0 0 1,1 1 0,-1 0-1,0-2 1,1 1-1,0 0 1,-1 0-1,1-1 1,0 0-1,0 1 1,0-1 0,0 0-1,0-1 1,0 1-1,0 0 1,0-1-1,0 0 1,0 1 0,0-1-1,0-1 1,0 1-1,0 0 1,0-1-1,0 1 1,0-1-1,0 0 1,0 0 0,0 0-1,3-2 1,2-1 23,-1 0 1,1-2-1,-1 1 0,0 0 1,0-1-1,0 0 1,-1 0-1,0-1 0,0 0 1,-1 0-1,0-1 1,6-11-1,41-101 259,-47 107-283,0 0 37,-1-2-1,0 0 1,4-26 0,-7 35-156,0-1 0,-1 0 0,0 1 0,0-1 0,0 1 0,-1-1 0,0 0 0,0 1 1,0 0-1,-1-1 0,-2-5 0,2 9-97,1 2 0,0-1 0,0 1 0,-1-1 0,1 1 0,-1-1 0,1 1 0,-1 0 0,1 0 0,-1 0 0,0 0 0,0 0 0,0 0 0,1 0 0,-1 1 0,0-1 0,0-1 0,0 2 0,-4-1 0</inkml:trace>
  <inkml:trace contextRef="#ctx0" brushRef="#br0" timeOffset="11003.19">6302 964 23295,'-5'-4'-106,"-6"-4"81,-1 1 0,1 1 1,-1 0-1,0 1 0,0 0 0,0 1 1,-1 0-1,0 0 0,-13 0 1,19 3 3,0 1 0,0-1 1,0 2-1,0-1 0,1 1 0,-1 0 1,0 0-1,0 0 0,1 1 0,-1 1 1,1 0-1,-1-1 0,1 1 1,0 1-1,0-1 0,0 2 0,1-1 1,-1 0-1,-7 10 0,10-12-10,1 1-1,0-1 1,0 1-1,0 0 1,0 1 0,0-1-1,1 0 1,0 0-1,-1 0 1,1 0-1,0 1 1,0 0-1,1-1 1,-1 0-1,1 1 1,-1 0-1,1-1 1,0 1-1,0-1 1,1 1 0,-1-1-1,1 1 1,0 0-1,0-1 1,0 0-1,0 0 1,0 2-1,1-2 1,-1 0-1,1 0 1,0-1-1,0 1 1,0 0-1,0 0 1,0 0 0,1-1-1,-1 1 1,1-1-1,4 3 1,10 3-52,-1-2 0,1-1 1,1 1-1,-1-3 0,0 1 1,1-2-1,21 0 0,-36-1 97,1-1-1,-1 1 0,1-1 1,-1 1-1,1 0 0,-1 2 1,0-2-1,0 1 0,1-1 1,-1 1-1,4 3 0,-6-4-6,0 0 0,0 0 0,0 0 0,0 0-1,0 1 1,0-1 0,-1 0 0,1 0-1,0 0 1,-1 0 0,1 1 0,-1-1 0,1 0-1,-1 0 1,1 1 0,-1-1 0,0 0 0,0 1-1,0-1 1,0 1 0,0 0 0,0-1-1,0 1 1,0-1 0,0 0 0,-1 1 0,1-1-1,0 0 1,-1 0 0,1 1 0,-1-1 0,-1 2-1,-4 8 51,0 0-1,-1-2 1,0 1 0,-1-1-1,0 1 1,-1-2-1,-16 14 1,-6-1 139,-38 22 1,41-27-1993,0 2-1,-27 22 0</inkml:trace>
  <inkml:trace contextRef="#ctx0" brushRef="#br0" timeOffset="11725.48">6760 0 22143,'-20'21'52,"9"-9"31,1-2 0,1 3 0,-14 20 0,9-11 64,-1-1-1,-1 0 1,-30 30-1,33-38-92,3-1-35,1 1 0,0-1-1,1 2 1,0-1 0,1 1-1,1 0 1,0 1 0,1 0-1,0-1 1,1 1 0,-2 16-1,-2 19 36,2 2-1,1 51 0,7 41 11,33 251 0,-22-312-60,4-2-1,3 0 1,3-1-1,3-2 1,50 104 0,-67-162 22,1 0 0,0-1 0,1-1 0,2 0 0,0-1 0,0-1 0,2 1 0,31 27 0,-42-42-188,0 1 0,0-1 0,1-1 0,-1 1-1,1 0 1,-1-1 0,1 0 0,7 1 0,-7-2-605,0 2 1,0-1-1,0 1 1,0-1-1,5 3 1</inkml:trace>
</inkml:ink>
</file>

<file path=xl/ink/ink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07:07:59.322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165 580 17791,'-4'2'-106,"-31"16"103,14-6 125,-1-1 0,-45 16-1,66-26-59,0-1 0,0 0 0,-1 1-1,1 0 1,0-1 0,0 1 0,0 0-1,0-1 1,0 1 0,0 0-1,0 0 1,-2 2 0,4 0 382,9-6-411,-3 1 60,0 1-1,0-1 0,1 1 0,-1 0 0,1 1 1,-1 0-1,0 0 0,1 1 0,11 2 0,21 0 138,1-2-57,-24 0-64,0 0 0,0-2 0,1 0 0,-1 0 0,0-2 0,0 0 1,19-6-1,-35 8-95,0 1 0,0-1 0,0 1 1,1-1-1,-1 1 0,0-1 0,1 1 0,-1 0 1,0 0-1,1 0 0,-1 0 0,0 0 1,1 0-1,-1 0 0,1 0 0,-1 0 0,2 1 1,-1-1 70,1-2-170,-1 1-128,0 1 0,0-1 1,0 1-1,0 0 0,0 0 0,0-1 1,0 1-1,0 0 0,1 1 1,-1-1-1,3 1 0,4 0-2695</inkml:trace>
  <inkml:trace contextRef="#ctx0" brushRef="#br0" timeOffset="933.98">877 139 18687,'1'18'40,"-1"-18"-39,0 0 1,0 0 0,0 0 0,0 1-1,0-1 1,0 0 0,0 0-1,0 0 1,0 0 0,0 0-1,0 0 1,0 0 0,0 0-1,0 0 1,0 0 0,0 1 0,0-1-1,0 0 1,0 0 0,0 0-1,0 0 1,0 0 0,0 0-1,0 0 1,0 0 0,0 0-1,0 0 1,1 0 0,-1 0 0,0 0-1,0 0 1,0 1 0,0-1-1,0 0 1,0 0 0,0 0-1,0 0 1,0 0 0,0 0-1,1 0 1,-1 0 0,0 0 0,0 0-1,0 0 1,0 0 0,0 0-1,0 0 1,0 0 0,0 0-1,0 0 1,0 0 0,1 0-1,-1 0 1,0-1 0,0 1 0,0 0-1,0 0 1,0 0 0,0 0-1,8-14 291,-7 12-191,-5 14 292,1 0 0,-2 0 0,-7 15 1,5-13-351,1 1 1,0-1 0,1 1 0,-4 24 0,4-11 84,-1 0 0,-15 45 0,18-65-81,1 1 0,0 0-1,0 0 1,1 0 0,0 0 0,0 0 0,1 0 0,0 0 0,3 16 0,11-44-21,-2 6-31,-11 11-1,0 0-1,1 0 0,-1 1 1,1-1-1,0 1 0,-1-1 1,1 1-1,0 0 0,0 0 1,-1-1-1,1 1 0,0 1 1,0-1-1,0 0 0,1 0 1,-1 1-1,0-1 0,0 1 1,0 0-1,0-1 0,0 1 1,1 0-1,-1 0 0,0 1 1,0-1-1,0 0 0,4 2 1,-2-1-10,0 0 0,0 0 1,0 1-1,0-1 1,0 1-1,0 0 0,-1 0 1,1 0-1,-1 1 0,1-1 1,-1 1-1,0 0 1,4 5-1,-1 0 0,-1 1-1,0-1 1,-1 1 0,1 1-1,-2-1 1,1 0 0,-1 1-1,-1 0 1,0 0 0,0 0-1,-1-1 1,0 2 0,-1-1-1,0 0 1,-2 12 0,-2 3-30,-1 0 0,-1 0 0,-1 0 0,-17 40 0,20-58 61,0 0-1,0-1 0,0 1 1,-1-1-1,0 1 1,0-2-1,-1 1 0,1 0 1,-1-1-1,-1 0 0,1 0 1,-13 6-1,4-3 22,0-1 1,0 0-1,-1-1 1,0-1-1,-18 4 1,32-9-65,1 1 1,-1-1-1,0 1 1,1-1-1,-1 0 1,0 0-1,0 0 1,1 0-1,-1 0 1,0 0-1,0 0 1,1 0-1,-1-1 1,0 1-1,1-1 1,-1 1-1,0-1 0,1 0 1,-1 0-1,1 1 1,-1-1-1,1 0 1,-1 0-1,1-1 1,0 1-1,-2-1 1,2 0-128,0-1 0,0 1 0,1 0 0,-1 0 1,1-1-1,-1 1 0,1 0 0,0-1 0,-1 1 0,1 0 0,1-1 1,-1 1-1,0 0 0,0-1 0,1 1 0,0 0 0,-1 0 1,1-1-1,1-1 0,9-25-2746,2-2-6891</inkml:trace>
  <inkml:trace contextRef="#ctx0" brushRef="#br0" timeOffset="1453.56">751 256 19839,'14'-14'19,"0"-1"0,14-18 0,-22 23-1,1 1 0,1 0 0,0 1 1,0-1-1,0 2 0,1-1 0,0 1 0,1 1 0,0-1 0,14-6 0,1 4 155,0 1 1,1 1-1,34-4 0,83-4 517,-80 9-281,-55 5-340,0 0 0,0 1 0,0 0-1,0 0 1,0 1 0,0 0 0,0 0-1,8 3 1,-14-3-125,0-1-1,0 0 1,0 0-1,0 0 1,0 0-1,0 0 1,0 0-1,0 0 1,0-1 0,0 1-1,0-1 1,-1 0-1,1 1 1,2-2-1,-2 1-390,0 0 0,0 0 1,0 0-1,0 1 0,0-1 0,0 1 0,0-1 0,0 1 0,0 0 0,0 0 0,0 0 0,0 0 0,4 0 0</inkml:trace>
  <inkml:trace contextRef="#ctx0" brushRef="#br0" timeOffset="2187.39">1558 1 17791,'0'0'1387,"5"2"-1238,6 3-102,0 0-1,1-1 1,0-1-1,-1 1 1,1-2-1,0 0 0,22 1 1,92-6 328,-102 1-226,-23 2-135,0 0-1,-1 0 0,1 0 1,0 0-1,0 0 0,0 0 0,-1 0 1,1 0-1,0 0 0,0 0 1,0 0-1,-1 1 0,1-1 0,0 0 1,-1 1-1,1-1 0,0 0 1,0 1-1,-1-1 0,1 1 0,-1-1 1,1 1-1,0-1 0,-1 1 1,1 0-1,-1-1 0,1 1 1,-1 0-1,0-1 0,1 1 0,-1 0 1,1-1-1,-1 1 0,0 0 1,0 0-1,0 0 0,1-1 0,-1 1 1,0 1-1,0 1 18,-1 0 0,1 0 1,0 0-1,-1 0 0,0-1 0,1 1 0,-1 0 0,0 0 1,-1-1-1,-1 4 0,-44 83 202,-17 29-189,29-55-44,4 1 0,2 2 0,-22 79 0,22-54 0,-20 55 0,32-101 0,-17 43-128,33-87 72,1 1-1,-1-1 0,1 0 1,-1 1-1,0-1 0,1 0 1,-1 0-1,0 0 0,0 0 1,0 0-1,0 0 0,0 0 1,-2 1-1,1-5-994,2-11 207,3-5-2078</inkml:trace>
  <inkml:trace contextRef="#ctx0" brushRef="#br0" timeOffset="2515.77">1446 570 20863,'17'-16'0,"39"-29"0,-47 40 0,0-1 0,1 1 0,-1 1 0,1-1 0,1 2 0,-1-1 0,11-1 0,67-7-1033,-57 9-1458,54-12 0</inkml:trace>
</inkml:ink>
</file>

<file path=xl/ink/ink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07:08:21.773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0 1406 20479,'0'0'640,"18"-39"-6783</inkml:trace>
  <inkml:trace contextRef="#ctx0" brushRef="#br0" timeOffset="1791.75">687 454 18943,'0'0'768,"-5"-2"-640,-1 0-72,0-1 0,0 1 0,0-1 0,-1 2 0,1-1 0,-1 1-1,1 0 1,-1 1 0,0 0 0,1 0 0,0 0 0,0 1 0,-1 0 0,1 0-1,-1 0 1,1 1 0,-1 1 0,1 0 0,0-1 0,-8 6 0,-18 7 136,28-14-166,1 1 1,0-1-1,0 0 1,0 0-1,0 1 0,0-1 1,0 1-1,0 0 1,1 0-1,-1 0 0,0 1 1,1-1-1,0 0 1,0 1-1,-1-1 0,1 1 1,1 1-1,-1-1 1,0-1-1,-1 6 0,-4 15-26,1-1 0,1 1 0,2-1 0,0 1 0,1 0 0,0 0 0,4 37 0,-1-55-20,0 1-1,1-2 0,0 1 1,0 1-1,-1-2 0,1 1 1,1 0-1,-1-1 0,1 0 1,0 0-1,1 1 1,-1-2-1,1 1 0,-1-1 1,6 5-1,23 28-139,-7 9-39,-20-34 115,1 1 1,1-1-1,8 11 0,51 59-940,-56-68 925,-4-7 60,-1 1 0,1 0 0,-1 0 0,-1 0-1,1 2 1,-1-2 0,-1 2 0,1-2 0,2 12 0,-5-17 35,0 2 3,0-1 0,0 1 0,-1-1 0,1 1 0,-1-1-1,0 1 1,1-1 0,-1 0 0,-1 1 0,1 0 0,0-1 0,-1 0 0,0 0 0,0 1 0,-1 3-1,2-6 2,0 0 0,-1 1 0,1-1 0,0 1 0,0-1 0,0 0 0,1 0 0,-1 0 0,0 1 0,0-1 0,1 0 0,-1 0 0,0 0 0,1 0 0,-1 0 0,1 0 0,0 0 0,0 2 0,0-2 0,0 1 0,0-1 0,-1 0 0,1 1 0,-1-1 0,1 0 0,-1 1 0,1-1 0,-1 2 0,0-2 0,1 1 0,-1-1 0,0 4 0,-2 3 0,-1-2 0,1 1 0,-1 0 0,0 0 0,-1 0 0,-5 8 0,-10 22 0,16-30-3,0 1-1,-1-1 1,0 1-1,0-1 1,0 0-1,-1 0 1,0 0-1,-9 9 1,10-13 30,1 0 1,-1 0 0,0 0 0,-1-1-1,1 2 1,0-2 0,-1 0-1,1 0 1,-1 0 0,0-1 0,1 0-1,-1 0 1,0 0 0,-9 1-1,10-2 45,-1-2 0,1 1 0,0 0 0,0-1 0,-1 1 0,1-1 0,0 0 0,1 0 0,-1 0 0,0-1 0,0 0 0,1 1 0,0-1 0,-5-6 0,-4-3 158,1-1 1,-13-21-1,17 23-86,0-1 0,0 2 0,2-2 0,-1 0-1,-7-24 1,12 30-112,-1-2 0,1 1 0,0-1 0,0 2 1,1-2-1,0 1 0,0-1 0,1 2 0,0-2 0,0 1 0,0 0 0,4-9 0,0 0 5,1 1 0,1-1 0,0 1-1,1 0 1,0 1 0,2 0 0,-2 0 0,2 1 0,1 1-1,17-16 1,-14 12-9,-1 0 0,0 0 0,13-24 0,-17 26-4,1-1 0,1 0 0,0 1 0,1 0 0,16-15 0,-20 21 1,1-1 0,-1 1 0,-1-2 0,0-1 0,0 2 0,10-21 0,-13 20 7,1 1 0,1-1-1,0 0 1,0 2-1,1-1 1,-1 2-1,2-2 1,-1 2-1,14-10 1,-11 11 8,-6 4-15,0 0 0,-1 0 0,1 0 0,-1-1-1,6-4 1,-9 6-23,1 1 0,-1-1 0,1 1 0,-1-1 0,0 1 0,0-1 1,1 1-1,-1-1 0,0 0 0,0 1 0,1-1 0,-1 1 0,0-1 0,0 0 0,0 1 0,0-1 0,0 1 0,0-1 0,0 0 0,0 1 0,0-1 0,0 1 0,0-1 0,0-1 0,-1 2 0,1-1 0,0 1 1,0-1-1,-1 1 0,1-1 0,0 1 0,-1-1 0,1 1 0,-1-1 0,1 1 0,0-1 0,-1 1 0,1-1 0,-1 1 0,1 0 0,-1-1 0,0 1 0,-15-18-1383,7-7-3744</inkml:trace>
  <inkml:trace contextRef="#ctx0" brushRef="#br0" timeOffset="2676.66">1230 412 17151,'0'0'1024,"-4"-3"-896,-15-5 5,-23-10 247,39 17-350,0 0 0,-1 0 0,1 1 0,0-2 1,-1 2-1,1 0 0,0 0 0,0 0 0,0 0 1,0 2-1,-6 0 0,8-2-26,-1 1 1,1 0-1,0 0 0,-1 0 0,1 0 1,0 0-1,0 0 0,0 0 0,0 0 1,0 1-1,0-1 0,0 1 0,0 0 1,0-1-1,0 0 0,1 1 0,-1-1 1,1 1-1,-1 2 0,-7 39 83,5-23-110,2-13 23,-1-2-1,2 0 0,-1 1 1,0-1-1,1 0 0,0 2 0,1-2 1,-1 0-1,1 1 0,1 4 0,-2-7 6,1-1-1,0-1 0,0 1 0,0-1 0,0 1 0,0-1 0,0 1 0,0-1 1,0 0-1,1 0 0,-1 2 0,0-2 0,1 0 0,-1 0 0,1 0 0,-1 0 0,1-1 1,-1 1-1,1 0 0,0-1 0,-1 1 0,1-1 0,0 0 0,0 1 0,-1-1 1,1 0-1,0 0 0,0 0 0,0 0 0,-1 0 0,1-1 0,1 1 0,2-1 26,-1 0 0,1 0-1,-1 0 1,0 0-1,1-1 1,-1 1-1,0-2 1,0 1-1,0 0 1,0-1-1,0 1 1,-1-1 0,1-1-1,3-2 1,1-4 167,-1 0 0,0 0 0,0 0 0,6-15 1,-12 23-159,-1 1 0,1 0 0,0 0 0,-1-1 1,1 0-1,-1 1 0,1-1 0,-1 1 0,0 0 1,0-1-1,1 1 0,-1-1 0,0 1 0,0 0 1,0-1-1,-1-3 0,1 5-44,-1-1-1,1 1 1,-1-1 0,1 1-1,-1 0 1,1-1 0,-1 1-1,1-1 1,-1 1 0,1 0-1,-1-1 1,0 1 0,1 0-1,-1 0 1,1 0 0,-1-1-1,0 1 1,1 0 0,-1 0 0,0 0-1,1 0 1,-1 0 0,0 0-1,1 0 1,-1 0 0,0 0-1,1 1 1,-1-1 0,0 0-1,1 0 1,-1 0 0,1 1-1,-1-1 1,1 0 0,-1 1-1,0 0 1,1-1-83,-1 0 1,1 0-1,-1 0 1,1 0-1,0 1 1,-1-1-1,1 0 1,0 0-1,-1 0 0,1 1 1,0-1-1,-1 0 1,1 1-1,0-1 1,0 0-1,-1 1 1,1-1-1,0 0 1,0 1-1,0-1 0,0 0 1,-1 2-1,1-2 1,0 1-1,0-1 1,0 0-1,0 1 1,0-1-1,0 1 0,0-1 1,0 0-1,0 1 1,0-1-1,0 1 1,0-1-1,0 0 1,1 1-1,-1-1 0,0 1 1,0-1-1,0 0 1,0 1-1,1-1 1,-1 1-1,2 4-2094</inkml:trace>
  <inkml:trace contextRef="#ctx0" brushRef="#br0" timeOffset="3561.88">1425 1 16639,'0'0'2966,"0"4"-2753,26 164 726,-22-146-802,13 37 1,-12-42-26,0 0 1,-2 1-1,5 34 1,-5 6 218,-9 105-1,5-136-275,1-1-1,1 2 1,6 38-1,-3-41-20,-2 0-1,0 1 0,-2-2 0,-2 30 0,-14 42-33,-2-3 0,-5 1 0,-41 106 0,34-127 0,-2 0 0,-68 112 0,89-168 36,-1-1 0,-1 0 0,-1 0-1,0-1 1,-1-1 0,-30 23 0,31-25-31,6-7-402,1 2 0,-1-1-1,2 1 1,-1 0 0,1 1-1,0-1 1,-6 11 0,11-18 225,1 1 1,0-1-1,0 1 1,-1-1-1,1 0 1,0 1-1,0-1 1,0 1-1,0-1 1,0 1-1,0-1 1,-1 2-1,1-2 1,0 1-1,1-1 1,-1 1-1,0-1 0,0 1 1,0-1-1,0 1 1,0-1-1,0 1 1,1-1-1,-1 1 1</inkml:trace>
  <inkml:trace contextRef="#ctx0" brushRef="#br0" timeOffset="4595.95">1873 1235 19327,'0'0'2560,"4"-1"-2432,20-8 43,-1 3 0,1 0-1,0 2 1,0 1 0,24 0-1,-8-3-2275,-35 4 1272,1 1 0,-1 0 1,1 0-1,0 1 0,-1 0 0,1 0 0,7 1 1</inkml:trace>
  <inkml:trace contextRef="#ctx0" brushRef="#br0" timeOffset="5039.46">2011 903 20607,'0'0'2283,"7"5"-2176,7 7-143,7 5-1695,0-1 1,45 25 0,-24-19-10152</inkml:trace>
  <inkml:trace contextRef="#ctx0" brushRef="#br0" timeOffset="72303.17">2618 1080 16767,'2'-10'11,"-1"9"-3,-1 0 1,1-1-1,-1 1 0,1-1 1,-1 0-1,0 1 1,0-1-1,0 1 0,0-2 1,0 2-1,0-1 1,0 0-1,-1-1 0,1 3-1,0-1 0,0 1 0,0 0 0,0 0 0,-1 0-1,1 0 1,0-1 0,0 1 0,0 0 0,0 0 0,-1 0-1,1 0 1,0 0 0,0 0 0,0 0 0,0 0-1,-1 0 1,1-1 0,0 1 0,0 0 0,0 0 0,-1 0-1,1 0 1,0 0 0,0 0 0,0 0 0,-1 0-1,1 0 1,0 1 0,0-1 0,0 0 0,-1 0 0,1 0-1,0 0 1,0 0 0,0 0 0,0 0 0,-1 0 0,1 0-1,0 1 1,0-1 0,-10 9 344,5-1 97,13-13 130,0-2-464,0 1 0,-1-2 0,0 1 0,-1-1-1,1 0 1,-1-1 0,-1 1 0,6-10-1,3-7 184,1 2 0,27-35 0,-20 31-49,20-33 0,-4 2 93,71-80 1,-93 116-251,-2 0 1,0-1 0,-1 0-1,16-39 1,10-20 90,-24 51-87,-10 20-23,1 0 0,0 0 0,12-16 1,-15 23-89,3-2 395,-5 13 163,-2 7-466,1 56 25,-3 1 1,-3-2-1,-16 79 0,4-55-69,4 1 0,4 0 0,2 108 0,8-184-32,0-1 0,-4 23 0,3-34 0,0 1 0,-1-2 0,0 1 0,0 1 0,0-2 0,-1 1 0,0 0 0,0-1 0,-5 8 0,-2-2 0,9-11 0,0 1 0,0 0 0,0 0 0,0-1 0,0 1 0,0 0 0,1 0 0,-1 0 0,0 0 0,1 0 0,-1 0 0,0 0 0,1 1 0,-1-1 0,1 0 0,0 0 0,-1 1 0,1-1 0,0 0 0,0 0 0,0 0 0,0 0 0,0 1 0,0 2 0,3 14-9,-2-7-14,1 0-1,1 0 1,-1-1 0,2 1-1,6 17 1,15 26-724,-25-54 477,1 0 0,1 1-1,-1-1 1,1 0 0,-1 0 0,0 0-1,1 0 1,-1 0 0,1 0-1,-1-1 1,0 1 0,1 0 0,-1-1-1,0 1 1,1-1 0,1 0-1</inkml:trace>
</inkml:ink>
</file>

<file path=xl/ink/ink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07:09:37.476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344 50 14080,'0'0'8191,"-2"4"-8084,-7 8-93,5-7 13,-1 1 0,1-1 0,0 1 0,1 0 0,0 0-1,0 0 1,0 0 0,-3 11 0,6-16-10,0 0-12,0 0 1,0-1-1,0 1 0,0 0 1,1 0-1,-1 0 0,0 0 1,0 0-1,1-1 0,-1 1 0,1 0 1,-1 0-1,0-1 0,1 1 1,-1 0-1,1-1 0,0 1 0,-1 0 1,1-1-1,0 1 0,-1-1 1,1 1-1,0-1 0,0 1 0,-1-1 1,1 1-1,0-1 0,1 1 1,0-1 100,-3 2 1,0 1-68,-1 0 0,0 0 0,0 0 0,0 0 0,0 0 0,0 0 0,-1-1 0,1 1 0,-1-1 0,1 1 1,-1-1-1,0 0 0,0 0 0,0 0 0,0-1 0,-4 2 0,-14 11 108,18-12-136,0 0 0,1 1 0,-1-1 0,1 1 1,0 0-1,0 0 0,0-1 0,0 2 1,1-1-1,-1 0 0,1 0 0,0 0 0,0 1 1,0-1-1,0 0 0,0 1 0,1-1 1,0 1-1,-1 5 0,-2 19 149,-10 16-54,0-36-106,6-4 0,15-4 0,9-2 0,-6 4 0,-11-1 0,1-1 0,-1 0 0,1 0 0,0 1 0,-1-1 0,1 0 0,0 0 0,-1 0 0,1 0 0,0 0 0,-1 0 0,1 0 0,0 0 0,-1 0 0,1 0 0,0 0 0,-1 0 0,1 0 0,0-1 0,0 1 0,4-2 0,-1 1 0,1 0 0,0 0 0,0 1 0,0-1 0,0 1 0,-1 0 0,1 0 0,0 1 0,0 0 0,0 0 0,-1 0 0,1 0 0,0 0 0,5 4 0,-4-2 0,0 0 0,0 0 0,0 0 0,-1 1 0,1 0 0,-1 0 0,0 0 0,-1 1 0,1 0 0,7 10 0,-9-10 0,83 115 0,-80-112 0,0 0 0,-1 0 0,1 0 0,-2 1 0,1 0 0,-1 0 0,-1 0 0,5 16 0,-7-20 0,0 1 0,0-1 0,-1 1 0,0-1 0,0 0 0,0 1 0,-1-1 0,1 1 0,-1-1 0,-1 0 0,1 1 0,-1-1 0,0 0 0,0 0 0,0 0 0,-1 0 0,-3 5 0,-32 49 0,26-38 0,-1-1 0,-1 0 0,0-1 0,-2 0 0,-27 25 0,23-28 0,0-1 0,-1-1 0,0-1 0,-1-1 0,0 0 0,-1-2 0,0-1 0,-1-1 0,-28 6 0,48-13-30,-1 0 0,0 0 0,1-1 0,-1 1 0,0-1-1,1 0 1,-1-1 0,1 1 0,-1-1 0,0 0 0,1 0 0,-1 0-1,-4-3 1,7 3-90,0 0 1,0-1-1,0 1 0,0 0 0,0-1 1,1 1-1,-1-1 0,1 0 0,-1 0 0,1 1 1,-1-1-1,1 0 0,0 0 0,0 0 1,0 0-1,0-1 0,1 1 0,-1 0 0,0 0 1,1 0-1,0-1 0,-1 1 0,1 0 0,0-1 1,0 1-1,0 0 0,1-5 0,1-2-633,0 0-1,0 1 0,1-1 0,0 0 1,7-13-1,5-9-10019</inkml:trace>
  <inkml:trace contextRef="#ctx0" brushRef="#br0" timeOffset="631.4">484 61 19711,'0'0'3200,"5"-3"-3093,9-3-61,0 0 0,0 1 1,0 0-1,0 1 0,1 1 0,0 0 1,0 1-1,0 1 0,-1 0 0,1 1 0,19 3 1,-23-2-19,-1 2 1,1 0-1,14 5 1,29 8-37,-51-15 6,1-1 0,0 1 1,-1-1-1,1 0 1,-1 0-1,1-1 0,0 1 1,-1-1-1,1 1 1,-1-1-1,1 0 1,4-3-1,-7 4-11,-1 0-1,0-1 1,1 1-1,-1 0 1,0 0-1,1-1 1,-1 1 0,0 0-1,1 0 1,-1-1-1,0 1 1,0 0-1,1-1 1,-1 1 0,0-1-1,0 1 1,0 0-1,0-1 1,1 1-1,-1-1 1,0 1 0,0 0-1,0-1 1,0 1-1,0-1 1,0 1 0,0 0-1,0-1 1,0 1-1,0-1 1,0 1-1,-1-1 1,1 1 0,0 0-1,0-1 1,0 1-1,0 0 1,-1-1-1,1 1 1,-1-1 0,1 0-54,0 1 1,0-1 0,-1 1-1,1-1 1,0 0 0,0 0-1,-1 1 1,1-1-1,0 0 1,0 1 0,0-1-1,0 0 1,0 0 0,0 1-1,0-1 1,0 0 0,1 1-1,-1-1 1,0-1 0,18-18-4585</inkml:trace>
  <inkml:trace contextRef="#ctx0" brushRef="#br0" timeOffset="1766.25">850 876 21631,'-4'-1'128,"-3"0"-92,5 0-12,-1 0 0,1 0-1,0 1 1,-1-1 0,1 1 0,0 0 0,-1 0 0,1 0-1,0 0 1,-1 0 0,1 0 0,-1 0 0,1 1-1,0 0 1,-1-1 0,1 1 0,0 0 0,0 0 0,-3 1-1,-2 4 58,0 0 21,-1 0 0,1 0 0,0 1 0,1-1 0,-1 2-1,2-1 1,-7 10 0,15-24-122,0 1 0,1 0 0,0 0-1,0 1 1,0-1 0,1 1 0,0 0-1,0 0 1,8-6 0,-7 6-686,0 1 0,1 0 0,0 0 1,0 0-1,11-3 0,12-3-12136</inkml:trace>
  <inkml:trace contextRef="#ctx0" brushRef="#br0" timeOffset="2676.74">1429 188 19455,'-13'-4'9,"-19"-10"88,31 13-62,-1 0 0,1 1 0,0-1 0,0 0 0,0 0 0,0 0 0,0 0 0,0-1 0,1 1 0,-1 0 0,0 0 0,1 0 0,-1-1 0,0 1-1,1 0 1,0-1 0,-1 1 0,1-1 0,0 1 0,-1 0 0,1-3 0,0 3-10,0 0 0,0 0 0,0 1 0,0-1 0,-1 0 0,1 0 0,0 1 1,0-1-1,-1 0 0,1 1 0,-1-1 0,1 0 0,-1 1 0,1-1 0,-1 1 0,1-1 0,-1 1 0,1-1 0,-1 1 0,1-1 0,-1 1 0,0-1 0,1 1 0,-1 0 0,0-1 1,0 1-1,1 0 0,-1 0 0,0 0 0,0-1 0,1 1 0,-1 0 0,0 0 0,0 0 0,1 0 0,-1 0 0,0 0 0,0 1 0,-1-1 0,-37 8 183,31-6-117,0 0-58,0 1 1,1-1-1,-1 2 0,1-1 0,0 1 0,0 0 0,0 0 0,0 0 0,-11 11 1,9-5-10,-1 0 0,1 1 1,1 0-1,0 0 0,-8 14 1,-2 11 36,2 0 0,-22 75 1,29-80-29,2 0 1,0 1-1,2-1 1,2 1-1,1 0 1,3 45-1,-1-72-33,1 1 0,-1-1 0,2 1 0,-1-1 0,0 0 0,1 1 0,0-1 0,0 0 0,1 0 0,-1 0 0,1 0 0,0-1 0,1 1 0,-1-1 0,6 5 0,-6-6 0,1 0 0,0 0 0,0 0 0,0-1 0,0 1 0,1-1 0,-1 0 0,0-1 0,1 1 0,0-1 0,-1 0 0,1 0 0,0 0 0,0-1 0,-1 1 0,1-1 0,8-1 0,-7 0 0,0-1 0,-1 0 0,0 0 0,1 0 0,-1 0 0,0-1 0,0 0 0,-1 0 0,1 0 0,0 0 0,5-7 0,8-7 0,17-21 0,-35 38 0,14-18 36,-1-2 0,-1 1 0,-1-2-1,-1 0 1,12-33 0,-12 27 5,-2 9 29,-2-1 0,0 0 0,-1-1 0,-1 1-1,-1-1 1,-1 1 0,-1-1 0,0 0 0,-1 0-1,-5-25 1,-25-115 293,30 159-369,0 0 1,-1 0-1,1-1 1,0 1-1,0 0 1,1 0-1,-1 0 1,0-1-1,0 1 1,1 0-1,-1 0 1,0 0-1,1-1 1,0 0-1,1-1-624,-5 11-1068,-6 13-1608</inkml:trace>
</inkml:ink>
</file>

<file path=xl/ink/ink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07:09:52.626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1 0 18047,'0'0'2198,"1"5"-1985,3 13-120,0 1 139,0 1 1,-1 0 0,1 33 0,-8 23 411,-1 54 248,2 156-337,5-119-385,-2 27 129,-7-131 0,28-85-43,-1-4-234,-2-1 0,-1 0 1,15-33-1,6-9-5,-27 52-17,1 1 0,22-24 0,11-14 0,-7-1 0,-26 35 0,2-1 0,0 2 0,1 0 0,1 1 0,34-30 0,-49 47 0,0 1 0,-1-1 0,1 1 0,0-1 0,-1 1 0,1-1 0,0 1 0,-1 0 0,1-1 0,0 1 0,0 0 0,0 0 0,-1 0 0,1 0 0,0-1 0,0 1 0,0 0 0,-1 0 0,1 0 0,0 1 0,0-1 0,0 0 0,-1 0 0,1 0 0,0 1 0,0-1 0,0 0 0,-1 1 0,2 0 0,0 0 0,-1 1 0,1-1 0,-1 1 0,1 0 0,-1 0 0,0 0 0,0 0 0,0 0 0,0 0 0,1 4 0,2 6 0,-1 0 0,4 25 0,-4 3 0,-1 1 0,-4 50 0,-15 83 0,4-67 0,8-64 0,2-28 0,1 0 0,0 1 0,2-1 0,1 24 0,-1-38 0,0-1 0,0 0 0,0 0 0,0 0 0,0 0 0,0 0 0,0 0 0,0 0 0,0 0 0,0 1 0,0-1 0,0 0 0,0 0 0,0 0 0,0 0 0,0 0 0,0 0 0,0 0 0,0 0 0,0 0 0,1 0 0,-1 0 0,0 0 0,0 1 0,0-1 0,0 0 0,0 0 0,0 0 0,0 0 0,0 0 0,0 0 0,0 0 0,1 0 0,-1 0 0,0 0 0,0 0 0,0 0 0,0 0 0,0 0 0,0 0 0,0 0 0,0 0 0,1 0 0,-1 0 0,0 0 0,0 0 0,0 0 0,0 0 0,0 0 0,0 0 0,0-1 0,0 1 0,0 0 0,0 0 0,1 0 0,-1 0 0,0 0 0,7-8 0,8-13 0,-14 20 0,74-132 71,-17 28 8,57-94 134,-75 134-132,3 1-1,98-110 1,-78 99-24,-35 39-40,-1-1 1,-2-1 0,-2-1 0,-1-1-1,22-59 1,-42 96-18,-1 4 0,-1 12 0,-4 20 0,-4-3-913,-1-1 1,-1 0-1,-17 34 0,4-9-2134,-19 48-9326</inkml:trace>
</inkml:ink>
</file>

<file path=xl/ink/ink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07:09:54.046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1 191 20223,'0'0'1024,"6"0"-917,161-2 239,128 1 375,414 6 153,-273-28-649,193-6 190,-533 28-323,72-1 182,189-27 0,457-67 516,-776 91-738,29-3 66,-62 8-113,-1 0 0,0 0 0,0 1 0,0-1 0,1 1 0,-1 0 0,0 0-1,0 0 1,0 0 0,0 1 0,0 0 0,4 2 0,-8-4-15,0 0 1,1 0-1,-1 1 0,0-1 0,0 0 0,0 0 1,1 0-1,-1 0 0,0 0 0,0 0 0,0 1 0,0-1 1,1 0-1,-1 0 0,0 0 0,0 1 0,0-1 1,0 0-1,0 0 0,1 0 0,-1 1 0,0-1 0,0 0 1,0 0-1,0 0 0,0 1 0,0-1 0,0 0 1,0 0-1,0 1 0,0-1 0,0 0 0,0 0 1,0 1-1,0-1 0,-9 4-815,-12-4-834,-12-3-1584,-17-1-9876</inkml:trace>
  <inkml:trace contextRef="#ctx0" brushRef="#br0" timeOffset="850.05">367 574 21503,'29'-5'22,"4"-3"99,0 1 0,1 3 0,0 0-1,0 2 1,37 3 0,230 9 269,-2-25-41,-112 5-64,278-23 292,286-7 403,-45 63-212,-572-12-647,33 1 14,-63-11-2,142 9 268,-186-7-186,-46-3-89,-14 0-153,0 0 0,0 0 1,0 0-1,0 0 0,0 0 0,0 0 1,1 0-1,-1 0 0,0 0 0,0 0 1,0 0-1,0 0 0,0 0 0,0 0 1,0 0-1,1 0 0,-1 0 0,0 0 1,0 0-1,0 1 0,0-1 0,0 0 0,0 0 1,0 0-1,0 0 0,0 0 0,0 0 1,0 0-1,0 1 0,0-1 0,1 0 1,-1 0-1,0 0 0,0 0 0,0 0 1,0 0-1,0 1 0,0-1 0,0 0 1,0 0-1,0 0 0,0 0 0,-1 0 1,1 0-1,0 0 0,0 1 0,0-1 1,0 0-1,0 0 0,0 0 0,0 0 1,0 0-1,0 0 0,0 0 0,0 0 1,0 1-1,-1-1 0,1 0 0,0 0 1,0 0-1,0 0 0,-6 8-1267,5-8 1111,-10 13-3529</inkml:trace>
</inkml:ink>
</file>

<file path=xl/ink/ink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07:10:14.279"/>
    </inkml:context>
    <inkml:brush xml:id="br0">
      <inkml:brushProperty name="width" value="0.1" units="cm"/>
      <inkml:brushProperty name="height" value="0.1" units="cm"/>
      <inkml:brushProperty name="color" value="#33CCFF"/>
    </inkml:brush>
  </inkml:definitions>
  <inkml:trace contextRef="#ctx0" brushRef="#br0">976 93 2048,'39'35'-128,"-39"-35"125,0 0 0,0 0 0,0 0 0,0 0 0,0 0-1,0 0 1,0 0 0,0 0 0,0 0 0,0 0 0,0 0 0,0 0 0,0 0 0,0 0 0,0 0 0,1 0 0,-1 0-1,0 0 1,0 0 0,0 0 0,0 0 0,0 0 0,0-1 0,0 1 0,0 0 0,0 0 0,0 0 0,0 0 0,0 0 0,0 0-1,0 0 1,0 0 0,0 0 0,0 0 0,0 0 0,0 0 0,0 0 0,0 0 0,0 0 0,0 0 0,1 0 0,-1 0-1,0 0 1,0 0 0,0 0 0,0 0 0,0 0 0,0 0 0,0 0 0,0 1 0,0-1 0,0 0 0,0 0 0,0 0-1,0 0 1,-3-7-56,-7-13 14,1 9 724,0 2 0,0 0 0,-1 0 0,0 0 0,-20-13 0,0-9 11801,1 87-11044,20-39-1215,0 1-1,1-2 0,1 3 1,-6 21-1,-5 57 348,11-52-252,-3-1-1,-25 75 1,16-61-179,2 2-1,3-1 1,-9 91-1,0-2-127,13-76 117,-2 120 0,4-23-16,5-33-110,3-25 0,-45 291 22,30-181 80,12-133-98,5 79-4,2-49 0,-5 4 0,7 190 0,-4-280 16,-2 1 0,0 0 0,-3 0 0,-1-1 0,-1 1 0,-1-1 0,-16 47 0,19-71-16,0 3 0,1-4 0,0 5 0,1-3 0,0 1 0,1 3 0,0-5 0,0 1 0,1 2 0,1-2 0,3 16 0,9 41 0,-3 2 0,3 77 0,-9-48 0,0 42 0,-2-83 0,10 61 0,-6-62 0,1 61 0,-17 104 0,8-178 0,2-3 0,7 56 0,-3-49 0,-1 67 0,-9-68 0,-1 4 0,-20 65 0,13-60 0,-8 70 0,7 98-12,7-81 259,-3-58-221,1 17-31,-1 100 5,10-187 0,-1-1 0,-1 2 0,0-3 0,-1 2 0,0-2 0,-1 1 0,0 0 0,-10 20 0,12-30 1,-4 9 65,0 0 0,-6 17 0,10-25-50,1 1-1,0-1 0,0 1 1,1-2-1,-1 4 1,1-2-1,0 0 1,0-2-1,0 3 0,1-1 1,1 8-1,15 43-15,-17-55-1,0 1-1,0 0 0,1-1 0,-1 0 0,0 1 1,1 0-1,-1 0 0,0-1 0,1 1 1,-1 0-1,1-1 0,-1 1 0,1-1 1,-1 2-1,1-2 0,0 1 0,-1-1 1,1 1-1,0-1 0,-1 1 0,1-1 1,0 0-1,-1 2 0,2-2 0,26 5-129,0 1-78</inkml:trace>
  <inkml:trace contextRef="#ctx0" brushRef="#br0" timeOffset="1759.49">0 5605 19839,'10'33'189,"22"84"753,-29-108-900,1 1-1,0 1 1,1-1 0,-1-1-1,2-1 1,0 2 0,7 8-1,20 35 287,-2 23 47,-20-49-178,23 47-1,34 25-6,-45-68-118,-2 1 0,18 35 0,-35-61-56,-1 2 1,1-2 0,0 1 0,0 1-1,0-3 1,1 3 0,0-2 0,1-1-1,-1-1 1,1 1 0,0 0 0,1 1 0,7 4-1,-14-10-15,0 0-1,1 0 1,-1 0-1,0 0 1,0 0-1,0 0 1,1 0-1,-1 0 0,0 1 1,0-1-1,0 0 1,1 0-1,-1 0 1,0 0-1,0 0 1,0 0-1,0 0 1,1 0-1,-1 0 1,0-1-1,0 1 0,0 0 1,1 0-1,-1 0 1,0 0-1,0 0 1,0 0-1,0 0 1,1 0-1,-1 0 1,0-1-1,0 1 1,0 0-1,0 0 0,0 0 1,1 0-1,-1 0 1,0-1-1,0 1 1,0 0-1,0 0 1,0-1-1,2-13 44,-4-12 20,2 26-64,-6-40-12,3 29-32,1-1-1,1-2 1,0 0-1,1-16 1,2-20-260,-2 1-1,-2 0 1,-10-60 0,-42-147-143,46 223 436,-1 3 0,-21-48 0,24 66 23,0 1 0,-1 0 0,0 1-1,-1-3 1,0 2 0,-1 3 0,0-3-1,-1 3 1,-13-13 0,29 26 14,0-2 1,0-2-1,0 2 0,0-1 0,0 1 1,0-1-1,13 1 0,54 4 400,-54-5-379,82 4 388,160-15 0,-245 8-431,55 3 103,-70-2-106,-1 0-1,0 0 1,0 0-1,1 0 1,-1 0 0,0 0-1,0 1 1,0-1-1,1 0 1,-1 0-1,0 0 1,0 0 0,1 0-1,-1 0 1,0 0-1,0 1 1,0-1 0,1 0-1,-1 0 1,0 0-1,0 0 1,0 2 0,0-2-1,0 0 1,1 0-1,-1 0 1,0 1 0,0-1-1,0 0 1,0 0-1,0 1 1,0-1-1,0 0 1,0 0 0,0 2-1,-2 8 6,-8 16-12,-3-5 6,-24 28 0,22-32 0,0 4 0,-12 21 0,-65 149 0,-53 96 0,128-260 0,-6 11 0,-40 52 0,59-88 0,4-9 0,4-4 0,12-22 3,34-81-27,41-139-83,-67 188 125,-6 18 19,-2 2 0,16-76-1,-33 116-36,-2 7 0,-10 17 0,-12 29 0,9-6 31,12-30-15,-1 0 0,0 1 1,-1-2-1,0 0 0,-9 15 0,15-26-16,0 0 0,0 0 0,0 0 0,0 0 0,0 0 0,0-1 0,0 1 0,0 0 0,0 0 0,0 0 0,0 0 0,0-1 0,0 1 0,0 0 0,0 0 0,0 0 0,-1 0 0,1 0 0,0 0 0,0-1 0,0 1 0,0 0 0,0 0 0,0 0 0,0 0 0,-1 0 0,1 0 0,0 0 0,0 0 0,0 0 0,0-1 0,0 1 0,-1 0 0,1 0 0,0 0 0,0 0 0,0 0 0,0 0 0,0 0 0,-1 0 0,1 0 0,0 0 0,0 0 0,0 0 0,0 0 0,-1 0 0,1 0 0,0 0 0,0 1 0,0-1 0,0 0 0,0 0 0,-1 0 0,1 0 0,0 0 0,0 0 0,0 0 0,0 0 0,0 0 0,0 1 0,0-1 0,-1 0 0,1 0 0,0 0 0,0 0 0,0-11 0,2-7 0,1-2 0,-2 0 0,0-1 0,-1 0 0,-3-24 0,3 44 4,0 1-1,0-1 1,0 0-1,0 1 1,0-1-1,0 1 1,0-2-1,-1 1 1,1 1-1,0-1 1,0 1-1,-1-1 1,1 1 0,0-1-1,-1 1 1,1-1-1,-1 1 1,0-2-1,-7 5 160,-11 24 222,11-17-274,-5 9-46,-19 34 1,21-32 28,-24 32 1,21-37-33,11-13-49,0-1 1,0 0-1,0 1 0,1 1 0,-1 0 1,1 0-1,0-2 0,0 1 0,0 0 1,0 2-1,1-2 0,-2 5 0,3-8-11,0 0 0,1 0 0,-1 0 0,0 0 0,0 0 0,1 0-1,-1 0 1,0 0 0,0 0 0,0 0 0,1 0 0,-1 0 0,0 0 0,0 0-1,1 0 1,-1 0 0,0 0 0,0 0 0,0 0 0,1-1 0,-1 1 0,0 0 0,0 0-1,0 0 1,0 0 0,1-2 0,-1 2 0,0 0 0,0 0 0,0 0 0,0-1-1,0 1 1,0 0 0,1 0 0,-1 0 0,0-1 0,0 1 0,0 0 0,0-1 0,8-8-56,14-26 1363,1 2-3331,11-11-9792,50-54 0,-62 74 11814</inkml:trace>
</inkml:ink>
</file>

<file path=xl/ink/ink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07:11:33.978"/>
    </inkml:context>
    <inkml:brush xml:id="br0">
      <inkml:brushProperty name="width" value="0.1" units="cm"/>
      <inkml:brushProperty name="height" value="0.1" units="cm"/>
      <inkml:brushProperty name="color" value="#33CCFF"/>
    </inkml:brush>
  </inkml:definitions>
  <inkml:trace contextRef="#ctx0" brushRef="#br0">3 534 22271,'0'0'128,"4"1"0,10 3-24,0-1 0,0 0-1,0-1 1,25 0-1,65-5 275,-23 0-228,-59 3-166,14 1 54,0-3 1,43-6-1,-69 7-264,0-1 0,-1-1 0,1 1 0,-1-2 1,1 1-1,-1-1 0,0-1 0,-1 0 0,1 0 0,-1 0 0,0-1 0,13-13 0,-1-3-3059</inkml:trace>
  <inkml:trace contextRef="#ctx0" brushRef="#br0" timeOffset="265.5">1 157 24191,'0'0'0,"30"37"0,1-16 0,14 0 0,15-5 0,12-6 0,11-12 0,9-11-1024,10-35 128,8-27 0,101-49-14207</inkml:trace>
</inkml:ink>
</file>

<file path=xl/ink/ink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07:11:23.438"/>
    </inkml:context>
    <inkml:brush xml:id="br0">
      <inkml:brushProperty name="width" value="0.1" units="cm"/>
      <inkml:brushProperty name="height" value="0.1" units="cm"/>
      <inkml:brushProperty name="color" value="#33CCFF"/>
    </inkml:brush>
  </inkml:definitions>
  <inkml:trace contextRef="#ctx0" brushRef="#br0">388 0 17023,'0'0'256,"-3"4"-106,-5 7 6,1 0 1,1 0-1,0 1 1,0 0-1,1 0 0,1 0 1,0 0-1,-3 20 1,-18 148 1635,-7 38-523,2-25-640,-30 289 374,56-459-960,0-1-1,-1 1 1,-2-1 0,0 0-1,-1-1 1,-1 1 0,-1-2-1,-1 1 1,-27 36 0,-30 28 191,68-85-234,0 0 0,0 0 0,0 1 0,0-1 0,0 0 0,0 0 0,0 1 0,0-1 0,-1 0 0,1 0 0,0 0 0,0 1 0,0-1 0,0 0 0,-1 0 1,1 0-1,0 1 0,0-1 0,0 0 0,-1 0 0,1 0 0,0 0 0,0 0 0,-1 0 0,1 0 0,0 0 0,0 0 0,-1 1 0,1-1 0,0 0 0,0 0 0,-1 0 0,1 0 0,0-1 0,0 1 0,-1 0 0,1 0 0,0 0 0,0 0 0,-1 0 0,1 0 0,0 0 0,0 0 0,0 0 0,-1-1 0,1 1 0,0 0 0,0 0 0,0 0 0,-1 0 0,1-1 0,0 1 0,0 0 0,0 0 0,0 0 0,0-1 0,-1 1 0,1 0 0,0 0 0,0-1 0,0 1 0,0 0 0,-2-20-267,1 18 171,2-28-900,0 1 1,2 0 0,7-31-1,0-2-2553,-2 4-7373</inkml:trace>
  <inkml:trace contextRef="#ctx0" brushRef="#br0" timeOffset="546.07">142 89 19967,'-2'90'0,"8"-105"19,-3 5 8,0 0 1,1 0-1,8-16 0,-7 21 25,0 0 0,0 0 0,0 0 0,1 1 0,0-1 0,0 2 0,0-1 0,0 0 0,1 1 0,-1 1 0,1-1 0,0 1 0,0 0 0,0 0 0,0 1 0,0 0 0,0 0 0,0 1 0,9 0 0,6 1 26,0 0 0,0 2 0,0 1 0,41 12 0,-11 3 85,-1 2 1,78 43-1,-87-38-70,-1 1-1,70 61 1,-100-79-43,-1 1 1,0 0-1,-1 1 1,0 0-1,14 22 1,-21-29-30,1 1 0,-1-1 0,0 0 0,0 1 0,-1-1 0,0 1 1,1 0-1,-1-1 0,-1 1 0,1 0 0,-1 0 0,0 0 0,0-1 0,0 1 1,-1 0-1,1 0 0,-1-1 0,0 1 0,-1 0 0,-3 8 0,-4 2 7,0-1-1,-1 0 1,0-1-1,-1 0 1,-1-1-1,0 0 1,0 0-1,-1-2 1,-24 16-1,-11 4 81,-81 36 0,66-36-174,-86 38 247,127-60-396,0 0 0,0-2 0,-1-1 0,-43 5 0,65-10 113,0 0-1,0 1 1,0-1-1,0 0 1,0 0-1,0 0 1,0-1-1,0 1 1,0 0 0,0 0-1,0 0 1,0-1-1,1 1 1,-1-1-1,0 1 1,-1-1-1,1 0 62,1 1 0,0 0 0,0-1 0,0 1 0,-1 0 0,1-1 1,0 1-1,0-1 0,0 1 0,0-1 0,0 1 0,0 0 0,0-1 0,0 1 0,0-1 0,0 1 0,0-1 0,0 1 0,0 0 0,0-1 0,0 1 0,1-1 0,-1 1 0,0 0 0,0-1 0,4-5-393,-1 1 1,1 0-1,0 0 1,5-6-1,1 0-1353,10-14-8901</inkml:trace>
  <inkml:trace contextRef="#ctx0" brushRef="#br0" timeOffset="1449.32">964 1071 20735,'0'0'128,"0"5"0,-25 98 573,14-66-475,-10 68-1,19-67-122,5 68-1,0-6 56,-4-89-146,-1-1 0,0 0 1,0 1-1,-1-1 0,0 0 0,-1 0 0,0-1 0,-1 1 1,0-1-1,0 0 0,-11 13 0,7-8-9,1 4-306,8-16 205,-1 0-1,0 0 1,1 0-1,-1 0 1,0 0-1,0 0 1,-1-1-1,1 1 1,0 0-1,-3 2 1,3-3-434,1-1 494,0 0 0,0 0 1,0 0-1,-1 0 0,1 0 0,0 0 0,0 0 0,0 0 0,0 0 0,0 0 0,0 0 0,0 0 0,-1 0 0,1 0 0,0 0 0,0 0 0,0 0 0,0-1 0,0 1 0,0 0 0,-1-1-569,0-8-362,2-11-64,-1 20 1024,14-73-4001,-5 36-4822</inkml:trace>
  <inkml:trace contextRef="#ctx0" brushRef="#br0" timeOffset="2162.95">903 1095 16639,'-2'46'0,"0"-45"0,-1-7 0,-3-9 0,6 7 63,0 1 0,0-1 0,1 0 0,0 1 0,0-1-1,0 1 1,1 0 0,1-1 0,2-6 0,7-29 332,-11 41-327,-1-1 0,1 0 0,0 1 1,0-1-1,0 1 0,0-1 0,0 1 0,1-1 0,-1 1 0,1 0 0,0 0 0,-1 0 0,1 0 0,0 0 0,0 0 0,0 0 0,1 0 0,-1 1 0,0-1 0,1 1 0,-1 0 0,0 0 0,1 0 0,0 0 0,-1 0 0,1 0 0,0 1 0,-1-1 0,1 1 0,4 0 0,9-1 33,-1 2-1,1 0 1,0 0 0,20 6-1,-1-1 211,-24-4-238,1 0 0,0 1-1,-1 0 1,0 1 0,0 0-1,0 1 1,0 1 0,19 12 0,-24-14-21,0 0-1,-1 0 1,0 1 0,0 0 0,0 0 0,0 0 0,-1 0-1,0 1 1,0 0 0,0 0 0,-1 0 0,0 0 0,0 1-1,0-1 1,-1 1 0,3 12 0,-5-13-4,0 0-1,0 1 1,0-1-1,-1 0 1,0 0-1,0 1 1,-1-1-1,-3 10 1,-23 45 292,21-49-297,0-1 1,-1 0-1,0 0 0,0-1 1,-1 0-1,-14 11 0,-66 46 166,50-41-198,-56 24-1,94-49-10,1-1-1,-1 0 1,0 0-1,0 1 0,1-1 1,-1 1-1,0-1 1,1 0-1,-1 1 0,0-1 1,1 1-1,-1 0 1,1-1-1,-1 1 0,1-1 1,-1 1-1,1 0 1,-1-1-1,0 3 0,2-3-1,-1 0-1,0 1 1,0-1-1,0 1 0,1-1 1,-1 0-1,0 1 1,1-1-1,-1 0 0,0 1 1,1-1-1,-1 0 1,0 1-1,1-1 0,-1 0 1,1 0-1,-1 0 1,1 1-1,-1-1 0,0 0 1,1 0-1,-1 0 1,1 0-1,0 0 0,37 5-144,-34-5 137,216 22-235,-155-14 212,32 10-39,-16-1 16,-80-17 56,0 0 0,0 0 0,0 0 0,0 0 0,0 0 0,0 0 0,0 0 0,0 0 0,0 1 0,0-1 0,0 1 0,-1-1 0,1 0 0,0 1 0,0-1 0,0 1 0,0 0 0,-1-1 0,1 1 0,0 0 0,-1-1 0,1 1 0,0 0 0,0 1 0,-2-2 0,1 1 0,-1 0 0,0 0 0,0 0 0,1 0 0,-1-1 0,0 1 0,0 0 0,0-1 0,0 1 0,1-1 0,-1 1 0,0-1 0,0 1 0,0-1 0,0 0 0,0 1 0,0-1 0,-1 0 0,1 0 0,0 0 0,0 0 0,0 0 0,-1 0 0,-51 9 23,1 2 0,1 2-1,-88 35 1,111-36-16,0 1 1,1 2-1,0 1 0,2 1 1,0 1-1,0 1 0,-41 43 1,53-48-33,6-7-185,-1 1 0,2 0 0,-1 1 1,1-1-1,0 1 0,-8 18 0,14-26 104,-1 0 1,1 0-1,-1 0 0,1 0 0,0 0 0,-1 0 0,1 0 1,0 0-1,0 0 0,0 0 0,0 0 0,0 0 0,0 0 1,0 0-1,0 0 0,1 0 0,-1 0 0,0 0 0,1 0 0,0 1 1,-1-1 39,1-1 0,-1 1-1,1 0 1,0-1 0,0 0 0,-1 1 0,1-1 0,0 1 0,0-1 0,-1 0 0,1 1 0,0-1 0,0 0 0,0 0 0,-1 0 0,1 0 0,0 0 0,0 0 0,1 0-1,2 0-394,1-1 1,-1 1-1,1-1 0,-1 0 0,1-1 0,-1 1 0,7-4 0,17-11-9011</inkml:trace>
  <inkml:trace contextRef="#ctx0" brushRef="#br0" timeOffset="2776.77">1750 881 22271,'-25'34'0,"21"-6"363,-5-6-250,2 1 0,1 0 0,1 1 0,1-1 0,-1 34 0,6 120 349,-1-171-450,9 426 265,-10-370-1898</inkml:trace>
  <inkml:trace contextRef="#ctx0" brushRef="#br0" timeOffset="3102.16">2062 1444 22143,'0'0'0,"0"31"0,3-3 0,0 5 0,-1-5 0,1-6 0,-2-5 0,-1-1-128,0-4 128,0-4-1408,11-6 0,3-7 0,4-17 1</inkml:trace>
  <inkml:trace contextRef="#ctx0" brushRef="#br0" timeOffset="3311.29">2112 859 22783,'3'29'0,"2"18"0,-2-36 0,-2-23-640,-1 4 0,0-1-1792,13-2 128,7 1 1281,13-10-9473</inkml:trace>
  <inkml:trace contextRef="#ctx0" brushRef="#br0" timeOffset="3927.91">2347 1398 23551,'0'155'-277,"-11"-63"21,12-87 124,1-5 87,2-5 9,0-8-10,0 0 0,3-21 1,-4 20 5,0 0 0,8-23 1,0 13 9,1 0 0,1 1 0,2 0 0,25-32 0,-35 50 30,0-1 0,0 1 0,0 0 0,1 0 0,0 0 0,0 1 0,0 0 0,0 0 0,1 0 0,0 1 0,-1 0 0,1 0 0,9-2 0,-11 5 0,-1-1 0,0 0 0,0 1 0,1 0 0,-1 0 0,0 0 0,0 1 0,1 0 0,-1-1 0,0 1 0,0 1 0,0-1 0,0 1 0,0-1 0,0 1 0,-1 0 0,1 0 0,0 1 0,-1-1 0,0 1 0,1 0 0,-1 0 0,0 0 0,3 4 0,5 9 6,1 0-1,-2 1 1,0 1-1,-1-1 1,-1 1-1,9 31 1,-4-1 92,12 71 0,-24-109-91,0 0 0,0 0-1,-1 0 1,-1 15 0,1-21-44,-1 1 1,0-1-1,0 1 0,0-1 1,-1 1-1,0-1 1,0 0-1,0 0 0,0 0 1,0 0-1,-6 7 1,8-11 4,-1 0-1,1 1 1,0-1 0,0 0 0,0 0 0,-1 1 0,1-1 0,0 0 0,0 1-1,-1-1 1,1 0 0,0 0 0,-1 0 0,1 1 0,0-1 0,0 0 0,-1 0-1,1 0 1,-1 0 0,1 0 0,0 0 0,-1 0 0,1 0 0,0 1 0,-1-1 0,1 0-1,0 0 1,-1-1 0,1 1 0,0 0 0,-1 0 0,1 0 0,0 0 0,-1 0-1,1 0 1,-1-1 0,-6-13-806,2-24-221,5 37 1009,-3-48-2958,1-1-7829</inkml:trace>
  <inkml:trace contextRef="#ctx0" brushRef="#br0" timeOffset="4714.63">3034 1553 21887,'-12'-9'27,"9"7"-13,1 1-1,-1-1 0,1 0 0,-1 0 0,1 0 0,-1 0 1,1 0-1,0-1 0,0 1 0,0 0 0,0-1 0,1 0 1,-1 1-1,1-1 0,0 0 0,-1 0 0,1 0 0,-1-6 1,2 5 1,0 0 1,-1 1 0,0-1-1,1 0 1,-1 0 0,0 1-1,-1-1 1,1 0-1,-1 1 1,0-1 0,1 1-1,-2 0 1,1-1 0,-3-2-1,4 6-15,0-1 0,0 1 0,0 0 0,0 0 0,0-1 0,0 1 0,0 0 0,0 0 0,0 0 0,0 0 0,0 0 0,0 1 0,0-1 0,0 0 0,1 0 0,-1 1 0,0-1 0,0 0 0,0 1 0,0-1 0,0 1 0,0-1 0,0 1 0,0 0 0,-22 17 0,18-13 0,1 1 0,-1 0 0,2 0 0,-1 0 0,0 0 0,1 0 0,0 1 0,1-1 0,-1 1 0,1 0 0,1 0 0,-1 0 0,1 0 0,0 0 0,1 0 0,0 0 0,0 0 0,0 0 0,1 0 0,0 0 0,0 0 0,1 0 0,0 0 0,4 9 0,-5-14 2,-1 0-1,1-1 0,0 1 0,0 0 0,0-1 1,0 1-1,0-1 0,0 0 0,1 1 1,-1-1-1,0 0 0,1 0 0,-1 1 1,1-1-1,-1 0 0,1-1 0,0 1 0,-1 0 1,1 0-1,0-1 0,2 1 0,-1 0 8,0-1-1,0 0 1,0 0-1,-1-1 1,1 1-1,0-1 1,0 1-1,0-1 1,0 0-1,0 0 1,-1 0-1,4-2 1,5-4 36,1 0 0,-1-1 0,-1 0 0,17-16 0,-10 6-21,-1 0 1,-1-1-1,-1-1 0,22-39 1,35-93 112,-44 90-119,42-109 20,-59 141-21,-2 0 0,-1 0 1,5-61-1,-10 61 26,1 7 42,-2 0 0,-3-38 1,-2 54-52,-1 14 1,-3 16 2,-2 46-37,3 1 0,3 123 0,4-74 22,-2-26-22,-5 1 0,-3-1 0,-27 107 0,36-197-813,3-10 250,4-14-2883,1-10-9161</inkml:trace>
  <inkml:trace contextRef="#ctx0" brushRef="#br0" timeOffset="5809.99">3700 657 22271,'-12'34'44,"-5"24"190,10 22-165,3 0 0,8 104 0,-1-80-42,1 15-60,0 170-318,-4-282 192,-1 7-494,1 1 1,3 16-1,-2-26-278,0 0 1,0 0-1,0-1 0,1 1 1,4 8-1</inkml:trace>
  <inkml:trace contextRef="#ctx0" brushRef="#br0" timeOffset="6411.12">3836 1622 20095,'27'-6'6,"-1"-1"-1,1-1 0,-1-1 1,-1-1-1,0-2 0,47-29 1,-56 31-1,-1-2 1,-1 0 0,0 0 0,0-2 0,-1 1-1,-1-2 1,0 0 0,-1 0 0,0-1-1,-2 0 1,9-19 0,-15 28 13,1-1 1,-1 1-1,0-1 0,-1 0 1,0 0-1,0 0 0,-1 0 0,0 0 1,0 0-1,-1 0 0,0-1 1,-1 1-1,0 0 0,0 0 1,0 0-1,-1 0 0,0 0 0,-1 0 1,0 1-1,-4-9 0,5 13-3,0 0-1,0 0 1,-1 0-1,1 1 1,-1-1-1,0 0 1,0 1-1,0 0 1,0 0-1,0 0 1,-1 0-1,1 0 1,0 0-1,-1 1 1,-6-2-1,-7-2 19,0 2-1,-19-3 1,33 5-20,-6 0-3,1 1 0,-1-1-1,1 1 1,-1 1 0,1-1 0,-1 1-1,1 1 1,0 0 0,0 0 0,-1 0 0,1 1-1,-15 8 1,14-5-9,0 0 1,0 1-1,0 0 0,1 0 0,0 1 0,0 0 1,1 0-1,0 1 0,-6 9 0,2 1-3,0 1 0,2 0-1,0 0 1,1 1 0,1 0 0,1 1-1,1-1 1,1 1 0,-1 31-1,3-24 2,2 32 0,1-52 0,0 1 0,0-1 0,1 0 0,1 0 0,-1-1 0,1 1 0,7 14 0,-3-10 0,1 0 0,0-1 0,1 1 0,0-2 0,1 1 0,12 11 0,-17-19 0,0 0 0,1 0 0,-1 0 0,1-1 0,0 1 0,0-1 0,0-1 0,0 1 0,0-1 0,1 0 0,-1-1 0,1 1 0,-1-1 0,1-1 0,0 1 0,8-1 0,-5-1-33,1-1 0,-1 0-1,1 0 1,-1-1 0,0 0-1,0-1 1,0 0 0,-1-1-1,1 0 1,-1 0 0,0-1-1,-1 0 1,1-1 0,12-12-1,3-8-1257,0 0 0,37-60 0,-58 83 1099,22-33-11114</inkml:trace>
  <inkml:trace contextRef="#ctx0" brushRef="#br0" timeOffset="6673.08">4464 1378 22911,'0'0'0,"12"33"0,-7-16 0,3-1-128,-4-4 128,1 1-640,-2-4 0,0-1-1408,7-8 128,2-5 129,1-14 127</inkml:trace>
  <inkml:trace contextRef="#ctx0" brushRef="#br0" timeOffset="6862.55">4636 677 18303,'3'-25'0,"3"-17"128,-3 11 0,0 4 128,-6 7 128,0 4 0,-1 7 0,-4 6 0,1 21 0,-4 12-256,2 3 0,0 1-512,6 2 128,7-4-768,-1-6 128</inkml:trace>
  <inkml:trace contextRef="#ctx0" brushRef="#br0" timeOffset="7394.25">5138 1176 19967,'-2'0'0,"0"-1"0,-1 1 0,1 0 0,-1 0 0,1 0 0,-1 0 0,1 0 0,-1 1 0,1-1 0,-1 1 0,1-1 0,0 1 0,-4 2 0,1 0 0,1-1 0,0 2 0,0-1 0,1 0 0,-7 8 0,-4 4 29,0 0-1,-2 0 1,1-2-1,-2 0 1,0 0-1,-1-2 1,0 0-1,-21 9 0,38-20-28,0 0 0,1 0 0,-1 0 0,1 1 0,-1-1 0,1 0 0,-1 0 0,1 1 0,0-1 0,-1 0 0,1 0 0,-1 1 0,1-1 0,-1 1 0,1-1 0,0 0 0,-1 1 0,1-1 0,0 1 0,0-1 0,-1 1 0,1-1 0,0 1 0,0-1 0,0 1 0,-1-1 0,1 1 0,0-1 0,0 1 0,0-1 0,0 1 0,0 0 0,0-1 0,0 1 0,0-1 0,1 2 0,0 0 0,0 0 0,0-1 0,0 1 0,0 0 0,1 0 0,-1 0 0,1-1 0,-1 1 0,4 2 0,6 4 0,0 0 0,14 7 0,-2-3 7,-8-4-9,0 0 0,-1 0 0,0 2 0,22 18 0,-33-25 8,1 1 1,-1-1 0,0 1 0,-1 0 0,1 0 0,-1 0 0,1 0 0,-1 0 0,0 0 0,-1 1 0,1-1 0,-1 1 0,0 0 0,0-1 0,0 1 0,-1 0 0,0-1 0,1 1 0,-2 0 0,1-1 0,-2 10 0,-2-3 52,0-1 0,-1 1 0,0-1 0,-1 1 0,0-1 0,0-1 0,-1 1 1,-16 15-1,9-8 49,1 0-60,-42 45 558,49-56-738,1-1 0,-2 0 0,1 0 0,0 0 0,-1-1 0,0 0 0,0-1 0,-9 4 0,3-6-1183</inkml:trace>
  <inkml:trace contextRef="#ctx0" brushRef="#br0" timeOffset="7754.87">5597 414 22399,'-24'22'3,"15"-14"18,0-1 0,0 0-1,-1 0 1,-13 7 0,21-12-7,0-1 0,0 1 0,0 0 0,1 0-1,-1-1 1,1 1 0,-1 0 0,1 1 0,0-1 0,0 0 0,0 0 0,0 0 0,0 1-1,0 2 1,-12 45 56,9-29-49,-21 78 12,-32 141 94,45-174-90,-7 114 0,28 255-37,-9-427-325,1 0 0,1-1-1,-1 1 1,1 0 0,5 13-1,-7-20 271,1 0 0,-1 0-1,1 0 1,-1 0 0,1 0-1,-1-1 1,1 1 0,0 0-1,-1 0 1,1 0 0,0 0-1,0-1 1,0 1 0,-1 0-1,1-1 1,0 1 0,0-1-1,0 1 1,0-1 0,0 1-1,0-1 1,0 0 0,0 1-1,1-1 1,-1 0 0,0 0-1,0 0 1,0 0 0,0 0-1,0 0 1,0 0 0,0 0-1,0 0 1,0 0 0,0-1-1,1 1 1,-1 0 0,0-1-1,0 1 1,0-1 0,-1 1-1,1-1 1,0 0 0,0 1-1,0-1 1,0 0 0,1-1-1,13-13-3122</inkml:trace>
  <inkml:trace contextRef="#ctx0" brushRef="#br0" timeOffset="7942.92">5436 1167 19839,'0'0'0,"22"37"0,-5-12 0,3 3 0,-2-6 0,2-1-512,0-6 0,-1-7-512,22 14-11519</inkml:trace>
  <inkml:trace contextRef="#ctx0" brushRef="#br0" timeOffset="8504.23">5888 1137 21759,'-4'25'0,"1"0"0,1 0 0,1 0 0,4 36 0,-1-24 0,-4 41 0,1-54 0,1 1 0,1 0 0,2-1 0,0 1 0,1-1 0,2 0 0,9 27 0,-15-51 0,0 1 1,0 0-1,0-1 0,0 1 0,0-1 0,1 1 0,-1 0 0,0-1 0,1 1 0,-1-1 1,0 1-1,1-1 0,-1 1 0,1-1 0,-1 1 0,0-1 0,1 1 0,-1-1 0,1 0 0,-1 1 1,1-1-1,0 0 0,0 1 0,-1-1 0,1 0 0,0 0 0,-1-1 0,1 1 1,-1 0-1,1 0 0,-1-1 0,1 1 0,-1 0 0,1 0 0,-1-1 0,1 1 1,-1 0-1,1-1 0,-1 1 0,0-1 0,1 1 0,-1-1 0,0 1 1,1-1-1,15-31-24,-16 31 21,72-147-198,-10 22 61,81-174-138,-138 291 278,0 0 0,0 1 0,1 0 0,9-10 0,-14 16 0,1 0 0,-1 1 0,1-1 0,0 1 0,-1-1 0,1 1 0,0 0 0,0 0 0,0-1 0,0 1 0,0 1 0,0-1 0,0 0 0,0 0 0,0 1 0,0-1 0,0 1 0,1 0 0,-1 0 0,0 0 0,0 0 0,1 0 0,-1 0 0,0 0 0,3 1 0,-4 0 2,0 0 0,0-1-1,1 1 1,-1 0 0,0 0 0,0 0-1,0 0 1,0 0 0,0 0-1,0 0 1,-1 0 0,1 0-1,0 0 1,0 0 0,-1 1 0,1-1-1,-1 0 1,1 1 0,-1-1-1,1 0 1,-1 1 0,0-1-1,0 0 1,0 1 0,0-1 0,0 2-1,-5 42 82,3-33-62,-99 576 597,100-575-684,1 0-526</inkml:trace>
  <inkml:trace contextRef="#ctx0" brushRef="#br0" timeOffset="9121.13">6594 1167 22143,'1'7'107,"1"5"-79,0-1 1,1 0-1,0 0 1,1 0-1,6 13 1,-8-17 1,1 0 1,-1 0-1,-1 0 0,1 0 1,-1 0-1,0 1 1,-1-1-1,0 9 1,3 21 57,0 6-88,-3-43 0,0 1 0,1 0 0,-1-1 0,1 1 0,-1 0 0,1-1 0,-1 1 0,1-1 0,-1 1 0,1-1 0,0 1 0,-1-1 0,1 0 0,0 1 0,-1-1 0,1 0 0,0 1 0,-1-1 0,1 0 0,0 0 0,0 0 0,-1 1 0,1-1 0,0 0 0,0 0 0,-1 0 0,2-1 0,-1 2 0,1-1 0,-1 0 0,0 0 0,0 0 0,0 0 0,1 0 0,-1-1 0,0 1 0,0 0 0,0 0 0,1-1 0,-1 1 0,0-1 0,0 1 0,0-1 0,0 1 0,0-1 0,2-1 0,0-5-21,0 0-1,0 1 0,-1-1 0,0-1 1,3-13-1,5-17-104,28-63-311,70-129 0,-104 223 433,0 0 1,0 1 0,0-1-1,1 1 1,0 0 0,1 0-1,10-9 1,-14 13 3,0 1 0,0-1 1,1 1-1,-1 0 0,1 0 0,-1 0 0,1 0 1,-1 0-1,1 0 0,0 0 0,-1 1 0,1 0 1,0-1-1,0 1 0,-1 0 0,1 0 0,0 1 1,0-1-1,-1 0 0,1 1 0,0 0 0,-1-1 1,1 1-1,-1 0 0,1 1 0,2 0 0,2 3 0,1 0 0,-1 1 0,-1 0 0,1 0 0,-1 0 0,0 1 0,0 0 0,-1 0 0,0 0 0,0 1 0,-1 0 0,6 13 0,2 11 0,17 63 0,-28-90 0,22 84-138,11 104-1,-33-181-106,-1-10 130,0 0 0,0 0 1,0 0-1,0 0 0,1 1 1,-1-1-1,1 0 0,-1 0 1,1-1-1,0 1 0,2 4 1,-3-6 90,0 0 0,0 0 1,0 0-1,0 0 0,0 0 0,0 0 1,0 1-1,0-1 0,0 0 0,0 0 1,0 0-1,0 0 0,1 0 0,-1 0 1,0 0-1,0 0 0,0 0 0,0 0 1,0 0-1,0 0 0,0 0 0,0 1 1,1-1-1,-1 0 0,0 0 1,0 0-1,0 0 0,0 0 0,0 0 1,0 0-1,1 0 0,-1 0 0,0 0 1,0-1-1,0 1 0,0 0 0,0 0 1,0 0-1,0 0 0,1 0 0,-1 0 1,0 0-1,0 0 0,0 0 0,0 0 1,0 0-1,0 0 0,0 0 0,0-1 1,0 1-1,0 0 0,0 0 1,1 0-1,-1 0 0,0 0 0,0 0 1,0 0-1,0 0 0,0-1 0,0 1 1,0 0-1,0 0 0,0 0 0,0 0 1,0 0-1,0 0 0,0-1 0,1-8-2756</inkml:trace>
  <inkml:trace contextRef="#ctx0" brushRef="#br0" timeOffset="9842.64">7795 931 22399,'-50'31'22,"50"-31"-21,-1 0 0,1 1 0,-1-1 0,1 0 0,0 1 1,-1-1-1,1 0 0,-1 1 0,1-1 0,-1 0 0,1 0 1,-1 0-1,1 0 0,-1 1 0,0-1 0,1 0 0,-1 0 1,1 0-1,-1 0 0,1 0 0,-1 0 0,1 0 0,-1-1 0,1 1 1,-1 0-1,1 0 0,-1 0 0,1 0 0,-1-1 0,1 1 1,-1 0-1,1 0 0,-1-1 0,1 1 0,-1 0 0,1-1 1,0 1-1,-1-1 0,1 1 0,0-1 0,-1 1 0,1 0 1,0-1-1,0 1 0,-1-1 0,1 1 0,0-1 0,0 1 0,-1-2 1,2-28 41,0 22-38,-1 7-5,-1 0 0,1 0 0,-1 0 0,1 0 0,-1 0 0,1 0 0,-1 0 0,1 0 0,-1 0 0,0 0 0,1 0 0,-1 0 0,0 1 0,0-1 0,0 0 0,0 1 0,0-1 0,0 1 0,0-1 0,0 1 0,-2-1 0,-26-10 0,22 9 0,-7-3 3,7 1 5,0 1 0,-1 1 0,1-1 0,-1 1 0,0 1 0,1-1 0,-1 1 0,0 1 0,0-1 0,0 1 0,0 1 0,-7 1 0,4 1 5,1 0 0,0 1 0,0 1 0,1 0-1,-1 0 1,1 1 0,0 0 0,1 0 0,-1 1 0,1 0 0,-7 9 0,12-12-9,-1-1 1,1 2 0,0-1 0,0 0-1,1 1 1,-1-1 0,1 1-1,0 0 1,0-1 0,1 1 0,-1 0-1,1 0 1,0 0 0,1 0-1,-1 1 1,1-1 0,0 0 0,0 0-1,1 0 1,-1 0 0,1 0-1,0 0 1,1 0 0,-1 0 0,3 6-1,5 5-17,-1 0 1,2-1-1,0-1 0,1 0 0,0 0 1,1-1-1,0-1 0,1 0 0,21 15 0,-29-24 13,0 1 0,1-1 0,-1-1 0,1 1 0,-1-1 0,1 0 0,0 0 0,0-1 0,0 1 0,0-1 0,0-1 0,12 1 0,-14-1 0,0-1 0,0 0 0,0 1 0,0-1 0,0-1 0,0 1 0,0-1 0,0 1 0,-1-1 0,1 0 0,-1 0 0,1-1 0,-1 1 0,0-1 0,0 1 0,0-1 0,0 0 0,0-1 0,4-5 0,7-10 123,-9 13-30,-9 13-31,-42 74 151,9-22-1,-52 116 0,64-118 30,-4-1 1,-60 91 0,81-138-255,1 0 0,-1-1 0,0 0 0,-1 0 0,1-1 0,-18 11 1,19-14-544,0 0 0,0-1 0,-1 1 0,1-2 0,-1 1 0,-9 1 0,-4-5-3605</inkml:trace>
</inkml:ink>
</file>

<file path=xl/ink/ink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07:11:47.265"/>
    </inkml:context>
    <inkml:brush xml:id="br0">
      <inkml:brushProperty name="width" value="0.1" units="cm"/>
      <inkml:brushProperty name="height" value="0.1" units="cm"/>
      <inkml:brushProperty name="color" value="#33CCFF"/>
    </inkml:brush>
  </inkml:definitions>
  <inkml:trace contextRef="#ctx0" brushRef="#br0">861 212 18175,'0'0'662,"-4"-5"-406,-14-17 337,-19-34 0,-13-17 397,47 69-902,0 1 1,0 0 0,-1 0-1,1 0 1,-1 0 0,0 0-1,0 1 1,0 0 0,0 0 0,0 0-1,-1 0 1,1 1 0,-7-2-1,-4 0-20,-1 0 0,-25 0 0,21 2 1,9 1-38,0 1-1,1 0 1,-1 0-1,1 1 1,0 0-1,-1 1 1,1 0-1,-15 7 1,-5 4 34,-40 26 1,28-14 47,2 2 1,-70 64 0,97-78-87,0 1 0,1 1 0,1 0 0,0 0 0,1 1 0,1 1 0,1-1 1,-10 32-1,0 11 64,-14 84 1,-6 128-23,34-217-57,2 1 1,12 106-1,9-52-12,-16-98 0,1-1 0,0 1 0,0-1 0,1 0 0,0 0 0,1-1 0,8 12 0,-12-20 0,0-1 0,0 1 0,0 0 0,1-1 0,-1 1 0,0-1 0,1 0 0,-1 0 0,1 0 0,-1 0 0,1 0 0,2 0 0,36 6 0,-31-6 0,-3 0 0,0 0 0,0-1 0,0 0 0,0-1 0,0 1 0,0-1 0,0-1 0,8-1 0,3-4 0,29-14 0,-27 12 0,6-3 12,0-2 0,-1 0-1,0-2 1,-2 0-1,0-2 1,0-1 0,-2 0-1,-1-2 1,0 0 0,16-24-1,45-83-16,-68 104 12,-1-1-1,0-1 1,10-37 0,-10 15 74,-1-1 0,-3 0 1,3-59-1,-10 71-32,-1 1 0,-2-1 0,-2 1-1,-1 0 1,-10-38 0,7 45-31,-30-103 199,27 110-432,11 22 130,0 0 0,-1-1 0,1 1 0,0 0 0,0 0 0,-1-1 0,1 1 0,0 0 0,0 0 0,-1 0 1,1-1-1,0 1 0,-1 0 0,1 0 0,0 0 0,-1 0 0,1 0 0,0 0 0,-1 0 0,1-1 0,0 1 0,-1 0 0,1 0 0,0 0 0,-1 0 0,1 0 0,0 1 0,-1-1 0,1 0 0,0 0 1,-1 0-1,1 0 0,0 0 0,-1 0 0,1 0 0,0 1 0,0-1 0,-1 0 0,1 0 0,0 1 0,-1-1 0,1 0 0,0 0 0,0 1 0,0-1 0,-1 0 0,1 0 0,0 1 0,0-1 1,0 0-1,0 1 0,0-1 0,-1 0 0,1 1 0,0-1 0,0 0 0,0 1 0,0-1 0,0 1 0</inkml:trace>
  <inkml:trace contextRef="#ctx0" brushRef="#br0" timeOffset="1072.51">520 656 19455,'37'0'0,"-37"-2"39,-8 5 50,3 3-13,-1-1 0,1 1 0,0 0-1,1 0 1,-1 1 0,1 0 0,1-1-1,-1 1 1,1 1 0,0-1-1,1 0 1,0 1 0,0-1 0,0 1-1,1-1 1,0 1 0,1 0 0,0 0-1,1 13 1,-1-19-47,1 0 0,0 1 0,0-1 0,0 0 0,0-1 0,0 1 0,0 0 0,0 0 0,0 0 0,1-1 0,-1 1 0,1 0 0,-1-1 0,1 0 1,0 1-1,-1-1 0,4 2 0,39 16 319,-13-6-174,-4 3-32,0 1-1,-1 1 1,30 27-1,64 72 63,-13-12 178,-78-80-284,-1 0 47,-1 0 1,41 51-1,-22-20 44,-33-41-146,0 0 0,0 1 0,-2 0 0,0 1 0,-1 0 0,11 25 0,-19-32 21,0-1-679,-2-9 581,0 0-1,0 0 0,0 0 1,1 0-1,-1 0 1,0 0-1,0 0 0,0 0 1,0 0-1,1 0 0,-1 0 1,0 0-1,0 0 1,0 0-1,0 0 0,1 0 1,-1 0-1,0 0 0,0 0 1,0 0-1,0-1 1,1 1-1,-1 0 0,0 0 1,0 0-1,0 0 0,0 0 1,0 0-1,0 0 1,1-1-1,-1 1 0,0 0 1,0 0-1,0 0 0,0 0 1,0 0-1,0-1 0,0 1 1,0 0-1,0 0 1,0-1-1,2-1-179,-1-1-1,1 0 1,-1 0-1,0 0 1,0 0 0,0 0-1,-1 0 1,1 0-1,-1 0 1,1 0-1,-1 0 1,0 0 0,-1-5-1,1 3-730,0-32-11662</inkml:trace>
  <inkml:trace contextRef="#ctx0" brushRef="#br0" timeOffset="2470.55">1708 1 20991,'-15'7'-64,"12"-5"58,0 0 1,0-1 0,0 1-1,-1-1 1,1 0 0,0 0 0,0 0-1,-1 0 1,1-1 0,-1 1 0,-3-1-1,7 0 8,0 0 0,0 0 0,-1 0 0,1 0 0,0 0 0,-1 0 0,1 1 0,0-1 0,-1 0 0,1 0 0,0 0 0,0 0 0,-1 1 0,1-1 0,0 0 0,0 0 0,-1 0 0,1 1 0,0-1 0,0 0 0,0 0 0,0 1 0,-1-1 0,1 0 0,0 1 0,0-1 0,0 0 0,0 0 0,0 1 0,0 0 0,-1 15 143,8 21 145,-6-34-275,10 38 166,6 36 150,-12-58-216,0 0 0,1-1 0,18 36 0,0 2 44,81 266 160,-88-254-198,-3 1 0,9 128 1,-18-149-41,-3-34-37,-1 1-1,0-1 0,-1 1 0,0-1 1,-4 21-1,4-34-37,0 1 1,0-1-1,-1 1 1,1-1-1,0 1 1,1-1-1,-1 1 1,0-1-1,0 0 1,1 1-1,-1-1 1,1 1-1,-1-1 1,2 3-1,-1-2 0,0 0 0,0 0 0,-1 0 0,1 0-1,-1 0 1,1 1 0,-1-1 0,1 4-1,-1-2-5,0-1 0,1 1 0,0 0 0,0 0 0,0-1 0,0 1 0,1 0 0,-1-1 0,1 0 0,0 1 0,0-1 0,0 0 0,0 0 0,1 0 0,-1 0 0,1 0 0,0-1 0,6 5 0,-5-5 11,0-1-1,0 0 0,0-1 0,0 1 1,0-1-1,1 0 0,-1 1 1,0-2-1,8 0 0,7 0 37,21 1 57,158-7 176,-173 4-280,0 1 0,0 2 0,0 1 0,0 0 0,0 2 0,24 6 0,-12-8-2601,-18-1-580,9 0-9106</inkml:trace>
  <inkml:trace contextRef="#ctx0" brushRef="#br0" timeOffset="3320.03">1733 26 18047,'0'0'512,"5"0"-384,41 6 502,68 16-1,-86-16-439,0-1-1,1-2 1,-1-1 0,44-2-1,-34-1 233,67 8 0,-26 8-49,-44-7-113,0-2-1,63 2 1,-89-8-250,-5 0 8,1-1-1,-1 1 1,0 0-1,0 1 1,0-1-1,1 1 1,-1-1 0,0 1-1,0 1 1,0-1-1,0 0 1,0 1-1,4 3 1,-8-5-15,1 0 0,-1 0 0,0 0 0,1 0 0,-1 1 0,1-1 0,-1 0 0,0 0 0,1 0 1,-1 0-1,1 0 0,-1 0 0,1 0 0,-1 0 0,0 0 0,1 0 0,-1 0 0,1-1 0,-1 1 0,0 0 0,1 0 0,-1 0 0,0 0 0,1-1 0,-1 1 1,0 0-1,1 0 0,-1-1 0,0 1 0,1 0 0,-1 0 0,1-1 0,12-15-431,-1 3-1229,-7 12 1136</inkml:trace>
</inkml:ink>
</file>

<file path=xl/ink/ink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07:12:05.235"/>
    </inkml:context>
    <inkml:brush xml:id="br0">
      <inkml:brushProperty name="width" value="0.1" units="cm"/>
      <inkml:brushProperty name="height" value="0.1" units="cm"/>
      <inkml:brushProperty name="color" value="#33CCFF"/>
    </inkml:brush>
  </inkml:definitions>
  <inkml:trace contextRef="#ctx0" brushRef="#br0">0 287 12928,'0'0'2304,"4"0"-2048,5 0-99,21 0 293,-28 0-404,-1 0 0,0 0 0,1 1 0,-1-1-1,1 0 1,-1 0 0,0 1 0,1-1 0,-1 1 0,0-1-1,0 1 1,1 0 0,-1 0 0,0-1 0,0 1-1,2 2 1,-3-1 6,-1 0 1,1 0-1,0 0 0,-1 0 0,1 0 0,-1 0 1,0 0-1,0 0 0,0 0 0,0 0 1,0 0-1,0-1 0,0 1 0,-1 0 0,1-1 1,-3 3-1,-6 12 233,7-9-203,2 0 0,-1 0 0,1 1-1,0-1 1,0 0 0,1 1 0,0-1-1,1 10 1,12 65 256,-6-43-153,23 97 243,-17-81-237,9 69 1,-15-43-85,-3-25 14,2 1-1,15 57 1,-18-97-84,-2-14-21,-1-1 1,0 1-1,1 0 0,0-1 1,-1 1-1,1 0 0,0-1 1,1 1-1,-1-1 1,0 0-1,1 1 0,-1-1 1,1 0-1,0 0 0,3 4 1,-5-6-11,0 0 1,1 0 0,-1 1 0,0-1 0,1 0-1,-1 0 1,0 0 0,1 1 0,-1-1 0,1 0-1,-1 0 1,1 0 0,-1 0 0,0 0 0,1 0-1,-1 0 1,1 0 0,-1 0 0,1 0 0,-1 0-1,0 0 1,1 0 0,-1 0 0,1 0 0,-1-1-1,1 1 1,-1 0 0,0 0 0,1 0 0,-1-1-1,0 1 1,1-1 0,10-15 141,0-24-16,-10 36-124,9-41 173,21-57 0,-18 62-150,-2 0 0,8-57 0,-13 61 5,1 0-1,2 1 1,19-50-1,-18 63-4,62-160 343,-60 149-240,1 0-1,2 1 0,29-47 1,-20 46-1,-22 31-126,-1 0-1,1 0 1,-1 0 0,1 1 0,0-1-1,-1 1 1,1-1 0,0 1 0,0 0 0,0-1-1,0 1 1,0 0 0,1 0 0,2 0-1,-3 1-152,0 1-1,1-1 0,-1 1 1,0 0-1,0 0 0,0 0 1,0 0-1,0 0 0,0 1 1,0-1-1,2 3 0,19 18-5132</inkml:trace>
  <inkml:trace contextRef="#ctx0" brushRef="#br0" timeOffset="1353.47">952 276 17791,'0'0'128,"-1"-5"64,0-4 368,-1 0 0,0 1 0,-7-18 0,9 26-546,0 0-1,-1 0 1,1 0-1,0 0 1,0-1-1,0 1 1,0 0-1,0 0 0,-1 0 1,1 0-1,0 0 1,0-1-1,0 1 1,-1 0-1,1 0 1,0 0-1,0 0 0,0 0 1,-1 0-1,1 0 1,0 0-1,0 0 1,-1 0-1,1 0 1,0 0-1,0 0 0,0 0 1,-1 0-1,1 0 1,0 0-1,0 0 1,0 0-1,-1 0 1,1 1-1,0-1 0,0 0 1,0 0-1,-1 0 1,1 0-1,0 0 1,0 1-1,0-1 1,0 0-1,0 0 0,-1 0 1,1 0-1,0 1 1,0-1-1,0 0 1,0 0-1,0 0 1,0 1-1,0-1 1,0 0-1,0 0 0,0 0 1,0 1-1,0-1 1,0 0-1,0 1 1,-6 13 171,5-14-145,-10 32 242,2 2 0,0-1 1,-6 66-1,3 106-163,8-90 41,-22 124 71,23-220-228,-1 29-3,2 65 0,3-71 0,-1-39 15,0-1 0,0 1-1,0-1 1,0 1 0,-1-1-1,1 1 1,-1-1 0,1 1-1,-1-1 1,0 1 0,0-1-1,0 0 1,0 1 0,0-1-1,-4 4 1,5-39 134,5 1-167,2 0-1,1 0 0,13-34 1,-8 25-190,11-53 0,6-119-580,-1 4 274,-18 154 370,-1 1 107,-2 1 0,2-64-1,-10 113 75,0-1-1,-1 1 1,1 0 0,-1 0-1,0 0 1,1-1-1,-2 1 1,1 0-1,0 0 1,-1 0 0,0 1-1,0-1 1,-3-5-1,4 9-21,1 0 0,0 0 0,0 0-1,0 0 1,0 0 0,0 0 0,0 0-1,0 0 1,0 0 0,0 0 0,0 0 0,0 0-1,0 0 1,0 0 0,-1 0 0,1 0-1,0 0 1,0 0 0,0 0 0,0 0-1,0 0 1,0 0 0,0 0 0,0 0 0,0 0-1,-1 0 1,1 0 0,0 0 0,0 0-1,0 0 1,0 0 0,0 0 0,0 0-1,0 0 1,0 0 0,0 0 0,0 0-1,0 0 1,-1 0 0,1 0 0,0 0 0,0 0-1,0 0 1,0 0 0,0 1 0,0-1-1,0 0 1,0 0 0,0 0 0,0 0-1,0 0 1,0 0 0,0 0 0,0 0 0,0 0-1,0 0 1,0 1 0,0-1 0,0 0-1,0 0 1,0 0 0,0 0 0,0 0-1,0 0 1,0 0 0,0 0 0,0 0-1,0 0 1,0 1 0,-1 13 306,1-9-309,0-1 1,1 1-1,-1 0 1,1 0-1,2 5 1,2 0 29,0 0 1,12 16 0,5 8 42,13 37-72,33 98 0,-11-23-18,7-3 93,33 79 80,-92-209-134,-1 0-1,-1 1 1,0-1-1,-1 1 1,0 0-1,-1 26 1,-1-39-34,0 1 0,0-1 0,0 0 0,0 0 0,1 0 0,-1 0 0,0 1 0,1-1 0,-1 0 0,1 0 0,-1 0 0,1 0 0,-1 0 0,1 0 0,-1 0 0,1 0 0,0 0 0,0 0 0,0-1 0,-1 1 0,1 0 0,0 0 0,0-1 0,0 1 0,0 0 0,0-1 0,0 1 0,1-1 0,-1 0 0,0 1 0,2-1 0,-2 0-171,7-7-2858,-5 4 2623,0-1 1,0 0-1,0-1 1,3-7-1,4-7-2579</inkml:trace>
  <inkml:trace contextRef="#ctx0" brushRef="#br0" timeOffset="1854.28">922 806 19327,'0'0'1430,"5"-2"-1217,35-17 135,0 2 1,53-15-1,-83 30-306,-1 0-1,0 1 0,0 0 1,1 0-1,-1 1 0,1 0 1,16 3-1,3 2 92,31 11 1,-56-15-328,1 1 0,-1 0 0,0 0 0,-1 0 1,1 1-1,0-1 0,-1 1 0,1 0 0,-1 0 0,0 0 1,0 1-1,0-1 0,-1 1 0,4 4 0,8 11-2424,9 8-8709</inkml:trace>
  <inkml:trace contextRef="#ctx0" brushRef="#br0" timeOffset="2545.5">1657 201 21119,'-5'43'198,"3"0"1,1 0-1,2 0 0,3 0 0,1-1 0,15 63 0,64 273 79,-66-263-277,-15-91 0,-3-23 0,7 31-98,-7-30 90,0-1-1,0 1 1,1-1 0,-1 1-1,1-1 1,-1 0 0,1 1 0,0-1-1,0 0 1,0 1 0,-1-1-1,1 0 1,0 0 0,0 0-1,1 0 1,-1 0 0,0 0 0,2 1-1,-3-2-3,1 0-1,-1 0 0,1 0 1,-1 0-1,1 0 0,-1-1 0,0 1 1,1 0-1,-1 0 0,1-1 1,-1 1-1,1 0 0,-1 0 1,0-1-1,1 1 0,-1 0 0,0-1 1,1 1-1,-1-1 0,0 1 1,1-1-1,-1 1 0,0 0 1,0-1-1,0 1 0,1-1 0,-1 1 1,0-1-1,0 1 0,0-1 1,0 1-1,0-1 0,0 1 1,0-2-1,3-24-445,-2 21 315,34-270-9009,-29 217 1046</inkml:trace>
  <inkml:trace contextRef="#ctx0" brushRef="#br0" timeOffset="3869.33">1686 317 14720,'11'27'26,"-9"-17"20,-2-10-45,0 0 1,0 0-1,0 0 1,0 0-1,0 0 1,0 0-1,0-1 1,0 1-1,0 0 1,0 0 0,0 0-1,0 0 1,0 0-1,0 0 1,0 0-1,0 0 1,0 0-1,-1 0 1,1 0-1,0 0 1,0 0 0,0 0-1,0 0 1,0 0-1,0 0 1,0 0-1,0 0 1,0 0-1,0 0 1,0 0-1,0 0 1,0 0 0,0 0-1,0 0 1,-1 0-1,1 0 1,0 0-1,0 0 1,0 0-1,0 0 1,0 0 0,0 0-1,0 0 1,0 0-1,0 0 1,0 0-1,0 0 1,0 0-1,0 0 1,-87-119 2686,86 119-2652,1-1-1,0 1 1,-1 0 0,1-1 0,0 1-1,0 0 1,-1-1 0,1 1 0,0 0-1,0-1 1,-1 1 0,1-1 0,0 1 0,0 0-1,0-1 1,0 1 0,0-1 0,-1 1-1,1-1 1,0 1 0,0-1 0,0 1-1,0 0 1,0-1 0,1 1 0,-1-1-1,0 1 1,0-1 0,0 1 0,0-1-1,0 1 1,1 0 0,-1-1 0,0 1 0,0-1-1,1 1 1,-1 0 0,0-1 0,0 1-1,1 0 1,-1-1 0,1 1 0,20-9 1279,-12 6-1267,0-1 30,0 1 0,0 0 1,0 0-1,0 1 0,1 0 0,-1 1 1,0 0-1,1 0 0,-1 1 0,1 0 0,-1 1 1,1 0-1,-1 0 0,15 5 0,128 46 464,-128-42-475,-2 1-1,0 1 1,0 1-1,26 21 1,-44-31-59,-1 0-1,0 0 1,0 0-1,-1 1 1,1-1 0,-1 1-1,1-1 1,-1 1-1,0 0 1,-1 0 0,1 0-1,-1 0 1,1 0-1,-1 1 1,-1-1 0,1 0-1,0 7 1,-1 5 25,0 0 1,-2 0 0,-4 22 0,4-22-29,0-8 11,1-1-1,-1 1 0,-1-1 1,1 0-1,-1 1 0,-1-1 1,-4 7-1,6-10-5,0-1 1,-1 0-1,1 1 0,-1-1 1,0 0-1,0-1 0,0 1 0,0 0 1,0-1-1,0 0 0,-1 1 1,0-1-1,1-1 0,-8 4 1,7-5-3,0 1 0,-1-1 0,1 0 0,0-1 0,0 1 0,0 0 0,-1-1 0,1 0 0,-6-2 0,-22-3 18,31 6-26,0 1 0,1-1 0,-1 0 0,0 1 0,0-1 0,1 1 0,-1-1 0,0 1 0,1-1 0,-1 1 0,1 0 0,-1-1 0,1 1 0,-1 0 0,1 0 0,-1-1 0,1 1 0,-1 0 0,1 0 0,0-1 0,-1 2 0,1-1 0,-2 1 0,0 0 0,0 0 0,0-1 0,0 1 0,-1 0 0,1-1 0,0 0 0,-1 1 0,1-1 0,-1 0 0,0 0 0,1-1 0,-1 1 0,0 0 0,0-1 0,1 0 0,-1 1 0,0-1 0,-4-1 0,2 1 0,1 0 0,-1 1 0,0 0 0,1-1 0,-8 4 0,-27 0-256,44 5 256,-5-9 0,0 1 0,1 0 0,-1-1 0,0 1 0,1 0 0,-1-1 0,0 1 0,1-1 0,-1 1 0,1-1 0,-1 1 0,1-1 0,-1 1 0,1-1 0,-1 1 0,1-1 0,0 0 0,-1 1 0,1-1 0,0 0 0,-1 0 0,1 1 0,0-1 0,-1 0 0,1 0 0,0 0 0,-1 0 0,1 0 0,0 0 0,5 2 8,-1-1 0,-1 1 0,1 1 0,0-1 0,0 0 0,-1 1 0,0 0 0,1 0 0,-1 1 0,0-1 0,-1 1 0,6 6-1,14 12 18,46 32 38,29 28 138,-87-71-184,0 0 0,-1 1 1,-1 0-1,0 0 0,-1 1 0,10 20 0,8 19 52,11 24 140,15 36 25,-52-110-230,1 0 0,0-1-1,-1 1 1,1-1 0,0 1-1,0-1 1,1 1 0,-1-1-1,0 1 1,0-1-1,1 0 1,-1 0 0,0 0-1,1 0 1,-1 0 0,1 0-1,0 0 1,-1 0 0,1-1-1,0 1 1,-1-1 0,1 1-1,0-1 1,-1 1 0,1-1-1,0 0 1,0 0 0,0 0-1,-1 0 1,1 0 0,0-1-1,0 1 1,0 0 0,1-1-1,-1-1-411,0 1-1,0 0 1,0-1-1,0 1 1,0-1-1,0 0 1,0 1-1,-1-1 1,1 0-1,-1 0 1,3-4-1</inkml:trace>
  <inkml:trace contextRef="#ctx0" brushRef="#br0" timeOffset="5513.77">2147 1 20351,'0'0'128,"5"3"0,9 3-42,-1 0-1,1-1 0,1 0 1,-1-1-1,29 4 0,29 1 157,-46-4-147,0-2-1,1-1 0,32-1 0,155-11 546,-209 10-599,-1 1 0,1 0 0,-1 0 0,1 0 0,-1 0 0,7 4 0,-9-5-29,-1 0-4,-1 0 0,1 0 1,-1 0-1,1 1 1,-1-1-1,0 0 1,1 0-1,-1 0 0,1 0 1,-1 1-1,0-1 1,1 0-1,-1 0 1,1 0-1,-1 1 0,0-1 1,1 0-1,-1 1 1,0-1-1,0 0 1,1 1-1,-1-1 1,0 1-1,0-1 0,1 0 1,-1 1-1,0-1 1,0 1-1,0-1 1,0 1-1,-12 9 221,12-8-229,0-1 0,0 0 0,0 0 0,1 1 0,-1-1 0,0 0 0,1 0 0,-1 0 0,1 1-1,0-1 1,-1 0 0,1 0 0,0 0 0,-1 0 0,1 0 0,0 0 0,1 1 0,2 4 23,-3-2-9,0 1 0,-1-1 1,0 1-1,0-1 1,0 0-1,0 1 0,-1-1 1,1 0-1,-3 7 1,-1 11 54,3-14-63,-4 41 130,2 82-1,20 363-113,-16-471-6,1 28 29,12 59 0,-8-67 119,-2 1-1,-1 56 1,1-82-141,-4-17-23,1 0 0,-1 1 0,1-1 0,-1 0 0,1 0 0,-1 1-1,0-1 1,0 0 0,0 1 0,0-1 0,0 1 0,0-1 0,0 0 0,0 1 0,0-1 0,-1 0 0,1 1-1,-1-1 1,0 2 0,-2 4 0,0 0 0,0 1 0,1-1 0,-1 1 0,2 0 0,-1 0 0,1 0 0,0 0 0,1 0 0,0 0 0,0 0 0,1-1 0,0 1 0,4 15 0,-4-5 0,-2-16 0,1 0 0,0 0 0,0-1 0,0 1 0,0 0 0,1 0 0,-1 0 0,1-1 0,-1 1 0,1 0 0,0 2 0,0-2 0,0-1 0,-1 1 0,1-1 0,0 0 0,0 1 0,0-1 0,0 0 0,0 0 0,0 0 0,0 1 0,0-1 0,0 0 0,0 0 0,2 0 0,1 1 0,-2-1 0,-6 0 0,-1 1 0,2-1 0,3-1 0,0 0 0,0 1 0,0-1 0,0 0 0,0 0 0,0 0 0,0 0 0,0 1 0,-1-1 0,1 0 0,0 0 0,0 0 0,0 0 0,0 0 0,0 1 0,0-1 0,0 0 0,-1 0 0,1 0 0,0 0 0,0 0 0,0 0 0,0 0 0,0 1 0,-1-1 0,1 0 0,0 0 0,0 0 0,0 0 0,0 0 0,-1 0 0,1 0 0,0 0 0,0 0 0,0 0 0,-1 0 0,1 0 0,0 0 0,0 0 0,0 0 0,0 0 0,-1 0 0,1 0 0,0 0 0,0 0 0,0-1 0,0 1 0,-1 0 0,1 0 0,0 0 0,0 0 0,0 0 0,0 0 0,0 0 0,0-1 0,-1 1 0,1 0 0,0 0 0,-11-5 0,-19 22 22,-78-9 84,45-5-141,0 4-1,-77 17 1,115-18-15,12-3-631,0 0-1,1 1 1,0 0 0,-17 9 0,16-7-2562</inkml:trace>
</inkml:ink>
</file>

<file path=xl/ink/ink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07:12:20.005"/>
    </inkml:context>
    <inkml:brush xml:id="br0">
      <inkml:brushProperty name="width" value="0.1" units="cm"/>
      <inkml:brushProperty name="height" value="0.1" units="cm"/>
      <inkml:brushProperty name="color" value="#33CCFF"/>
    </inkml:brush>
  </inkml:definitions>
  <inkml:trace contextRef="#ctx0" brushRef="#br0">21 296 20479,'0'0'-362,"8"0"191,59 1 332,97-2 446,-135-1-528,0 2 1,1 0-1,-1 2 0,0 1 0,0 2 0,47 12 1,-67-14-40,-8-3-33,1 0 0,-1 0 0,0 1 0,1-1 0,-1 1 0,0-1 0,1 1 0,-1-1-1,0 1 1,0 0 0,1 0 0,-1-1 0,0 1 0,0 0 0,0 0 0,0 0 0,0 0 0,0 1 0,-1-1 0,1 0 0,0 0 0,0 0 0,-1 1 0,1-1 0,-1 0-1,1 1 1,-1 1 0,1 1-113,19-14-1964,-7 0-873</inkml:trace>
  <inkml:trace contextRef="#ctx0" brushRef="#br0" timeOffset="515.29">1 65 17023,'0'0'-128,"3"-4"22,4-6 113,-1 2 82,-1-1 0,1 0 0,6-14-1,-12 23-74,0-1-1,0 1 1,0 0-1,1 0 1,-1 0-1,0 0 1,0 0-1,0 0 1,0 0-1,0 0 1,1 0-1,-1 0 1,0 0-1,0 0 1,0 0-1,0 0 1,1 0-1,-1 0 1,0 0-1,0 0 1,0 0-1,0 0 1,1 0-1,-1 0 1,0 0-1,0 0 1,0 0-1,0 0 1,1 0-1,-1 0 1,0 0-1,0 1 1,0-1-1,0 0 1,0 0-1,0 0 1,0 0-1,1 0 0,-1 0 1,0 1-1,0-1 1,0 0-1,0 0 1,0 0-1,0 0 1,0 0-1,0 1 1,0-1-1,0 0 1,0 0-1,0 0 1,0 1-1,5 8 275,-3-4-178,1 0 0,-1 0 0,1 0-1,0 0 1,0 0 0,1 0 0,-1-1 0,1 0-1,0 1 1,0-2 0,1 1 0,-1 0 0,1-1-1,8 5 1,6 2 266,1 0-1,33 9 0,-25-9-161,-16-7-136,0 0-1,0-1 1,1 0 0,-1-1 0,0-1 0,1 0-1,-1-1 1,1 0 0,-1-1 0,14-3 0,40-3 4,-11 2-641,-27 1-2466,20-5-9582</inkml:trace>
</inkml:ink>
</file>

<file path=xl/ink/ink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07:12:35.760"/>
    </inkml:context>
    <inkml:brush xml:id="br0">
      <inkml:brushProperty name="width" value="0.1" units="cm"/>
      <inkml:brushProperty name="height" value="0.1" units="cm"/>
      <inkml:brushProperty name="color" value="#33CCFF"/>
    </inkml:brush>
  </inkml:definitions>
  <inkml:trace contextRef="#ctx0" brushRef="#br0">930 970 21759,'0'0'384,"-7"0"-256,-83-1 226,-152 4 594,226-1-894,0 0 0,0 2 0,1 1 0,-1-1 0,1 2 0,0 0 0,0 1 0,1 1 0,0 0 0,-21 15 0,11-3-2,0 1-1,1 2 1,1 0 0,-27 38 0,44-54-42,0 2 0,0-2 0,1 1 0,0 1-1,1-1 1,-1 1 0,2-1 0,-1 1 0,1 0 0,0-1 0,1 2 0,0-1 0,0-1 0,1 2-1,0-1 1,1 1 0,0-2 0,0 1 0,1 1 0,0-2 0,1 2 0,0-3 0,0 1 0,0 1 0,1-1-1,0 1 1,10 12 0,4 2-10,1-2 0,1-2 0,1 1 0,1-1 0,0-1 0,1 0 0,1-3 0,1-1 0,0 0 0,33 12 0,-17-11 14,-22-9 5,-1 0 0,1 1 1,-2 1-1,1 1 1,-1 1-1,22 15 1,-37-22-3,1 0 0,0 0 0,-1 1 0,1 0 0,-1-1 0,0 1 0,0 0 0,0 0 0,-1-1 0,1 2 0,-1-1 0,0 0 0,0 0 0,0 0 0,-1 2 0,1-2 0,-1 0 0,0 0 0,0 0 0,-1 1 0,1-1 0,-1 0 0,0 1 0,-3 6 0,0 2 13,0 0 1,-2 0 0,0 0 0,0 0-1,-1-1 1,-12 15 0,-29 33 114,-2-3 0,-2-2 0,-3-4 0,-82 62 0,110-93-188,-2-1 1,0-1-1,-1-1 0,-1-1 1,0-3-1,-1-2 0,0 0 1,-1-1-1,-34 3 0,57-13-962,8-5 1,12-12-1985,-4 9 670</inkml:trace>
  <inkml:trace contextRef="#ctx0" brushRef="#br0" timeOffset="466.33">1625 1617 25087,'-28'3'0,"-15"1"0,46 8 0,21 2 0,-4 17 0,5 11 0,-9-10 0,-7 1 0,-4-2 0,-6-1-128,-3-8 0,1-7-1536,10-4 0,2-8 384,3-8 128</inkml:trace>
  <inkml:trace contextRef="#ctx0" brushRef="#br0" timeOffset="1349.84">3004 1422 22399,'-37'15'22,"36"-15"-18,0 1-1,1-1 1,-1 0 0,0 0 0,0 0 0,0 0 0,1 0 0,-1 0 0,0 0 0,0 0 0,0 0-1,1 0 1,-1 0 0,0 0 0,0-1 0,1 1 0,-1 0 0,0 0 0,0-1 0,1 1 0,-1-1 0,0 1-1,1-1 1,-1 0 0,-10-17 37,10 16-31,1 0 0,-1 0 0,0 0-1,0 0 1,0-1 0,0 2 0,-1-1-1,1 0 1,0 1 0,-1-1 0,-2 0 0,-5-3 21,-2-1 1,1 2 0,0 0 0,-1 0 0,0 1 0,-18-2-1,5 0 23,-1 3 0,-26 1 0,29 3-7,0 1 0,0 2-1,0 0 1,1 0 0,0 2 0,0 2 0,0-2 0,1 4 0,-36 22 0,54-32-46,0 0 0,0 1 1,0-1-1,0 0 0,1 2 0,-1-1 1,0-1-1,1 1 0,-1 0 1,1 0-1,-1 0 0,1 0 0,0 0 1,0 0-1,0 0 0,-1 5 0,1-5 0,1 0-1,0 0 0,0 0 1,0 0-1,0 0 0,1 0 1,-1 0-1,0 1 0,1-1 1,-1-1-1,1 1 0,0 0 1,0 0-1,0-1 0,2 4 1,2 2-2,0-1 0,0 0 1,1 0-1,0 1 1,1-2-1,-1 0 0,1 0 1,7 4-1,103 50 1,-10-4 0,-90-46 0,-1 3 0,0-2 0,-1 3 0,15 13 0,-25-21 13,-1 0 0,0 0 0,0 0-1,0 0 1,-1 2 0,1-2 0,-1 1 0,-1 0-1,1 0 1,-1 0 0,0 1 0,0-1 0,-1 1-1,0-1 1,0-1 0,0 3 0,-1-2 0,0 1-1,0 0 1,-1-1 0,0 1 0,0-1 0,0 1-1,-1-1 1,0 0 0,0 1 0,0-1 0,-1 0-1,-4 9 1,-14 13 94,-1 1 0,-1 0-1,-1-3 1,-2-1 0,-53 42-1,53-47-33,0-2 1,-1-1-1,-1-2 0,-1 0 0,0-3 0,-61 20 0,86-30-173,0-1-1,0-1 1,-1 1-1,1 0 1,0-1 0,0 0-1,-1 0 1,1-1-1,0 1 1,-1-1-1,-6-2 1,9 2-87,0 0 0,0 0 0,1 0 0,-1 0 0,0 0 0,1 0 0,-1-2 0,1 2 0,0-1 0,-1 1-1,1-1 1,0 1 0,0-1 0,0 0 0,0 0 0,0 1 0,1-1 0,-1 0 0,0-1 0,1 1 0,-1 0 0,1 0 0,0 0 0,0 0 0,0 0 0,0 0 0,0-2 0</inkml:trace>
  <inkml:trace contextRef="#ctx0" brushRef="#br0" timeOffset="1711.4">3464 1832 24191,'-12'18'25,"1"2"0,0-2 0,2 3 0,0 0 0,-11 36 0,12-32 56,3-13-75,1 0 0,1 1 1,-3 17-1,5-25 16,-2 26-283,3-31 241,0 1 0,0-1 0,0 0 0,0 1 0,0-1 0,1 0 0,-1 1 0,0-1 0,0 0 1,0 1-1,0-1 0,0 0 0,0 1 0,1-1 0,-1 0 0,0 1 0,0-1 0,1 0 0,-1 1 1,0-1-1,0 0 0,1 0 0,-1 1 0,0-1 0,1 0 0,-1 0 0,0 0 0,1 0 1,-1 1-1,0-1 0,1 0 0,-1 0 0,0 0 0,1 0 0,-1 0 0,0 0 0,1 0 0,-1 0 1,1 0-1,-1 0 0,0 0 0,1 0 0,-1 0 0,0 0 0,1 0 0,-1-1 0,0 1 0,1 0 1,-1 0-1,0 0 0,1 0 0,-1-1 0,0 1 0,1 0 0,-1 0 0,0-1 0,0 1 0,1 0 1,-1 0-1,0-1 0,0 1 0,1-1 0,3-3-261,0-1 0,0 0 0,-1 0 0,1 1 0,-1-1 0,0-1 0,0 0 0,-1 1 0,1-1 0,1-7 0,3-5-489,17-48-2366,17-70 0,-19 49-5333</inkml:trace>
  <inkml:trace contextRef="#ctx0" brushRef="#br0" timeOffset="1914.21">3602 1053 16128,'-2'-37'614,"0"-1"1,7-55 0,-1-6 1892,-6 83-1627,-4 22-135,-6 29-36,10-29-781,-4 12-36,1-2 0,1 3 1,-2 23-1,1 31-3941,3-15-8324</inkml:trace>
  <inkml:trace contextRef="#ctx0" brushRef="#br0" timeOffset="2486.17">3889 1659 24063,'8'30'0,"-2"0"0,0-1 0,-2 2 0,-1 0 0,-2-1 0,0 1 0,-5 41 0,3-64 0,4-7 0,2-6 0,-4 4 0,6-9 0,-1-2 0,10-20 0,8-18 0,22-43 0,-37 71 0,2-1 0,0 1 0,1 0 0,21-26 0,38-32 0,-63 73 0,-1 0 0,2 0 0,-1 1 0,1 1 0,0 0 0,0-1 0,18-6 0,-23 11 0,0 0 0,-1 1 0,1-1 0,0 1 0,-1 0 0,1 0 0,0 1 0,-1-1 0,1 1 0,-1 0 0,1-1 0,0 2 0,-1-1 0,0 0 0,1 1 0,-1-1 0,0 1 0,0 0 0,0 0 0,0 2 0,0-2 0,0 0 0,-1 1 0,1 0 0,4 4 0,3 8 0,1 1 0,-2 0 0,15 32 0,-8-12-49,-2 3 0,-1 0 0,-2 0 0,-1 1 0,-2-1 0,-2 2 0,-1 1 0,-3-2 0,-4 79 0,1-108-961,-1-11 363,-4-16-811,3 4-483,-10-21-10688</inkml:trace>
  <inkml:trace contextRef="#ctx0" brushRef="#br0" timeOffset="3153.87">5494 475 21759,'-25'34'0,"23"-32"21,1-1-1,-1 0 0,1 1 0,-1-1 1,0 0-1,0 0 0,0 0 1,1 1-1,-1-1 0,0-1 0,0 1 1,-3 0-1,-16 7 207,-12 13-115,0 1 1,1 2-1,2 0 1,0 3-1,1 2 0,2 0 1,1 0-1,1 3 0,-30 50 1,25-29 41,4-1 0,1 4 0,3-2 0,2 3 0,-24 107 0,28-86-23,3-2 1,3 2 0,4 1-1,3-1 1,11 131-1,0-144-94,1-2-1,4-1 1,2 1 0,3-3-1,2 1 1,40 83-1,-45-119-30,0 0 1,2-1-1,0-1 0,1-1 0,2 0 0,32 28 0,4-5-273,84 55 1,-129-93-167,-1 0 1,1-1-1,1 0 1,-1-2-1,16 7 1,-22-10 157,-1 0-1,0-1 1,0 1-1,1-1 1,-1 1-1,0-2 1,0 1-1,1 0 1,-1-1-1,0 0 1,0 1-1,0-2 0,1 1 1,-1 0-1,0-1 1,-1-1-1,1 1 1,6-4-1</inkml:trace>
  <inkml:trace contextRef="#ctx0" brushRef="#br0" timeOffset="4084.71">6109 707 18175,'-1'3'-1,"-1"0"-1,1 0 1,-1 1-1,0-1 0,0-1 1,0 0-1,-3 3 0,5-5 3,0 1 0,-1-1 0,1 0 0,0 0 0,-1 1 0,1-1 0,0 0-1,-1 0 1,1 0 0,-1 0 0,1 0 0,0 1 0,-1-1 0,1 0 0,-1 0 0,1 0-1,-1 0 1,1 0 0,0 0 0,-1 0 0,1 0 0,-1 0 0,1-1 0,-1 1-1,0-1 10,0 1-1,0-1 1,0 0-1,1 0 0,-1 1 1,0-1-1,1 0 0,-1 0 1,0 0-1,1 0 0,-1 1 1,1-1-1,-1 0 0,1-2 1,-5-13 168,5 14-85,0 1 0,0 0-1,-1-1 1,1 0 0,0 0-1,-1 1 1,1 0-1,-1 0 1,0-1 0,1 1-1,-1 0 1,-1-1 0,1 1-57,0 1 0,0 0 0,1 0 0,-1-1 0,0 1 0,0 0 0,0 0 0,0 0 0,0 0 0,0 0 0,0 0 0,0 0 0,1 0 0,-1 1 0,0-1-1,0 0 1,0 1 0,0-1 0,0 0 0,1 1 0,-1-1 0,0 1 0,0-1 0,-1 2 0,-8 5 81,0 1 0,0 0 0,1 2 0,-1-3-1,2 2 1,0 2 0,0-1 0,0 1 0,1-1 0,1 2-1,-6 13 1,-2 5 39,1 3 1,2 0-1,-7 34 0,1 12 64,3 0 1,-5 110-1,18-146-169,1-1 1,2 0-1,2 1 0,13 61 0,-14-93-51,0-2 0,0 2 0,1-1 0,1 1 0,0-2 0,0 2 0,1-2 0,0-1 0,0 2 0,1-2 0,13 13 0,-15-17 0,-1 1 0,1-1 0,0-1 0,0 1 0,1-1 0,-1-1 0,1 1 0,-1 0 0,1-1 0,0 0 0,0 0 0,0-1 0,0 0 0,0 0 0,0-1 0,0 1 0,0-1 0,0-1 0,0 1 0,0-1 0,10-3 0,-1 0 0,-1-3 0,0 1 0,0-1 0,-1-1 0,0 1 0,0-1 0,-1-2 0,0 0 0,-1-1 0,0 1 0,17-23 0,4-10 0,-2-3 0,26-50 0,-21 33 0,-2 5 15,-2-1 0,-3-2-1,21-68 1,-37 91-2,-1 0 0,-2-2 0,-2 2 0,-2-3 0,-1 2 0,-1-64 0,-4 92 29,0 0 1,-1 0 0,0 1-1,-4-16 1,5 26-40,1-1-1,0 1 1,0-1 0,-1 0-1,1 1 1,0-1 0,-1 1-1,1-1 1,0 1 0,-1 0 0,1-1-1,-1 1 1,1-2 0,-1 2-1,1 0 1,-1-1 0,1 1-1,-1 0 1,1 0 0,-1-1-1,1 1 1,-1 0 0,0 0 0,1 0-1,-1 0 1,1 0 0,-2-1-1,-20 7 48,-17 16-4,26-11-4,0 1 1,1-2 0,0 3 0,1 0 0,-18 28-1,9-7 22,-26 54 0,28-44-27,2 1 0,-21 90 0,-2 98 65,22-101-25,2 169 1,16-223-48,3 1 1,4 0 0,25 114-1,-29-178-191,-1-1 0,2-1 0,0-1 0,1 1 0,0 0 0,0 0 0,2-1 1,-1 0-1,1-1 0,18 18 0,-11-15-641,0 0 1,1-2-1,0 0 1,0-2-1,1 1 1,34 13-1,-22-12-11144</inkml:trace>
  <inkml:trace contextRef="#ctx0" brushRef="#br0" timeOffset="4713.89">6756 131 23167,'54'18'0,"-55"-18"3,1 1-1,-1-1 1,1 1-1,-1-1 1,1 1 0,0 0-1,-1-1 1,1 1-1,0-1 1,0 1-1,-1 0 1,1-1-1,0 1 1,0 0 0,0-1-1,0 1 1,0-1-1,0 1 1,0 0-1,0-1 1,0 1-1,0 1 1,2 21 88,2-12-61,1-2 0,0 1 0,0 0 0,1 0 1,0-2-1,14 16 0,6 9 15,39 64 13,-5 4 1,-3 0 0,43 113-1,-41-75 121,76 277 0,-121-352-95,-2 2 1,4 93 0,-14-110-58,-3-1 0,-2 1 0,-1-2 0,-13 54 0,1-35 48,-2-1 0,-3 0 1,-3-2-1,-56 108 0,56-129-308,-2 0-1,-1-3 0,-2 0 0,-2 0 1,-1-3-1,-2-2 0,-48 40 1,76-70-200,-16 10-642,22-13 893,-1-1 0,0 0 0,0 1 0,0-1 0,0 0 0,0 0 0,0 0 0,1 0 0,-1 0 0,0 0 0,0 0 0,0 0 0,0 0 0,0 0 0,0-1 0,1 1-1,-1 0 1,0-1 0,0 1 0,0 0 0,1-1 0,-1 1 0,0-1 0,-1 0 0</inkml:trace>
  <inkml:trace contextRef="#ctx0" brushRef="#br0" timeOffset="5262.71">7833 1727 24319,'44'6'1,"1"3"-1,-1 1 0,0 3 1,46 19-1,65 18-23,-134-44-10,1 0-530,30 4 1,-45-9-67,-1 0 0,0-1 1,0 0-1,0-1 0,1 1 1,-1-1-1,0-1 0,0 0 1,11-3-1</inkml:trace>
  <inkml:trace contextRef="#ctx0" brushRef="#br0" timeOffset="5510.81">7826 1230 24831,'0'0'0,"49"37"0,-11-17 128,10 0-128,5 1 128,4 1-128,4-1 0,0 1-512,1-6 128,3-8-640,-12-8 0,-1 0-14847</inkml:trace>
  <inkml:trace contextRef="#ctx0" brushRef="#br0" timeOffset="7165.25">8766 754 23679,'13'-8'0,"1"0"0,0 1 0,0 1 0,0 1 0,1 0 0,0 1 0,0 0 0,0 1 0,1 1 0,-1 1 0,29 0 0,-4 4 0,-1 1 0,1 2 0,54 16 0,-67-14 0,-1 1 0,0 1 0,0 2 0,31 18 0,-46-22 0,1-1 0,-1 1 0,-1 1 0,1-1 0,-1 2 0,-1-1 0,1 1 0,-2 2 0,0-2 0,0 2 0,7 13 0,-11-14 0,0-1 0,-1 2 0,0-1 0,-1 1 0,0-1 0,0 1 0,-1 0 0,-1 0 0,0-1 0,0 2 0,-1-3 0,-1 2 0,0-1 0,-5 19 0,-4 4 0,-1 0 0,-1-1 0,-25 44 0,1-13 0,-85 110 0,60-92 0,-28 41 0,-111 161 0,195-275 5,0 2-1,1-2 1,1 0 0,-1 2-1,2-1 1,-1 1-1,1 0 1,1 0-1,0 0 1,1 1 0,-1-1-1,2 0 1,0 12-1,1-15 0,0 2 0,1-2 0,0 2-1,0-2 1,1 0 0,0 1 0,0-1-1,1 0 1,0 0 0,0 0 0,1-2-1,0 2 1,0-1 0,1-1 0,-1 2 0,10 6-1,0-1-25,1-2 0,0 0 0,0-1 1,1 0-1,1-1 0,-1-2 0,1 0 0,33 9 0,-26-11-91,1-1 0,0-1 0,0-1 0,0-1 1,50-5-1,-63 2-735,1-1 1,-1 0 0,1-1 0,-1-1 0,0 0-1,17-11 1,30-10-10395</inkml:trace>
  <inkml:trace contextRef="#ctx0" brushRef="#br0" timeOffset="7929.02">10094 747 23423,'-8'4'0,"1"0"0,0 0 0,0 1 0,-1-2 0,1 0 0,-1 0 0,0-1 0,0 0 0,0 0 0,-9 0 0,1-1-17,0 1 0,1 2 0,-1 0 0,1 0-1,0 1 1,0 0 0,1 2 0,-25 14 0,13-6-41,1 3 1,0 1 0,-33 33-1,48-43 20,2-1 1,0 2-1,0 0 0,0 1 0,1-1 0,1 2 0,0-2 1,0 2-1,1 0 0,1 0 0,0-1 0,-4 21 0,7-25 26,0 1-1,0 0 1,1 0-1,0-1 1,0 1-1,1 0 1,0-1-1,1 1 1,-1-2-1,1 2 0,1 0 1,-1-1-1,1-1 1,0 2-1,1-1 1,0-1-1,0 1 1,0-1-1,1 0 0,-1 0 1,12 10-1,-1-3 13,1-2 0,0 1 0,1-2 0,0 1 0,0-3 0,1 0 0,0 0 0,22 5 0,158 30 0,-165-36 0,4-1 0,1-1 0,-1 2 0,59 22 0,-92-28 7,0 1 1,1 0-1,-1 0 0,0 0 0,0 0 0,0 1 0,-1 0 0,1 0 0,-1 0 0,1 0 1,-1 0-1,0 1 0,0-1 0,0 2 0,-1-1 0,1 0 0,-1-1 0,0 1 0,0 0 1,0 1-1,-1-1 0,1 1 0,-1-1 0,0 2 0,0-2 0,-1 1 0,0-1 0,1 1 1,-1 0-1,-1 0 0,1 0 0,-2 7 0,-1 3 12,-1 1-1,-1-2 1,0 0 0,-1 1-1,-10 18 1,-46 66 95,47-77-84,-7 8 29,-1 1 0,-2-2 1,0-2-1,-2-1 0,-1 0 1,-1-1-1,-1-3 0,-36 21 0,62-41-46,-1 1 0,1-1-1,-1 0 1,1 0 0,-1-1-1,0 1 1,0-1-1,0 0 1,0 0 0,0-1-1,0 0 1,0 1 0,0-2-1,0 1 1,0 0 0,0-1-1,1 0 1,-1 0 0,0-1-1,0 1 1,0-1 0,1 0-1,-1 0 1,1-1 0,-5-4-1,3 3-2,0 0 0,1-1 1,-1 0-1,1-2 0,0 2 0,0-1 0,1-1 0,0 0 0,0 1 0,0-1 0,1-1 1,0 2-1,0-1 0,1-2 0,-3-12 0,2 1 9,1-1-1,1 0 1,1 1-1,1-1 1,1 1-1,0 0 1,2-1 0,0 0-1,11-29 1,8-13 49,51-95 0,-34 78-6,182-433-39,-177 402-25,-34 87 152,6-19-1054,-7 9-2523</inkml:trace>
  <inkml:trace contextRef="#ctx0" brushRef="#br0" timeOffset="8325.34">10463 2146 25343,'0'0'0</inkml:trace>
  <inkml:trace contextRef="#ctx0" brushRef="#br0" timeOffset="9032.17">10690 1319 23551,'5'-8'107,"50"-84"-60,-33 52 58,36-50-1,188-262 278,-117 162-231,-117 173-151,2 0 0,18-16 0,-16 16 0,-15 17 0,-1-1 0,1 0 0,-1 0 0,1 1 0,0-1 0,-1 0 0,1 1 0,0-1 0,0 1 0,0-1 0,-1 1 0,1-1 0,0 1 0,0-2 0,0 2 0,0 0 0,0 0 0,0-1 0,1 1 0,-1 1 0,0-1 0,0 2 0,-1-1 0,1 0 0,-1-1 0,1 1 0,-1 0 0,1 0 0,-1 0 0,1 0 0,-1 0 0,0-1 0,1 1 0,-1 0 0,0 0 0,0 0 0,1 0 0,-1 0 0,0 2 0,1 11 0,0 0 0,-1-2 0,0 2 0,-1-1 0,-3 18 0,-17 67 0,7-40 0,-60 464 86,34-193-44,31-269-44,-39 238-422,43-334-3754,5 20 1849,-3-19-9681</inkml:trace>
  <inkml:trace contextRef="#ctx0" brushRef="#br0" timeOffset="9739.54">11623 592 24831,'8'51'-35,"3"0"0,24 76 0,10 39 12,-29-59 27,4 165-1,-18-215 12,4 82 73,14 180 336,-15-298-313,-4-21-108,-1 0-1,0 0 0,0 1 1,0-1-1,1 0 0,-1 0 1,0 0-1,0 0 0,0 0 0,1 0 1,-1 0-1,0 0 0,0 0 1,0 0-1,1 0 0,-1 0 1,0 0-1,0 0 0,0 0 0,1 0 1,-1 0-1,0-1 0,0 1 1,0 0-1,1 0 0,-1 0 1,0 0-1,0 0 0,0 0 1,0 0-1,0-1 0,1 1 0,-1 0 1,0 0-1,0 0 0,0 0 1,0-1-1,0 1 0,0 0 1,0 0-1,0 0 0,1-1 0,-1 1 1,0 0-1,14-41 124,13-58-79,49-159 55,91-263-102,-97 346 43,-10 28 21,-53 125-53,18-47 78,2 1-1,54-97 1,-76 159-121,-3 10-80,-4 10-448,-23 73-5200,9-27-7359</inkml:trace>
  <inkml:trace contextRef="#ctx0" brushRef="#br0" timeOffset="10978.12">12549 391 23551,'-6'22'13,"0"0"-1,-1-1 0,-1 1 1,-14 25-1,-5 16 33,-9 33 147,-40 163 0,21-2-9,-48 191 61,50-232-10,107-439-2154,-26 126 990,37-124-380,52-229 744,-7 19 706,-107 424-111,28-83 376,-27 80-290,1 2 0,0-2-1,0 2 1,0 0 0,1-1-1,13-12 1,-18 20-102,-1 1-1,1-1 1,-1 1 0,1-1 0,-1 1-1,1-1 1,-1 1 0,1-1-1,-1 1 1,1 0 0,0-1-1,-1 1 1,1 0 0,0-1-1,-1 1 1,1 0 0,0 0 0,-1 0-1,1 0 1,0-1 0,0 1-1,-1 0 1,1 0 0,0 1-1,-1-1 1,1 0 0,0 0 0,-1 0-1,1 0 1,0 0 0,-1 1-1,1-1 1,0 0 0,-1 1-1,1-1 1,-1 0 0,1 1 0,0-1-1,-1 1 1,1-1 0,-1 1-1,1-1 1,-1 1 0,0-1-1,1 1 1,-1 0 0,0-1 0,1 1-1,-1 1 1,3 3 55,-1-1 1,-1 1-1,1 0 1,-1 1-1,1 7 0,9 99 429,-3 115 0,-1 10-104,54 707 268,-59-786-438,-3-100-190,3-42-33,-24-85-1621,1-9-3840,7 14-6400</inkml:trace>
  <inkml:trace contextRef="#ctx0" brushRef="#br0" timeOffset="11253.68">12182 1160 23551,'0'0'128,"19"29"0,0-20 128,3 1-128,3-2 0,4 0-128,4 1 128,2 0-128,4 0 0,3-1-256,-1-3 128,-2-1-1792,2 0 0,-4-8 896,40 4-12159</inkml:trace>
  <inkml:trace contextRef="#ctx0" brushRef="#br0" timeOffset="11742.76">13128 1215 26495,'0'0'0</inkml:trace>
  <inkml:trace contextRef="#ctx0" brushRef="#br0" timeOffset="12643.79">13990 747 22271,'-8'2'0,"0"1"0,1 0 0,-1 0 0,0 1 0,1 0 0,-1 1 0,-7 5 0,-44 43 0,19-17 0,12-13 3,3-2-13,0 1 0,-30 35-1,50-51-13,0 0 1,-1 2-1,2-1 0,-1 0 1,1 1-1,0-1 0,1 1 0,0 1 1,0-3-1,0 3 0,1-1 0,1 1 1,-1 0-1,0 12 0,2-18 6,1 0 0,-1 0 0,1 1 0,-1-1 0,1 1 0,0-1 0,0 0 0,1 0 0,-1 0 0,0 0 0,1-1 0,0 2 0,0-1 0,0-1-1,0 1 1,0-2 0,4 5 0,4 3-49,0-1 0,1-1-1,13 8 1,-16-11 43,15 9 18,0-3 0,1 1 1,44 10-1,-36-13 7,40 19-1,-70-26 16,0 0 0,0 0 0,1 0 0,-1 0 0,0 1-1,0 0 1,-1-1 0,1 0 0,0 1 0,0 0 0,-1-1-1,1 1 1,-1 0 0,1 0 0,-1 0 0,0 0 0,0 1-1,0-1 1,0 1 0,0-1 0,0 0 0,0 0 0,-1 1-1,1 5 1,-1-6 20,-1 1 0,1 0 0,-1 0 0,1 0 0,-1-1 0,0 1 0,0 1 0,0-2 0,-1 1 0,1-1 0,-1 0 0,1 0 0,-1 0 0,0 0 0,0 1 0,0 0 0,0-1 0,0-1 0,0 1 0,-5 3 0,-27 14 201,0 0 0,-1-4-1,-41 16 1,10-6-138,-81 38-355,124-50-285</inkml:trace>
  <inkml:trace contextRef="#ctx0" brushRef="#br0" timeOffset="12903.67">14297 1011 24191,'0'0'0,"-12"32"0,-4-5 0,-4 11 0,3-8 0,-4 0 0,7-8 0,2-5 0,-4-5 0,2-7-640,1 1 0,1-3-512,15-15 0</inkml:trace>
  <inkml:trace contextRef="#ctx0" brushRef="#br0" timeOffset="13121.48">14319 110 24831,'0'0'0</inkml:trace>
  <inkml:trace contextRef="#ctx0" brushRef="#br0" timeOffset="13722.65">14506 910 25087,'3'15'0,"-1"1"0,0-2 0,-1 1 0,-1 1 0,0-1 0,-3 21 0,2-12 0,1 30 0,4 32 0,-4-86 0,0 0 0,0 0 0,0 1 0,0-1 0,0 0 0,0 0 0,0 0 0,0 0 0,0 0 0,0 1 0,0-1 0,0 0 0,0 0 0,0 0 0,0 0 0,0 0 0,0 1 0,0-1 0,0 0 0,0 0 0,0 0 0,0 0 0,0 0 0,0 2 0,0-2 0,0 0 0,1 0 0,-1 0 0,0 0 0,0 0 0,0 0 0,0 0 0,0 0 0,0 1 0,1-1 0,-1 0 0,0 0 0,0 0 0,0 0 0,0 0 0,0 0 0,1 0 0,-1 0 0,0 0 0,0 0 0,0 0 0,1 0 0,5-9 0,10-21 0,-12 21 0,30-62-20,-14 29-7,1-1 0,2 3 0,31-42 0,-48 73 27,2 1 0,-1 1 0,1-1 0,0 1 0,1 1 0,-1-1 0,14-5 0,-19 10 0,0 0 0,0 1 0,0 0 0,0-1 0,0 1 0,1-1 0,-1 2 0,0-1 0,1 1 0,-1-1 0,0 1 0,1 0 0,-1 0 0,0 0 0,1 1 0,-1-1 0,1 1 0,-1 1 0,0-1 0,0 0 0,0 0 0,1 0 0,-1 1 0,-1 0 0,1-1 0,4 4 0,2 6 7,0-2-1,0 2 1,-1 0-1,-1 1 1,0-1-1,0 2 1,-1-1-1,5 18 1,4 9 38,11 56 1,-20-65 33,-1-1 1,-1 3 0,1 55 0,-6-68-112,0-2 0,-1 2 0,0 0 0,-2-1 0,0 1 0,-1-1 0,-10 22 1,15-38-35,-1 0 1,0-1 0,1 0 0,-1 0 0,0-1 0,1 1 0,-1 0 0,0 0 0,0 0-1,0 0 1,0-1 0,0 1 0,1 0 0,-1-1 0,-1 1 0,1-1 0,0 1 0,0-1-1,0 0 1,0 1 0,0-1 0,0 0 0,0 0 0,-1 0 0,1 0 0,0 0 0,0 0-1,0 0 1,0 0 0,0 0 0,-1 0 0,0-1 0,-5 0-1413</inkml:trace>
  <inkml:trace contextRef="#ctx0" brushRef="#br0" timeOffset="14438.55">15461 1 24831,'-12'5'6,"0"2"-1,1-1 0,0 0 1,0 1-1,0 2 0,1-1 1,0 0-1,1 1 0,0 0 1,-14 21-1,4-3 18,2 1-1,0 0 1,-13 37 0,17-34 5,3 0 1,0 1 0,2 0 0,1 0 0,2 1-1,1 1 1,1-3 0,2 3 0,4 46 0,8 29 3,37 159 1,-39-222-24,73 283 9,-70-294 9,2 0 0,1 0 0,1-3 1,2 2-1,1-2 0,2 0 0,26 29 0,1-9 186,3-2 1,110 85-1,-158-133-248,43 28 273,-43-28-300,-1-1 0,1 0-1,0 0 1,-1 0 0,1 0 0,0 0 0,0-1 0,-1 1 0,1-1-1,0 0 1,0 0 0,0 0 0,-1 0 0,1 0 0,0 0 0,4-2 0,-6 1-90,1 0 0,-1 0 0,0 0 1,1 0-1,-1 0 0,0 0 1,0 0-1,0-1 0,0 1 1,0 0-1,0-2 0,0 2 1,0-1-1,0-2 0,4-5-2287</inkml:trace>
</inkml:ink>
</file>

<file path=xl/ink/ink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07:12:55.579"/>
    </inkml:context>
    <inkml:brush xml:id="br0">
      <inkml:brushProperty name="width" value="0.1" units="cm"/>
      <inkml:brushProperty name="height" value="0.1" units="cm"/>
      <inkml:brushProperty name="color" value="#33CCFF"/>
    </inkml:brush>
  </inkml:definitions>
  <inkml:trace contextRef="#ctx0" brushRef="#br0">104 997 17663,'0'0'1536,"-5"4"-1152,-19 17 40,9-10 78,2 0 0,0 2 0,-14 15 0,27-28-481,-1 1-1,1-1 1,-1 1-1,1-1 1,-1 1 0,1-1-1,-1 1 1,1-1-1,0 1 1,-1 0-1,1-1 1,0 1-1,0 0 1,-1-1-1,1 1 1,0 0-1,0-1 1,0 1 0,0 0-1,0-1 1,0 1-1,0 0 1,0 0-1,0-1 1,0 1-1,0 0 1,0-1-1,1 1 1,-1 1-1,2-1 34,-1-1 0,0 1 0,1 0 0,-1-1 0,0 1 0,1-1 0,-1 1 0,1-1 0,-1 1 0,3-1 0,14 5-5,17 9 97,47 13 0,-64-22-76,0-1-1,1-1 1,-1-1-1,33 0 1,-21-3 48,0 2 1,-1 1-1,1 2 1,0 1 0,-1 1-1,0 1 1,-1 2-1,31 13 1,-58-22-113,0 0 1,0 1-1,0-1 0,-1 0 1,1 1-1,0-1 1,0 0-1,0 1 1,-1-1-1,1 1 1,0-1-1,-1 1 1,1 0-1,0-1 1,-1 1-1,1 0 0,-1-1 1,1 1-1,-1 0 1,1 0-1,-1-1 1,1 1-1,-1 0 1,0 0-1,1 0 1,-1 0-1,0 0 1,0 0-1,0-1 1,0 1-1,0 0 0,0 1 1,-4 6-1552,7-14 445,18-13-3359</inkml:trace>
  <inkml:trace contextRef="#ctx0" brushRef="#br0" timeOffset="837.24">1076 548 21887,'-6'24'22,"0"-7"256,0 0 1,-11 22-1,8-22-242,2 1 1,0-1-1,-5 21 1,5 5 14,-2 47 1,-2 12-6,8-81-40,-3 8 35,2 0-1,0 58 1,4-86-41,0 0 0,0-1 0,0 1 0,0 0 0,0-1 0,0 1 0,0-1 0,0 1 0,0 0 0,1-1 0,-1 1 0,0 0 0,0-1 0,1 1 0,-1-1 0,0 1 0,1 0 0,-1-1 0,0 1 0,1-1 0,-1 1 0,1-1 0,-1 0 0,2 2 0,-2-2 0,1 0 0,0 0 0,0 0 0,-1 0 0,1-1 0,0 1 0,-1 0 0,1 0 0,0 0 0,-1-1 0,1 1 0,0 0 0,-1 0 0,1-1 0,0 1 0,-1-1 0,1 1 0,0-1 0,25-28 0,-25 28 0,10-14 0,0 2 0,1-1 0,21-17 0,-28 27 0,0 0 0,1 1 0,-1-1 0,1 1 0,0 1 0,-1-1 0,1 1 0,0 0 0,1 0 0,-1 1 0,0 0 0,0 0 0,12 0 0,-5 2 0,0 0 0,0 0-1,-1 2 1,1-1 0,-1 2-1,0 0 1,0 0 0,0 1-1,0 0 1,-1 1 0,0 1 0,0 0-1,0 0 1,-1 1 0,0 0-1,10 12 1,-12-12 1,-1 0 1,0 1-1,0-1 0,-1 1 1,-1 1-1,1-1 0,-1 1 1,-1 0-1,0 1 0,0-1 1,-1 0-1,0 1 0,-1 0 1,-1 0-1,1 0 0,-2 0 1,1 0-1,-1 0 0,-3 14 1,2-19 19,0 0 1,0 0 0,-1-1 0,0 1 0,0-1-1,0 1 1,-1-1 0,0 1 0,0-1-1,0 0 1,-7 7 0,7-9-9,0 0-1,0-1 1,-1 1 0,1-1 0,-1 1-1,1-1 1,-1 0 0,0 0 0,0-1-1,0 1 1,0-1 0,0 0 0,0 0-1,0 0 1,0-1 0,0 1 0,-6-1-1,-6 0-131,0-1 1,0 0-1,0-2 0,0 0 0,0 0 0,-30-12 0,39 12 35,-1 0 0,1-1 0,0 0 0,0-1 0,0 1 0,0-1 0,1-1 0,0 1 0,0-1 0,1 0 0,-1 0 0,1-1 0,0 0 0,1 0 0,-7-14 0,-7-25-3222,-1-1-9131</inkml:trace>
  <inkml:trace contextRef="#ctx0" brushRef="#br0" timeOffset="1219.03">1056 515 23295,'7'37'0,"-7"-33"0,49-22 0,-33 9 0,1 2 0,0 0 0,0 1 0,1 1 0,27-5 0,-10 5 0,68 0 0,34-2 45,-18-1-1626,-86 7-1282,48-10 1,-80 11 2742,29-5-10546</inkml:trace>
  <inkml:trace contextRef="#ctx0" brushRef="#br0" timeOffset="1844.72">1940 490 22911,'51'-12'-39,"-1"-1"-1,48-21 0,-28 10 31,-69 24 9,6-3 0,1 1 0,-1 0 0,1 0 0,0 1 0,0-1 0,13 1 0,-21 1 1,1 0 0,-1 0-1,0 0 1,1 0-1,-1 0 1,0 0 0,1 0-1,-1 0 1,0 1-1,1-1 1,-1 0 0,0 0-1,0 0 1,1 0-1,-1 0 1,0 0 0,1 1-1,-1-1 1,0 0 0,0 0-1,1 0 1,-1 1-1,0-1 1,0 0 0,0 0-1,1 1 1,-1-1-1,0 0 1,0 1 0,0-1-1,0 0 1,0 0-1,0 1 1,1-1 0,-1 0-1,0 1 1,0-1 0,0 0-1,0 1 1,0-1-1,0 0 1,0 1 0,0-1-1,0 0 1,-1 1-1,1-1 1,0 0 0,0 1-1,0-1 1,0 0-1,0 0 1,0 1 0,-1-1-1,1 0 1,0 0 0,0 1-1,0-1 1,-1 0-1,1 0 1,-1 1 0,-13 17 68,-15 15 16,1 2 1,1 0-1,2 2 0,-37 74 1,33-46-29,3 2 1,-29 112 0,-1 6 3,35-129-61,-47 148 0,64-186-31,1-1-1,1 1 1,0 30-1,2-27-97,-5 30 0,0-33-1742,6-35-1051,0-5 313,-1-8-8036</inkml:trace>
  <inkml:trace contextRef="#ctx0" brushRef="#br0" timeOffset="2094.42">1826 970 22527,'0'0'0,"30"14"0,-10-3 0,5-2 0,5-1 0,4-3-256,-5 6 0,-6-2-1024,2-1 0,3-3 256,24 7-11775</inkml:trace>
  <inkml:trace contextRef="#ctx0" brushRef="#br0" timeOffset="2379.46">2365 1547 23679,'0'0'0,"9"-37"-2944,-4 13 640,-1-1 1280,0 3 1</inkml:trace>
  <inkml:trace contextRef="#ctx0" brushRef="#br0" timeOffset="3194.98">2877 469 23679,'-33'39'0,"32"-38"0,1-1 0,0 1 0,-1-1 0,1 1 0,-1 0 0,1-1 0,-1 1 0,1-1 0,-1 0 0,1 1 0,-1-1 0,1 1 0,-1-1 0,1 0 0,-1 1 0,0-1 0,1 0 0,-1 0 0,0 1 0,1-1 0,-1 0 0,0 0 0,1 0 0,-1 0 0,0 0 0,1 0 0,-1 0 0,0 0 0,0 0 0,1 0 0,-1 0 0,0-1 0,1 1 0,-1 0 0,1 0 0,-1-1 0,0 1 0,1 0 0,-1-1 0,1 1 0,-1 0 0,1-1 0,-1 1 0,1-1 0,-1 1 0,1-1 0,-1-1 0,0 2 0,1-1 0,-1 1 0,1-1 0,0 1 0,-1-1 0,1 1 0,-1 0 0,1-1 0,-1 1 0,1-1 0,-1 1 0,1 0 0,-1-1 0,0 1 0,1 0 0,-1 0 0,0 0 0,1-1 0,-1 1 0,1 0 0,-1 0 0,0 0 0,1 0 0,-1 0 0,0 0 0,-1 1 0,-5 2-17,0 0 0,0 1 0,0 1-1,0-1 1,0 1 0,1 0-1,0 0 1,0 1 0,0 0 0,1 0-1,0 0 1,0 1 0,0-1 0,1 1-1,0 1 1,-5 11 0,4-5-19,0-1 0,1 1 0,0 0-1,1 0 1,1 1 0,0-1 0,0 1 0,2 20 0,2-17-6,0-1 1,1 1-1,1 0 0,1-1 1,0 0-1,2 0 1,0-1-1,0 1 1,1-1-1,1-1 1,1 0-1,0 0 1,1-1-1,1 0 1,0-1-1,1 0 0,0-1 1,25 17-1,-36-28 40,26 18-62,-1 0 1,0 2 0,35 37-1,-51-46 64,-1 0 0,0 0 0,-1 2 0,9 15 0,-16-25 0,0 0 0,0 0 0,-1 1 0,1-1 0,-1 0 0,0 1 0,-1-1 0,1 0 0,-1 1 0,0-1 0,0 1 0,0-1 0,0 1 0,-1-1 0,0 0 0,0 1 0,0-1 0,0 0 0,-4 8 0,-5 6 47,0 0-1,-1 0 0,-1-1 0,0 0 0,-19 18 1,29-33-37,0 0 0,0 0 0,-1-1 0,1 1 0,-1 0 0,1-1-1,-1 1 1,1-1 0,-1 0 0,0 0 0,0 0 0,1 0 0,-1-1 0,0 1 0,0-1 0,0 1 0,-5-1 0,3-1 0,0 0 1,0 0-1,1 0 0,-1 0 0,0-1 1,0 1-1,1-1 0,-1-1 0,1 1 0,-4-3 1,0-1 18,0 0 1,1 0 0,-1 0-1,1-1 1,1 0 0,0-1 0,0 1-1,0-1 1,1 0 0,-8-15-1,7 7-1,1-1 1,0 1-1,1-1 0,1 0 0,0 0 0,1 0 0,1 0 0,1-1 0,0 1 1,1 0-1,1 0 0,1 0 0,0 0 0,2 0 0,-1 1 0,2 0 0,0 0 0,1 0 1,1 0-1,0 1 0,17-22 0,105-144-4,-87 119-27,-36 52 3,0 0 0,0 0 0,-1-1 0,-1 0 0,0 0 0,0 0 0,-1-1 0,-1 1 0,0-1 0,2-14 0,-2-36 16,-3 56-26,-1 0 0,1 0 0,-1-1 0,0 1 0,-1 0 0,0 0 0,-4-11 0,5 15-28,0 1 0,0-1 0,0 1 0,0-1 0,0 1 0,0 0 0,-1 0 0,1 0 0,0 0 0,-1-1 0,1 2 0,0-1 0,-1 0 0,1 0 0,-1 0 0,0 1 0,1-1 0,-1 1 0,1-1 0,-1 1 0,0 0 0,1-1 0,-1 1 0,0 0 0,0 0 0,1 0 0,-3 1 0,-3 0-613,0 0 0,1 1 0,-1 0 0,1 0 0,-8 5 0,-21 8-11978</inkml:trace>
  <inkml:trace contextRef="#ctx0" brushRef="#br0" timeOffset="4113.34">3595 490 22143,'0'-5'9,"0"0"-1,0 1 0,-1-1 1,0 0-1,0 1 1,0-1-1,-1 1 0,0-1 1,1 1-1,-1 0 1,-1 0-1,1 0 0,-1 0 1,1 0-1,-1 0 0,0 0 1,-1 1-1,1 0 1,-1 0-1,1 0 0,-1 0 1,0 0-1,0 1 0,0-1 1,0 1-1,-1 0 1,-6-2-1,2 1 7,1 0 0,-1 1-1,1 0 1,-1 1 0,1-1 0,-1 2 0,0-1-1,0 1 1,0 1 0,1-1 0,-1 1 0,0 1 0,1 0-1,-1 0 1,1 1 0,0 0 0,-1 0 0,1 1-1,1 0 1,-12 7 0,13-6-21,-1 0-1,1 0 1,-1 1-1,1-1 1,1 1 0,-1 1-1,1-1 1,0 1 0,1 0-1,0 0 1,0 0-1,0 1 1,1 0 0,0-1-1,1 1 1,-1 0 0,1 0-1,1 0 1,0 1-1,0-1 1,1 12 0,0-7-29,1-1 1,1 0-1,0 0 1,0-1 0,1 1-1,1 0 1,0-1-1,7 14 1,-9-21 30,0 0 1,1-1-1,-1 1 1,0-1-1,1 0 1,0 1-1,0-1 1,0 0-1,0-1 0,1 1 1,-1 0-1,1-1 1,-1 0-1,1 0 1,0 0-1,0 0 1,0-1-1,0 0 1,0 1-1,0-2 1,1 1-1,-1 0 0,0-1 1,0 1-1,1-1 1,6-1-1,-2-1 4,0 0 0,1-1 0,-1 1 0,-1-2 0,1 1 0,0-1 0,-1-1 0,0 0 0,0 0 0,0 0 0,12-11 0,-3-1 0,1 0 0,-2-1 0,20-28 0,-23 26-58,0 0 1,-1-1-1,-2 0 0,0-1 0,-1 0 0,11-45 0,-19 64-103,0 0-1,-1 0 1,1-1-1,-1 1 1,0 0 0,0 0-1,0-1 1,-1-2-1,1 5 62,0 1-1,-1-1 0,1 1 0,0-1 0,0 1 1,0-1-1,-1 1 0,1-1 0,0 1 0,-1-1 1,1 1-1,-1-1 0,1 1 0,0-1 0,-1 1 1,1 0-1,-1-1 0,1 1 0,-1 0 0,1 0 1,-1-1-1,0 1 0,1 0 0,-1 0 0,1 0 1,-1-1-1,1 1 0,-1 0 0,0 0 0,1 0 1,-1 0-1,1 0 0,-1 0 0,1 0 0,-1 1 1,0-1-1,1 0 0,-1 0 0,1 0 0,-1 1 1,1-1-1,-1 0 0,0 1 0</inkml:trace>
  <inkml:trace contextRef="#ctx0" brushRef="#br0" timeOffset="4892.8">3753 0 21503,'-6'39'0,"-1"-26"48,7-13-44,0 1 0,0-1 0,-1 0 0,1 0 0,0 0 0,0 0 0,-1 0 0,1 0 0,0 0 0,-1 0 0,1 0 0,0 0 0,-1 0 0,1 0 0,0 0 0,0 0 0,-1 0 0,1 0 0,0 0 0,0 0 0,-1-1 0,1 1 0,0 0 0,-1 0 0,1 0 0,0 0 0,0-1 0,-2 0 12,2 0 0,-1 0 0,0 0 0,0 0 0,0 0 0,0 0 0,1-1 0,-1 1 0,0 0 0,1 0 0,-1-1 0,1 1 0,-1-2 0,1 3-9,0 0 0,0 0-1,0-1 1,1 1 0,-1 0-1,0 0 1,0 0 0,0 0-1,0 0 1,0 0 0,0 0-1,0 0 1,0 0 0,0-1-1,0 1 1,0 0 0,0 0-1,0 0 1,1 0 0,-1 0-1,0 0 1,0 0 0,0 0-1,0 0 1,0 0 0,0 0-1,0 0 1,0 0 0,1 0-1,-1 0 1,0 0 0,0 0-1,0 0 1,0 0 0,0 0-1,0 0 1,0 0 0,0 0-1,1 0 1,-1 0 0,0 0-1,0 0 1,0 0 0,0 0-1,0 0 1,0 0 0,0 0-1,0 0 1,0 0 0,1 1-1,-1-1 1,0 0 0,0 0-1,0 0 1,0 0 0,0 0-1,0 0 1,0 0 0,0 0-1,0 0 1,0 1-1,0-1 1,0 0 0,0 0-1,0 0 1,0 0 0,0 0-1,0 0 1,0 0 0,12 13 134,13 21 19,81 161 480,-84-157-539,-1 2-1,-2 1 0,-1 1 0,16 64 1,-16-32 21,16 141 1,-28-147-68,-3 0 0,-7 88 1,0-113-8,-2-1-1,-2 1 1,-2-2 0,-28 77 0,22-78-11,-2-1-1,-2-1 0,-1-1 0,-2-1 1,-1-1-1,-2-1 0,-1-2 0,-2 0 1,-61 52-1,-37 7-1140,6-5-5045,44-29-5264</inkml:trace>
  <inkml:trace contextRef="#ctx0" brushRef="#br0" timeOffset="5594.41">4663 1308 22143,'47'15'179,"1"-3"0,51 8 0,15 3-54,118 27-893,-201-47-1111,-16-3-1895</inkml:trace>
  <inkml:trace contextRef="#ctx0" brushRef="#br0" timeOffset="5825.46">4823 889 22911,'0'0'640,"22"28"-384,1-6 0,9 9 0,4 3 0,6 4-128,6-1 0,7 4-1152,-2-3 128,-3-1-256,-12-13 128,-2-3-13823</inkml:trace>
  <inkml:trace contextRef="#ctx0" brushRef="#br0" timeOffset="43192.3">6016 1140 18815,'0'0'1814,"6"5"-1601,38 23 31,67 31 0,-83-46-78,1-1 0,0-2 0,60 13 0,114 8 517,-199-31-670,0 1 1,0-1 0,0 1 0,-1 0 0,1 1-1,0-1 1,-1 1 0,1-1 0,-1 1 0,1 0-1,-1 0 1,0 1 0,0-1 0,0 1 0,0-1 0,3 4-1,-6-5-205</inkml:trace>
  <inkml:trace contextRef="#ctx0" brushRef="#br0" timeOffset="44058.6">7052 640 18687,'0'0'1174,"6"-1"-961,7 0-150,1 1 0,-1 0 0,1 1 0,-1 0-1,0 1 1,1 1 0,-1 0 0,0 1 0,0 0 0,-1 1 0,0 0 0,1 1-1,-2 1 1,1-1 0,-1 2 0,0 0 0,0 0 0,11 13 0,-3-3-10,-1 0 1,-1 1-1,20 29 1,-30-38-37,-1 0 0,-1 0 0,0 1 0,0 0 0,-1 0 0,-1 0 0,0 1 0,0-1 0,1 21 0,-3-15 22,-1 0-1,-1 0 1,-1 0 0,-1 0 0,0 0 0,-1-1 0,0 1 0,-11 22 0,-5 6 148,-42 69 1,56-104-153,-2 1 0,1-1 0,-1-1 0,0 0 0,-1 0-1,0 0 1,-1-1 0,0 0 0,0-1 0,-13 7 0,19-11-27,-1 0-1,1 0 1,-1 0-1,1 1 1,0 0-1,0 0 1,0 0-1,1 0 1,0 1 0,0 0-1,-4 7 1,6-10-7,0 0 1,0-1 0,1 1-1,-1 0 1,1 0 0,-1 0-1,1 0 1,0 0 0,0 0-1,0 0 1,0 0 0,0 0-1,0 0 1,1 0 0,-1 0-1,0 0 1,1 0 0,0 0-1,-1-1 1,1 1 0,0 0 0,0 0-1,0-1 1,0 1 0,1 0-1,-1-1 1,0 1 0,1-1-1,-1 0 1,1 1 0,-1-1-1,1 0 1,-1 0 0,4 2-1,9 5 56,1 0-1,0-2 0,1 1 0,-1-2 1,1 0-1,0-1 0,1 0 0,-1-1 0,1-1 1,22 0-1,36 4 250,-41-3-790,52 0-1,-76-4-94,-1 1-1,1-2 0,-1 1 0,0-1 1,0-1-1,0 1 0,0-2 0,0 1 1,-1-1-1,11-6 0,10-9-10534</inkml:trace>
  <inkml:trace contextRef="#ctx0" brushRef="#br0" timeOffset="44929.13">7735 696 22143,'46'-48'0,"-44"47"0,0 0 0,0-1 0,0 1 0,0 0 0,0 0 0,1 1 0,-1-1 0,0 0 0,0 1 0,1-1 0,-1 1 0,0 0 0,4-1 0,34 4 0,-11 0 0,-6-2 25,-1 1 0,0 1 0,1 1-1,31 9 1,86 37 186,-94-32-162,-38-15-13,1 0 21,1 1 0,16 9-1,-24-12-48,0 1 0,0-1 0,-1 0 0,1 1-1,0-1 1,-1 1 0,1-1 0,-1 1 0,1 0 0,-1-1-1,0 1 1,1 0 0,-1 0 0,0 0 0,-1 0 0,1 0-1,0 0 1,0 0 0,0 3 0,-1 1 7,0 0 1,0 1-1,-1-1 1,0 0-1,0 0 1,0 0 0,0 0-1,-1-1 1,0 1-1,-1 0 1,1-1-1,-1 1 1,0-1-1,0 0 1,-7 9-1,-5 3 55,0-1 1,-36 28-1,27-24-17,16-13-33,0 0-1,-1 0 1,0-1 0,0 0-1,0-1 1,-1 0 0,0 0-1,0-1 1,0-1 0,0 1 0,-1-2-1,-19 4 1,22-6 14,-9 2 117,17 0-86,8 2-38,40 13 2,59 24 70,-55-16-99,-1 2 0,-1 2 0,60 48 0,-107-75 0,0 0 0,0 1 0,-1-1 0,1 1 0,-1-1 0,1 1 0,-1 0 0,0 0 0,0 0 0,0 1 0,0-1 0,-1 0 0,3 7 0,-4-7 0,0-1 0,0 1 0,0-1 0,-1 1 0,1 0 0,0-1 0,-1 1 0,0-1 0,1 1 0,-1-1 0,0 1 0,-1-1 0,1 0 0,0 1 0,-1-1 0,1 0 0,-1 0 0,1 0 0,-1 0 0,0 0 0,-2 2 0,-17 15 9,0 0 1,-2-2-1,1 0 0,-2-2 0,0 0 0,-31 13 0,35-19-2,-1-1 0,0-1 1,0-1-1,-1 0 0,1-2 0,-1-1 0,0 0 0,-33-1 0,54-2-19,0 0 1,-1 0-1,1 0 0,0 0 0,-1 0 0,1 0 0,0 0 1,-1 0-1,1-1 0,0 1 0,0-1 0,-1 1 1,1-1-1,0 1 0,0-1 0,0 0 0,0 1 0,-1-1 1,1 0-1,0 0 0,0 0 0,1 0 0,-1 0 0,0 0 1,0 0-1,0 0 0,1 0 0,-1 0 0,0 0 0,1-1 1,-1 1-1,1 0 0,0 0 0,-1-1 0,1 1 1,0 0-1,0-1 0,0 1 0,0 0 0,0-1 0,0 1 1,0 0-1,0-1 0,0 1 0,1-2 0,1-3-74,0 1-1,0 0 1,0-1 0,0 1-1,1 0 1,0 1-1,0-1 1,0 0 0,6-6-1,21-17-3113</inkml:trace>
  <inkml:trace contextRef="#ctx0" brushRef="#br0" timeOffset="46978.51">8729 1423 22783,'0'0'0,"-3"46"0,3-26 0,3-3 0,-1-1 0,4-7 0,-4-4 128,1-2-128,-6-11 128,1-9-128,-1 2 0,3 0-896,3 0 0,2 2-384,-1 4 128</inkml:trace>
  <inkml:trace contextRef="#ctx0" brushRef="#br0" timeOffset="48072.64">9753 499 22015,'-76'58'0,"75"-57"0,-1 0 0,0 0 0,1 0 0,-1 0 0,0-1 0,0 1 0,0-1 0,0 0 0,0 1 0,0-1 0,0 0 0,0 0 0,0 0 0,1 0 0,-1 0 0,0-1 0,0 1 0,0-1 0,0 1 0,0-1 0,0 0 0,1 1 0,-1-1 0,0 0 0,1 0 0,-1 0 0,0 0 0,1-1 0,-1 1 0,-2-3 0,2 2 0,0 0 0,-1 0 0,1 0 0,-1 0 0,0 1 0,0 0 0,0-1 0,1 1 0,-6-1 0,-20 0 0,1 1 0,0 1 0,0 2 0,0 1 0,0 0 0,-39 12 0,33-6 64,-52 19 0,72-23-45,1 1-1,-1 1 0,1-1 0,0 2 1,1 0-1,-18 16 0,27-24-18,1 1 0,0 0 0,0 0 0,0 0 0,0 0 0,0 0 0,0 1 0,0-1 0,0 0 0,0 0 0,1 1 0,-1-1 0,1 0 0,-1 1 0,0-1 0,1 0 0,0 1 0,-1-1 0,1 1 0,0-1 0,0 3 0,1-2 0,0 0 0,1 1 0,-1-1 0,1-1 0,-1 1 0,1 0 0,0 0 0,0-1 0,0 1 0,0-1 0,2 2 0,2 2 0,5 2 0,0-1 0,0-1 0,0 1 0,1-2 0,0 0-1,0 0 1,0-1 0,0 0 0,19 1 0,-8-1 11,35 11 1,-25 0 52,-1 0-1,-1 2 1,0 2 0,39 29 0,-61-41-42,-2-1-12,0 0-1,0 1 1,-1 0-1,0 0 1,0 0-1,0 1 1,-1 0-1,0 0 1,0 0 0,0 0-1,-1 1 1,0 0-1,-1 0 1,0 0-1,0 1 1,-1-1 0,0 0-1,0 1 1,-1 0-1,0-1 1,-1 1-1,0 0 1,0-1-1,-1 1 1,0 0 0,0-1-1,-1 1 1,-4 10-1,2-8 16,-1-1-1,-1 0 0,0 0 0,0-1 0,-1 1 1,0-1-1,0-1 0,-1 1 0,0-2 0,-1 1 1,0-1-1,-17 11 0,8-7 25,-1-1 1,0 0 0,0-2-1,-1 0 1,0-1-1,-24 5 1,36-11-1,0 1 1,0-1 0,0 0 0,0-1-1,-1 0 1,1 0 0,-9-2 0,14 1-24,-1 0 0,1 0 0,-1 0 0,1 0 1,-1 0-1,1-1 0,0 0 0,0 1 0,-1-1 1,1-1-1,1 1 0,-1 0 0,0-1 1,1 1-1,-1-1 0,1 0 0,0 0 0,-3-4 1,1 0-25,1 1 1,0-1 0,0 0 0,1 0-1,0-1 1,0 1 0,0-1 0,1 1-1,0-1 1,1 1 0,0-1 0,0 1 0,1-1-1,-1 1 1,2-1 0,-1 1 0,1 0-1,0-1 1,0 1 0,1 0 0,6-11-1,7-9 7,0 1 0,2 1-1,1 1 1,22-24-1,-8 10-5,-30 34-3,42-49 11,56-53 0,-99 104-9,70-69 66,-62 60-62,-1 0 0,-1 0 0,0-1 0,-1 0 0,7-15 0,12-32-1461,0 1-3874,-14 30-6830</inkml:trace>
  <inkml:trace contextRef="#ctx0" brushRef="#br0" timeOffset="48961.53">10237 379 22527,'-26'8'0,"-21"4"0,45-11 0,0 0 0,0 0 0,0 0 0,0 0 0,0 0 0,1 1 0,-1-1 0,0 1 0,1-1 0,-1 1 0,1 0 0,0 0 0,-1-1 0,1 1 0,0 0 0,0 0 0,0 0 0,-1 3 0,0 1 0,-2 4 34,0 0 1,1 0-1,1 0 0,-1 0 0,2 1 0,-1 0 0,2-1 0,-1 1 0,1-1 0,2 13 1,-2 28 80,0 0 27,12 95 1,0 4-1,-16 55-14,4-198-109,1 1 0,0-1 1,0 0-1,1 0 0,0 0 1,0 1-1,6 11 1,-2-6 38,-6-12-57,0-1-1,0 1 1,0-1-1,1 1 1,-1 0-1,0-1 1,1 1 0,-1-1-1,1 1 1,-1 0-1,0-1 1,1 1-1,-1-1 1,1 1 0,-1-1-1,1 0 1,0 1-1,-1-1 1,1 0 0,-1 1-1,1-1 1,0 0-1,-1 0 1,1 1-1,0-1 1,-1 0 0,2 0-1,-1 0 2,1 0-1,-1-1 1,1 1-1,-1 0 1,0-1-1,1 1 1,-1-1-1,0 0 1,1 1-1,-1-1 1,0 0-1,2-1 1,2-3 16,1 0 0,-1-1 1,0 1-1,6-11 1,143-246 80,-27 41-49,-65 117-32,30-48 48,-74 126-49,1 1-1,1 1 0,37-35 1,-53 56-4,0-1 0,0 1 1,0 0-1,1 0 0,-1 1 1,1-1-1,8-2 0,-13 5-13,0 0-1,0 0 1,0 0 0,0 0-1,0 0 1,0 0-1,0 0 1,0 0-1,1 0 1,-1 0-1,0 0 1,0 0 0,0 1-1,0-1 1,0 0-1,0 0 1,0 0-1,0 0 1,0 0-1,0 0 1,0 0 0,0 0-1,0 1 1,0-1-1,0 0 1,0 0-1,0 0 1,1 0 0,-1 0-1,0 0 1,-1 0-1,1 0 1,0 1-1,0-1 1,0 0-1,0 0 1,0 0 0,0 0-1,0 0 1,0 0-1,0 0 1,0 1-1,0-1 1,0 0-1,0 0 1,0 0 0,0 0-1,0 0 1,0 0-1,0 0 1,-1 0-1,1 0 1,0 0 0,0 0-1,0 0 1,0 1-1,0-1 1,0 0-1,0 0 1,0 0-1,-1 0 1,1 0 0,0 0-1,0 0 1,0 0-1,-7 8-76,-2 3-142,1 0 1,0 0 0,1 1 0,0 0 0,1 0 0,-8 21 0,-3 15-3119,1-5-9996</inkml:trace>
  <inkml:trace contextRef="#ctx0" brushRef="#br0" timeOffset="50257.77">11078 294 22911,'0'0'128,"-7"5"-21,-7 8-64,-1 1-1,2 1 1,0 0 0,1 0-1,-13 22 1,-50 77 109,40-63-143,-43 83 1,-16 85 200,65-149-164,-86 230 295,102-272-263,13-28-77,0 0 0,-1 0 0,1 0 1,0 0-1,0 0 0,0 0 0,0 0 1,0 0-1,0 0 0,0 0 0,0 0 1,0 0-1,0 0 0,0 0 0,0 0 1,0 0-1,0 0 0,-1 0 0,1 0 1,0 0-1,0 0 0,0 0 0,0 0 1,0 0-1,0 0 0,0 0 0,0 0 1,0 0-1,0 0 0,0 0 0,0 0 1,0 0-1,0 0 0,0 0 0,-1 0 1,1 0-1,0 0 0,0 0 0,0 0 1,0 0-1,0 1 0,0-1 0,0 0 1,0 0-1,0 0 0,0 0 0,0 0 1,0 0-1,0 0 0,5-17 8,29-73-184,3 2 0,5 2 0,3 1 1,76-106-1,-50 101 151,5-7 26,13-39-2,-83 126 30,0 0-1,-1-1 0,-1 1 1,0-1-1,0 0 0,-1 0 1,3-18-1,-2 15 69,-3 17 82,-3 24 75,-4 30 128,3 88-1,2-28-229,1 247 209,0-282-338,-1-53 4,1-1-1,6 52 1,-3-76-824,1-9 225,1-10-601,-2-2 27,-1-1 0,-1 0 0,-3-34 0,1-7-205,2 27 1089,1 3-15,-1-1 0,-2 1 0,-7-51 0,5 66 295,-1-6 156,0 0 1,-1 1-1,-1-1 0,-10-19 0,16 38-122,-1 0 0,0 0 0,1 0 0,-1-1 0,0 1 0,0 0 0,0 0 0,0 0 0,0 0 0,0 0 0,0 1 0,0-1-1,-1 0 1,1 0 0,0 1 0,0-1 0,-1 1 0,1-1 0,0 1 0,-1 0 0,1-1 0,-2 1 0,-1 0 80,1 0 1,-1 0 0,0 0-1,1 1 1,-1 0 0,1-1 0,-1 1-1,-5 3 1,1 0 102,0-1 1,0 2-1,1-1 0,0 1 0,-1 0 1,-10 12-1,-1 2 188,8-9-199,1 1-1,1 0 1,-12 17 0,21-28-213,0 1 0,-1-1 0,1 1 0,0-1 0,0 0 1,-1 1-1,1-1 0,0 1 0,0-1 0,0 1 0,0-1 1,0 1-1,0-1 0,0 1 0,0-1 0,0 1 0,0-1 1,0 1-1,0-1 0,0 1 0,0-1 0,1 1 0,-1-1 1,0 1-1,0-1 0,0 0 0,1 1 0,-1-1 0,1 1 1,15 8 240,22-3-18,108 10-832,-143-16 345,1 0 1,-1 0-1,0 0 1,0 0-1,0 0 1,0-1-1,0 1 1,0-1-1,0 0 1,0 0-1,0 0 1,0 0-1,0-1 1,0 1-1,-1-1 1,1 0-1,-1 1 1,5-5-1</inkml:trace>
  <inkml:trace contextRef="#ctx0" brushRef="#br0" timeOffset="50724.1">11394 455 22271,'0'0'256,"-1"9"-149,-15 117 162,-40 377 251,54-484-520,0-3 0,1 1 0,1-1 0,2 20 0,-2-36-12,0 0 0,0 0 0,0 0 0,0 0 0,0 1 0,0-1 0,0 0 0,0 0 0,0 0 0,0 0 0,0 1 0,0-1 0,0 0 0,0 0 0,0 0 0,0 0 0,0 1 0,0-1 0,0 0 0,0 0 0,0 0 0,0 0 0,1 0 0,-1 1 0,0-1 0,0 0 0,0 0 0,0 0 0,0 0 0,0 0 0,1 0 0,-1 0 0,0 0-1,0 0 1,0 1 0,0-1 0,0 0 0,1 0 0,-1 0 0,0 0 0,0 0 0,0 0 0,0 0 0,1 0 0,-1 0 0,0 0 0,0 0 0,0 0 0,0 0 0,1 0 0,-1 0 0,0 0 0,0-1 0,9-9-811,5-16-606,22-60-3861,-16 41-4822</inkml:trace>
  <inkml:trace contextRef="#ctx0" brushRef="#br0" timeOffset="51239.43">11577 499 16639,'0'0'150,"-1"-6"127,0 2-275,-14-58 1646,13 56-1431,0 0 0,0 0 0,0 1-1,-1-1 1,0 1 0,0-1 0,0 1 0,-1 0 0,-4-5 0,3 7-117,-1 1 0,1-1 0,0 1 0,-1 1 0,1-1 0,-1 1 0,0 0 0,0 0 0,1 0 0,-7 1 0,-8-2 208,20 2-302,0 0 0,0 0 0,-1 0 0,1 0 1,0 0-1,0 0 0,0 0 0,0 0 0,0 0 0,0 0 1,0 0-1,-1 0 0,1 0 0,0 0 0,0 0 0,0 0 1,0 0-1,0 0 0,0 0 0,0 0 0,-1 0 1,1 0-1,0-1 0,0 1 0,0 0 0,0 0 0,0 0 1,0 0-1,0 0 0,0 0 0,0 0 0,0 0 1,0 0-1,-1 0 0,1-1 0,0 1 0,0 0 0,0 0 1,0 0-1,0 0 0,0 0 0,0 0 0,0 0 0,0-1 1,0 1-1,0 0 0,0 0 0,0 0 0,0 0 1,0 0-1,0 0 0,0 0 0,0-1 0,0 1 0,0 0 1,1 0-1,-1 0 0,0 0 0,0 0 0,0 0 0,0 0 1,0-1-1,7-2 95,-1 3-35,0 0-1,0 0 0,-1 1 1,1 0-1,0 0 1,0 0-1,-1 1 0,1 0 1,0 0-1,-1 0 0,0 1 1,6 3-1,7 6 59,-1 0-1,17 16 1,-2-1-43,-21-18-50,-1 0 0,-1 0 0,1 1 0,-2 0 0,1 1 0,-2 0 0,1 0 0,-2 1 1,1 0-1,-1 0 0,7 24 0,-10-27-9,0 0 0,-1 1 0,-1 0 0,1-1 0,-2 1-1,1 0 1,-1 0 0,-1-1 0,0 1 0,0 0 0,-1-1 0,0 1 0,0-1 0,-1 1 0,-1-1 0,1 0 0,-6 9 0,1-5 55,0 0 1,-1-1 0,0 0 0,-14 15 0,18-23-45,0 0 0,0 0 0,0 0 0,0 0 0,0-1 1,-1 0-1,0 0 0,1 0 0,-1-1 0,0 0 0,0 0 1,-1 0-1,-7 0 0,0 0 22,-1-1-1,1 0 1,-1-1 0,-16-3 0,26 3-191,0-1 1,0 0 0,1-1-1,-1 1 1,1-1 0,-1 0-1,1 0 1,0 0 0,0 0-1,0-1 1,0 0 0,0 0 0,0 0-1,1 0 1,0-1 0,-5-5-1,4 3-383,-2-2-115</inkml:trace>
  <inkml:trace contextRef="#ctx0" brushRef="#br0" timeOffset="52159.59">11527 900 20351,'0'0'2198,"-4"2"-1985,-1 1-170,0 1-1,0-1 1,1 1 0,-1 0-1,1 0 1,0 1 0,0 0-1,0-1 1,1 1 0,0 0-1,0 1 1,0-1 0,1 0-1,-1 1 1,1 0 0,1-1-1,-1 1 1,1 0 0,0 0-1,0 0 1,0 0 0,1 0-1,0 0 1,1 0 0,-1 0-1,3 9 1,0 4 46,1 0-1,1-1 1,1 0 0,1 0-1,0 0 1,15 23 0,-15-28-89,0-2-1,1 1 1,1-1 0,0 0 0,0-1-1,1 0 1,0-1 0,1 0 0,18 12 0,-26-19-130,0-1 1,0 1 0,0-1 0,0 1-1,0-1 1,0 0 0,0 0-1,0-1 1,0 1 0,0-1 0,1 1-1,-1-1 1,6-1 0,18-2-3160,16-4-9745</inkml:trace>
  <inkml:trace contextRef="#ctx0" brushRef="#br0" timeOffset="54604.38">5809 2054 19583,'0'0'1558,"8"1"-1345,13 4-106,0 1-1,-1 1 1,1 1 0,29 16-1,-24-10-39,1-1 0,1 0 0,1-2 0,-1-2 0,1 0 0,32 4 1,186 17 416,-212-27-435,298 10 244,-23-1 75,-33-10-33,0-21-33,-31 1-149,720-27 359,-637 8-322,-72 4-39,-226 31-139,101-10 110,140-29 0,-111 11 27,164-10 1,-185 19-13,-101 13-86,0 2 0,1 1 0,62 2 0,-96 3-49,61 5 47,1-3 0,121-12 0,-182 9-25,0 0-1,0 1 1,0 0-1,0 0 1,0 0-1,0 1 0,0 0 1,0 0-1,12 4 1,-14-3-22,1-2 1,-1 1-1,1-1 1,-1 0-1,1 0 1,-1 0-1,0-1 1,9-1-1,25-2-3,-25 5 39,-1-1-1,1 0 0,16-2 1,10 4 69,-36-1-94,0 0 0,0-1 0,0 1 0,0-1 0,-1 0 0,1 0 0,0 0 0,0 0 0,0-1 0,0 0 0,0 0 0,-1 0 0,1 0 0,0 0 0,-1-1 0,1 1 0,3-3 0,-6 3-12,1 0 1,-1 0-1,1 0 0,-1 0 1,1 0-1,-1 1 0,1-1 1,-1 0-1,1 1 1,0-1-1,0 1 0,-1 0 1,1 0-1,0-1 0,-1 1 1,1 0-1,2 1 1,28 9-10,-27-8 48,-1-1 0,1 1 0,0 0 1,0-1-1,0 0 0,9 1 1,12-5 70,-23 2-112,1 0 1,0 1 0,0-1-1,0 1 1,0 0 0,-1 0-1,1 0 1,0 1 0,0-1-1,0 1 1,0 0 0,4 1-1,-6-1 1,0 0 0,-1-1 0,1 1 0,0-1 0,0 0 0,0 0 0,0 1 0,0-1 0,0 0 0,0-1 0,0 1 0,-1 0 0,1 0 0,0-1 0,0 1 0,0-1 0,0 0 0,2-1 0,17-3 0,3 1 84,-22 3-71,1 0 0,0 0 0,-1 1 0,1-1 0,0 1 0,-1 0 0,1 0 0,0 0 0,0 0 0,-1 0 1,1 1-1,0-1 0,-1 1 0,1-1 0,-1 1 0,1 0 0,-1 0 0,1 0 0,-1 1 0,1-1 0,-1 1 0,3 2 0,1-3 46,-9-8 31,8 6 124,3-1-143,-3 1-17,-3 8-30,-2-7-24,0 0 0,0 0 0,0 0 0,0 0 0,0 0 0,0 0 0,0 0 0,0 0 0,0 0 0,0 0 0,0 0 0,0 0 0,1 0 0,-1 0 0,0 0 0,0 0 0,0 0 0,0 0 0,0 0 0,0 0 0,0 0 0,0 0 0,0 0 0,0 0 0,0 0 0,0 0 0,0 0 0,0 0 0,0 0 0,0 0 0,0 0 0,0 0 0,1 0 0,-1 1 0,0-1 0,0 0 0,0 0 0,0 0 0,0 0 0,0 0 0,0 0 0,0 0 0,0 0 0,0 0 0,0 0 0,0 0 0,0 0 0,0 0 0,0 0 0,0 0 0,0 1 0,0-1 0,0 0 0,0 0 0,0 0 0,0 0 0,0 0 0,0 0 0,1 0 0,-6-2 0,2 0 192,11 0 0,-6 3-181,4 0 59,-6-1-69,0 0 0,0 1 0,0-1 0,1 0 0,-1 0 0,0 0 0,0 0 0,0 0-1,0 1 1,0-1 0,0 0 0,0 0 0,0 0 0,0 0 0,0 0 0,0 1 0,0-1 0,0 0 0,0 0 0,0 0 0,0 0-1,-1 0 1,1 1 0,0-1 0,0 0 0,0 0 0,0 0 0,0 0 0,0 0 0,0 0 0,0 0 0,0 1 0,-1-1-1,1 0 1,0 0 0,0 0 0,0 0 0,0 0 0,0 0 0,0 0 0,-1 0 0,1 0 0,0 0 0,0 0 0,0 0 0,0 0-1,0 0 1,-1 0 0,1 0 0,0 0 0,-4 0-1,7-2 0,0 2 0,-6 4 0,6-6 0,5-2 0,-7 0 0,-3 5 0,2-1 0,0 1 0,0-1 0,0 0 0,0 0 0,-1 0 0,1 0 0,0 0 0,0 0 0,0 1 0,0-1 0,0 0 0,0 0 0,0 0 0,0 0 0,0 0 0,0 1 0,0-1 0,0 0 0,0 0 0,0 0 0,0 0 0,0 1 0,0-1 0,0 0 0,0 0 0,0 0 0,0 0 0,0 0 0,0 1 0,0-1 0,0 0 0,0 0 0,1 0 0,-1 0 0,0 0 0,0 0 0,0 1 0,0-1 0,0 0 0,0 0 0,0 0 0,1 0 0,-1 0 0,0 0 0,0 0 0,0 0 0,0 0 0,0 0 0,1 0 0,-1 0 0,0 0 0,0 0 0,0 0 0,0 0 0,0 0 0,1 0 0,-1 0 0,0 0 0,0 0 0,4-2 0,-2-4-191,0 0 0,0 0 0,0 0 0,-1 0 0,0 0 0,0 0 0,-1-7 0,3-13-862,9-63-4110,-8 42-9236</inkml:trace>
  <inkml:trace contextRef="#ctx0" brushRef="#br0" timeOffset="56300.66">5927 2548 20479,'0'0'2432,"5"0"-2325,134 13 192,-33-4-114,71 2 248,87-26-37,-50 0-173,223 0 76,-186 19-86,-20 0-42,79 10 137,13 0-19,-266-16-249,26-1 132,95 7 0,230 16-23,-124-42-56,4-1 177,-66 7-157,-90 2-77,-29 15-9,-76 1-7,1-2 0,0-1 0,30-4 0,49-13 32,-37 8-4,103-29 1,-121 26 39,1 2 0,104-8 0,-6 2 53,-102 13-40,-38 4-74,1-1 0,-1 0 0,0 0-1,18-6 1,-19 4-24,100-28 263,-97 29-228,0 0-1,1 1 1,-1 0 0,1 1 0,-1 1 0,21 3-1,51 5 188,-42-5-215,-37-4 0,1 0 0,0 0 0,0 0 0,-1-1 0,1 0 0,-1 0 0,1 0 0,-1-1 0,7-3 0,7-3-2092,31-20 0,-46 25 1218,54-31-15199</inkml:trace>
</inkml:ink>
</file>

<file path=xl/ink/ink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07:16:02.908"/>
    </inkml:context>
    <inkml:brush xml:id="br0">
      <inkml:brushProperty name="width" value="0.1" units="cm"/>
      <inkml:brushProperty name="height" value="0.1" units="cm"/>
      <inkml:brushProperty name="color" value="#33CCFF"/>
    </inkml:brush>
  </inkml:definitions>
  <inkml:trace contextRef="#ctx0" brushRef="#br0">5582 28 19071,'-20'-16'8,"20"16"-7,1 0-1,-1 0 0,0 0 1,0 0-1,0 0 0,0 0 1,0 0-1,0 0 1,0 0-1,0 0 0,0 0 1,0 0-1,1 0 0,-1 0 1,0 0-1,0 0 0,0 0 1,0 0-1,0 0 0,0 0 1,0 0-1,0 0 0,0 0 1,1 0-1,-1 0 0,0 0 1,0 0-1,0 0 0,0 0 1,0 0-1,0 0 0,0 0 1,0 0-1,0-1 0,0 1 1,0 0-1,0 0 0,0 0 1,0 0-1,0 0 1,0 0-1,0 0 0,0 0 1,0 0-1,0 0 0,0-1 1,1 1-1,-2 0 0,1 0 1,0 0-1,0 0 0,0 0 1,0 0-1,0 0 0,0 0 1,0 0-1,0-1 0,0 1 1,0 0-1,0 0 0,0 0 1,0 0-1,0 0 0,0 0 1,0 0-1,0 0 0,0 0 1,0 0-1,-1 0 0,15 3 96,-4-5 334,-16-2 384,-2-1-522,7 5-285,1 0 1,0 0-1,-1 0 0,1 0 0,-1 0 0,1 0 0,0 0 0,-1 0 0,1 0 0,0 0 0,-1 0 0,1 0 0,-1 0 0,1 1 1,0-1-1,-1 0 0,1 0 0,0 0 0,-1 0 0,1 1 0,0-1 0,0 0 0,-1 0 0,1 1 0,0-1 0,-1 0 1,1 1-1,0-1 0,0 0 0,0 1 0,0-1 0,-1 0 0,1 1 0,0-1 0,0 0 0,0 1 0,0-1 0,0 1 0,0-1 1,0 0-1,0 1 0,0-1 0,0 0 0,0 1 0,0-1 0,0 1 0,-1 23 66,10 7 95,-7-28-143,0 1-1,-1-1 1,1 1 0,-1 0 0,0 1-1,1 5 1,-2 31 39,0-4 1,-7 41-1,-1 23 20,-30 367 231,-34-8 32,19-223-241,7-37-84,4 31 112,-31 154 94,54-318-189,11-45-9,2 2 0,-8 46-1,-11 84-29,15-106 0,2 1 0,-4 84 0,12-128 0,5 149-38,-3-129 24,1-2 1,1 2-1,2-2 0,9 28 1,-12-41-179,1 5-602</inkml:trace>
  <inkml:trace contextRef="#ctx0" brushRef="#br0" timeOffset="2916.52">1 1393 18943,'36'1'0,"-36"-1"0,0 0 0,1 1 0,-1-1 0,0 0 0,0 0 0,1 0 0,-1 0 0,0 0 0,0 0 0,1 0 0,-1 0 0,0 1 0,0-1 0,1 0 0,-1 0 0,0 0 0,0 0 0,1 2 0,-1-2 0,0 0 0,0 0 0,0 1 0,0-1 0,0 0 0,1 0 0,-1 1 0,0-1 0,0 0 0,0 0 0,0 1 0,0-1 0,0 0 0,0 1 0,0-1 0,0 0 0,0 0 0,0 1 0,0-1 0,0 0 0,0 1 0,0-1 0,0 0 0,0 0 0,0 1 0,0-1 0,-1 0 0,-7 17 0,5-11 0,1-1 0,0-1 0,1 0 0,-1-1 0,1 1 0,0 0 0,0 0 0,0 7 0,1-10 0,0 0 0,1 3 0,-1-3 0,0 0 0,1 0 0,-1 0 0,1 0 0,-1 0 0,1-1 0,-1 1 0,1 0 0,0 1 0,0-1 0,0 0 0,-1 0 0,1 0 0,0 0 0,0 0 0,0 0 0,0-1 0,1 1 0,-1 0 0,0-1 0,0 1 0,0-1 0,0 1 0,2 1 0,82 37 529,23 9 329,-25-17-581,157 33 1,-111-54-98,-58-6-104,56 1 35,58 6-9,-73 5-91,143 2-1,-173-19-11,125 5 130,449-1 511,-511-21-515,-9 1-122,-83 14 6,414-46 110,-287 21-76,4 10 0,226 6-1,-197 16-4,163 9 52,178 88 45,-493-87-120,130 17 71,-87-13-66,-56-9-20,0-5 0,58 1 0,-62-6 0,111 2 0,-40 13 43,154 6 149,18-35-4,-91 1-77,-89 8-38,418 3 238,-390 20-256,70 2-4,-93-18-51,231 8 0,-292-6 0,-1-3 0,95-13 0,-104 7 0,24-6 0,70-3 0,418 18 0,-383 7 0,248 20 0,-241-9 28,236 21 72,-279-47-100,-4 1 0,-64 6 0,0-4 0,132-20 0,-142 15 0,0 2 0,57 3 0,19 1 0,-13-13 0,29-1 0,-75 10 0,-41 2 0,1 1 0,38 3 0,15 1 0,-58-3 0,43 5 0,-31 0 0,2-2 0,-1-1 0,0-3 0,47-7 0,-69 8 0,1 1 0,-1 0 0,0 2 0,32 6 0,-26-4 0,-3-2 0,39 3 0,-58-6 0,13 0 12,-1-1 0,1 2 0,-1 2 0,1-1 0,-1 1-1,0 0 1,0 1 0,23 9 0,5 8 51,-28-13-20,2 2-1,-1-3 1,-1 1 0,2-1 0,0-2 0,0 0-1,29 2 1,-18-8 77,43-6 0,-52 5-104,-16 3-17,-1-1 2,-1 1 0,0 0 0,0 0 0,1-1 0,-1 1 0,0 0 0,1 0 0,-1 0 0,0 1 0,1-1 0,-1 0 0,0 0 0,1 1 0,-1-1 0,0 1 0,0-1 0,1 1 0,-1-1 0,0 1 0,0 0 0,0 0 0,2 1 0,-2-2 84,16 1-60,-17-1-26,1 0 0,-1 0 0,1 0-1,-1 0 1,1 1 0,-1-1 0,1 0 0,0 0 0,-1 0 0,1 0-1,-1 0 1,1 0 0,-1-1 0,1 1 0,-1 0 0,1 0 0,-1 0-1,1 0 1,-1-1 0,1 1 0,0-1 0,-1 1-106</inkml:trace>
  <inkml:trace contextRef="#ctx0" brushRef="#br0" timeOffset="4512.69">13019 1651 19455,'0'0'128,"-1"3"0,0 2-112,-48 200 485,40-159-332,3 0 0,-3 78 0,8 3 215,3-159-384,8-40 0,0 2 0,-5 6 0,24-315 0,-29 365 0,4-31 0,-4 45 0,0 0 0,0 0 0,0 0 0,0 0 0,0 0 0,1 0 0,-1 0 0,0 0 0,0 0 0,0 0 0,0 0 0,0 0 0,1 0 0,-1 0 0,0 0 0,0 0 0,0 0 0,0 0 0,1 0 0,-1 0 0,0 0 0,0 0 0,0 0 0,0 0 0,0 0 0,0 0 0,1 0 0,-1 0 0,0 0 0,0 2 0,0-2 0,0 0 0,0 0 0,0 0 0,0 0 0,1 0 0,-1 0 0,0 1 0,0-1 0,0 0 0,0 0 0,0 0 0,0 0 0,0 0 0,0 1 0,0-1 0,0 0 0,0 0 0,0 0 0,0 0 0,0 1 0,7 11 0,-7-11 0,8 14 8,-3-5 17,0 0 0,0-1 0,1 2-1,1-1 1,0-1 0,0 1 0,0-1 0,1 0 0,17 11-1,115 66 232,-99-68-108,-30-14-105,0 2 0,17 8 1,0 7 59,-9-11-10,0 5 1,30 25 0,-33-28-4,-14-11-88,0 0 1,0 0-1,-1 0 0,1 0 0,0 0 0,-1 2 0,1-2 0,-1 0 0,2 3 0,-2-3 2,-1 0-1,0-1 0,0 2 0,0-1 0,0 0 0,0-1 1,0 1-1,0 0 0,0 0 0,0-1 0,0 1 1,-1 0-1,1 0 0,0-1 0,0 1 0,-1 0 0,1-1 1,0 1-1,-1 0 0,1-1 0,-1 1 0,1-1 0,-1 2 1,1-1-1,-1-1 0,1 1 0,-1-1 0,0 0 0,1 0 1,-1 0-1,-1 1 0,-18 16 54,-1-2 0,-30 16 1,-4 1 26,-401 307-194,423-314-143,-11 5-1202,26-20-1122,-29 23-9774</inkml:trace>
</inkml:ink>
</file>

<file path=xl/ink/ink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07:16:12.285"/>
    </inkml:context>
    <inkml:brush xml:id="br0">
      <inkml:brushProperty name="width" value="0.1" units="cm"/>
      <inkml:brushProperty name="height" value="0.1" units="cm"/>
      <inkml:brushProperty name="color" value="#33CCFF"/>
    </inkml:brush>
  </inkml:definitions>
  <inkml:trace contextRef="#ctx0" brushRef="#br0">1 1464 14592,'0'0'3839,"1"-5"-3732,3-26 0,2 0-1,11-38 0,-13 58-74,0-1 0,1 0 1,0 0-1,0 2 0,1-1 0,0 0 0,1 2 0,0-1 0,11-11 0,13-6 25,-20 16-39,0 1 1,0 1-1,-1-3 1,18-22-1,-14 14 30,1-1 0,2 2 0,-1 1 0,2 1 0,0 0 0,37-25 0,43-41 235,-76 61-183,0-1-1,32-47 1,-41 52-43,1 2 1,16-17 0,-17 19-11,0 0 1,-1 0-1,19-29 0,-21 25-30,0 2 0,1-2-1,1 4 1,1-2-1,0 2 1,1-1 0,0 2-1,21-15 1,42-41 93,-63 55-81,0 0 0,0 2 0,1-1 0,1 3 0,0-2-1,0 2 1,25-10 0,24-3-7,-29 12-22,-1-2 0,40-21-1,-29 6 16,-25 15 4,1 0 0,0 1 0,0 3 0,1-1-1,46-11 1,-44 15-19,0-1-1,33-16 1,-38 15 6,0 0-1,0 2 1,42-7 0,-1 5 58,-34 3-22,-1 2 1,0 1 0,50 4-1,127 22-42,-192-22 0,-1 1 0,0 1 0,20 10 0,-7-3 0,-19-10 0,18 10 0,40 10 0,-35-12 32,0 0 0,48 27 0,-16-8 0,-23-8-32,64 42 0,-56-35 0,10 10 0,99 58 0,52 8 107,-192-97-82,0 2 0,0-1 1,-1 2-1,0 1 0,-1 0 0,0 0 0,0 0 1,-1 2-1,0 0 0,13 21 0,42 72-25,-49-82 0,0 1 0,2-1 0,0-1 0,24 19 0,-15-14 0,32 44 0,-51-61 2,14 18 23,-2 1 0,-2 1 1,0 0-1,14 34 0,-26-50 2,1-1 0,0 0 0,2 0 0,0-2 0,0 1 0,17 17 0,16 21 40,-13-6-67,-19-29 0,-1 0 0,20 23 0,-14-22 3,9 7 18,-1 2 0,-1 1-1,-1 2 1,-1 1 0,20 36 0,-27-39-21,2-2 0,28 35 0,-7-8 0,-14-21 53,40 39-1,-36-41 13,28 39 0,-15-10-44,-4-5-21,53 62 0,-64-89 0,-1 2 0,-1 3 0,27 44 0,-31-41 0,1-3 0,1 0 0,2-2 0,1 0 0,1-1 0,51 44 0,-71-68 0,89 72 64,145 89 0,-184-128-64,-34-22 0,1-1 0,1-1 0,0-2 0,25 11 0,41 4 29,109 42 70,-91-13-99,-86-40 0,2-2 0,0 0 0,0-2 0,0-1 0,1-1 0,27 5 0,-17-7 32,61 0 0,-83-6-25,0-1-1,0 0 0,0 0 1,0-1-1,0-1 1,0 0-1,-1-1 0,0 1 1,14-9-1,58-49 160,-28 19-76,74-57-26,-111 83-51,-1 0 0,0-1 0,-1-2-1,25-38 1,-12 10 19,1 0 0,3 2 0,59-64 0,-29 46-32,-3-5 0,65-92 0,-89 111 0,-18 27 0,-1-1 0,-1 0 0,18-40 0,54-175 178,10-24 28,-86 237-206,1 2 0,1 1 0,23-34 0,-35 55-49,-1 1-1,0-1 1,1 0-1,-1 1 0,0-1 1,1 1-1,-1-1 1,1 0-1,-1 1 1,1-1-1,-1 1 1,1 0-1,-1-1 1,1 1-1,0-1 0,-1 1 1,1 0-1,0-1 1,-1 1-1,1 0 1,0 0-1,-1-1 1,2 1-1</inkml:trace>
</inkml:ink>
</file>

<file path=xl/ink/ink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07:16:23.439"/>
    </inkml:context>
    <inkml:brush xml:id="br0">
      <inkml:brushProperty name="width" value="0.1" units="cm"/>
      <inkml:brushProperty name="height" value="0.1" units="cm"/>
      <inkml:brushProperty name="color" value="#33CCFF"/>
    </inkml:brush>
  </inkml:definitions>
  <inkml:trace contextRef="#ctx0" brushRef="#br0">78 87 14080,'0'34'-150,"-1"-30"65,-6 0 58,2 2 33,-7 27 356,2 0 1,0 1 0,3 1-1,1-1 1,-3 53 0,10-77-60,3-9 115,-4-2-388,1 0 0,-1 1 0,1-1 1,-1 0-1,0 0 0,1 0 0,-1 0 0,0 0 0,1 1 0,-1-1 0,0 0 0,0 0 1,0 0-1,0-2 0,2-38 200,2-1 1,1 1-1,2 1 0,25-79 1,-21 76-119,6-17-118,-31 95 32,2 0 0,1 1-1,2 1 1,-7 55-1,12-56 24,-12 104 393,15-128-392,0 5 34,1-16-72,0-1 1,0 0-1,0 1 1,0-1-1,0 0 1,0 1-1,0-1 1,0 0-1,-1 1 1,1-1-1,0 0 1,0 1-1,0-1 1,-1 0-1,1 1 1,0-1-1,0 0 1,-1 0-1,1 1 1,0-1-1,0 0 1,-1 0-1,1 0 1,0 1-1,-1-1 0,1 0 1,0 0-1,-1 0 1,1 0-1,0 0 1,-1 0-1,-4 3 111,4-3-30,2-8-53,18-45-40,3-136 0,0 4 0,-19 176 0,-3 22 0,-2 26 0,-3 9 47,3 50 0,1-21-13,-1-5 25,-11 142 288,11-201-290,2-12-45,-1 1 1,1 0-1,-1 0 0,1 0 1,0 0-1,0 0 1,0 0-1,0 0 1,0 0-1,1-1 1,-1 1-1,0 0 0,1 0 1,-1 0-1,2 2 1,1 10 56,-4-24-32,16-333 91,-14 292-128,1 68-37,3 30-54,-11 66-437,-3 157-2016,9-212-186,0-3-7339</inkml:trace>
</inkml:ink>
</file>

<file path=xl/ink/ink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07:16:30.299"/>
    </inkml:context>
    <inkml:brush xml:id="br0">
      <inkml:brushProperty name="width" value="0.1" units="cm"/>
      <inkml:brushProperty name="height" value="0.1" units="cm"/>
      <inkml:brushProperty name="color" value="#33CCFF"/>
    </inkml:brush>
  </inkml:definitions>
  <inkml:trace contextRef="#ctx0" brushRef="#br0">9271 1749 13696,'0'0'1664,"-4"2"-1536,-6 6 45,1-2 0,0 1 1,0 2-1,0-1 0,1 0 0,0 1 1,-10 15-1,-27 40 723,21-31-652,18-26-177,0 2 0,0-1 0,-8 16 0,8-11-46,0 3 30,-1 0 1,-1-2-1,0 0 0,-19 24 0,15-24-41,5-5 10,-1 1 0,0-2-1,-1 2 1,0-3 0,-10 8-1,10-8-19,1 0 0,-1 1 0,1 0 0,-13 17 0,12-14 0,-1 1 0,-13 12 0,-64 41 0,61-48 0,2 1 0,0 1 0,1 2 0,-25 28 0,27-26 0,0 1 0,-1-1 0,-43 31 0,35-30 0,-53 56 0,14-12 0,44-46 0,0 0 0,-2-2 0,0-1 0,-1-1 0,-46 20 0,-40 17 0,77-33 134,-20 10 138,13-13-152,-17 10 96,-2-4 0,-100 26 0,110-42-112,36-6-100,0 0 0,0 0 0,1 1 0,-1 1 0,-25 12 0,28-8 64,-8 3 7,0 1 1,-1-3 0,-1 0-1,0-2 1,0 0-1,-38 6 1,40-10 18,0 1 0,-38 14 0,38-12-46,-1 1 0,-32 5 1,-85 11 358,38-5 444,73-14-757,-2-1 0,1-2 0,0-1 0,-53-5 0,51 0-66,12 1 29,0 0 0,1 0 0,0-1 0,-1-1 0,1-2-1,-26-12 1,27 11-57,1 0 0,-1 1 0,-1 1 0,-21-4 0,-18-5 0,49 11 49,0 0 0,0-1 0,0 1 0,-15-14-1,-14-7 114,20 16-59,14 8-60,-1-1 0,1 0 0,-1-1-1,1 1 1,0-2 0,0 2 0,0-2 0,0 1 0,1-1 0,-1 1 0,-3-6 0,-2-2-43,-1-1 0,0 1 0,-1 2 0,-16-14 0,-18-17 0,-13-19 0,-98-105 0,145 150 0,1-1 0,-13-24 0,16 26 0,-1 0 0,0 0 0,-1 1 0,-13-16 0,-12-4-81,18 17-5,0 0 0,1-1 0,0-1 0,-17-26-1,-1-8 23,17 29 0,2-3 0,-19-36 0,12 2 82,-9-19-111,26 71 83,-1-1-1,1 0 0,-1 1 1,0-1-1,-1 1 1,-11-12-1,-11-6-10,2-2-1,1-1 1,1 0 0,-27-46-1,40 59 21,-1 1 0,0-1-1,-23-19 1,23 22 5,0 1 1,1-1-1,1-1 1,-1 0-1,-13-25 1,-15-26 8,27 44-20,0 1 0,1-1 0,1 0 0,-10-29 0,-10-38 7,18 54 0,0 0 0,3-1 0,-10-51 0,19 73 0,-2 1 0,1-1 0,-2 0 0,1 2 0,-1-2 0,-1 2 0,0-1 0,-8-14 0,-5-2 0,-40-44 0,38 48 0,-35-51 0,45 62-25,-1-1 0,0 1 0,-1 1 0,0-1 0,-20-15 0,14 13-17,1 0-1,-16-20 1,9 9 63,0 0 1,-2 2-1,0 1 0,-1 2 1,-1 0-1,-31-15 0,50 28-12,-1 0 0,1 1-1,0-1 1,1-1 0,0 1-1,0-1 1,-6-10 0,6 9-4,0 1 0,0-1 1,0 1-1,-1 1 0,-1-1 1,-15-12-1,-50-18-3,-1 4 0,-83-28 0,-1 2 13,142 52-15,0-1 0,1-1 0,0-2 0,-16-14 0,16 14 0,0-1 0,-1 1 0,-23-11 0,-50-16-53,-183-56 0,179 74 46,-1 3-1,-123-7 1,152 23 57,9 0 117,-80-12 0,-52-10 198,157 21-111,-23-3-230,-58-4-27,-25 8 27,-188 7 102,126-4 307,100-3-1194,-1 5-3669,74-3-314,-19 4-9839,40-1 14583</inkml:trace>
  <inkml:trace contextRef="#ctx0" brushRef="#br0" timeOffset="1398.23">4093 1428 16256,'0'0'2709,"-5"-1"-2453,-20-3 195,-29-6 220,-93-5-1,133 15-652,-56 0 485,-88 12 0,-31 0 68,123-11-502,-91 2-13,-142 9 136,240-5-163,1 1-1,0 4 1,-62 21-1,-90 23 67,102-29-62,4 7-33,67-21 0,0-1 0,-47 8 0,-162 2 154,58-7-52,-51-9-100,3-1-25,-550 110-852,706-96-1445,40-7-5757,-42 21 0,24-7 4600,-21 13 5717</inkml:trace>
</inkml:ink>
</file>

<file path=xl/ink/ink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07:16:40.743"/>
    </inkml:context>
    <inkml:brush xml:id="br0">
      <inkml:brushProperty name="width" value="0.1" units="cm"/>
      <inkml:brushProperty name="height" value="0.1" units="cm"/>
      <inkml:brushProperty name="color" value="#33CCFF"/>
    </inkml:brush>
  </inkml:definitions>
  <inkml:trace contextRef="#ctx0" brushRef="#br0">47 197 11648,'0'0'6911,"-2"4"-6804,-6 29 12,2 1 0,2-1 1,-1 66-1,1-5-63,-13 95 478,17-177-483,0 1 0,0-1 0,2 0 1,-1-1-1,2 1 0,-1-1 0,2 2 0,-1-2 1,10 19-1,-7-12-4,1 1 0,-2-1-1,-2 0 1,1 2 0,0 35 0,-8 99 184,1-91-97,-15 137 94,9-157-44,6-30-75,0 1-1,1 0 1,-1 18 0,9-94 888,-2 38-962,0-36 0,-9-129 26,1-51-16,2 22-45,0 107 0,15-162 0,-2 99 0,2 24 0,-27 319 6,8-117-20,-1 101 1,12-39-34,8 117-13,-3-119 60,16 223 0,-25-1 0,-3-273 0,1-27 0,0 0 0,-13 62 0,13-94 15,1 0-19,0 0 1,-1 0 0,1 0 0,-1 0-1,0 0 1,0 0 0,0 0 0,0 0-1,0-1 1,-1 3 0</inkml:trace>
</inkml:ink>
</file>

<file path=xl/ink/ink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07:16:48.209"/>
    </inkml:context>
    <inkml:brush xml:id="br0">
      <inkml:brushProperty name="width" value="0.1" units="cm"/>
      <inkml:brushProperty name="height" value="0.1" units="cm"/>
      <inkml:brushProperty name="color" value="#33CCFF"/>
    </inkml:brush>
  </inkml:definitions>
  <inkml:trace contextRef="#ctx0" brushRef="#br0">101 27 12544,'0'0'2560,"-2"5"-2326,-6 34 8,1 0-1,2 1 1,1 0-1,1 46 1,-6 73 342,-2-42-159,-10 64 195,9-99-298,-2 97 0,13-169-304,-2 91 344,2-99-361,8 11 20,2-44 107,1-4-16,-3-2 0,5-41 0,-1 0 21,7-34-31,-4-1 1,-5-1-1,-5 0 1,-18-223-1,6 276 47,8 61-149,0 0 0,0 0 0,0-1 0,1 1 0,-1 0 0,0 0 0,0-2 0,0 2 0,0 0 0,0 0 0,0-1 0,0 1 0,0 0 0,0 0 0,0-1 0,-1 1 0,1 0 0,0 0 0,0 0 0,0-1 0,0 1 0,0 0 0,0 0 0,0 0 0,-1-1 0,1 1 0,0 0 0,0 0 0,0 0 0,0-1 0,-1 1 0,1 0 0,0 0 0,0 0 0,0 0 0,-1 0 0,1 0 0,0-1 0,-1 1 0,1 0 0,0 0 0,-1 0 0,1 0 0,0 0 0,0 0 0,-1 0 0,1 0 0,0 0 0,-1 0 0,1 0 0,0 0 0,-1 0 0,1 0 0,0 0 0,-1 0 0,1 0 0,0 0 0,-1 0 0,1 0 0,0 1 0,0-1 0,-1 0 0,1 0 0,0 0 0,-1 1 0,1-1 0,0 0 0,0 0 0,0 0 0,-1 1 0,1-1 0,0 0 0,0 1 0,0-1 0,0 0 0,-1 0 0,1 1 0,0-1 0,0 0 0,0 1 0,0-1 0,0 2 0,-3 12 0,1 67 0,12 131 0,0-4 0,-11-50-2,1 108 154,-2-170-26,-15 115 0,17-209-122,-1 16 35,2 1 0,-1-1 0,2 0 0,0 1 0,6 18 0,-6-25-39,-2-3 0,0-20 0,6-43-277,-3 0-1,-4-93 1,0-22-683,9 61-4074,-5 79-4523</inkml:trace>
</inkml:ink>
</file>

<file path=xl/ink/ink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07:17:15.327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5002 1 17535,'-26'16'22,"23"-12"116,11-5-6,10-3 216,-17 4-301,-1-1 0,1 1 0,0 0 0,0-1 0,-1 1 0,1 0 0,0 0 0,0-1 0,-1 1 0,1 0 0,0 0 0,0 0 0,-1 0 0,1 0 0,0 0 0,0 0 0,0 0 0,1 1 0,-2 0-27,0 0 0,1-1 1,-1 1-1,1 0 1,-1 0-1,0 0 0,0 0 1,1 0-1,-1-1 1,0 1-1,0 0 0,0 0 1,0 0-1,0 0 1,0 0-1,0 0 1,-1 0-1,1 1 0,-6 136 497,1-9-287,0 107 42,18 4 96,-7-157-240,15 181 197,5 98 148,-22-245-286,-12 125 1,-4-112-45,-7 163 226,23-171-257,0-49-21,-3 1 0,-10 84-1,9-130-351,0-28 190,0 2 0,0-2 0,0 1-1,0-1 1,0 1 0,0-1 0,0 0 0,0 1 0,0-1 0,0 0-1,1 1 1,-1-1 0,0 1 0,0-1 0,0 0 0,1 1 0,-1-1-1,0 0 1,0 1 0,1-1 0,-1 0 0,0 0 0,1 1 0,-1-1 0,0 0-1,1 0 1,-1 0 0,0 1 0,1-1 0,-1 0 0,1 0 0,-1 0-1,0 0 1,1 0 0,-1 0 0,1 0 0,-1 0 0,0 0 0,1 0-1,-1 0 1,1 0 0,-1 0 0,0 0 0,1 0 0,-1 0 0,1 0-1,-1 0 1,0-1 0,1 1 0,-1 0 0,0 0 0,1 0 0,-1-1-1,0 1 1,1 0 0,-1-1 0,0 1 0,1-1 0</inkml:trace>
  <inkml:trace contextRef="#ctx0" brushRef="#br0" timeOffset="2216.69">0 1024 17663,'57'6'79,"-19"-2"-8,116 26 803,49 1-340,-99-19-52,70 5 145,19-4-244,116 7 258,-7 19-148,-99-8-218,335 45 109,292 30 149,116-28-29,-407-32-261,-92-21 77,0-37-107,-392 7-213,54-3 0,154-34 0,38-26 0,50-13 0,-249 57 64,107-10 0,-144 29-21,0 2 0,123 11-1,10 24-42,-109-16 0,49 0 0,41 10 0,393 78 0,-527-97 0,277 61 0,-176-19 44,-26-8 19,-27-17-54,2-3 0,161 11 0,193-31-15,3-46 6,-275 25 0,34-18 0,20-2 0,133 25 0,-201 11 0,145 16 309,-188-3-234,-23-7-75,104-14 0,-42 3 0,-114 2 154,-39 5-116,1-1-1,0 2 0,-1 0 1,1 0-1,0 1 1,0 0-1,-1 0 0,10 2 1,14 6 410</inkml:trace>
</inkml:ink>
</file>

<file path=xl/ink/ink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07:17:20.655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72 90 16511,'14'-28'171,"-9"18"106,0 0 1,-1 0-1,4-11 0,-8 20-257,0 1 0,0 0-1,0 0 1,0-1 0,0 1-1,0 0 1,1 0-1,-1-1 1,0 1 0,0 0-1,0-1 1,0 1 0,0 0-1,0-1 1,0 1-1,0 0 1,0 0 0,0-1-1,0 1 1,-1 0 0,1-1-1,0 1 1,0 0-1,0 0 1,0-1 0,0 1-1,0 0 1,-1 0 0,1-1-1,0 1 1,0 0-1,0 0 1,-1 0 0,1-1-1,0 1 1,0 0-1,-1 0 1,1 0 0,0 0-1,-1-1 1,-13 5 403,-13 15 13,25-15-409,0 1-1,1-1 1,-1 1-1,1 0 0,0 0 1,0 0-1,0-1 1,1 1-1,0 0 0,0 0 1,0 0-1,2 9 1,-1 5 13,5 100 114,0 11 55,-1 115 196,-5-249-405,-3-66 0,2 58 0,-1 1 0,0 0 0,-1 0 0,0 0 0,0 1 0,-7-14 0,2 9 0,0 0 0,1-1 0,1 0 0,-5-21 0,10 30 0,-1 0 0,1 0 0,1 0 0,0 0 0,0 0 0,0 1 0,1-1 0,0 0 0,0 0 0,0 0 0,1 0 0,0 0 0,5-8 0,-1 2 0,52-125 0,-57 137 1,0-1 1,-1 1-1,1 0 0,0-1 0,0 1 0,0 0 0,0 0 0,0 0 0,0 0 0,1 0 0,-1 0 0,0 0 1,1 0-1,-1 0 0,0 0 0,1 1 0,-1-1 0,1 1 0,-1-1 0,1 1 0,-1-1 0,1 1 0,-1 0 1,1 0-1,0 0 0,-1 0 0,1 0 0,-1 0 0,1 0 0,2 1 0,6 1 16,1 0-1,0 0 0,12 6 1,-18-7-10,78 25 140,-20-8 60,-1 3 0,115 57 0,-175-77-186,0 0-1,1 1 1,-1-1-1,0 1 1,0-1 0,0 1-1,0 0 1,0 0-1,0 0 1,0 0 0,-1 0-1,1 0 1,-1 1-1,0-1 1,1 0 0,0 4-1,-2-4 1,0 0 0,1 0 0,-1 0 0,0 0 0,-1 0 0,1 1 0,0-1 0,-1 0 0,1 0-1,-1 0 1,1 0 0,-1 0 0,0 0 0,0 0 0,0 0 0,0 0 0,0-1 0,0 1 0,-1 0 0,1 0 0,-2 1 0,-10 11 24,-1 0 0,0-1 1,0-1-1,-1 0 0,-1-1 1,0-1-1,-21 11 0,-89 38 231,58-29-222,-95 59 0,156-86-266,5-5-100,7-8-1566,-2 6 376</inkml:trace>
</inkml:ink>
</file>

<file path=xl/ink/ink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07:17:38.677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124 95 10368,'0'0'-128,"-26"-8"-3144,17 4 3824,-1 1 1,1-1 0,-1 1 0,1 1-1,-1 1 1,-16-1 0,12 6 2269,24-7 1332,9 6-3664,34-1 161,-35-1-546,-1 0 0,1-1 1,0 0-1,0-2 0,-1 0 0,22-6 0,-36 7-91,-1 0 1,1-1-1,-1 1 0,1 0 0,-1-1 0,1-2 1,-1 3-1,0-2 0,0 1 0,0 1 1,-1-1-1,1 0 0,0 0 0,-1-1 0,1-1 1,-1 1-1,0 1 0,0-1 0,0 0 1,1-3-1,-2 5 5,1 1-1,-1-1 1,1 1 0,-1-3 0,1 3 0,-1-1 0,1 1 0,-1 0-1,1-1 1,0 1 0,-1 0 0,1-1 0,-1 1 0,1 0 0,0 0 0,-1-1-1,1 1 1,0 0 0,0 0 0,-1 0 0,1 0 0,0 0 0,-1 0-1,1 0 1,0 0 0,-1 0 0,2 1 0,18-4 306,-18 2-315,-1 0 0,1 1 0,-1-1 0,1 1 1,-1 0-1,1-1 0,0 1 0,-1 0 0,1 0 0,-1 0 0,1 0 0,3 1 0,3-1 8,-7 1-18,-2 1 0,0 1 0,0-1 0,0 2 0,1-1 0,-1-2 0,1 2 0,-1-1 0,1 1 0,0-1 0,0 1 0,0-1 0,1 3 0,-1-3 0,0 1 0,1-2 0,0 1 0,-1 0 0,1 0 0,2 6 0,-2-7 0,0 0 0,0 1 0,1-1 0,-1 0 0,0 0 0,1 0 0,-1 0 0,1 0 0,-1 0 0,1 0 0,-1 0 0,1 0 0,-1-1 0,1 1 0,0 0 0,0-1 0,-1 0 0,1 1 0,0-1 0,2 0 0,43 0 0,-30 0 0,38 2 0,-28 1 0,31-6 0,-19 3 0,0 0 0,45 10 0,40-1 0,-105-10 0,-1 2 0,0 0 0,1 2 0,-1 0 0,0 1 0,24 6 0,8 9 0,0-2 0,1-1 0,1-6 0,71 10 0,-112-19 0,-1 0 0,0 0 0,0 1 0,0 0 0,0 2 0,-1-1 0,1 1 0,-1 0 0,0 1 0,0 1 0,14 9 0,-8-3 0,0-4 0,19 10 0,-23-14 0,0 1 0,0 2 0,0-1 0,-1 1 0,0 2 0,11 7 0,-4 6 0,-15-16 0,0-3 0,1 0 0,-1 1 0,1-1 0,-1-1 0,1 1 0,0 0 0,0 0 0,0-1 0,1 0 0,-1 0 0,1 0 0,-1 0 0,7 1 0,35 11 0,-44-13 0,1 0 0,0 0 0,0-1 0,0 1 0,-1 1 0,1-1 0,0 0 0,-1 0 0,1 2 0,-1-1 0,3 2 0,-2-2 0,0 0 0,0 0 0,0 0 0,0 0 0,0-1 0,0 0 0,0 1 0,5 3 0,6-1 0,-8-2 0,1 0 0,-1-1 0,0 1 0,0 0 0,0 2 0,0 0 0,0-1 0,-1-1 0,1 1 0,5 8 0,-6-7 0,-1-1 0,1 1 0,0-1 0,0-2 0,7 6 0,-8-6 0,1 2 0,-1-1 0,1 1 0,-1-1 0,0 1 0,0-1 0,0 1 0,4 6 0,1 10 0,-8-17 0,1 0 0,-1 0 0,1-1 0,-1 0 0,1 1 0,0-1 0,0 1 0,0-1 0,0 1 0,0 0 0,0 0 0,1 0 0,0 0 0,23 25 0,-22-23 0,0 0 0,-1 1 0,1 0 0,-1-4 0,0 4 0,0-1 0,0 2 0,0-1 0,0 6 0,-1-6 0,0 0 0,0-2 0,0 1 0,0 0 0,1-1 0,-1 2 0,1-2 0,0 1 0,0-1 0,0 0 0,0 0 0,1 1 0,-1-1 0,1 0 0,4 2 0,1-1 0,-6-3 0,1 0 0,-1 0 0,1 0 0,-1 1 0,0 0 0,1-1 0,-1 2 0,0-2 0,0 1 0,0 0 0,0-1 0,0 1 0,1 3 0,-3-5 0,0 1 0,0-1 0,0 0 0,0 0 0,-1 0 0,1 2 0,0-2 0,0 1 0,-1-1 0,1 0 0,0 1 0,-1-1 0,1 0 0,0 1 0,-1-1 0,1 0 0,-1 0 0,1 1 0,0-1 0,-1 0 0,1 0 0,-1 0 0,1 0 0,-1 2 0,1-2 0,-1 0 0,1 0 0,-1 0 0,1 0 0,0 0 0,-1 0 0,1 0 0,0 0 0,0 0 0,-1 0 0,1 0 0,0 0 0,0 0 0,-1 0 0,1 0 0,0 0 0,0 0 0,-1 0 0,1 0 0,0 1 0,0-1 0,0 0 0,-1 0 0,1 0 0,0 0 0,0 0 0,0 1 0,0-1 0,-1 0 0,1 0 0,0 0 0,0 1 0,0-1 0,0 0 0,0 0 0,0 1 0,0-1 0,0 0 0,-1 0 0,1 0 0,0 1 0,0-1 0,0 1 0,2 1 0,0 0 0,0 1 0,1 0 0,-1-1 0,0 0 0,1 1 0,-1-1 0,1-2 0,-1 2 0,1-1 0,5 2 0,-3-1 0,-1 0 0,0 2 0,0-3 0,0 3 0,6 4 0,-9-7 0,1 0 0,-1 0 0,1 1 0,-1 0 0,0 0 0,0 0 0,1-1 0,-1 2 0,0-1 0,-1 0 0,1 0 0,0 0 0,-1 0 0,1 0 0,-1 1 0,1-1 0,-1-1 0,0 2 0,0-1 0,0 0 0,0 0 0,0 0 0,0 0 0,-1-1 0,1 1 0,-1 1 0,1-1 0,-1 0 0,0 1 0,-1 1 0,0 3 0,0 0 0,0 1 0,1 0 0,0-1 0,1 2 0,-1-1 0,1 1 0,1-3 0,1 14 0,1-8 0,1 2 0,0 1 0,1-1 0,7 14 0,-8-17 0,0 2 0,0 0 0,-1-2 0,-1 3 0,0-1 0,0 13 0,-1-9 0,2 2 0,4 17 0,-5-30 0,0-1 0,0 0 0,1 0 0,-1 0 0,1-1 0,0 0 0,7 10 0,-6-10 0,0 1 0,-1 0 0,1 0 0,-1 2 0,5 9 0,2 8 0,-5-12 0,0 1 0,-1-1 0,-1 1 0,0-1 0,0 2 0,1 22 0,-2 5 0,2-1 0,10 46 0,-2-8 0,2 6 0,4 48 0,-16-109 0,0 1 0,2-2 0,0 0 0,2-1 0,0 2 0,2-2 0,0 0 0,1 1 0,1-4 0,0 2 0,15 20 0,29 39-4,-40-56 10,1 0 1,2-2-1,29 32 1,-17-27 14,1 0 0,1 0 1,1-5-1,51 29 0,-69-42-21,0 2 0,-1-1 0,0 2 0,18 18 0,-16-15 0,0-1 0,26 20 0,-25-23 0,25 25 0,-31-26 0,0 1 0,0-3 0,1 0 0,0 2 0,20 6 0,6 2 32,1-3 0,0-3 0,70 11 0,-54-12-34,-6-2 78,49 0 0,-44-1 25,-40-4-68,1-2 1,0 0-1,23-1 0,19-8 44,-1-3 0,-1-4 0,0 2 0,54-27-1,-74 24 1,-2 1-1,40-27 1,57-48 184,-86 55-237,-27 22-25,2 1 0,34-23 0,-13 18 23,-23 9 6,-1 1 1,19-11-1,192-131 121,-32 1-21,-183 138-128,-1-1 0,0 1 0,9-15 0,-9 11 0,0 3 0,18-21 0,2 5 0,0 1 0,2 2 0,1 1 0,41-22 0,-37 23 0,-30 17 0,0-1 0,1 2 0,-1 0 0,9-4 0,-4 4 0,-2-1 0,1 1 0,0-3 0,-1 0 0,0 1 0,0-1 0,-1 0 0,0 0 0,0-2 0,13-15 0,-20 21 0,-2 3 0,1-2 0,-1 2 0,0-1 0,1 1 0,-1-1 0,1 1 0,-1 0 0,1 0 0,-1-1 0,1 1 0,0-1 0,-1 1 0,1 0 0,-1 0 0,1-1 0,0 1 0,-1 0 0,1 0 0,0-1 0,-1 1 0,1 0 0,0 0 0,-1 0 0,1 0 0,0 0 0,0 0 0,-1 0 0,2 1 0,6-20 0,-3 6 0,23-49-5,-22 46 12,1 1 0,0-1-1,17-25 1,-19 36 43,1-3 4,-8-13-73,2 19-38,-1 0-75,1 1 1,0 0-1,-1-1 1,1 0 0,0-1-1,0 2 1,0-1-1,0 0 1,0 1-1,1-5 1,8-8-3721</inkml:trace>
</inkml:ink>
</file>

<file path=xl/ink/ink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07:17:42.428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4851 45 14208,'0'0'-128,"-3"6"234,-44 84 300,46-89-294,0 0 1,0 0 0,0 0-1,-1 0 1,1-1 0,0 1-1,-1 0 1,1 0 0,0-1-1,-1 1 1,-2 0 0,-2 3 736,8-2-469,0-1 4,-32-7 1130,21 6-1451,1-1-1,-1 1 0,0 1 0,1-1 1,-1 2-1,1 0 0,0 0 0,-17 5 0,14-3 6,0-1-1,0 0 0,0 0 0,-17 0 0,12-3 7,10 0-13,1 0-1,0 0 1,0 0-1,0 0 1,0-1-1,0 0 1,0 0 0,-7-4-1,-1 1 72,0 0 0,-22-2 1,26 5-90,0 0 1,0-1-1,0-1 1,0 0 0,0 0-1,1 0 1,-1-1 0,-11-7-1,12 4-28,-2 2 0,1-1 0,-1 0 0,1 1 0,-1 1 0,-1 0 0,1 1 0,-1 0 0,-21-4 0,-165-19 710,39 10-64,149 16-648,1 0 0,-1 1-1,1 0 1,0 0 0,0 1-1,-1 1 1,-11 4 0,-13 4 13,3-1-26,-50 23 0,52-19 0,0-2 0,-42 12 0,29-15 0,-1 3 0,-66 30 0,62-26 0,37-14 0,0 0 0,0 1 0,1 0 0,-1 2 0,-13 6 0,9 0 0,0 1 0,-11 13 0,-8 8 0,13-13 0,1 0 0,-28 45 0,9-13 0,20-31 0,0-2 0,-39 35 0,48-48 0,-1 3 0,1-2 0,0 1 0,1 1 0,0 0 0,0 1 0,1-1 0,0 0 0,1 2 0,0-2 0,-7 20 0,7-13 2,-2 0-1,0-1 0,-17 28 1,15-27-9,1-2 0,0 2 1,-10 29-1,-57 197-100,72-231 107,-1 0 0,0 0 0,0-1 0,-1 1 0,-1-1 0,0-1 0,0 1 0,-11 12 0,6-9 0,1 1 0,0-1 0,1 1 0,0 2 0,-11 24 0,-26 89 0,30-80 0,-81 212 0,91-246 0,-1-1 0,-1 1 0,0-2 0,-1 1 0,0 0 0,-1-2 0,0 1 0,-1-2 0,-1 1 0,-18 14 0,-5 1 0,2 3 0,0 0 0,-35 47 0,-9 25 0,70-94 0,0 0 0,0 0 0,-1-1 0,0 1 0,-12 6 0,9-5 0,0-1 0,-15 17 0,15-10 0,0-1 0,-14 28 0,15-24 0,-19 25 0,25-38 0,-1 1 0,1-1 0,-2-1 0,1 2 0,0-2 0,-1 0 0,0 0 0,-7 4 0,-19 5 0,-1-1 0,0-2 0,-1-2 0,0-1 0,-40 3 0,-67 1 0,50-6 0,48-2 0,0-1 0,-1-2 0,-48-8 0,38-4 0,0-1 0,1-3 0,-95-45 0,113 43 44,1-3 1,0-1-1,-54-48 0,24 18 14,36 33 6,0 2 0,-1 1 0,0 2 0,-61-20 1,50 20-2,16 4-133,-2 2 0,1 1 0,-1 1 0,0 1-1,0 2 1,-46 0 0,63 4-419,0 0 1,0 1-1,0 0 0,1 0 0,-17 9 0,18-8-1015</inkml:trace>
  <inkml:trace contextRef="#ctx0" brushRef="#br0" timeOffset="2777.2">4103 14 12544,'0'0'5013,"-1"9"-4800,-10 81 120,-16 158 401,-17 33-24,27-193-546,-37 131 89,2-11 134,15 47 275,29-188-300,6-81 10,2-18-253,18-76 67,-10 72-141,6-69 1,-17-197 232,1 272-265,-2-38 34,-23-124-1,21 167-46,3 15 0,0-2 0,0 1 0,1-1 0,1 1 0,0-1 0,0 1 0,2-21 0,1 29 0,3 1 0,-5 2 0,0-1 0,1 1 0,-1 0 0,1 0-1,-1 0 1,0 0 0,1 0 0,-1 0 0,0 0-1,1 0 1,-1 0 0,0 0 0,1 0 0,-1 0-1,1 0 1,-1 0 0,0 0 0,1 1 0,-1-1-1,0 0 1,1 0 0,-1 0 0,0 0 0,1 1-1,-1-1 1,0 0 0,0 0 0,1 1 0,-1-1-1,0 0 1,0 0 0,1 1 0,-1-1 0,0 0-1,0 1 1,0-1 0,0 0 0,0 1 0,1-1-1,-1 1 1,0-1 0,0 0 0,0 1 0,0-1-1,0 0 1,0 1 0,0-1 0,0 0 0,0 2-1,0-2 1,0 1 0,-1-1 0,1 0 0,0 1-1,0-1 1,0 0 0,0 1 0,-1-1 0,1 1-10,0 38-103,-1-1-520,2-2 0,1 2 0,11 57 0,7-14-2311,2 3-8597</inkml:trace>
  <inkml:trace contextRef="#ctx0" brushRef="#br0" timeOffset="4663.22">5681 266 15104,'0'0'4245,"2"10"-4032,3 13-64,-1 0 0,-1 0-1,-1 0 1,-1 28 0,-11 102 387,6-68-380,10 140 1,-2-161-86,2 29 5,-1-40 6,-2-1 1,-3 2-1,-9 85 0,-3-27 116,7-62-118,5-50-77,0 2 1,0-2 0,0 0 0,1 0-1,-1 0 1,0 1 0,0-1 0,0 0 0,0 0-1,0 1 1,0-1 0,0 0 0,0 0-1,0 0 1,0 1 0,-1-1 0,1 0-1,0 0 1,0 0 0,0 1 0,0-1 0,0 0-1,0 0 1,0 0 0,0 0 0,-1 1-1,1-1 1,0 0 0,0 0 0,0 0-1,0 0 1,-1 0 0,1 0 0,0 1 0,0-1-1,0 0 1,0 0 0,-1 0 0,1 0-1,0 0 1,0 0 0,0 0 0,-1 0-1,1 0 1,0 0 0,0 0 0,0 0-1,-1 0 1,1 0 0,0 0 0,0 0 0,-1 0-1,1 0 1,0 0 0,0 0 0,0 0-1,0 0 1,-1-1 0,1 1 0,0 0-1,0 0 1,-10-13 125,1-5-43,0 0 1,2-2-1,0 1 0,1-1 0,-4-22 0,-11-104 144,16 104-213,1 7 11,0 1-1,3-2 1,4-68 0,4 55-3,20-241 227,-9 32-191,1-18 6,-22 242-67,2 27 0,0 0 0,1-2 0,0-12 0,0 21 0,0 0 0,0 0 0,0-1 0,0 1 0,0 0 0,0 0 0,0-1 0,0 1 0,0 0 0,0 0 0,0-1 0,0 1 0,0 0 0,0 0 0,0-1 0,0 1 0,1 0 0,-1 0 0,0-1 0,0 1 0,0 0 0,0 0 0,0-1 0,1 1 0,-1 0 0,0 0 0,0 0 0,0 0 0,1-1 0,-1 1 0,0 0 0,0 0 0,0 0 0,1 0 0,-1 0 0,0 0 0,0 0 0,1-1 0,-1 1 0,0 0 0,0 0 0,1 0 0,-1 0 0,0 0 0,0 0 0,1 0 0,-1 0 0,0 0 0,1 1 0,-1-1 0,0 0 0,0 0 0,0 0 0,1 0 0,-1 0 0,0 0 0,1 1 0,-1-1 0,1 1 0,0-1 0,-1 1 0,1-1 0,-1 1 0,1-1 0,-1 1 0,1 0 0,-1-1 0,0 1 0,1 0 0,-1 0 0,0-1 0,1 1 0,-1 1 0,0 0 0,11 150 0,-4-70 0,-2-25 0,-1-5 0,-1 0 0,-4 53 0,-14 16 0,-1 21 0,13-87 0,-14 160 0,12-174 0,-3 0 0,-1 0 0,-16 44 0,-8 5-512,33-90 417,-2 7-230</inkml:trace>
  <inkml:trace contextRef="#ctx0" brushRef="#br0" timeOffset="6179.41">3866 196 18431,'0'0'640,"7"-7"-533,6-6-88,0 1-1,-1-3 1,-1 2 0,0-3-1,-1 1 1,0-1 0,7-18-1,-17 33-18,2-7 0,-1 7 0,-1 1 0,1 0 0,0 0 0,0-1 0,-1 1 0,1 0 0,0 0 0,0 0 0,-1 0 0,1 0 0,0 0 0,0 0 0,-1 0 0,1 0 0,0 1 0,-1-1 0,1 0 0,0 0 0,0 1 0,-1-1 0,1 0 0,0 1 0,-1-1 0,1 1 0,0 0 0,0-1 0,1 2 2,-1-1-1,1 1 1,0-1-1,0 1 1,-1 1-1,1-1 1,-1 0 0,0 0-1,0 0 1,1 0-1,-1 0 1,-1 0-1,1 0 1,0 0-1,0 0 1,0 5-1,5 44 106,-5-39-90,9 141 530,-6-1 1,-17 174-1,8-197-261,4-80 19,-11 93 0,12-142-292,0 1-1,0-1 0,0 1 1,0 0-1,0-1 0,-1 1 1,1-1-1,0 1 0,0-1 1,0 1-1,0-1 0,-1 1 0,1-1 1,0 1-1,-1-1 0,1 1 1,0-1-1,-1 1 0,1-1 1,-1 1-1,1-1 0,-1 0 1,0 1-1,-7-8 203,-5-23-64,10 18-128,1 1-1,0-1 1,0 1 0,1-2 0,0-13 0,6-64 157,-1 40-135,10-404 83,-13 442-128,-4 34 0,-24 98-54,-13 72-190,-23 308-2064,57-406 927,4 1 1,5 0 0,17 126 0,3-74-8796</inkml:trace>
</inkml:ink>
</file>

<file path=xl/ink/ink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07:18:15.368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842 826 18815,'0'0'256,"-6"1"-128,-78 19 418,-54 14-1,117-28-477,0 3-1,0-2 1,0 3 0,-24 15 0,24-8-13,0 0 1,-37 40-1,-7 5 141,-67 38 17,23-20-20,100-74-183,0 2-1,1 0 1,0 1 0,1-1 0,-1 1 0,-10 16 0,17-22-9,-1 0 0,1 0 0,0-1 1,-1 1-1,1-1 0,1 1 0,-1 1 0,0-2 0,1 1 0,-1 0 0,1 0 1,0 0-1,0 0 0,0 0 0,0 0 0,0 0 0,1 0 0,-1-1 1,1 2-1,0-1 0,0-1 0,0 1 0,0-1 0,0 0 0,0 2 0,1-2 1,-1 0-1,1 1 0,0-1 0,0 0 0,0 0 0,2 3 0,1-1-1,0 0 0,0-1 0,0 0 0,0 1 0,1-1 0,-1 0 0,1-1 0,0 0 0,0 0 0,0 1 0,0-2 0,0 0 0,0 0 0,0-1 0,0 1 0,1-1 0,11-2 0,6-3 0,0 0 0,-1-1 0,29-12 0,-27 9 0,98-43 353,-32 12-66,-90 40-263,0-1-2,0 1 1,0 0 0,0-1-1,0 1 1,0-1-1,0 1 1,0-2 0,0 2-1,0-1 1,0 0 0,-1 0-1,1 1 1,0-1-1,0-1 1,-16-3-1280,3 1-2777</inkml:trace>
  <inkml:trace contextRef="#ctx0" brushRef="#br0" timeOffset="748.77">1154 1021 21247,'0'0'128,"-4"-4"-21,-6-7-96,3 4-8,-1-1 0,-1 1 0,1 1 0,-13-9 1,17 13-5,0-1 1,1 2 0,-1-1-1,0 1 1,0 0 0,0 0-1,0 0 1,0 0 0,0 1-1,0 0 1,0 0 0,-1 0 0,1 0-1,0 1 1,0-1 0,-5 3-1,-4 3 1,-1 0 0,1 1 0,0 1 0,0-1 0,0 2 0,1 0 0,1 2 0,0 0 0,0-1 0,0 2 0,2 0 0,-1-1 0,2 2 0,-1 0 0,2 1 0,-1-1 0,-7 22 0,14-31 0,0-2 0,0 1 0,1 0 0,-1-1 0,1 1 0,0 1 0,-1-2 0,1 1 0,1 0 0,-1-1 0,0 1 0,0 1 0,1-2 0,0 1 0,-1 0 0,1-1 0,0 1 0,0 0 0,1 0 0,-1-1 0,0 0 0,1 1 0,-1-1 0,1 0 0,0 1 0,0-1 0,0 0 0,0-1 0,0 1 0,0-1 0,0 0 0,1 1 0,-1-1 0,1 0 0,-1 0 0,1 1 0,3 0 0,3 1 0,1 0 0,-1-1 0,1 0 0,-1-1 0,1 0 0,-1-1 0,1 1 0,-1-2 0,15-2 0,-13 1 11,0 0 0,0-1-1,-1-1 1,-1-1 0,18-7-1,-22 9-5,-1 0-1,1 0 1,-1 0 0,0-1-1,0 0 1,0 0-1,0 0 1,0 0-1,-1-1 1,0 0 0,0 1-1,0-1 1,3-8-1,2-10-9,1 3-47,-2-1-1,8-35 0,-13 49 22,-1 2-1,-1-1 0,1-1 0,-1 1 0,0-1 1,-1 1-1,1 1 0,-1-2 0,0 1 0,0 1 1,-1-1-1,0 0 0,0 1 0,-4-9 0,6 13-128,-1 0 0,1 1 0,-1-1-1,0 0 1,1 1 0,-1-1 0,1 1-1,-1-1 1,0 1 0,1-2 0,-1 2-1,0-1 1,0 1 0,1 0 0,-1-1-1,0 1 1,0 0 0,0 0 0,1 0-1,-1-1 1,0 1 0,0 0 0,0 0 0,0 0-1,0 0 1,-1 1 0</inkml:trace>
  <inkml:trace contextRef="#ctx0" brushRef="#br0" timeOffset="1410.16">1609 813 20991,'0'0'640,"-4"0"-533,-17 4-105,1 1 1,0 1-1,0 1 0,1 1 1,-1 0-1,1 2 1,1 0-1,-33 24 0,45-27-15,0-1-1,0 0 0,1 2 0,0-2 0,0 2 1,0 0-1,1 0 0,0 0 0,0 0 1,1-1-1,-4 17 0,5-19 5,1 0 1,0-1-1,1 2 1,-1-1-1,1 0 1,0 1-1,0-2 0,0 1 1,1 0-1,-1 1 1,1-2-1,0 0 0,1 2 1,-1-2-1,1 1 1,0-1-1,0 1 1,0-1-1,1 0 0,0 0 1,-1 1-1,6 4 1,0-1-25,0-2 0,1 0 1,0 1-1,0-3 1,-1 1-1,2 1 0,16 4 1,29 17 15,-53-26 18,-1 0 0,1 0-1,-1 0 1,1 0 0,-1 0-1,0 0 1,1 0 0,-1 1-1,0 0 1,0-1 0,0 1-1,0-1 1,0 1 0,0-1-1,-1 1 1,1 0 0,0-1-1,-1 1 1,1 1 0,-1-2-1,0 1 1,1 0 0,-1-1-1,0 1 1,0-1 0,0 1-1,0-1 1,0 1 0,-1 1 0,1-1-1,-1-1 1,1 1 0,-2 2-1,-2 6 14,0-1 0,-1 1-1,-1-2 1,-11 18 0,4-8 22,-11 18 111,-42 49 0,52-69-149,0-1-1,-1-2 0,0 0 0,-2 0 0,-23 15 1,34-25-118,1 0 0,-1 0 0,0-1 0,1 1 0,-1-1 0,0-1 0,0 0 0,-8 1 0,10-2-188,1 0-1,-1 0 1,1-1-1,-1 1 1,1-1-1,0 0 1,-1 0-1,1 0 1,0 0-1,0-1 1,0 0-1,0 0 0,0 0 1,0 1-1,-5-6 1</inkml:trace>
  <inkml:trace contextRef="#ctx0" brushRef="#br0" timeOffset="3061.39">2193 248 20223,'1'8'24,"-2"0"-1,1-1 0,-1 0 0,0 1 0,0-1 0,-4 10 0,3-11 19,0-2 0,0 0-1,-1 1 1,0 0-1,0-1 1,0-1 0,0 1-1,0 0 1,-1 0-1,1-1 1,-5 3 0,-74 56 427,40-31-341,0 0 0,-63 66 0,96-85-122,0 1 1,0 0-1,1 0 1,1 0-1,0 1 1,0 1-1,3-1 0,-2 1 1,2 0-1,0-1 1,-2 19-1,0 15 54,1 2-1,3 58 1,3-68-23,2 0 1,2-1-1,18 74 0,44 110-42,-30-111 10,15 61-2159,-47-159 1333,0-1 0,0-1 1,10 15-1,-5-8-1656,3 5-7016</inkml:trace>
  <inkml:trace contextRef="#ctx0" brushRef="#br0" timeOffset="3898.71">2793 386 21503,'-19'37'-5,"23"-40"10,-4 2 4,-1 2 4,1-2-7,1 0 1,0 0 0,-1-1-1,1 1 1,-1-1 0,0 1-1,1 0 1,-1 0 0,0 0-1,1 0 1,-1-1 0,0 1-1,0 0 1,0 0 0,0-3-1,2 136 42,-1 81 132,-3-162-135,-2 0 0,-13 59 0,5-59 8,-2 1 1,-3-1-1,-1-2 0,-3 1 1,-1-2-1,-3 0 0,-44 64 1,59-97-16,0-1 0,-1 0-1,-1 0 1,0-1 0,0-3 0,-1 2 0,-1-2 0,-28 19 0,39-27-37,-1-1 0,0 1 0,1 0 1,-1-1-1,0 0 0,1 0 0,-1 0 0,0-1 0,0 0 1,0 0-1,0 0 0,0 0 0,1 0 0,-1-1 0,0 1 1,0-1-1,-4-3 0,3 2-1,0-1 0,0 1 0,0-1 0,1-1 0,-1 0 0,1 0 0,-1 1 1,1-1-1,0-1 0,-5-7 0,-1-3-22,0-2 1,1 0 0,1 0-1,1-1 1,0 1-1,-5-23 1,10 30-19,0-1 0,1 1 0,0-1 0,1 0-1,0 0 1,1 0 0,0 0 0,0 0 0,1 0 0,0 0 0,1 2 0,0-2 0,1 1-1,0 0 1,1-1 0,0 2 0,0-1 0,1 1 0,0 0 0,0 2 0,1-2 0,0 1 0,0 0-1,12-9 1,-15 15 31,0-1 0,0 0 0,1 1 0,-1 0 0,1 0 0,-1-1 0,1 2 0,0 0 0,-1 0 0,1 0 0,0 0 0,0 1-1,0-1 1,7 2 0,-4 0-15,-1 0 0,1 1 0,0 0 0,-1 1 0,1 0 0,-1 0 0,0 0 0,8 7 0,6 5-33,0 1-1,-2-1 1,0 4-1,25 28 0,-24-24 64,0 2-1,-1 1 0,24 40 1,-32-46 82,0-1 0,2-1 1,1 1-1,0-2 1,1 0-1,18 16 0,-24-23 131,-7-8-283,1 0-1,-1 0 0,0 0 0,1 0 0,-1 0 1,1 0-1,0 1 0,4 0 0,-5-2 0,-1-1 1,0 0-1,1 0 0,-1 0 0,0-1 1,1 1-1,-1 0 0,0 0 0,1-1 1,-1 1-1,0 0 0,1-1 0,-1 0 1,0 1-1,0-2 0,0 1 0,0 1 0,0-1 1,0 0-1,0 0 0,0 0 0,0 0 1,0 0-1,0 0 0,1-1 0,13-23-2985</inkml:trace>
  <inkml:trace contextRef="#ctx0" brushRef="#br0" timeOffset="4729.26">3037 67 18815,'0'0'2304,"2"5"-2069,17 54 247,28 58-1,-23-62-322,27 91-1,-33-64-44,-2 0-1,-4 1 1,3 144 0,-16-107-81,-5-2 0,-22 123 1,15-171 5,-3 0 0,-3 0 0,-3-2 0,-3 0 0,-35 69 0,43-107-441,0-1 0,-2-2-1,-2 1 1,0-3 0,-2 1 0,-37 31-1,57-54 105,0 1-1,0-2 0,0 0 1,0 0-1,0 1 0,-1-2 1,1 1-1,-1 0 0,1-1 1,-1 1-1,0 0 0,0-1 1,1-1-1,-9 2 1,-17-1-10582</inkml:trace>
  <inkml:trace contextRef="#ctx0" brushRef="#br0" timeOffset="5539.42">3714 1140 18175,'0'0'1430,"6"0"-961,19 4-144,0-1 1,0-1-1,28-3 0,-46 1-295,0 1-1,1-1 1,-1 1-1,0 1 0,0-1 1,0 0-1,0 1 1,-1 1-1,1 1 1,10 4-1,16 8 31,71 20-1414,4-7-3393</inkml:trace>
  <inkml:trace contextRef="#ctx0" brushRef="#br0" timeOffset="5893.53">3950 661 22271,'0'0'512,"28"-4"-512,-6-5 128,8-4-128,7 4 0,5-4-896,1 1 128,-1 2-256,-2 1 128,-1 2-12927</inkml:trace>
  <inkml:trace contextRef="#ctx0" brushRef="#br0" timeOffset="7041.11">4862 879 23423,'-75'33'-1,"13"-7"-9,-105 65 0,159-86-4,-1 1-1,1 1 1,0-1-1,0 1 1,1 1 0,0-1-1,-9 14 1,14-17 14,-1 0 1,1 0-1,0 1 1,0-1-1,0 0 1,1 0-1,0 2 0,0-2 1,0 1-1,0-1 1,0 2-1,1-2 0,0 0 1,0 1-1,0 0 1,1-1-1,-1 1 0,1 0 1,2 4-1,-1-1 0,1 0 0,0 0 0,1-1 0,-1-1 0,2 2 0,-1-3 0,0 3 0,1-2 0,0-1 0,1 2 0,-1-2 0,1 0 0,0 1 0,1-1 0,-1-1 0,1 0 0,0 0 0,0 0 0,0-1 0,11 3 0,2 1 0,1-2 0,-1-2 0,0 2 0,1-3 0,0-1 0,27-1 0,-44 0-27,-1 0-1,1-1 0,0 1 1,-1-1-1,1 0 0,-1-1 1,0 1-1,1 0 0,-1-1 1,0 1-1,1 0 0,-1-1 1,0 0-1,0 0 0,-1 0 1,1-2-1,0 2 1,4-6-1,-3 0-805,1 1 0,-1-2 0,0 2-1,-1-2 1,0 1 0,4-15 0</inkml:trace>
  <inkml:trace contextRef="#ctx0" brushRef="#br0" timeOffset="7602.34">5303 1031 23679,'-49'6'0,"47"-6"-12,0 0 1,0 0-1,0-1 0,0 1 0,0-1 0,0 1 1,0-1-1,0 0 0,0 1 0,0-1 0,0 0 1,0 0-1,0-1 0,1 0 0,-1 1 0,0-1 1,1 1-1,-1-1 0,1 1 0,0-1 0,-1 1 1,1-1-1,0 0 0,0-1 0,0 1 0,-1-4 1,1 4-11,0 0 1,0-1-1,-1 0 1,1 1-1,-1 0 1,1 0 0,-1 1-1,0-1 1,0 0-1,0 0 1,0 1 0,0-2-1,0 2 1,-4-3-1,3 3-192,-1 0 0,0 0 0,0 0 0,1 0 0,-1 1 0,0-1 0,0 1 0,0 0-1,0 0 1,0 0 0,0 1 0,1 0 0,-1-1 0,0 1 0,-7 3 0,5-1 14,1 1 0,-1-1 0,1 1 1,0-2-1,0 2 0,1 1 0,-1 0 0,1-1 0,-5 8 1,0 2 79,0-1 1,2 2 0,-1-2-1,2 3 1,-1-1 0,2 1-1,-5 19 1,7-24 124,1 0 0,0 2 0,1-1 0,1-1 0,-1 2 0,2-1 0,0 0-1,3 19 1,-3-26 27,0-2-1,0 0 0,0 1 1,0-1-1,0 1 0,1-1 1,-1 0-1,1 0 0,0 0 1,0 1-1,0-2 0,0 1 1,0 0-1,1-2 0,-1 1 0,1 0 1,0 1-1,-1-1 0,1 0 1,0 0-1,0-1 0,0 1 1,0-1-1,0 0 0,0 0 1,0 0-1,1 0 0,-1-1 1,0 1-1,1-1 0,-1 0 1,1 0-1,3 0 0,-1-1 39,1 0 1,-1-1-1,1 0 0,-1 0 0,1 0 0,-1-1 1,0-1-1,0 1 0,0 0 0,-1 0 1,1-1-1,-1-1 0,7-6 0,7-9-174,33-44 1,-36 43-246,-1-1-910,-1 1 1,-1 1-1,13-30 0,-9 14-7423</inkml:trace>
  <inkml:trace contextRef="#ctx0" brushRef="#br0" timeOffset="8259.07">5787 741 20607,'-7'-1'0,"1"0"-8,0-1 0,0 2 1,0 0-1,0 0 1,-1 0-1,1 2 1,0-1-1,0 0 1,0 1-1,0-1 0,1 1 1,-1 1-1,-6 2 1,-28 26-843,0 1 0,-66 71 1,101-97 838,-9 8-96,0 1 1,2 0-1,-11 18 1,19-28 98,1 1 0,0 0 1,0 0-1,0 0 0,1 0 1,0 1-1,0-1 0,1 0 1,-1 2-1,1-3 0,1 1 1,-1 1-1,1 9 0,1-7 8,0 0 0,0 0 0,1 0 0,3 11 0,-4-17 0,1 0 0,-1 0 0,0 0 0,1-1 0,-1 1 0,1-1 0,0 0 0,0 2 0,0-2 0,0 0 0,0 0 0,0 0 0,0-1 0,0 1 0,1 0 0,3 2 0,5 1-44,-2-1 108,0 0-1,-1 1 1,1 0 0,10 9 0,-17-12-15,0-1-1,-1 0 1,1 1-1,-1-1 1,1 0-1,-1 1 1,0 0-1,0 1 1,0-1-1,0-1 1,0 1-1,0 0 1,0 0-1,-1 1 1,1-1-1,-1 1 1,1-1-1,-1 0 1,0 0-1,0 0 1,0 1-1,0-1 1,0 1-1,0-1 1,-1 3-1,-4 11 158,-1-1-1,0 0 0,0 0 1,-2-1-1,0 0 0,0 0 1,-13 15-1,16-23-163,-1 2-1,-1-2 0,1 0 1,0 1-1,-1-2 1,-1 1-1,1-1 1,-12 6-1,-10 3-48,-32 9 0,19-7-181,5 1-12,-8 4-3440</inkml:trace>
  <inkml:trace contextRef="#ctx0" brushRef="#br0" timeOffset="8957.19">6199 0 19071,'0'0'128,"-1"5"0,-1 2-52,-1-1-1,0 0 1,0 1-1,0-2 0,-1 0 1,1 1-1,-1-1 0,-1-1 1,1 2-1,-1-2 1,0 1-1,0-1 0,0 0 1,-7 4-1,-5 5 126,9-8-105,-1 1 0,1 0 1,1 1-1,-1-1 0,1 1 0,0 1 0,0 0 0,-9 16 1,-7 14-19,2 2 0,2 1 0,2 0 1,1 1-1,-13 53 0,6 23 45,-9 129 0,8 123 58,17-65 37,9-237-199,3 0 1,19 100 0,-24-167-95,0 0 1,0 1 0,1-1-1,-1 1 1,0-1-1,0 0 1,1 1-1,-1-1 1,1 0-1,-1 0 1,1 0-1,0 0 1,0 0-1,-1 0 1,1 0-1,0 0 1,0-1-1,0 1 1,0 0-1,0 1 1,0-2 0,0 1-1,0 0 1,0-1-1,0 1 1,0-1-1,1 1 1,-1-1-1,0 0 1,0 1-1,0-1 1,2 0-1,8 3-2544</inkml:trace>
  <inkml:trace contextRef="#ctx0" brushRef="#br0" timeOffset="9328.94">6281 931 22399</inkml:trace>
  <inkml:trace contextRef="#ctx0" brushRef="#br0" timeOffset="9457.11">6281 931 22399,'0'0'0,"52"-17"0,-22 10 0,-1-3 0,0 1 0,-4 0-128,-3 3 128,-2 1-768,-3-1 0,0 5-1408,4 1 1,-1 1 767,-6 2 0</inkml:trace>
  <inkml:trace contextRef="#ctx0" brushRef="#br0" timeOffset="10359.91">6828 300 21503,'2'18'42,"-1"0"0,-1 29 0,-1-29 9,1 1-1,3 23 1,5 8 22,-3 0 0,-2 2 0,-1-2 0,-3 1 0,-2 0 1,-17 92-1,3-71 5,-4-2 0,-2-1 0,-3-1 1,-3-1-1,-49 87 0,61-127-39,-2 0-1,0-1 1,-25 26 0,31-38-22,-1-2 1,0 1-1,0-2 1,-1-1-1,0 1 1,-30 13-1,43-22-24,0-2 0,-1 1 0,1-1 0,0 1 0,-1-1 0,1 0 0,0 0 0,-1 0 0,1 0 0,-1-1 0,1 1 0,0 0 0,0-1 0,-1-1 0,1 1-1,0 1 1,0-1 0,0 0 0,-1-1 0,1 1 0,1 0 0,-1-1 0,0 1 0,0-1 0,0 1 0,1-1 0,-1-1 0,1 1 0,-1 0 0,-1-2 0,-1-2-25,1-1 1,-1 1-1,1-1 1,0 1-1,1 0 1,-1-2-1,1 2 1,0-2-1,-1-9 1,3 8-32,0 0 1,1 1-1,-1-1 1,2 2-1,-1-2 0,1 1 1,0-1-1,1 2 1,0-2-1,0 1 0,0 0 1,1 1-1,0 0 1,1-1-1,0 2 0,0-1 1,0 1-1,8-8 0,-2 3-108,0 1 0,1 0 0,0 1 0,0 0 0,1 2-1,0-1 1,0 1 0,0 1 0,21-6 0,-28 10 150,0 1 0,0 0 0,0 1 0,0-1 0,0 1 0,0 1 0,0-1 0,0 1 0,0 0 0,0 0 0,0 1 0,0-1 0,-1 1 0,1 1 0,-1 0 0,1 0 0,-1 0 0,0 0 0,0 0 0,6 7 0,-3-4 48,-1 2-1,0 0 1,0 1-1,0-1 1,0 2-1,-1-1 1,-1 1-1,1-1 0,-2 2 1,7 15-1,6 23 190,-7-21 125,0 1-1,7 38 1,-17-63-326,0-1 0,0 1 0,0 0 0,0 0 0,-1-1 0,1 1 0,-2 4 0,0 3-71,2-11 45,0 0 0,0 0 0,0 2 1,0-2-1,0 0 0,0 0 1,0 1-1,0-1 0,0 0 0,-1 0 1,2 0-1,-1 1 0,0-1 0,0 0 1,0 0-1,0 1 0,0-1 0,0 0 1,0 0-1,0 0 0,0 1 0,0-1 1,0 0-1,0 0 0,1 0 0,-1 1 1,0-1-1,0 0 0,0 0 0,0 0 1,1 0-1,-1 0 0,0 1 0,0-1 1,0 0-1,1 0 0,-1 0 1,0 0-1,0 0 0,0 0 0,1 0 1,-1 0-1,0 0 0,0 0 0,0 0 1,1 0-1,-1 0 0,0 0 0,0 0 1,1 0-1,-1 0 0,0 0 0,0 0 1,0 0-1,1 0 0,-1 0 0,13-6-720,-13 6 731,4-5-601,1 2 0,-1-1 0,0 1 0,0-2 0,6-8 1</inkml:trace>
</inkml:ink>
</file>

<file path=xl/ink/ink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07:18:33.212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120 0 20479,'-3'32'-8,"2"-15"138,-1 0 0,-1-2 0,-6 26 0,7-34-57,0 0 0,0 2 0,1-2 0,0 1 0,0-1 0,1 2 0,0-2 0,2 13 0,2 7 30,10 30-1,1 15 82,-7-23-119,3 0 0,1 0 1,25 56-1,75 131 164,-87-185-203,-3 0 0,-1 1-1,-3 1 1,14 75-1,-24-79 1,-2 0 0,-3-1-1,-2 1 1,-5 56-1,0-65 8,-3-1-1,-17 59 0,5-16-1,-65 193 57,30-111-48,-71 224 216,81-287-1417,6-29-3011,-2 3-7774</inkml:trace>
</inkml:ink>
</file>

<file path=xl/ink/ink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07:19:53.808"/>
    </inkml:context>
    <inkml:brush xml:id="br0">
      <inkml:brushProperty name="width" value="0.1" units="cm"/>
      <inkml:brushProperty name="height" value="0.1" units="cm"/>
      <inkml:brushProperty name="color" value="#66CC00"/>
    </inkml:brush>
  </inkml:definitions>
  <inkml:trace contextRef="#ctx0" brushRef="#br0">149 184 17791,'0'0'662,"1"5"-449,3 24 123,-1-1 0,-1 0 0,-2 0 0,-5 56 0,-30 118 815,-3 34-526,29-157-401,-23 97-1,16-98-137,7-24-59,-4 99-1,12-66-3897,16-132-11425,-5 13 13163</inkml:trace>
  <inkml:trace contextRef="#ctx0" brushRef="#br0" timeOffset="656.61">238 19 18431,'-3'52'150,"4"-45"-1,4-14 141,1-17 913,-5 23-1200,-1-1-1,0 1 0,0 0 0,1 0 0,-1 0 1,1 0-1,-1-1 0,1 1 0,0-1 1,-1 1-1,1 0 0,0 0 0,0 0 0,0 1 1,0-1-1,-1 0 0,1 0 0,0 0 1,0 1-1,1-1 0,-1 1 0,0-1 0,0 1 1,2-1-1,31-11 79,-30 12-90,13-4 21,0 1-1,1 1 0,0 1 1,-1 1-1,1 0 0,0 1 1,0 1-1,20 5 0,-24-3 22,-1 0-1,0 0 0,-1 1 1,1 0-1,-1 2 1,0 0-1,0 0 0,0 1 1,-1 0-1,-1 1 1,13 12-1,-9-5 3,0 0 0,-1 0-1,21 37 1,-29-42-17,1 0 0,-2 0-1,1 2 1,-2-2 0,1 2 0,-2-2-1,1 2 1,0 16 0,-1 0 72,-2 2 1,-1-2 0,-1 0-1,-10 52 1,8-66-53,0 0 1,-1 0-1,0 0 0,-1-1 1,0 0-1,-1-1 0,-1 1 0,0 0 1,-1-2-1,-19 21 0,8-13-31,-2 1 1,0-2-1,-2-1 0,0 0 0,0-3 0,-2 0 0,0-1 0,0-2 0,-1 0 0,0-3 1,-43 11-1,54-19 888,-9-3-8876,-9-38-5882</inkml:trace>
  <inkml:trace contextRef="#ctx0" brushRef="#br0" timeOffset="1558.87">1044 974 22271,'-4'7'-2,"1"0"1,-1 0-1,0-1 0,-1 0 0,-5 8 0,7-12 11,1 0-1,-1 0 1,1 0 0,-1 0 0,0 0-1,0-1 1,1 1 0,-1 0-1,-1-1 1,1 0 0,0 0 0,0 0-1,0-1 1,0 1 0,-4-1-1,1 1-41,0 0-1,0 0 0,0 0 0,0 1 0,0 0 1,1 0-1,-1 0 0,1 1 0,-1 1 0,1-1 1,0 0-1,0 0 0,0 1 0,1 0 0,-8 10 1,-3 4-468,2 0 1,0 1-1,-10 23 1,-8 11 248,26-46 236,-7 13 5,12-19 12,0-1-1,0 1 0,0-1 0,0 1 0,0 0 0,0-1 0,0 1 1,0-1-1,0 1 0,0-1 0,0 1 0,0 0 0,0-1 0,0 1 1,1-1-1,-1 1 0,0-1 0,0 1 0,1-1 0,-1 1 0,0-1 1,1 1-1,-1-1 0,1 1 0,-1-1 0,1 0 0,-1 1 1,0-1-1,1 0 0,-1 1 0,1-1 0,0 0 0,0 1 0,8 4 0,1-1 0,0-1 0,0 0 0,0 0 0,0-1 0,12 2 0,68 1 0,-68-4 0,58-3 123,-47 1 93,54 4 0,-85-3-163,-1 0 1,1 0-1,-1 0 1,1 1-1,-1-1 0,1 0 1,-1 1-1,0-1 0,1 1 1,-1-1-1,0 1 0,1 0 1,-1 0-1,0 0 1,0 0-1,0 0 0,1 0 1,-1 0-1,1 1 0,-2-1-14,1 0-1,-1 2 1,0-2 0,1 0-1,-1 0 1,0 0-1,0 1 1,0-1-1,0 0 1,0 0-1,0 0 1,0 1-1,0-1 1,0 0-1,-1 0 1,1 0-1,0 1 1,-1 0-1,-3 7 57,0-1 0,-1 0 0,0-1-1,0 0 1,-7 8 0,-9 10-50,-2-2 1,0 0-1,-1-2 1,-1 0-1,-1-2 0,-36 20 1,12-14-4015,-1-4-4113,24-11-983,11-2 7485,1 1 1580</inkml:trace>
  <inkml:trace contextRef="#ctx0" brushRef="#br0" timeOffset="1968.94">1469 1293 18943,'-96'25'-106,"92"-24"114,-1 0 0,1 0 0,0 1 0,0 0 0,0 0 1,-5 3-1,-9 6 41,14-9-44,1-1 0,0 1 0,0 0 0,0 0-1,1 1 1,-1 0 0,0-1 0,1 1 0,0 0-1,0-1 1,-1 1 0,1 0 0,1 0 0,-1 1-1,0 0 1,1-1 0,0 0 0,0 0 0,-1 7-1,0-5 8,1 0-1,0 0 1,1 1-1,-1-1 1,1 0-1,0 0 0,0 0 1,1 1-1,-1-1 1,1 0-1,0 0 1,1 1-1,2 6 0,-1-5-11,1 2 0,0-2 0,1 0 0,0 1 0,0-1 0,0 0 0,1 0 0,-1-1 0,2 0 0,-1-1 0,1 1 0,0-1 0,0 0 0,0-1 0,0 1 0,1-1 0,0-1 0,0 0 0,0 0 0,0-1 0,10 2 0,-3-1-474,1-1-1,-1 0 0,19-1 0,-21-2-1328,0 0 0,-1-1-1,1-1 1,1 0-1,-1 0 1,-1-1 0,21-10-1,14-15-941,-6-5 2745</inkml:trace>
  <inkml:trace contextRef="#ctx0" brushRef="#br0" timeOffset="2859.84">2074 509 19967,'-13'144'488,"9"-80"79,-16 83 0,-91 292 243,105-418-810,3-9 0,-1-1 0,1 2 0,-2 21 0,5-32 0,0 1 0,0 0 0,0 0 0,0-1 0,0 1 0,1-1 0,-1 1 0,1-1 0,0 1 0,-1-1 0,1 1 0,0 0 0,1-1 0,-1 0 0,0 0 0,1 0 0,-1 0 0,1 0 0,-1 0 0,1 0 0,0 0 0,4 3 0,-6-4 0,1-1 0,0 1 0,0-1 0,0 1 0,0-1 0,-1 1 0,1-1 0,0 0 0,0 1 0,0-1 0,0 0 0,0 0 0,0 0 0,0 0 0,0 0 0,0 0 0,0 0 0,0 0 0,0 0 0,0 0 0,0-1 0,0 1 0,0 0 0,0 0 0,0-1 0,0 1 0,-1-1 0,1 1 0,0-1 0,0 1 0,0-1 0,-1 0 0,1 1 0,1-2 0,1-4 0,0 2 0,0 0 0,0-1 0,0-1 0,1-4 0,0 3 0,17-40-41,-8 17 73,28-47 0,-36 70-109,0-1-1,1 1 0,0 1 0,0-2 1,0 2-1,0 1 0,1-1 1,0 0-1,1 1 0,12-7 0,-17 11 75,-1 1 0,0-2-1,0 2 1,0-1 0,1 1 0,-1-1-1,0 1 1,0 0 0,1 0-1,-1 0 1,0 1 0,0-1-1,1 0 1,-1 1 0,0-1-1,0 2 1,0-1 0,1 0 0,-1 0-1,0 0 1,0 0 0,-1 0-1,4 3 1,4 3 6,-1 2 1,0-2-1,11 18 0,-10-13-1,1 0 1,-1 1 0,0 0 0,-1 2 0,-1-1 0,0 0 0,6 21 0,20 93 46,-27-98-36,1-1 0,1-1 1,1 1-1,1 0 0,16 27 1,-25-54-6,0-1 0,0 1 0,0 0 1,0 0-1,0 0 0,0-1 0,1 1 1,-1-1-1,0 0 0,1 1 0,-1-1 1,1 0-1,0 0 0,-1 0 0,1 0 0,0 0 1,-1-1-1,1 1 0,3 0 0,-2-1-2,-1 0 0,1 0-1,-1 0 1,0-1 0,1 1 0,0-1-1,-1 0 1,1 0 0,-1 0-1,0 0 1,0 0 0,0 0 0,0-1-1,0 1 1,3-3 0,5-5 12,-1 0 0,0-2 0,0 1 1,13-19-1,2-5-3,14-17 58,-2-2 1,-1-2-1,-4-1 0,-1-2 0,-3 0 0,36-119 0,-59 163-30,-1 1 0,2-21-1,-4 31-35,-1 1 0,1-1 0,-1 0-1,0 0 1,0-1 0,0 2-1,-1-1 1,1 0 0,-1 0 0,1 1-1,-1-1 1,0 0 0,0 0 0,0 0-1,-1 1 1,1-1 0,0 1 0,-3-3-1,3 4-6,-1 1 0,1-1 0,0 0 0,-1 1 0,1-1 0,-1 1 0,0 0 0,1-1 0,-1 1 0,1 0 0,-1 0 0,0 0 0,1 0 0,-1 0 0,1 1 0,-1-1 0,1 0 0,-1 1 0,-2 0 0,-31 14 0,29-13 0,-10 7-2,1 0 1,0 2-1,1-1 0,-1 1 0,2 1 0,0 1 0,0-1 0,1 2 1,1 1-1,0-2 0,1 3 0,0 1 0,2-2 0,-1 2 0,2 0 0,0-1 1,1 1-1,0 1 0,-4 30 0,7-30-2,0 1 0,2-1 0,0 1 1,1 0-1,0-1 0,2 1 0,0 0 0,8 29 0,-6-34 1,1 0 1,0 1-1,1-2 0,0 1 0,1-1 0,1 0 0,0 1 0,1-3 0,0 2 0,0-2 1,14 11-1,-17-16-74,0 0 0,1-1 0,-1 0 0,1 0 1,0-1-1,1 1 0,-1-2 0,1 0 0,0 0 1,0 0-1,0-1 0,0 0 0,0-1 0,0 0 1,0 0-1,1-1 0,-1 0 0,0 0 0,0-1 1,1 0-1,-1 0 0,0-1 0,0 0 0,12-6 1,10-4-1688,0-2 1,32-20-1,-23 11-8582</inkml:trace>
  <inkml:trace contextRef="#ctx0" brushRef="#br0" timeOffset="3106.58">3299 1430 21503,'0'0'0,"7"39"0,-2-17 128,0 4-128,-2-9 0,-3-2 0,0-9 0,0-12-384,5-17 128,2-13-1664,3-11 128,5-13 513,1-15-1,-1 2-8960</inkml:trace>
  <inkml:trace contextRef="#ctx0" brushRef="#br0" timeOffset="3255.32">3430 358 19839,'0'0'0,"0"59"128,0-51 0,0-16 384,-7 8-384,1 19 0,-7 11-128,3-4 128,0-3-768,2-3 128,4-3-768,-9 19-11775</inkml:trace>
  <inkml:trace contextRef="#ctx0" brushRef="#br0" timeOffset="3819.51">3691 1232 21631,'-24'-44'0,"25"46"6,1 1 7,0-1 0,0 1 0,-1 0-1,1 0 1,-1-1 0,1 1-1,-1 0 1,0 0 0,0 0-1,-1 1 1,1-2 0,-1 1-1,1 0 1,-1 0 0,0 0 0,0 0-1,-1 6 1,-4 9 4,0-1-1,1 1 1,0 0-1,2 0 1,0 0 0,0 0-1,2 1 1,3 35-1,-3-52-16,0-1 0,0 0 0,0 1 0,1-1 0,-1 0-1,0 0 1,0 0 0,1 0 0,-1 0 0,0 0 0,1 0 0,-1 0-1,1 0 1,-1 0 0,1 0 0,0 0 0,0 1 0,0-2 0,-1 0 0,1 0-1,-1 0 1,1 0 0,-1 0 0,1 0 0,-1 0 0,1 0 0,-1 0 0,1 0 0,-1 0 0,1 0-1,-1 0 1,1 0 0,-1 0 0,1 0 0,-1-1 0,0 1 0,1 0 0,-1 0 0,1 0-1,-1-1 1,0 1 0,1 0 0,-1-1 0,1 1 0,4-5 5,-1 0-1,0 0 1,0-1 0,4-6-1,-8 11 0,128-205 102,-123 197-106,0 0 0,1 1 0,1-1 0,-1 2 0,1 0 0,1-1 0,12-11 0,-19 19 0,0-1 0,0 0 0,0 1 0,0 0 0,1-1 0,-1 1 0,0-1 0,0 1 0,0 0 0,1 0 0,-1 0 0,0 0 0,0 0 0,0 0 0,1 0 0,-1 0 0,0 0 0,0 0 0,0 1 0,1-1 0,-1 1 0,0-1 0,0 1 0,0-1 0,0 1 0,0-1 0,0 1 0,0 2 0,0-2 0,0 0 0,0-1 0,0 1 0,-1 0 0,1 0 0,0 0 0,0 0 0,-1 0 0,1 0 0,-1 1 0,1 1 0,4 6 0,-2 0 0,1 0 0,-1 1 0,2 11 0,5 38 37,-2 0-1,-2 1 1,-3-1 0,-3 1-1,-2-2 1,-17 107-1,18-159-33,-2 14-255,0 1-1,1-2 1,1 1 0,2 28 0,2-35-596,1-21-2464</inkml:trace>
  <inkml:trace contextRef="#ctx0" brushRef="#br0" timeOffset="4238.96">4615 431 22143,'-14'9'0,"11"-7"0,0-1 0,0 2 0,0-1 0,0 0 0,0 0 0,0 1 0,1-1 0,-1 1 0,1-1 0,-1 1 0,1 1 0,0-1 0,0 0 0,1 0 0,-1 0 0,0 0 0,1 1 0,-2 5 0,3 3 8,-1 0 0,1-1 0,1 2 1,3 14-1,-2-13 8,-1-1 1,0 1-1,-1 14 1,-30 174 133,8-67-151,-43 423-233,45-454 123,7-41-2786</inkml:trace>
  <inkml:trace contextRef="#ctx0" brushRef="#br0" timeOffset="4704.59">4627 1631 17919,'-15'11'8,"15"-11"-7,0 0 0,-1 0-1,1 0 1,0 0 0,0 1-1,0-1 1,0 0 0,0 0-1,-1 0 1,1 1 0,0-1-1,0 0 1,0 0 0,0 0-1,0 1 1,0-1 0,0 0-1,0 0 1,0 1 0,0-1-1,0 0 1,0 0 0,0 1-1,0-1 1,0 0 0,0 0-1,0 0 1,0 1 0,0-1-1,1 0 1,-1 0 0,0 1-1,0-1 1,0 0 0,0 0-1,2 1 7,0 0 0,0 1 0,1-1 0,-1-1 0,0 1 0,0-1-1,0 1 1,0-1 0,1 0 0,-1 0 0,0 0 0,0 0 0,4-1-1,0 1 26,0 0 0,-1-1 0,1 1 0,0-1 0,-1-2 0,1 2 0,-1-1 0,1 0 0,-1 0 0,1-1 0,-1 1 0,-1-1 0,1 0 0,0-2 0,-1 2 0,1-1 0,-1 0 0,0 0 0,6-9 0,3-8 54,-1-1-1,-1-1 0,0 0 1,-2 0-1,-1-1 0,0 0 1,-2-1-1,5-32 0,-9 28 90,-1 0 0,0 0 0,-2 0 0,-9-54 0,9 80-165,1 1 0,-1-2-1,1 1 1,-1 1 0,0 0-1,0 0 1,0-1 0,0 1 0,-2-3-1,3 5-5,-1-1-1,1 1 1,-1-2-1,1 2 1,0 0-1,-1-1 0,1 1 1,-1 0-1,1-1 1,-1 1-1,1 0 1,-1 0-1,1 0 0,-1-1 1,0 1-1,1 0 1,-1 0-1,1 0 1,-1 0-1,1 0 1,-1 0-1,0 0 0,1 0 1,-1 0-1,0 1 1,-3 0 5,0 2 0,1 0 0,-1-1 0,1 1 0,0-1 0,0 1 0,0 0 0,0 0 0,-4 7 0,-3 4-9,0 1 0,1 0 0,0-1 0,1 2 0,-12 33 0,-19 89 0,33-108 40,1-2 0,1 1 0,0 35 0,4-48-15,1-2 0,0 1 0,0 0 0,2-1 0,0 1 0,0-1 0,2 1-1,6 16 1,-9-27-10,-1-1-1,1 0 1,0 0-1,0 0 1,0 0-1,0 0 1,2 0-1,-2 0 1,1-1-1,-1 1 1,1-1-1,0 0 0,0 0 1,0-1-1,0 1 1,4 1-1,-2 0-12,0-2 0,0 0 0,0 0 0,0-1 0,0 1 0,0-1 0,0 0 0,0-1 0,0 1-1,6-2 1,9-5-360,0 1 0,0-1 0,-1-2 0,26-15 0,-32 17-167,22-12-2717,1 0-7339</inkml:trace>
  <inkml:trace contextRef="#ctx0" brushRef="#br0" timeOffset="4935.99">5342 1496 21375,'0'0'0,"-35"14"0,35-6 0,13 3 0,-4-6 0,2 1 0,-6-3 0,-1-6-256,1-1-1280,3-14 256,1-10 256,2-12 1,-1 0-10497</inkml:trace>
  <inkml:trace contextRef="#ctx0" brushRef="#br0" timeOffset="5140.86">5434 606 21631,'0'0'0,"5"52"0,-2-18 0,0 9 0,-6-7 128,-2-2-128,0 1 0,-2-4-640,-1-2 0,3-2-512,2 2 0</inkml:trace>
  <inkml:trace contextRef="#ctx0" brushRef="#br0" timeOffset="5840.14">6064 996 22783,'-14'9'0,"9"-5"0,1-1 0,-1 1 0,0-1 0,0-1 0,0 0 0,-10 4 0,-9-13-277,19 7 177,0 0 0,-1 1-1,1 0 1,0 0 0,0 0 0,0 1-1,0 0 1,0 0 0,0 0 0,0 2-1,1-2 1,-1 1 0,1 0 0,0 0 0,0 1-1,0-1 1,-4 6 0,2-1-81,0-1 0,1 2-1,-1-1 1,1 1 0,1-1 0,0 1 0,0 1 0,-4 16-1,7-23 148,0 1 0,1 0 0,-1 1 0,1-1 0,0-1 0,1 1 0,-1 0 0,1 0 0,-1 1 0,1-2 0,0 1 0,0 0 0,1-1 0,-1 1 0,1 0 0,3 4 0,4 8-170,1-2-1,17 21 1,-6-10 115,-13-15 180,0 2 0,-1-1-1,0 1 1,-1-1 0,7 17-1,-12-23-46,1 0-1,-1-1 0,0 1 1,0 1-1,0-1 0,-1 0 0,1 0 1,-1 1-1,0-1 0,-1 0 1,1 0-1,-1 0 0,0 1 1,0-1-1,-1 0 0,-2 7 0,3-9-7,-6 13 250,0-1 0,-14 23 0,18-34-254,0 0 1,-1 0-1,0 1 0,1-1 0,-1-1 0,0 1 0,-1-1 1,1 0-1,0 1 0,-1-2 0,-8 5 0,6-5-257,-25 10 420,32-11-300,-1-1 0,0 0 1,1 0-1,-1 1 0,0-1 1,1 0-1,-1 0 0,0 0 1,1 0-1,-1 0 0,0 0 1,1 0-1,-1 0 0,0 0 0,1-1 1,-1 1-1,0 0 0,1 0 1,-1 0-1,0-1 0,1 1 1,-1 0-1,1-2 0,-1 2 1,1-1-1,-1 1 0,1 0 1,-1-1-1,1 1 0,-1-1 1,1 0-1,-1 1 0,1-1 1,0 1-1,-1-1 0,1 0 1</inkml:trace>
  <inkml:trace contextRef="#ctx0" brushRef="#br0" timeOffset="6356.92">6617 305 22015,'-89'67'0,"80"-59"0,3-3-5,12-3 10,-6-1-4,1 0 0,-1-1 0,0 1 0,0 0 0,0-1 1,0 1-1,0 0 0,0 0 0,0-1 0,0 1 0,0 0 1,0 0-1,0-1 0,0 1 0,0 0 0,-1-1 0,1 2 0,-1 0 1,-26 76 141,-17 49-30,2 57-63,-21 197-1,37-201-42,21-163 1,4-14-54,0 1 0,0 0-1,1-1 1,-1 1 0,1-1-1,-1 1 1,1 4 0,-7-266-1661,6 255 1699,1 0-1,0 0 1,0 0 0,0 0-1,0-2 1,1 2 0,-1 0-1,1 0 1,0 0 0,0 0-1,0 0 1,0 0 0,0 0-1,1 0 1,3-5 0,-3 7 3,0-1 0,0 1 0,0 0 0,0 0 1,0-1-1,0 1 0,1 0 0,-1 0 0,0 0 0,1 1 1,-1-1-1,1 1 0,-1 0 0,0 0 0,1 0 1,-1 0-1,1 0 0,-1 0 0,1 1 0,2 0 0,13 2-196,32 13 0,-32-10-248,36 8-1,-35-12-481,0 0-1,0-2 1,-1 0-1,1-1 0,25-4 1,-13-1-7922</inkml:trace>
  <inkml:trace contextRef="#ctx0" brushRef="#br0" timeOffset="7451.76">6671 1261 19583,'-1'11'128,"-1"14"-21,1 0 0,1 0-1,2 1 1,5 32 0,-7-56-104,0-1 0,1 1 0,-1 0 0,1-1 0,0 1 0,-1-1 0,1 0 0,0 1-1,0-1 1,0 2 0,0-2 0,0 0 0,0 0 0,0 0 0,1 0 0,-1 0 0,0 0 0,1 0 0,-1 0 0,0 0 0,1 0 0,-1-1 0,1 1 0,0-1 0,-1 1 0,1-1 0,-1 0 0,1 1 0,0-1 0,-1 0 0,1 0 0,-1 0 0,1 0 0,0-1 0,-1 1 0,1 0 0,-1-1 0,3 0 0,6-1-5,0-1 0,-1-1 0,1-1 0,13-7 0,8-7 2,-1-2 0,0-1 0,-2-1 0,0-1 0,33-39 0,75-77 0,-125 132 0,-11 8 0,0 0 0,0 0 0,0 0 0,0 0 0,0 0 0,1 0 0,-1 0 0,0 0 0,0 0 0,0 0 0,0 0 0,0 0 0,0 0 0,1 0 0,-1 0 0,0 0 0,0 0 0,0 0 0,0 0 0,0 1 0,0-1 0,0 0 0,0 0 0,0 0 0,1 0 0,-1 0 0,0 0 0,0 0 0,0 0 0,0 1 0,0-1 0,0 0 0,0 0 0,0 0 0,0 0 0,0 0 0,0 0 0,0 1 0,0-1 0,0 0 0,0 0 0,0 0 0,0 0 0,0 0 0,0 0 0,0 1 0,0-1 0,0 0 0,0 0 0,0 0 0,0 0 0,0 0 0,-1 0 0,1 0 0,0 1 0,0-1 0,0 0 0,0 0 0,0 0 0,0 0 0,0 0 0,0 0 0,-1 0 0,1 0 0,-5 17 0,2-9 0,-2 12 0,-45 185 0,48-197-1,2 2-1,-1-2 1,1 2-1,1 16 1,-1-24 6,1 1 1,-1-1-1,1 1 1,-1-1-1,1 1 1,0 0-1,0-1 0,0 1 1,0-1-1,0 0 1,0 0-1,1 1 1,-1-1-1,1 0 0,0 0 1,-1 0-1,1 0 1,0 0-1,0-1 1,4 3-1,-4-3-4,1 0 1,-1-1-1,1 0 0,-1 1 1,1-1-1,-1 0 0,1 0 1,-1 0-1,1 0 0,-1-1 1,1 1-1,-1-1 1,1 0-1,-1 1 0,0-1 1,1 0-1,-1 0 0,0-1 1,0 1-1,3-2 0,6-5 28,0-1 0,14-12-1,-22 18-14,28-29-1,49-65 0,2-2-18,-67 84 5,73-75 0,-74 78 0,1-1 0,0 3 0,0-2 0,26-10 0,-38 20 9,1 0-1,0 0 1,0 1-1,-1 0 0,1 0 1,0 0-1,0 0 0,0 1 1,0-1-1,1 1 1,-1 0-1,0 0 0,0 1 1,0-1-1,0 1 0,0 0 1,0 0-1,0 0 1,-1 0-1,1 1 0,0 0 1,0 0-1,-1 0 1,0 0-1,1 0 0,-1 2 1,4 2-1,23 23 127,-2 2 0,35 49 0,-52-69-37,-4-10 53,-6-3-127,1 0-1,-1 0 1,0 0 0,0 0 0,0 0 0,0 0-1,0 0 1,-1 0 0,2-4 0,-2 4-20,5-11 34,-2-2-1,0 0 1,0 2 0,-1-2-1,-1 1 1,0-1 0,-1-14 0,0 23-24,-1 1 1,1 0 0,-1 0-1,0 0 1,-1-1 0,1 1 0,-1 0-1,0 1 1,0-2 0,0 2-1,-1-1 1,0 1 0,0 0 0,0-1-1,0 1 1,0 0 0,-1 1-1,0-1 1,0 1 0,0-1 0,0 1-1,-9-4 1,9 5-14,0 1 0,-1 0 0,1 0 0,0 0 1,-1 1-1,1 0 0,-1-1 0,1 1 0,0 1 0,-1-1 0,1 1 0,0-1 0,-1 1 0,1 1 1,0-1-1,0 0 0,0 1 0,0 0 0,0 0 0,-5 5 0,-4 1-1,0 1-1,1 1 1,0 0 0,-17 20-1,15-14 1,1 2 0,0 0 0,1 0 0,1 0 0,1 2 0,0 0 0,2 1 0,-8 25 0,11-30 0,1-1 0,1 1 0,0 1 0,1-1 0,1 0 0,0 0 0,1 1 0,1-1 0,0 0 0,1 1 0,8 28 0,-8-38 0,0-1 0,1 1 0,0-1 0,0 0 0,0 1 0,1-2 0,0 1 0,0-1 0,0 1 0,0-1 0,9 7 0,-9-9 0,0 0 0,0 0 0,0-1 0,0 0 0,0 0 0,1 0 0,-1-1 0,1 0 0,-1 1 0,1-2 0,-1 1 0,1 0 0,-1-1 0,1 0 0,0 0 0,-1 0 0,8-2 0,8-2 7,-1-1 0,0-1 0,1-1 0,-2-1 0,30-16-1,83-64 62,-49 30-49,-68 53 12,-14 5-29,0 0 0,1 0 1,-1 0-1,0 0 0,0 1 0,0-1 0,0 0 1,1 0-1,-1 0 0,0 0 0,0 1 0,0-1 1,0 0-1,0 0 0,1 1 0,-1-1 1,0 0-1,0 0 0,0 0 0,0 1 0,0-1 1,0 0-1,0 0 0,0 1 0,0-1 0,0 0 1,0 0-1,0 2 0,0-2 0,0 0 0,0 1 1,-11 27 130,-152 239 150,-22-10-82,-13 20-280,107-141-2331</inkml:trace>
</inkml:ink>
</file>

<file path=xl/ink/ink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07:20:01.876"/>
    </inkml:context>
    <inkml:brush xml:id="br0">
      <inkml:brushProperty name="width" value="0.1" units="cm"/>
      <inkml:brushProperty name="height" value="0.1" units="cm"/>
      <inkml:brushProperty name="color" value="#66CC00"/>
    </inkml:brush>
  </inkml:definitions>
  <inkml:trace contextRef="#ctx0" brushRef="#br0">0 1823 23423,'5'-6'-149,"4"-3"84,0 1 0,0 0 0,1 0 0,0 2 0,0 1 0,0-2 0,1 2 0,-1 0 0,1 1 0,1-1 0,-1 2 0,0 0 0,1 1 0,0 0 0,-1 1 0,1 0 0,0 1 0,0 0 0,-1 1 0,19 4 0,124 38-2367,-143-39-470</inkml:trace>
  <inkml:trace contextRef="#ctx0" brushRef="#br0" timeOffset="262.64">55 1524 23295,'0'0'0,"49"25"0,-18-7 0,10 2 0,-2-5 0,3-1 0,-1-11 0,-2-8-640,8-11 128,6-8-896,47-15-13183</inkml:trace>
  <inkml:trace contextRef="#ctx0" brushRef="#br0" timeOffset="1614.21">1449 454 20479,'-61'20'0,"-65"13"0,106-28-64,0 0 0,1 2 0,0-1 0,0 3 0,0 0 0,1 1 0,0-1 0,1 3 0,-23 19 0,38-29 33,-1 0 0,1 1-1,-1-1 1,1 1-1,0-1 1,0 2 0,0-1-1,1 0 1,-1 0-1,1 0 1,-1 1-1,1-1 1,0 0 0,0 0-1,1 1 1,-2 4-1,2-3 2,0 1-1,0 0 1,1 0-1,0-1 1,0 2-1,0-2 1,1 1-1,-1 0 1,4 5-1,3 6-17,0-1-1,1-1 1,1 1-1,1-1 0,16 18 1,19 13 5,2 1 0,86 60 0,-44-37 22,-72-55 91,0 1 0,-1 1 0,0 0 0,-2 1 0,0 1-1,-1 1 1,0 0 0,-2 0 0,0 1 0,11 30-1,-20-38 28,0-1-1,0-1 1,-2 2-1,1 0 0,-1 0 1,-1-1-1,0 1 1,-1 1-1,-1-1 0,1-3 1,-2 3-1,0 0 1,0-1-1,-1 0 0,0 0 1,-10 17-1,3-9 23,0 1 0,-1-2 0,0 0 0,-2-1 0,0-2 0,-1 1 0,-1-1 0,-23 19 0,20-22-1,-1 0 1,0 0 0,-1-3-1,0 1 1,-35 11 0,13-9-657,-85 14 1,112-26-3516</inkml:trace>
  <inkml:trace contextRef="#ctx0" brushRef="#br0" timeOffset="2350.87">2410 354 22015,'-17'30'17,"1"-2"43,1 2 0,1-1-1,-18 59 1,19-28-66,2 1 0,-6 110 0,15 128-101,3-177 104,-7 362 3,5-456 0,0 11 0,0-1 0,10 74 0,-9-110 6,0-1-1,0 2 0,1 0 1,0-1-1,-1 1 0,1-1 1,0 0-1,0 0 0,0 0 1,0 1-1,0-1 0,1 0 1,-1 0-1,0 0 0,1-1 1,0 1-1,-1 0 0,1-1 1,0 0-1,0 2 0,0-2 1,3 2-1,-2-2 5,1 0-1,-1-1 1,0 0 0,0 1-1,0-1 1,0 0 0,0-1-1,1 1 1,-1-1 0,0 1-1,0-1 1,0 0 0,0 0-1,0 0 1,5-4 0,11-5 53,30-22 1,2-3 22,33-15-11,121-51-1,-149 80-262,14-9-1022,1 4 0,98-23 0,-147 45-1883</inkml:trace>
  <inkml:trace contextRef="#ctx0" brushRef="#br0" timeOffset="2693.88">2410 301 24319,'0'0'0,"45"27"0,-18-10 0,3-1 0,3-3 0,1-4 0,7-1 0,1-3 0,5-1 0,3-4-128,0 0 128,-1-4-384,5 2 0,8-1-1024,-8 3 128,-2 3-640,-5 3 0,1-1-9855</inkml:trace>
  <inkml:trace contextRef="#ctx0" brushRef="#br0" timeOffset="3282.86">3396 313 23295,'-1'2'0,"-4"13"0,0 0 0,0-2 0,2 2 0,-5 28 0,6 19 69,7 106 1,21 61-81,25 315 11,-50-520 0,0-9 0,-1-1 0,2-1 0,5 23 0,-7-32 0,1 0 0,1-1 0,-1 0 0,0 0 0,1 1 0,0-1 0,-1 0 0,1 0 0,0-1 0,0 1 0,1 1 0,-1-2 0,1 0 0,-1 0 0,1 0 0,0 0 0,0-1 0,0 1 0,2 2 0,-4-4 0,0 1 0,0-1 0,-1 0 0,1 0 0,0 0 0,0 0 0,0 0 0,0 0 0,0 0 0,0-1 0,-1 1 0,1 0 0,0 0 0,0-1 0,0 1 0,-1 0 0,1-2 0,0 2 0,0-1 0,-1 1 0,1-1 0,0 0 0,-1 1 0,1 0 0,0 0 0,-1-1 0,1 0 0,-1 0 0,1 1 0,-1-1 0,0 0 0,1 0 0,-1 0 0,1-1 0,12-39 0,-11 32 0,48-180 0,28-93 0,102-222 0,-119 368 0,-53 120 0,1 1 0,1 0 0,0 1 0,0 1 0,1 0 0,16-16 0,-25 27 1,1 0 0,-1 0 0,1 1 0,-1-1 0,1 0 0,0 0 0,-1 1 0,1 0 0,0-1 0,0 2 0,0-1 0,0 0 0,0 1 0,4-1 0,-6 1-9,1 0 0,-1 1 1,1-1-1,-1 1 0,0-1 0,0 1 1,1-1-1,-1 1 0,0 0 0,0-1 0,0 1 1,0 0-1,1 1 0,-1-1 0,-1 0 0,1 0 1,0 0-1,0 0 0,0 1 0,0-1 0,-1 0 1,1 0-1,-1 1 0,1-1 0,-1 0 0,1 2 1,-1-2-1,0 0 0,1 1 0,-1-1 0,0 2 1,6 49-3705,-1 85 0,-5-92-6933</inkml:trace>
  <inkml:trace contextRef="#ctx0" brushRef="#br0" timeOffset="4144.19">4516 292 22783,'-3'4'0,"-4"5"3,1 1 0,0-1-1,0 2 1,1-1 0,1 0-1,-1 0 1,-4 20 0,6-18 31,-1-1 1,0-1 0,-1 1 0,0-1-1,-10 16 1,-8 18 13,-6 29-15,4 0 1,-23 110 0,3-13 78,19-81-54,-62 198 161,81-269-219,3-12 0,2-9 0,0-8 0,2 11 0,-1-28-40,2 3 0,0-2 0,7-37 0,23-83-237,-10 56 181,33-238-137,-15 81 103,-26 152 166,-10 61 2,2 0 0,15-56 0,-13 76 89,-5 29-20,0-1-85,4 15 77,16 46 0,-13-45-27,10 46-1,151 673 699,-57-293-473,-107-428-266,0-5 13,-1 0 0,-1 1 1,-1 0-1,-1 0 0,0 1 1,-3 27-1,-1-54-180,0 1 0,0 0 1,1 0-1,-1 0 0,0 0 0,1 0 1,-1-1-1,1 0 0,0 0 0,-2-3 1,-44-134-5817,27 84-5781</inkml:trace>
  <inkml:trace contextRef="#ctx0" brushRef="#br0" timeOffset="4429.21">4145 1096 19199,'17'9'8,"-13"-6"39,1-1 0,-1 1 0,1-1 0,0-1 0,-1 2 0,1-2 0,10 2 0,-14-3-2,0-1-1,-1 1 1,1-1-1,0 0 1,0 1 0,0-1-1,-1-1 1,1 2-1,0-1 1,-1 0-1,1 0 1,-1 0-1,1 1 1,-1-1-1,1 0 1,-1 0-1,0 0 1,1 0-1,-1-1 1,1 0-4,-1 1 1,1-1-1,0-1 0,0 2 1,0-1-1,0 0 0,0 1 1,0 0-1,0-1 0,1 1 1,1-2-1,3-1 29,-1 2 0,1 1 0,0-1-1,-1 1 1,1 0 0,0 0 0,0 1 0,9 0-1,52 6 261,-43-3-243,73 13 263,-3 0-1755,-31-11-3342</inkml:trace>
  <inkml:trace contextRef="#ctx0" brushRef="#br0" timeOffset="5464.82">4795 1 22015,'0'0'384,"5"2"-277,24 13 2,2-1 0,56 13 0,-6 0-9,-6 3-7,-39-15-10,1 0 1,0-4 0,1-1 0,61 11 0,-62-20-67,-1-1 1,1-2 0,-1-3 0,0 0 0,58-17-1,-91 22-10,0-1 1,0 0-1,0 1 0,0 0 0,0 0 0,1 0 0,-1 0 0,5 1 0,-7-1-5,0 0-1,-1 0 1,1 1-1,-1-1 1,1 0-1,0 1 0,-1-1 1,1 0-1,-1 1 1,1-1-1,-1 0 1,1 1-1,-1-1 1,1 1-1,-1-1 1,0 1-1,1-1 0,-1 1 1,0 0-1,1-1 1,-1 1-1,0-1 1,0 1-1,1 0 1,-1-1-1,0 1 1,0 0-1,0-1 0,0 2 1,0-1-1,0-1 1,0 1-1,0-1 1,0 1-1,0 0 1,0-1-1,0 1 1,-1 0-1,1-1 0,0 1 1,0 0-1,-1-1 1,0 1-1,-50 122 234,36-72-162,1 0-1,3 2 1,-8 85 0,5 167 56,13-233-144,-4 624 15,5-662 0,4 167 0,-9 213 0,5-402 5,0-7 5,0-1-1,-1 0 0,1 0 0,-1 1 0,0-1 0,0-1 0,-1 6 0,1-7-2,0-1-1,1-1 0,-1 1 0,0 0 0,1 0 0,-1 0 0,0-1 0,0 1 0,0 0 0,0-1 0,0 1 0,0 0 0,0-1 0,0 1 0,0-1 0,0 0 0,0 1 0,0-1 0,0 0 0,0 0 0,0 0 0,0 0 0,0 1 0,0-1 0,0-1 0,0 1 0,0 0 0,-1 0 0,1 0 0,0-1 1,0 1-1,-1-1 0,-35-6 175,-42-4 0,9 3-74,35 2-58,-1 3 0,-64 1-1,86 3-278,0 0-1,0 1 1,0 1-1,0 1 1,0 0-1,0 0 1,1 1-1,0 2 1,0-1-1,-13 9 1,18-8-385,-1 1 1,2 0-1,-1 1 1,1-1 0,1 2-1,-1-1 1,2 1 0,-1 0-1,-4 12 1,-9 18-10543</inkml:trace>
  <inkml:trace contextRef="#ctx0" brushRef="#br0" timeOffset="6477.58">6375 1515 21887,'84'16'174,"-51"-9"6,42 4 0,-55-8-90,-1 1 0,1 1 0,-1 0 1,0 0-1,34 19 0,-36-16-45,0 1-1,1-3 1,-1 0-1,2 0 1,-1-2-1,35 3 1,-33-6-286,44-1 62,-58 0-686,-1-1-1,1 0 1,-1-1 0,0 1 0,8-4 0</inkml:trace>
  <inkml:trace contextRef="#ctx0" brushRef="#br0" timeOffset="6741.87">6395 1273 23423,'0'0'0,"30"14"0,-8-5 128,7-5-128,4 1 0,2 0 0,6-1 0,2-8-1280,3 4 128,4-2 128,-16-14 128,1-1-12799</inkml:trace>
</inkml:ink>
</file>

<file path=xl/ink/ink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07:20:30.634"/>
    </inkml:context>
    <inkml:brush xml:id="br0">
      <inkml:brushProperty name="width" value="0.1" units="cm"/>
      <inkml:brushProperty name="height" value="0.1" units="cm"/>
      <inkml:brushProperty name="color" value="#66CC00"/>
    </inkml:brush>
  </inkml:definitions>
  <inkml:trace contextRef="#ctx0" brushRef="#br0">0 858 20607,'43'-25'0,"-38"24"11,-7 3 18,-10 9 56,4-4-19,8-7-64,0 0 0,0 0 0,0 0 0,0 0 0,0 1 0,0-1 0,0 0 0,0 0 0,0 0 0,0 0 0,0 0 0,0 0 0,0 0 0,0 0 0,0 0 0,0 0 0,0 0 0,0 0 0,0 0 0,0 0 0,0 0 0,23-13 43,-1-1 1,-1-2-1,-1 0 0,23-23 1,65-80 130,-49 50-174,-20 30 90,2 2 0,76-54 0,5-3 272,52-64-102,-67 59-268,-99 91 6,0 1 0,0-1 0,1 2 0,14-10 0,-22 15 0,-1 1 0,0 0 0,1-1 0,-1 1 0,1 0 0,-1 0 0,0 0 0,1-1-1,-1 1 1,1 0 0,-1 0 0,1 0 0,-1 0 0,0 0 0,1 0 0,-1 0 0,1 0 0,-1 0 0,1 0-1,-1 0 1,1 0 0,-1 0 0,0 0 0,1 0 0,-1 0 0,1 1 0,-1-1 0,1 0 0,-1 0 0,0 0-1,1 1 1,-1-1 0,0 0 0,1 1 0,-1-1 0,0 0 0,1 1 0,-1-1 0,0 0 0,0 1-1,1-1 1,-1 1 0,0-1 0,0 0 0,0 1 0,0-1 0,1 1 0,-1-1 0,0 1 0,0-1 0,0 0-1,0 1 1,0-1 0,0 2 0,-1 29 16,0-26-5,-10 80 138,-4-1 1,-30 96 0,-68 153 41,66-195-102,-26 62 35,-57 67-159,99-206-165,23-48-446,-12 30-4298,16-29-1071</inkml:trace>
  <inkml:trace contextRef="#ctx0" brushRef="#br0" timeOffset="750.91">1607 389 22015,'0'30'0,"1"-12"0,-1 0 0,0-1 0,-2 1 0,0 0 0,-6 22 0,-11 16-3,-25 93 28,40-133 246,13-33-52,-3 7-220,0 0-1,1 1 0,0 0 1,0 0-1,1 1 0,0 0 1,1 0-1,0 1 1,0 0-1,0 0 0,1 1 1,15-7-1,-7 5-62,1 2-1,19-5 1,-32 10 60,0-1 1,0 2-1,0-1 1,0 1-1,0 0 1,0 0 0,0 0-1,0 1 1,0 0-1,0 0 1,6 3-1,5 2 4,0 1 0,-1 1 0,1 1 0,-2 0 0,1 1 0,-1 1 0,-1 0 0,16 15 0,-25-20 0,0 0 0,0 0 0,-1 1 0,0-1 0,0 1 0,0 0 0,-1 0 0,0 0 0,-1 0 0,3 11 0,-2-6 0,-2 1 0,1-1 0,-1 1 0,-1 0 0,-2 21 0,-4-2 0,0 0 0,-2-1 0,-1 0 0,-15 33 0,14-39 8,-50 109 177,53-121-166,-1 1 0,-1-2-1,0 1 1,-1-1-1,-1 0 1,1-1-1,-17 13 1,4-7-231,0 0 1,-36 18-1,48-30-147,1 0 1,-1 0-1,0-2 1,0 1-1,-1-1 1,1-1-1,-1 0 1,-19 1-1,28-3-612,0 0-1,0-1 0,0 1 0,0-1 0,0 1 0,0-1 0,0 0 0,0 0 0,1 0 0,-1-1 1,-4-2-1,4 2 366,-1-1 1,1 0 0,0 0 0,0 0 0,0 0 0,0 0 0,-2-5-1,-2-4 417,1 0 0,1 0 0,0 0 0,-4-15-1,-8-28-983</inkml:trace>
  <inkml:trace contextRef="#ctx0" brushRef="#br0" timeOffset="1064.97">1677 289 23039,'0'0'0,"39"-3"-128,-9 1 128,8-4 0,-2-6 128,0-7-128,6 0 0,7-1-256,-2 2 128,4-2-1152,-2 6 0,-2-2-8447,0 7-513,-2 3 10240,4 6 0</inkml:trace>
</inkml:ink>
</file>

<file path=xl/ink/ink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07:20:42.212"/>
    </inkml:context>
    <inkml:brush xml:id="br0">
      <inkml:brushProperty name="width" value="0.1" units="cm"/>
      <inkml:brushProperty name="height" value="0.1" units="cm"/>
      <inkml:brushProperty name="color" value="#66CC00"/>
    </inkml:brush>
  </inkml:definitions>
  <inkml:trace contextRef="#ctx0" brushRef="#br0">4052 1733 13184,'9'-1'3,"19"-5"126,-27 6-50,0 0 1,1-1-1,-1 1 0,0-1 0,0 1 0,0 0 0,0-1 0,0 0 1,0 1-1,0-1 0,0-1 0,0 2 0,0-1 0,0 0 0,0 0 1,-1 0-1,2-2 0,-12 9 2481,8-5-2506,1 2 1,-1-1 0,0 0-1,1 1 1,0-1 0,-1 0-1,1 1 1,0 0-1,0-1 1,1 1 0,-1-1-1,0 0 1,1 2-1,-1-1 1,1-1 0,0 1-1,0-1 1,0 2 0,0-2-1,1 4 1,-1 8 120,-1-2 47,0 0-1,-1 1 0,0-1 1,-1 0-1,-5 15 0,3-14-105,1 0 0,1 1 0,-3 20 0,0 29-55,2-33-34,1 1 1,2 1-1,3 48 1,4-17-597,-2 1 0,-8 120 0,2-161-1205,1 0-1,1 0 1,2-1 0,3 24-1,8 11 856,0-16-148,0 0-4266</inkml:trace>
  <inkml:trace contextRef="#ctx0" brushRef="#br0" timeOffset="381.18">3598 2369 21375,'0'0'0,"25"14"0,-4-4 0,5 0 0,9-2 128,7-3-128,0-5 0,7-5 0,12 1 0,14-2-128,0-8 128,7-2-2432,8 6 128,4 0-4991,27 10 127,15 7 7040,121 1 896</inkml:trace>
  <inkml:trace contextRef="#ctx0" brushRef="#br0" timeOffset="-5631.95">0 1867 17023,'2'0'20,"0"0"0,0-1-1,0 1 1,-1 0 0,1 1-1,0-1 1,0 0 0,-1 0-1,1 1 1,0-1 0,0 1-1,-1-1 1,1 1 0,0 0-1,-1 0 1,1 0-1,-1 0 1,1 0 0,-1 0-1,0 1 1,1-1 0,-1 1-1,0-1 1,0 0 0,0 1-1,0-1 1,0 1 0,0 0-1,0 0 1,0 0 0,-1-1-1,1 1 1,-1 0 0,1 0-1,-1-2 1,0 2-1,1 3 1,128 601 2199,-117-534-2096,3 93 0,-10-93 53,17 89-1,-8-99-64,-6-32 224,-2 2 0,-1-1 0,3 54 0,-22-784-2,11 574-304,41-1138 227,-21 1071-219,19-171 145,-25 285-134,4 1 0,38-119 0,-49 183-44,1 1 1,1 1-1,0-1 1,0 2-1,11-16 1,-13 21-6,0-1 1,1 2-1,-1-1 1,1 1-1,0-1 1,0 1 0,0 0-1,1 0 1,-1 1-1,1 0 1,9-5-1,-10 8 1,1-1 0,0 1 0,0 0 0,-1 0 0,1 1 0,0 0 0,-1 1 0,1-1 0,10 4 0,8 3 0,29 1-3,-32-6 8,0 3 0,0-2 0,0 3 0,21 9 0,-8-2 177,0-4 0,1 1 1,36 5-1,15 6 70,-19-5-202,2-3-1,116 8 1,191-16 31,-116-4-34,597-33 310,-586 14-436,-123 15 4,157 20 0,198 14 182,-189 1-86,-196-20 15,75 11 78,98 18 220,-216-38-181,138-6 0,-194 0-80,0-1 0,-1-2 0,1 0 0,18-8 0,70-35-67,-73 31 34,0 0-1,65-16 1,-51 22-26,-25 7-49,0-1-1,-1-2 1,34-13-1,98-44-92,-133 58 147,-1-1-1,0 3 0,2 0 1,31 0-1,-28 1 18,128-1 114,143-28 212,-265 31-362,0 0 0,0 2 0,0 2 0,31 6 0,-50-7 0,133 13 0,-57-8 0,-47-5 0,1 0 0,-1-4 0,1-1 0,-1-2 0,41-11 0,18-15 0,-68 20 0,53-13 0,-77 23 0,23-5 0,1 1 0,36 0 0,-43 4 32,26 1 106,-47 0-131,0 1 1,-1-1 0,1 1 0,-1 0 0,1 0 0,0 0 0,-1 0 0,0 1-1,1 0 1,4 3 0,0 2-111,-5-4 65,-1 0 0,1-1 0,0 0 1,0 0-1,-1-1 0,1 1 0,5 3 1,-8-5-35,1 0 0,-1 0 0,1 0 0,-1 0 0,0 0 0,1 0 0,-1 0 0,1 0 1,-1 0-1,1 0 0,-1 0 0,0 0 0,1 0 0,-1-1 0,1 1 0,-1 0 0,0 0 0,1 0 1,-1-1-1,1 1 0,-1 0 0,0 0 0,1-1 0,-1 1 0,1-2 0,-1 1-280,1 0-1,0-1 0,-1 1 1,1-1-1,-1 1 0,1-1 1,-1 1-1,0-2 1,1 2-1,-1-1 0,0-2 1</inkml:trace>
  <inkml:trace contextRef="#ctx0" brushRef="#br0" timeOffset="-4380.88">2961 587 19839,'5'-5'128,"0"-2"-94,0 1-1,1 0 0,0 0 0,1 2 0,-1-2 0,1 1 1,0 1-1,0 0 0,0 0 0,1 1 0,-1 0 1,13-3-1,-13 5-13,-1-1-1,1 1 1,0 1 0,0-1 0,-1 1 0,1 0-1,0 1 1,0 0 0,-1 0 0,1 0 0,0 1-1,-1-1 1,1 2 0,-1-1 0,0 1 0,10 7-1,-5-2-4,0 1-1,-1 1 0,0 0 1,-1 0-1,0 2 0,0-1 0,-1 0 1,0 1-1,-1 0 0,-1 1 1,0 0-1,0 0 0,-1 1 1,-1 0-1,4 18 0,-3-11-9,-2 1 0,0 2 0,-1-2 0,-1 1-1,-1-2 1,-1 2 0,-1 1 0,-1-2 0,-6 22 0,-24 64 221,19-70-90,13-36-145,1-1-1,-1 0 0,1 0 1,-1 0-1,1 0 0,0 0 1,-1 0-1,1 0 0,0 0 1,0 0-1,-1 0 1,1 0-1,0 1 0,0-1 1,0 0-1,0 0 0,1 0 1,-1 0-1,0 0 0,0 0 1,1 0-1,-1 0 0,1 1 1,1-1-14,0-1 0,0 1 0,0-1 0,0 0 1,1 2-1,-1-2 0,0-2 0,0 2 0,0 0 1,0 0-1,3-1 0,-2 0 38,242-30 241,-225 30-196,0 0 0,0 2 0,0 0 0,22 6 0,78 23-3041,-99-25 1374,-21-5 1597,21 7-7769,33 12 0,-27-3 6622,-7 9 1157</inkml:trace>
  <inkml:trace contextRef="#ctx0" brushRef="#br0" timeOffset="15186.47">6118 1494 18559,'14'-9'53,"-11"8"-29,0-1 1,0 1 0,0-1-1,-1-1 1,1 1 0,-1 0-1,1 0 1,-1 0-1,4-7 1,-11 7 1112,4 1-1108,0 1-1,1 0 1,-1 0 0,1 0 0,-1 0 0,0 0-1,1 0 1,-1-1 0,0 1 0,1 0-1,-1-1 1,1 1 0,-1 0 0,1-1-1,-1 1 1,1 0 0,-1-1 0,1 1-1,-1-1 1,1 1 0,-1-1 0,1 1-1,0-2 1,-1 1 0,1 0-22,0 0 1,0 0-1,0 0 0,0 0 0,1 0 0,-1 0 1,0 1-1,0-1 0,1 0 0,-1 0 1,1 0-1,-1-1 0,1 1 0,-1 0 1,1 0-1,-1 1 0,1-1 0,0 0 1,-1 0-1,1 1 0,0-1 0,0 0 1,0 1-1,-1-1 0,1 1 0,0-1 0,0 1 1,0 0-1,0-1 0,2 0 0,2 0 28,1 1 0,-1-2-1,1 2 1,9 0 0,-2 0-6,19-1 162,0 2 0,0 2 1,57 11-1,-73-11-170,-1 0 1,0 2 0,-1 1-1,1 0 1,-1 2-1,0-1 1,0 2 0,-1-1-1,0 2 1,11 12-1,-19-18-11,-1 0-1,0 1 1,0 0-1,-1-1 0,1 2 1,-1-2-1,0 1 1,-1 1-1,1-1 1,-1 2-1,0-2 1,3 11-1,-5-12 1,1 2-1,-1 0 1,0 0 0,0-1-1,0 0 1,-1 1 0,0-2-1,0 1 1,0 1 0,0-1-1,-1-1 1,0 2 0,0-2-1,0-1 1,-4 10 0,-15 16 61,0-1 1,-1-1 0,-2-1 0,-48 42-1,-12 12-45,33-23-165,-75 104 0,124-160 112,1 1-1,0-1 0,0 1 1,0 0-1,0-1 0,1 1 1,-1 1-1,0-2 0,1 1 1,-1 0-1,1 0 0,-1 0 1,1-1-1,0 1 1,0 1-1,0-1 0,0 0 1,0 0-1,0-1 0,0 1 1,1 0-1,-1 1 0,1-1 1,0 2-1,1-1 34,0 0 0,1 1 0,-1-1 0,1 0 0,-1 0 0,1 1 0,0-2 0,0 0 1,0 1-1,0-1 0,5 1 0,29 11 634,-36-14-629,0 0 0,-1 2 0,1-2 1,-1 0-1,1 0 0,-1 1 0,1-1 0,-1 0 1,1 1-1,-1-1 0,1 0 0,-1 1 1,0-1-1,1 1 0,-1-1 0,0 1 1,1-1-1,-1 1 0,0-1 0,1 1 0,-1-1 1,0 1-1,0-1 0,1 2 0,9 17 199,-5-16-210,3-1-1,-1 1 0,1-1 0,0-1 0,8 3 0,13 2 28,-22-5 3,-1 0 0,1-1 0,-1 1 1,1-1-1,-1-1 0,1 1 1,12-4-1,6 1 112,162-21 40,-46 4-130,-71 6-52,-58 10 0,0 1 0,0 1 0,0 0 0,0 1 0,0 0 0,0 1 0,22 2 0,-17 0-2240,-1-1-4479,-47 8-6081</inkml:trace>
  <inkml:trace contextRef="#ctx0" brushRef="#br0" timeOffset="16102.43">7299 1357 21631,'-38'42'0,"41"-47"0,-1 0 0,0 2 0,0-1 0,0-1 0,1 2 0,-1 0 0,1-1 0,0 1 0,0-1 0,0 2 0,1-1 0,-1 0 0,1 1 0,6-5 0,-3 5 21,-1 0 0,1-1 0,-1-1 0,8-3-1,-12 6-8,1 0 0,-1-2 0,0 2 1,1-1-1,-1 1 0,1 0 0,-1 0 0,1 0 0,0 1 0,-1-1 0,1 0 0,0 1 0,0 0 0,-1 0 0,1 0 0,0 0 0,0 0 0,-1 0 0,1 1 0,0-1 0,0 1 1,-1 0-1,1 0 0,3 2 0,0 1 14,1-1 0,-1 0 0,-1 1 0,1 1 0,0 0 0,-1-1 0,0 2 0,0-1 0,-1 2 0,1-2 0,-1 1 0,0 1 0,0-1 0,-1 1 0,0 0 0,0 0 0,-1 0 0,3 8 0,-4-6 0,1-2-1,-1 2 0,-1 1 1,1-2-1,-1 1 0,-1-1 1,0 2-1,0-1 0,0-1 1,-1 1-1,0 0 0,-1-1 1,0 1-1,-8 13 0,2-1 55,-2-1 0,0 0 0,-1-1 0,-1-3 0,-1 2 0,0-2 0,-19 19 0,2-7 9,19-15-40,-1-4 0,0 3 0,-1-1 1,0-1-1,-24 11 0,10-8-49,48-13-13,20-1-149,0 2 0,0 2 0,69 15 0,-105-17 158,1 0 0,-1 1 0,0-1 1,0 1-1,0 0 0,0 0 0,0 1 0,0 0 0,-1-1 0,1 1 1,-1-1-1,0 2 0,0-1 0,0 1 0,0-1 0,0 2 0,2 3 1,-3-2 0,0-2 1,0 1 0,-1 1-1,0-1 1,0 0 0,0 1-1,0-1 1,-1 0 0,1 1-1,-1-1 1,-1 2 0,1-2-1,-1 0 1,0 1 0,-1 3-1,-3 13 3,-1 1 0,-1-3 0,-1 2 0,0-2 0,-2-1 0,0 2 0,-1-2 0,-1-1 0,0 1 0,-2-2 0,0-1 0,-31 30 0,6-13-376,-55 33 0,75-55 171,1 0 0,-1-2-1,0-1 1,-1-1 0,-37 10-1,56-17 41,1 1 1,-1-1-1,1 0 0,-1 0 0,1 0 0,-1 0 0,1 0 0,-1 0 0,1 0 0,-1 0 0,1-1 0,-1 1 0,1 0 0,-1 0 1,1 0-1,-1 0 0,1-2 0,-1 2 0,1 0 0,-1-1 0,1 1 0,0 0 0,-2-2-330</inkml:trace>
  <inkml:trace contextRef="#ctx0" brushRef="#br0" timeOffset="16434.4">7909 2358 24575,'-37'-9'0,"-23"-9"0,55 15 0,27 6-128,-6-3 128,4 4-640,-10-12 0,-2-6-1920,-4-4 128,-2-4 1536,6-18-10751</inkml:trace>
  <inkml:trace contextRef="#ctx0" brushRef="#br0" timeOffset="17263.25">8487 1215 22143,'-72'33'22,"102"-36"172,-29 3-189,0 0 0,0-1 0,0 1 0,-1 0 0,1-1 0,0 1 0,0 0 0,0-1 0,0 1 0,-1-1 0,1 1 0,0-1 0,0 0 0,-1 1 0,2-2 0,-2 1-1,0 1-1,0-2 1,0 2-1,0-1 1,0 1 0,0-1-1,0 0 1,0 1-1,0-1 1,0 1-1,-1-1 1,1 1-1,0-1 1,0 1-1,-1-1 1,1 1-1,0-1 1,-1 1-1,1-1 1,0 1-1,-1-1 1,1 1-1,-1 0 1,1-1 0,-1 1-1,1 0 1,-1-1-1,1 1 1,-1 0-1,0-2 1,-2 0 3,-1 0 1,0 1 0,0-1 0,0 1 0,1 0 0,-1 0 0,0 1-1,-1-1 1,1 1 0,0-1 0,0 1 0,0 0 0,0 0-1,0 1 1,0-1 0,-5 1 0,0 1 6,0 0 1,0 1-1,1 0 1,-1 2-1,1-1 1,-9 5-1,5-1-14,1 0 0,0 0 0,0 2 0,1 0 0,0 1 0,0-1 0,-10 15 0,16-19 0,0 1 0,0 0 0,1 0 0,0 0 0,1 1 0,-1-1 0,1 1 0,0 0 0,1-1 0,0 1 0,0 0 0,0 0 0,1-1 0,0 2 0,2 9 0,0-4-15,0-1-1,2 0 1,-1-1-1,1 1 1,1 0-1,0-2 0,0 0 1,10 15-1,-4-9-45,0-1-1,1 0 1,1-1-1,26 22 0,-2-7-50,1-2 0,1-2 0,65 31 0,-87-48 112,-3-3 0,0 2 0,23 15 0,-33-20 0,-1 1 0,1-1 0,-1 0 0,1 1 0,-1 0 0,0 0 0,-1 0 0,1-1 0,0 2 0,-1-1 0,0 0 0,0 1 0,2 8 0,-2-4 18,0 1-1,-1 0 0,0 0 0,-1 0 1,1 1-1,-2-2 0,0 1 0,0 0 1,0-1-1,-1 1 0,0 0 0,-1 0 1,0-1-1,-1 1 0,0 0 0,-5 8 1,3-7 9,-1-1 0,-1 1 0,0 0 0,0 0 0,-1-2 0,0 1 0,0-1 1,-1-1-1,0 1 0,-1-2 0,-15 9 0,22-13-22,1-1 1,-1-1-1,0 0 0,0 0 1,0 0-1,0 0 0,0-1 1,0 1-1,0-1 0,0 0 1,0 0-1,-1-1 0,1 1 1,0-1-1,0 0 0,0 0 1,1 0-1,-1-1 0,0 1 1,0-2-1,1 1 0,-1 0 1,1 0-1,-1-1 0,1 1 1,0-2-1,0 2 0,-3-5 1,-3-4 9,0 0 0,1 0 1,0 0-1,1-1 0,0-1 1,1 1-1,-6-16 0,5 4-15,0 2 0,1-2 0,2 2 0,0-2 0,1 0 0,1 0 0,2 0 0,0 0 0,1 1 0,6-34 0,-3 30 0,2 0 0,1 0 0,1 1 0,1 0 0,1 2 0,1-1 0,1-1 0,27-37 0,-13 29 0,2 3 0,0 1 0,53-40 0,-78 67 0,31-24-384,-52 32-2986,-18 11-513</inkml:trace>
  <inkml:trace contextRef="#ctx0" brushRef="#br0" timeOffset="18264.4">8864 1039 20095,'-4'31'-2,"4"-31"2,0 0 0,0 0 0,0 0 0,0 0-1,0-1 1,0 1 0,0 0 0,0 0 0,0 0 0,0 0 0,0 0 0,0 0 0,-1 0 0,1 0 0,0 0 0,0 0 0,0 0 0,0 0 0,0 0 0,0 0 0,0 0 0,0 0 0,0 0 0,0 0 0,0 0-1,-1 0 1,1 0 0,0 0 0,0 0 0,0 0 0,0 0 0,0 0 0,0 0 0,0 0 0,0 0 0,0 0 0,0 0 0,0 0 0,-1 0 0,1 0 0,0 0 0,0 0 0,0 0 0,0 0 0,0 0-1,0 0 1,0 1 0,0-1 0,0 0 0,0 0 0,0 0 0,0 0 0,0 0 0,0 0 0,-3-16 27,-2-66 954,5 81-974,0 0 0,0-1 0,0 1-1,1 0 1,-1-2 0,0 2 0,1 0 0,-1 0 0,1-1-1,0 1 1,-1 0 0,1 0 0,0 0 0,0 0 0,0 0-1,-1 0 1,1-1 0,0 1 0,1 0 0,-1 0 0,0 0-1,0 1 1,0-1 0,0 0 0,1 1 0,-1-1 0,0 1-1,0-1 1,1 1 0,-1 0 0,3-1 0,5 0 47,1 0-1,0 0 1,15 1 0,-6 0 45,-2 0-36,-1 1-1,0 0 0,1 1 0,28 9 1,66 26 30,-60-17-7,-42-17-70,0 0-1,-1 1 1,0 0-1,1 1 1,-1 0-1,-1 1 1,1-1-1,-1 2 1,0-1-1,9 11 1,-15-16-8,0 0 0,0 2 0,0-2 1,-1 1-1,1-1 0,-1 1 0,1 0 0,-1-1 1,1 1-1,-1-1 0,0 2 0,0-2 1,0 0-1,0 1 0,0 0 0,0-1 0,-1 1 1,1 0-1,0-1 0,-1 2 0,1-2 1,-1 1-1,-1 1 0,1 1 10,-1 1 1,0-1-1,-1-1 0,1 2 1,0-2-1,-1 1 1,0-1-1,-5 6 0,-15 9-18,-36 22 0,35-25 0,0 1 0,-23 22 0,38-29 0,3-5 0,2 0 0,-1 0 0,0 1 0,1-1 0,0 1 0,0 1 0,0-2 0,1 1 0,0 1 0,-4 8 0,7-13 0,0-1 1,0 1-1,-1 0 0,2 0 0,-1-1 0,0 1 0,0 0 0,0 0 1,0-1-1,0 1 0,1 0 0,-1 0 0,0-1 0,1 2 1,-1-1-1,0-1 0,1 1 0,-1 0 0,1-1 0,-1 1 0,1-1 1,-1 1-1,1-1 0,0 1 0,-1-1 0,1 1 0,-1-1 0,1 0 1,0 1-1,0-1 0,-1 0 0,1 1 0,0-1 0,0 0 0,0 0 1,32 6-22,-31-6 15,32 0-110,48-7 1,25 1-337,3 15-1334,-78-4-524,53 4-9785</inkml:trace>
  <inkml:trace contextRef="#ctx0" brushRef="#br0" timeOffset="19462.14">5646 1923 19839,'26'-5'111,"0"0"0,0-1-1,48-20 1,-29 9-42,-5 6 963,-34 10-1935,0 1-1,0-1 1,0 1 0,10 1 0,-13-1 233,0 0 1,0 1-1,0-1 0,0 1 1,-1 0-1,1 0 1,0 0-1,0 1 1,0-1-1,-1 1 1,1 0-1,-1 0 1,1 0-1,-1 0 0,0 0 1,0 0-1,0 0 1,0 2-1,0-2 1,0 1-1,-1-1 1,1 1-1,-1 1 1,2 2-1,3 19 670</inkml:trace>
  <inkml:trace contextRef="#ctx0" brushRef="#br0" timeOffset="20364.03">5427 1204 17791,'-1'33'0,"1"-32"9,0 0 0,0-1-1,0 1 1,0-1-1,0 1 1,0 0 0,-1-1-1,1 1 1,0-1 0,0 1-1,-1 0 1,1-1-1,0 1 1,-1-1 0,1 1-1,-1-1 1,1 1-1,-1-1 1,1 0 0,-1 2-1,1-2 1,-1 0-1,1 1 1,-1-1 0,1 0-1,-1 1 1,1-1-1,-1 0 1,0 0 0,1 0-1,-1 0 1,0 1-1,1-1 1,-2 0 0,-23-6 525,13 4-324,8 2-177,0 0 0,1 1 0,-1 0 0,0 0 1,1 1-1,-1-1 0,0 0 0,1 1 0,-1 0 0,1-1 0,0 1 1,0 0-1,0 2 0,0-2 0,0 1 0,0-1 0,0 1 0,1 1 1,-1-1-1,1 0 0,-4 7 0,-1 4 90,1 0 0,0 0 0,0 0 0,-4 22 0,5-18-95,2 2 1,0-2 0,1 1 0,0 1-1,2 26 1,14 97 345,-3-53-259,-4-33-49,26 108 0,31 48-130,-50-167-25,-5-19-20,119 334-4316,-104-308 1563,38 63 1,-39-81-227,1-1 1,43 48-1,34 21 2256,52 64 2539</inkml:trace>
  <inkml:trace contextRef="#ctx0" brushRef="#br0" timeOffset="21694.56">8517 811 14336,'40'34'-256,"-39"-33"231,0 0 0,-1 0 1,1-1-1,0 1 0,0 1 1,0-2-1,0 1 0,0-1 1,0 1-1,0-1 0,0 0 1,0 1-1,0-1 0,0 0 1,0 0-1,0 1 0,1-1 1,-1 0-1,0 0 0,0 0 1,0 0-1,0-1 0,0 1 1,0 0-1,0 0 0,0-1 1,1 0-1,-1 1 7,-1-1 1,0 1 0,0-2-1,1 2 1,-1-1-1,0 1 1,0-1 0,0 0-1,0 1 1,0-1-1,0 1 1,0-1 0,0 0-1,0 1 1,0-1-1,0 1 1,0-1 0,0 1-1,-1-1 1,1 0-1,0 1 1,0-1 0,-1 1-1,1-1 1,0 1 0,-1-2-1,1 2 1,0-1-1,-1 1 1,1 0 0,-1-1-1,1 1 1,0-1-1,-1 1 1,1 0 0,-1 0-1,0-1 1,1 1-1,-1-1 1,0 1 1,-5-4 46,0 0 0,1 0 0,-1 1-1,-8-3 1,13 5 16,1 1 0,-1 0-1,1-2 1,-1 2 0,0 0 0,0 0 0,1-1-1,-1 1 1,0 0 0,1 0 0,-1 0-1,0 0 1,1 0 0,-1 0 0,0 0 0,0 0-1,1 1 1,-1-1 0,0 0 0,1 0 0,-1 0-1,0 2 1,1-2 0,-1 0 0,0 1 0,1-1-1,-1 1 1,1-1 0,-1 1 0,1-1-1,-1 1 1,1-1 0,-1 1 0,1-1 0,0 1-1,-1-1 1,1 1 0,0 0 0,-1-1 0,1 1-1,0 0 1,0-1 0,-1 1 0,1 0 0,0 1-1,0-2 1,0 1 0,0 0 0,0-1-1,0 1 1,0 0 0,1 1 0,-1 2 209,-1-4-214,1 1-1,0-1 0,0 1 1,0-1-1,0 1 1,0-1-1,-1 2 1,1-2-1,0 1 0,0-1 1,0 1-1,0-1 1,1 1-1,-1-1 1,0 1-1,0-1 1,0 1-1,0-1 0,0 1 1,1-1-1,-1 1 1,0-1-1,0 0 1,1 1-1,-1-1 1,0 1-1,1-1 0,-1 0 1,0 1-1,1-1 1,-1 0-1,1 1 1,-1-1-1,1 0 0,-1 0 1,0 0-1,2 1 385,0 7-233,-1 0 0,1-1 0,1 1 0,-1-1 0,1 1 0,6 11 0,0 1 0,28 56 576,-16-43-475,-16-25-232,-1-2-1,1 0 1,-1 2 0,4 9 0,-2 4 75,0 0-1,-1 1 1,3 36-1,-4-29-11,10 39-1,123 458 133,-86-340-388,-23-85-848,-3-3 0,13 115 0,-28-91-2177,-2 2-6997</inkml:trace>
  <inkml:trace contextRef="#ctx0" brushRef="#br0" timeOffset="23363.62">7749 1 21503,'0'0'384,"5"0"-277,158 17 416,-92-7-363,181 43 214,-26-4-151,-26-17-155,146 19 145,-258-44-151,175-7 0,-21-17-62,-203 11 20,-1-3-1,0-1 0,65-26 0,-46 15 11,51-25 153,-30 13-89,-65 32 514,-9 1-172,-8 0-200,4 18 20,18 469-359,-2-176-199,-15-282 69,10 310-1054,-1-73-2548,5 110-9476</inkml:trace>
  <inkml:trace contextRef="#ctx0" brushRef="#br0" timeOffset="24164.25">10943 2478 20607,'92'18'421,"98"4"0,-100-13 54,111 25 0,-86-7-234,97 27-204,-199-48-313,1 0 1,18 13-1,-20-12-600,0 0-1,19 7 1,-16-14-2239</inkml:trace>
  <inkml:trace contextRef="#ctx0" brushRef="#br0" timeOffset="24428.9">11216 2239 22911,'0'0'0,"55"39"0,-37-29 128,0-6 0,5-1 0,4-6 0,21 11 0,12 5-128,21 11 128,19 5-512,15 12 0,16 10-128,-23-23 0,-1 2-15359</inkml:trace>
</inkml:ink>
</file>

<file path=xl/ink/ink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07:22:14.350"/>
    </inkml:context>
    <inkml:brush xml:id="br0">
      <inkml:brushProperty name="width" value="0.1" units="cm"/>
      <inkml:brushProperty name="height" value="0.1" units="cm"/>
      <inkml:brushProperty name="color" value="#66CC00"/>
    </inkml:brush>
  </inkml:definitions>
  <inkml:trace contextRef="#ctx0" brushRef="#br0">85 147 17791,'0'0'128,"5"0"0,5-3-22,1 0 0,-1-1 0,0 0 0,13-7-1,-11 5-18,1 0-1,0 0 1,18-4-1,-23 9-87,-1-2 40,0 1 1,1 1 0,-1-1 0,1 1-1,0 1 1,-1-1 0,1 1-1,-1 1 1,1-1 0,0 1 0,-1 1-1,1-1 1,13 6 0,-10-1 23,0 0 0,-1 1 1,0 0-1,0 1 0,-1 0 0,0 1 1,0 0-1,-1 0 0,0 1 0,8 12 1,-6-7 13,-1 0 0,-1 1 1,-1-1-1,0 2 0,-1-1 1,7 30-1,-11-30-54,0-1 0,-2 0 0,1 1 0,-2-1 0,0 0 0,-1 0 0,-1 1 0,0-1 0,-1-1 0,0 1 0,-1 0 0,-1-1 0,-1 0 0,-11 18 0,-8 10 30,-1-1-1,-3-2 0,-39 41 1,-174 168 331,236-242-359,0 0 0,-1-1 0,-10 6 0,11-8-18,1 1 0,0 0 0,-11 10 0,17-14-6,0 0 1,0 1-1,0-1 1,-1 0-1,1 1 1,0-1-1,1 0 1,-1 1-1,0-1 1,0 0-1,0 1 1,0-1-1,0 0 1,0 0-1,0 1 1,0-1-1,0 0 1,1 1-1,-1-1 1,0 0-1,0 0 1,0 1-1,1-1 1,-1 0 0,0 0-1,0 1 1,1-1-1,-1 0 1,0 0-1,1 0 1,-1 1-1,0-1 1,1 0-1,-1 0 1,0 0-1,0 0 1,1 0-1,-1 0 1,0 0-1,1 0 1,-1 0-1,1 0 1,18 7 39,-17-7-41,175 39 0,-120-29 0,-1 2 0,87 31 0,-85-21-160,108 26 0,-165-47 82,1-1 0,0 1 0,0-1 0,0 0-1,0 0 1,0 1 0,0-1 0,0-1 0,0 1 0,0 0-1,0 0 1,0-1 0,0 1 0,0-1 0,0 0 0,0 0-1,0 1 1,-1-1 0,1 0 0,3-3 0,-3 2-248,0-1 1,0 0-1,0 0 1,0 1 0,0-1-1,-1 0 1,1-1-1,-1 1 1,0 0 0,0 0-1,1-6 1</inkml:trace>
  <inkml:trace contextRef="#ctx0" brushRef="#br0" timeOffset="1046.97">1369 107 21375,'-25'32'0,"25"-32"0,0 1 0,0-1 0,0 0 0,0 0 0,0 0 0,0 0 0,0 1 0,0-1 0,0 0 0,0 0 0,0 0 0,0 0 0,-1 0 0,1 0 0,0 1 0,0-1 0,0 0 0,0 0 0,0 0 0,0 0 0,-1 0 0,1 0 0,0 0 0,0 0 0,0 0 0,0 0 0,-1 1 0,1-1 0,0 0 0,0 0 0,0 0 0,0 0 0,0 0 0,-1 0 0,1 0 0,0 0 0,0 0 0,0 0 0,0-1 0,-1 1 0,1 0 0,0 0 0,0 0 0,0 0 0,0 0 0,-1 0 0,1 0 0,0 0 0,0 0 0,0 0 0,0-1 0,0 1 0,0 0 0,0 0 0,-1 0 0,1 0 0,0 0 0,0 0 0,0-1 0,0 1 0,0 0 0,0 0 0,0 0 0,0 0 0,0-1 0,-2-15 0,1 6 22,0 9-16,0 0 0,-1 0 0,1 0 0,-1 0 0,1 0 0,-1 0 0,1 0 0,-1 0 0,0 0 0,1 1 0,-1-1 0,0 1 0,1-1 1,-1 1-1,0 0 0,0-1 0,0 1 0,1 0 0,-1 0 0,0 1 0,-3-1 0,-1 1 14,-1 0 1,1 0-1,-1 0 0,-10 5 0,6-1-26,0 1 0,0 0 0,0 1 0,1 1-1,0-1 1,0 2 0,1-1 0,-13 16 0,-7 12-29,-23 39 0,38-55 32,0 0 3,1 1 0,1 1 0,-17 42 0,26-56 0,0 1 0,1 0 0,0 0 0,0 0 0,1 0 0,0 0 0,1 0 0,0 1 0,1-1 0,-1 0 0,2 0 0,-1 0 0,5 14 0,-4-18 0,0 0 0,1 0 0,-1 0 0,1 0 0,0-1 0,0 1 0,1-1 0,-1 0 0,1 0 0,0 0 0,0 0 0,0-1 0,1 1 0,8 4 0,4 0 0,0 0 0,1-1 0,19 5 0,-19-6 0,0 0 0,28 14 0,-15-3 0,-16-9 0,0 1 0,0 0 0,15 12 0,-26-17 0,1 0 0,-1 1 0,0-1 0,0 1 0,-1 0 0,1 0 0,-1 0 0,0 0 0,-1 1 0,1-1 0,-1 1 0,0-1 0,1 7 0,-1-7-3,-1-1-1,0 0 0,0 1 1,0-1-1,-1 1 0,0-1 1,0 1-1,0-1 0,0 1 1,0-1-1,-1 0 0,0 1 1,0-1-1,0 0 0,-1 1 1,1-1-1,-1 0 0,0 0 0,0 0 1,-1 0-1,1-1 0,-1 1 1,0 0-1,0-1 0,0 0 1,0 0-1,0 0 0,-5 3 1,1-1-7,-16 14-121,0-1 0,-2-1 0,-34 18 0,52-33 131,0 0 0,0 0 0,0-1 0,-1 0 0,1 0 0,0 0 0,-1-1 0,1-1 0,-10 0 0,-5-1 0,17 2 0,0 0 0,0-1 0,0 1 0,0-1 0,0-1 0,0 1 0,1-1 0,-1 1 0,1-1 0,-1-1 0,-5-3 0,7 4 0,1 0 0,-1 0 0,1 0 0,0-1 0,-1 1 0,1-1 0,1 1 0,-1-1 0,0 0 0,0 0 0,1 0 0,0 0 0,0 0 0,0 0 0,0 0 0,0-1 0,0 1 0,0-6 0,1-5 0,1-1 0,0 0 0,0 1 0,2-1 0,0 1 0,0 0 0,2 0 0,-1 0 0,13-24 0,6-5 0,45-65 0,-39 68 43,2 2-1,2 1 0,37-34 0,118-88 183,-163 138-213,-1 4 56,-18 13-43,0-1-1,0 1 0,-1-1 0,0 0 0,7-8 0,-11 13-20,-1-1 0,0 1 0,1-1 1,-1 1-1,1-1 0,-1 1 0,0-1 0,0 1 0,1-1 0,-1 0 1,0 1-1,0-1 0,0 0 0,1 1 0,-1-1 0,0 0 0,0 1 1,0-1-1,0 0 0,0 1 0,0-1 0,0 0 0,-1 1 1,1-1-1,0 0 0,0 1 0,-1-2 0,0 1-1,0 0-1,0 0 0,0 1 1,0-1-1,0 0 1,0 0-1,0 0 1,0 1-1,0-1 1,0 0-1,-1 1 1,-1-1-1,-6-2-60,1 2-1,-1-1 1,-12 0 0,-76 0-725,53 4-2146,-1 1-9124</inkml:trace>
  <inkml:trace contextRef="#ctx0" brushRef="#br0" timeOffset="1572.07">1758 1047 23295,'0'0'0,"-14"-25"0,10 26 0,1 12 0,1-5 0,-1 2-640,0-5 0,15-35-4352,-4-2 4097,0-1-10497</inkml:trace>
  <inkml:trace contextRef="#ctx0" brushRef="#br0" timeOffset="2328.03">2078 757 21503,'0'50'-21,"0"-50"19,0 0 0,0 0 1,-1 0-1,1 1 0,0-1 0,0 0 0,0 0 0,0 1 1,0-1-1,0 0 0,0 0 0,0 1 0,0-1 0,0 0 1,0 0-1,0 1 0,0-1 0,0 0 0,0 0 0,0 1 1,0-1-1,1 0 0,-1 0 0,0 0 0,0 1 0,0-1 1,0 0-1,0 0 0,1 0 0,-1 1 0,0-1 0,0 0 1,0 0-1,0 0 0,1 0 0,-1 1 0,0-1 0,0 0 1,1 0-1,-1 0 0,0 0 0,0 0 0,0 0 0,1 0 1,-1 0-1,0 0 0,0 0 0,1 0 0,-1 0 1,0 0-1,0 0 0,1 0 0,-1 0 0,0 0 0,0 0 1,1 0-1,-1 0 0,0 0 0,0 0 0,1 0 0,-1-1 1,0 1-1,9-8 10,51-77-8,110-145 0,-102 147 128,4 4 0,3 3 0,110-87 0,-146 129-13,-26 23-53,0 0 0,0 1 0,19-11 0,-32 20-61,0 1-1,1 0 1,-1 0-1,0 0 1,1-1 0,-1 1-1,0 0 1,0 0 0,1 0-1,-1 0 1,0 0 0,1 0-1,-1 0 1,0-1-1,1 1 1,-1 0 0,0 0-1,1 0 1,-1 0 0,0 0-1,1 1 1,-1-1-1,0 0 1,1 0 0,-1 0-1,0 0 1,1 0 0,-1 0-1,0 0 1,1 1-1,-1-1 1,2 11 2,-9 15-5,-46 111 258,-53 220 0,27-42-256,37-176-640,41-139 596,1 1-1,-1 0 1,1-1-1,0 1 0,-1 0 1,1-1-1,0 1 1,0 0-1,0-1 0,0 1 1,-1 0-1,1 0 0,0-1 1,0 1-1,0 0 1,1 0-1,-1-1 0,0 1 1,0 0-1,0 0 1,0-1-1,1 1 0,-1 0 1,0-1-1,1 1 1,-1 0-1,0-1 0,1 1 1,-1-1-1,1 1 1,-1 0-1,1-1 0,-1 1 1,2-1-1,-1 0-29,0 0-1,0 0 1,1 0-1,-1 0 1,0 0-1,0-1 1,0 1-1,1 0 1,-1-1-1,0 1 1,0-1 0,0 0-1,0 1 1,0-1-1,0 0 1,0 1-1,0-1 1,0 0-1,2-2 1,18-28-3019,-1-3-7659</inkml:trace>
</inkml:ink>
</file>

<file path=xl/ink/ink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07:22:27.320"/>
    </inkml:context>
    <inkml:brush xml:id="br0">
      <inkml:brushProperty name="width" value="0.1" units="cm"/>
      <inkml:brushProperty name="height" value="0.1" units="cm"/>
      <inkml:brushProperty name="color" value="#66CC00"/>
    </inkml:brush>
  </inkml:definitions>
  <inkml:trace contextRef="#ctx0" brushRef="#br0">60 198 20479,'198'-88'768,"-160"68"-562,-18 9-103,0 1 0,2 1 1,32-10-1,1 7 31,1 2-1,71-2 1,109 6 20,292 41 336,94-3-189,-301-22-196,-69 1 68,356 19 123,-454-20-238,991 43 396,-570-87-145,-285 10-213,-154 20-2122,-240 2-3350,70-1-6421</inkml:trace>
  <inkml:trace contextRef="#ctx0" brushRef="#br0" timeOffset="965.53">1 589 22271,'21'-5'0,"0"-2"0,0 0 0,-1-2 0,31-17 0,-34 18 0,46-27 16,-33 18 57,1 1 0,58-21 0,-56 28-46,1 2-1,0 1 1,1 2 0,-1 1 0,1 1-1,68 7 1,205 47 205,-237-37-224,623 113 454,-318-61-434,344 28-40,-555-86 66,0-7 0,228-26 0,-155-20 31,-104 16-64,418-74 129,-114 61 191,-396 38-313,1 2 1,0 2-1,-1 2 1,1 1-1,70 17 1,-61-7 75,-14-5-92,46 18 0,-75-24 58,1 0 1,-1-1 0,19 3 0,16 2 264,-27-4 282,-31-4-4434</inkml:trace>
</inkml:ink>
</file>

<file path=xl/ink/ink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07:22:25.207"/>
    </inkml:context>
    <inkml:brush xml:id="br0">
      <inkml:brushProperty name="width" value="0.1" units="cm"/>
      <inkml:brushProperty name="height" value="0.1" units="cm"/>
      <inkml:brushProperty name="color" value="#66CC00"/>
    </inkml:brush>
  </inkml:definitions>
  <inkml:trace contextRef="#ctx0" brushRef="#br0">0 212 18687,'0'0'896,"4"9"-768,9 29 47,-1 0 0,-2 2 0,6 47 1,9 137 392,-22-198-535,13 225 342,-10-147-260,-6 35 78,-1-58-2,1-69-127,1 0 0,0 0 0,1 0 0,0 0 0,1-1 0,0 1 0,1-1 0,0 0 0,12 21 0,-16-32-60,-1 0-1,1-1 1,0 1-1,0 0 1,0 0-1,0-1 1,0 1-1,0 0 0,0 0 1,0 0-1,0-1 1,0 1-1,0 0 1,0 0-1,1 0 1,-1-1-1,0 1 1,0 0-1,0 0 1,0 0-1,0-1 0,0 1 1,0 0-1,1 0 1,-1 0-1,0 0 1,0-1-1,0 1 1,0 0-1,0 0 1,1 0-1,-1 0 1,0 0-1,0 0 0,0 0 1,1 0-1,-1-1 1,0 1-1,0 0 1,0 0-1,1 0 1,-1 0-1,0 0 1,0 0-1,1 0 1,-1 0-1,0 0 0,0 0 1,0 0-1,1 0 1,-1 1-1,0-1 1,0 0-1,0 0 1,1 0-1,-1 0 1,0 0-1,0 0 1,0 0-1,0 1 0,1-1 1,-1 0-1,0 0 1,0 0-1,0 0 1,0 0-1,0 1 1,1-1-1,2-24 106,-2 18-73,7-30 76,2-1 0,2 1 0,20-45 0,5-15-26,31-136 132,-44 142-91,3 0-1,57-124 0,-75 195-120,133-247-12,-148 276-632,1 1 1,1-1-1,0 1 0,0 0 1,1 0-1,0 0 1,1 0-1,-1 22 0,3-4-2348,0 1-7339</inkml:trace>
  <inkml:trace contextRef="#ctx0" brushRef="#br0" timeOffset="953.68">1223 112 20607,'-4'5'0,"0"-1"0,0 0 0,-1 0 0,1 0 0,-1-1 0,0 0 0,0 0 0,0 0 0,-7 2 0,7-2 12,1-1 0,0 1-1,0 0 1,0 0-1,0 0 1,1 0 0,-1 0-1,1 1 1,0 0-1,0 0 1,0 0 0,-2 5-1,-4 8 101,-12 31-1,19-44-101,-31 82 226,-34 81 296,-138 290 215,145-315-470,66-192-277,5 15-50,2 1 0,1 1 0,23-38 0,-2 1-27,-11 21 18,103-243-117,-92 188 176,27-72 0,-48 144 0,1 0 0,1 1 0,26-36 0,-42 67 0,2-4 0,1 0 0,-1 0 0,1 1 0,0-1 0,0 1 0,1 0 0,-1 0 0,1 0 0,0 0 0,-1 0 0,6-2 0,-8 5 0,-1 0 0,1 0 0,-1 0 0,1 0 0,-1 0 0,1 0 0,-1 0 0,1 0 0,-1 0 0,1 0 0,-1 0 0,1 0 0,-1 0 0,1 0 0,-1 0 0,0 1 0,1-1 0,-1 0 0,1 0 0,-1 1 0,1-1 0,-1 0 0,0 1 0,1-1 0,-1 0 0,0 1 0,1-1 0,-1 1 0,0-1 0,1 0 0,-1 1 0,0-1 0,0 1 0,0-1 0,1 1 0,-1-1 0,0 1 0,0-1 0,0 1 0,0-1 0,0 1 0,2 25 12,-2-22-2,2 79 167,-2-16 44,18 130-1,9-64 27,9 52 18,-33-165-241,41 244 305,-27-179-175,33 90 1,-44-155-98,-5-14-29,1-1 1,0 1-1,0 0 1,0-1-1,1 1 0,0-1 1,0 0-1,0 0 1,6 6-1,-9-10-30,0-1 0,0 0 0,0 0 1,1 0-1,-1 0 0,0 1 0,0-1 0,0 0 0,1 0 1,-1 0-1,0 0 0,0 0 0,1 0 0,-1 0 0,0 0 0,0 0 1,1 0-1,-1 0 0,0 0 0,0 0 0,1 0 0,-1 0 1,0 0-1,0 0 0,1 0 0,-1 0 0,0 0 0,0 0 1,1 0-1,-1-1 0,0 1 0,0 0 0,0 0 0,1 0 1,-1 0-1,0-1 0,0 1 0,0 0 0,1 0 0,-1 0 0,0-1 1,0 1-1,0 0 0,0 0 0,0-1 0,0 1 0,0 0 1,0 0-1,1 0 0,-1-1 0,0 1 0,0 0 0,0-1 1,0 1-1,0 0 0,0 0 0,-1-1 0,4-16-1013,-2 1 1,-1-1-1,0 0 0,-1 1 0,0-1 0,-8-30 0,2 14-10696</inkml:trace>
  <inkml:trace contextRef="#ctx0" brushRef="#br0" timeOffset="1214.78">1037 772 21119,'8'5'31,"34"15"834,-41-21-737,2 0-108,-1-1 0,1 1-1,0 0 1,0 0 0,-1 0-1,1 0 1,0 1-1,0-1 1,0 1 0,0-1-1,0 1 1,4 0 0,39 5-41,-27-1-475,0 0 0,0 2 0,32 15 0,17 11-5264,-43-19-4010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raw.githubusercontent.com/walter-rothlin/Source-Code/master/SchulungsUnterlagen/Formelbuch_Rothlin_Walter.xlsx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0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1.bin"/><Relationship Id="rId4" Type="http://schemas.openxmlformats.org/officeDocument/2006/relationships/comments" Target="../comments1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2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3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4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15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16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17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18.bin"/><Relationship Id="rId4" Type="http://schemas.openxmlformats.org/officeDocument/2006/relationships/comments" Target="../comments2.x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19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0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1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2.bin"/><Relationship Id="rId4" Type="http://schemas.openxmlformats.org/officeDocument/2006/relationships/comments" Target="../comments3.x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3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26683-FE2E-404D-B380-566552D5F12F}">
  <sheetPr>
    <tabColor rgb="FFFF0000"/>
  </sheetPr>
  <dimension ref="B2:G26"/>
  <sheetViews>
    <sheetView workbookViewId="0">
      <selection activeCell="E9" sqref="E9"/>
    </sheetView>
  </sheetViews>
  <sheetFormatPr baseColWidth="10" defaultRowHeight="15" x14ac:dyDescent="0.25"/>
  <cols>
    <col min="2" max="2" width="12.5703125" customWidth="1"/>
    <col min="3" max="3" width="57" customWidth="1"/>
    <col min="5" max="5" width="57" customWidth="1"/>
    <col min="7" max="7" width="57" customWidth="1"/>
  </cols>
  <sheetData>
    <row r="2" spans="2:7" ht="21" x14ac:dyDescent="0.35">
      <c r="B2" s="69" t="s">
        <v>98</v>
      </c>
      <c r="D2" t="s">
        <v>874</v>
      </c>
      <c r="E2" s="71" t="s">
        <v>875</v>
      </c>
    </row>
    <row r="4" spans="2:7" x14ac:dyDescent="0.25">
      <c r="B4" s="90" t="s">
        <v>837</v>
      </c>
      <c r="D4" s="90" t="s">
        <v>839</v>
      </c>
      <c r="F4" s="90" t="s">
        <v>840</v>
      </c>
    </row>
    <row r="5" spans="2:7" x14ac:dyDescent="0.25">
      <c r="B5" s="70">
        <v>45750</v>
      </c>
      <c r="C5" s="89" t="s">
        <v>125</v>
      </c>
      <c r="D5" s="70">
        <v>45991</v>
      </c>
      <c r="E5" s="71" t="str">
        <f>Einheitenvorsätze!$C$2</f>
        <v>Einheiten-Vorsätze</v>
      </c>
      <c r="F5" s="70">
        <v>45758</v>
      </c>
      <c r="G5" s="71" t="str">
        <f ca="1">Geburtstagsliste!$C$2</f>
        <v>Geburtstagsliste für 2026</v>
      </c>
    </row>
    <row r="6" spans="2:7" x14ac:dyDescent="0.25">
      <c r="B6" s="70">
        <v>45730</v>
      </c>
      <c r="C6" s="71" t="str">
        <f>Flächenberechnungen!$C$2</f>
        <v>Flächenberechnungen</v>
      </c>
      <c r="D6" s="70">
        <v>45944</v>
      </c>
      <c r="E6" s="71" t="str">
        <f>'Elektronische Schaltzeichen'!$C$2</f>
        <v>Elektronische Schaltzeichen</v>
      </c>
    </row>
    <row r="7" spans="2:7" x14ac:dyDescent="0.25">
      <c r="B7" s="70">
        <v>46112</v>
      </c>
      <c r="C7" s="71" t="str">
        <f>Sinuskurve!C2</f>
        <v>Sinus-Kurve</v>
      </c>
      <c r="D7" s="70">
        <v>45932</v>
      </c>
      <c r="E7" s="71" t="str">
        <f>'Quelle mit Innenwiderstand'!$C$2</f>
        <v>Quelle mit Innenwiderstand</v>
      </c>
    </row>
    <row r="8" spans="2:7" x14ac:dyDescent="0.25">
      <c r="B8" s="70">
        <v>46196</v>
      </c>
      <c r="C8" s="71" t="str">
        <f>Sinus_Cosinus!$F$2</f>
        <v>Sinus / Cosinus / Tangens</v>
      </c>
      <c r="D8" s="70">
        <v>46177</v>
      </c>
      <c r="E8" s="71" t="str">
        <f>'Gemischte Schaltungen'!C2</f>
        <v>Gemischte Schaltungen</v>
      </c>
    </row>
    <row r="9" spans="2:7" x14ac:dyDescent="0.25">
      <c r="B9" s="70">
        <v>45772</v>
      </c>
      <c r="C9" s="71" t="s">
        <v>327</v>
      </c>
      <c r="D9" s="70">
        <v>46184</v>
      </c>
      <c r="E9" s="89" t="str">
        <f>'LCR-Glieder an Wechselspannung'!$C$2</f>
        <v>RCL-Glieder (Serieschaltung) an Wechselspannung</v>
      </c>
    </row>
    <row r="10" spans="2:7" x14ac:dyDescent="0.25">
      <c r="B10" s="70">
        <v>45870</v>
      </c>
      <c r="C10" s="71" t="str">
        <f>VektorZeitbereich!$C$2</f>
        <v>Sinusförmige Signale im Zeitbereich / Vektoren</v>
      </c>
      <c r="D10" s="70">
        <v>46035</v>
      </c>
      <c r="E10" s="71" t="str">
        <f>'Kondensator an Gleichspannung'!$C$2</f>
        <v>Kondensator an Gleichspannung</v>
      </c>
    </row>
    <row r="11" spans="2:7" x14ac:dyDescent="0.25">
      <c r="B11" s="70">
        <v>45873</v>
      </c>
      <c r="C11" s="71" t="str">
        <f>Theoreme!$C$2</f>
        <v>Trigonometrischen Theoreme und Identitäten</v>
      </c>
      <c r="D11" s="70">
        <v>46107</v>
      </c>
      <c r="E11" s="71" t="str">
        <f>Magnetismus!$C$2</f>
        <v>Magnetismus</v>
      </c>
    </row>
    <row r="12" spans="2:7" x14ac:dyDescent="0.25">
      <c r="B12" s="70">
        <v>45873</v>
      </c>
      <c r="C12" s="71" t="str">
        <f>'Fläche eines Polygones'!$C$2</f>
        <v>Polygone-Fläche</v>
      </c>
    </row>
    <row r="13" spans="2:7" x14ac:dyDescent="0.25">
      <c r="B13" s="70">
        <v>46182</v>
      </c>
      <c r="C13" s="71" t="s">
        <v>959</v>
      </c>
    </row>
    <row r="14" spans="2:7" x14ac:dyDescent="0.25">
      <c r="B14" s="90"/>
    </row>
    <row r="15" spans="2:7" x14ac:dyDescent="0.25">
      <c r="B15" s="90"/>
      <c r="D15" s="70">
        <v>45873</v>
      </c>
      <c r="E15" s="71" t="str">
        <f>Scheinleistung!$C$2</f>
        <v>Scheinleistung S [VA] - Blindleistung Q [var] - Wirkleistung P [W]</v>
      </c>
    </row>
    <row r="16" spans="2:7" x14ac:dyDescent="0.25">
      <c r="B16" s="90"/>
      <c r="D16" s="70">
        <v>45908</v>
      </c>
      <c r="E16" s="71" t="str">
        <f>'Leistung bei Wechselstrom'!$C$2</f>
        <v>Leistung bei  ein-phasigem Wechselstrom</v>
      </c>
    </row>
    <row r="17" spans="2:5" x14ac:dyDescent="0.25">
      <c r="B17" s="90" t="s">
        <v>838</v>
      </c>
      <c r="D17" s="70">
        <v>45939</v>
      </c>
      <c r="E17" s="71" t="str">
        <f>'3-Phasenstrom'!$C$2</f>
        <v>3-Phasenstrom (Verkettete Spannung)</v>
      </c>
    </row>
    <row r="18" spans="2:5" x14ac:dyDescent="0.25">
      <c r="B18" s="70">
        <v>45979</v>
      </c>
      <c r="C18" s="71" t="str">
        <f>Kinematik_1!$C$2</f>
        <v>Kinematik I</v>
      </c>
      <c r="D18" s="70">
        <v>45870</v>
      </c>
      <c r="E18" s="71" t="str">
        <f>Fourierreihe!$C$2</f>
        <v>Fourierreihe</v>
      </c>
    </row>
    <row r="19" spans="2:5" x14ac:dyDescent="0.25">
      <c r="B19" s="70">
        <v>45998</v>
      </c>
      <c r="C19" s="71" t="str">
        <f>'Kinematik_1 (Weg-Zeit)'!$C$2</f>
        <v>Weg-Zeit Diagramm (Kinematik I)</v>
      </c>
    </row>
    <row r="20" spans="2:5" x14ac:dyDescent="0.25">
      <c r="B20" s="70"/>
      <c r="C20" s="71"/>
    </row>
    <row r="21" spans="2:5" x14ac:dyDescent="0.25">
      <c r="B21" s="70">
        <v>46032</v>
      </c>
      <c r="C21" s="71" t="s">
        <v>99</v>
      </c>
      <c r="D21" s="70">
        <v>46149</v>
      </c>
      <c r="E21" s="71" t="s">
        <v>922</v>
      </c>
    </row>
    <row r="22" spans="2:5" x14ac:dyDescent="0.25">
      <c r="B22" s="70">
        <v>45701</v>
      </c>
      <c r="C22" s="71" t="s">
        <v>100</v>
      </c>
    </row>
    <row r="23" spans="2:5" x14ac:dyDescent="0.25">
      <c r="B23" s="70">
        <v>45998</v>
      </c>
      <c r="C23" s="71" t="str">
        <f>'Kinematik_2 (Weg-Zeit)'!$C$2</f>
        <v>Weg-Zeit Diagramm (Kinematik II)</v>
      </c>
    </row>
    <row r="24" spans="2:5" x14ac:dyDescent="0.25">
      <c r="B24" s="70"/>
      <c r="C24" s="71"/>
    </row>
    <row r="25" spans="2:5" x14ac:dyDescent="0.25">
      <c r="B25" s="70">
        <v>45786</v>
      </c>
      <c r="C25" s="71" t="s">
        <v>238</v>
      </c>
      <c r="D25" s="70"/>
    </row>
    <row r="26" spans="2:5" x14ac:dyDescent="0.25">
      <c r="D26" s="70"/>
    </row>
  </sheetData>
  <hyperlinks>
    <hyperlink ref="C18" location="Kinematik_1!A1" display="Kinematik 1" xr:uid="{9BFDC351-688D-4CF1-A81C-1D2AC11060FA}"/>
    <hyperlink ref="C21" location="Kinematik_2!E4" display="Kinematik_2" xr:uid="{0ED973E2-EF1D-49F0-BD37-E2FB8C64272F}"/>
    <hyperlink ref="C22" location="Kinematik_2_Berechnungen!A1" display="Kinematik 2 Berechnungen" xr:uid="{DB60A9A6-3C9B-4444-9F00-AC60502D68B3}"/>
    <hyperlink ref="E18" location="Fourierreihe!A1" display="Fouirierreihe" xr:uid="{CA7D746B-B699-4E02-BE38-0C7F996F76BD}"/>
    <hyperlink ref="C6" location="Flächenberechnungen!A1" display="Flächenberechnungen" xr:uid="{D5743AC9-A34F-4B3C-B139-43A4B498D6F8}"/>
    <hyperlink ref="E15" location="Scheinleistung!A1" display="Scheinleistung" xr:uid="{CAAE3E9B-0504-4F22-BE6A-F3547C6DB238}"/>
    <hyperlink ref="C5" location="'Einheiten umrechnen'!A1" display="Einheiten umrechnen" xr:uid="{63CF0BE5-46CF-4488-897E-89B66FF0D916}"/>
    <hyperlink ref="G5" location="Geburtstagsliste!A1" display="Geburtstagsliste" xr:uid="{951CF648-09E0-4733-A935-D9691C8D79E9}"/>
    <hyperlink ref="C25" location="Schiefeebene!A1" display="Schiefe Ebene" xr:uid="{ED253B79-5E32-4C6D-BC31-035CD76A77DC}"/>
    <hyperlink ref="C8" location="Sinus_Cosinus!A1" display="Sinus/Cosinus/Tangens" xr:uid="{9C72A74A-3681-4E08-BF54-03C3D64D9F80}"/>
    <hyperlink ref="E17" location="'3-Phasenstrom'!A1" display="Verkettete Spannung (3-Phasenstrom)" xr:uid="{F0D6490D-D7FD-40F5-9193-AEF7266C201A}"/>
    <hyperlink ref="E16" location="'Leistung bei Wechselstrom'!A1" display="'Leistung bei Wechselstrom'!A1" xr:uid="{77978076-EEC0-461A-8111-26B1D9FA8228}"/>
    <hyperlink ref="E7" location="'Quelle mit Innenwiderstand'!A1" display="'Quelle mit Innenwiderstand'!A1" xr:uid="{DBDBA1F4-4576-4AB1-B068-29371CD2820B}"/>
    <hyperlink ref="E6" location="'Elektronische Schaltzeichen'!A1" display="'Elektronische Schaltzeichen'!A1" xr:uid="{3E4E7D55-1EFB-4293-88E7-02E0884B45DC}"/>
    <hyperlink ref="E5" location="Einheitenvorsätze!A1" display="Einheitenvorsätze!A1" xr:uid="{ED68D5CA-D774-4166-8A92-CCDADD10D231}"/>
    <hyperlink ref="C19" location="'Kinematik_1 (Weg-Zeit)'!A1" display="'Kinematik_1 (Weg-Zeit)'!A1" xr:uid="{B1422022-E543-4261-8911-DFC9E5156ACF}"/>
    <hyperlink ref="C23" location="'Kinematik_2 (Weg-Zeit)'!A1" display="'Kinematik_2 (Weg-Zeit)'!A1" xr:uid="{5BDE7B26-D458-4650-BF34-68BC7D1AC05E}"/>
    <hyperlink ref="E2" r:id="rId1" xr:uid="{E69BC930-8B74-47F4-A635-918B5B26A506}"/>
    <hyperlink ref="E10" location="'Kondensator an Gleichspannung'!A1" display="'Kondensator an Gleichspannung'!A1" xr:uid="{2C41B8A5-F5DB-4A56-99E8-E0A145E6BC8E}"/>
    <hyperlink ref="E11" location="Magnetismus!A1" display="Magnetismus!A1" xr:uid="{B9CDB35C-2ED3-48E0-8BDD-E2CB292D548B}"/>
    <hyperlink ref="C12" location="'Fläche eines Polygones'!A1" display="'Fläche eines Polygones'!A1" xr:uid="{FA6D782C-8632-4E5B-97A4-90B6A18392EC}"/>
    <hyperlink ref="C11" location="Theoreme!A1" display="Theoreme!A1" xr:uid="{0BE171A1-EFB5-45EC-AE54-5B69665FAB10}"/>
    <hyperlink ref="C10" location="VektorZeitbereich!A1" display="VektorZeitbereich!A1" xr:uid="{1D9A0842-7145-4C54-B55F-840F1885E41F}"/>
    <hyperlink ref="C9" location="Vektoroperationen!A1" display="Vektoroperationen" xr:uid="{898F9560-9AB3-43EE-B105-DB9C3B6E61A9}"/>
    <hyperlink ref="C7" location="Sinuskurve!A1" display="Sinuskurve!A1" xr:uid="{D84F2B6F-AC13-4931-92E4-9F7FB01FC8FF}"/>
    <hyperlink ref="E21" location="'Belasteter Spannungsteiler'!A1" display="Belasteter Spannungsteiler" xr:uid="{2D244AE8-6633-46BF-AB85-A7FE4F0DFABC}"/>
    <hyperlink ref="E9" location="'LCR-Glieder an Wechselspannung'!A1" display="'LCR-Glieder an Wechselspannung'!A1" xr:uid="{7A0713B1-85F6-472E-A3A4-EB94A4315124}"/>
    <hyperlink ref="E8" location="'Gemischte Schaltungen'!A1" display="'Gemischte Schaltungen'!A1" xr:uid="{FA29E61D-6165-44E5-BAD2-D2496F778DAB}"/>
    <hyperlink ref="C13" location="Sinus_Cosinus!G124" display="Spitzenwert / Effektivwert / Wellenlänge / Periodendauer" xr:uid="{C4E337CC-8A28-424E-9495-14F53BD4694A}"/>
  </hyperlinks>
  <pageMargins left="0.7" right="0.7" top="0.78740157499999996" bottom="0.78740157499999996" header="0.3" footer="0.3"/>
  <pageSetup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086FB-756F-401B-AA95-2CB8B57F9C7D}">
  <dimension ref="C1:AC285"/>
  <sheetViews>
    <sheetView showGridLines="0" zoomScale="40" zoomScaleNormal="40" workbookViewId="0"/>
  </sheetViews>
  <sheetFormatPr baseColWidth="10" defaultRowHeight="15" x14ac:dyDescent="0.25"/>
  <sheetData>
    <row r="1" spans="3:29" ht="15.75" x14ac:dyDescent="0.25">
      <c r="P1" s="120"/>
      <c r="Q1" s="147"/>
      <c r="R1" s="121"/>
      <c r="S1" s="143"/>
      <c r="U1" s="1"/>
      <c r="V1" s="37"/>
      <c r="AA1" s="55"/>
    </row>
    <row r="2" spans="3:29" ht="26.25" x14ac:dyDescent="0.4">
      <c r="C2" s="29" t="s">
        <v>318</v>
      </c>
      <c r="P2" s="120"/>
      <c r="Q2" s="147"/>
      <c r="R2" s="121"/>
      <c r="S2" s="143"/>
      <c r="U2" s="1"/>
      <c r="V2" s="37"/>
      <c r="AA2" s="55"/>
    </row>
    <row r="3" spans="3:29" ht="15.75" x14ac:dyDescent="0.25">
      <c r="P3" s="120"/>
      <c r="Q3" s="147"/>
      <c r="R3" s="121"/>
      <c r="S3" s="143"/>
      <c r="U3" s="1"/>
      <c r="V3" s="37"/>
      <c r="AA3" s="55"/>
    </row>
    <row r="4" spans="3:29" ht="15.75" x14ac:dyDescent="0.25">
      <c r="P4" s="120"/>
      <c r="Q4" s="147"/>
      <c r="R4" s="121"/>
      <c r="S4" s="143"/>
      <c r="U4" s="1"/>
      <c r="V4" s="37"/>
      <c r="AA4" s="55"/>
    </row>
    <row r="5" spans="3:29" ht="24" x14ac:dyDescent="0.45">
      <c r="P5" s="136" t="s">
        <v>329</v>
      </c>
      <c r="Q5" s="135" t="s">
        <v>328</v>
      </c>
      <c r="R5" s="122">
        <v>0.5</v>
      </c>
      <c r="S5" s="175" t="s">
        <v>317</v>
      </c>
      <c r="U5" s="173" t="str">
        <f>U59</f>
        <v>U1</v>
      </c>
      <c r="V5" s="197" t="str">
        <f>V59</f>
        <v xml:space="preserve"> =</v>
      </c>
      <c r="W5" s="173">
        <f>W59</f>
        <v>0.38502673796791448</v>
      </c>
      <c r="X5" s="191" t="str">
        <f>X59</f>
        <v>V</v>
      </c>
      <c r="Z5" s="185" t="str">
        <f>U98</f>
        <v>I1 = I23 = I123</v>
      </c>
      <c r="AA5" s="184" t="str">
        <f>V98</f>
        <v xml:space="preserve"> =</v>
      </c>
      <c r="AB5" s="185">
        <f>W98</f>
        <v>0.77005347593582896</v>
      </c>
      <c r="AC5" s="183" t="str">
        <f>X98</f>
        <v>A</v>
      </c>
    </row>
    <row r="6" spans="3:29" ht="24" x14ac:dyDescent="0.45">
      <c r="P6" s="136" t="s">
        <v>330</v>
      </c>
      <c r="Q6" s="135" t="s">
        <v>328</v>
      </c>
      <c r="R6" s="122">
        <v>0.5</v>
      </c>
      <c r="S6" s="175" t="s">
        <v>317</v>
      </c>
      <c r="U6" s="173" t="str">
        <f>U62</f>
        <v>U1 = U2 = U23</v>
      </c>
      <c r="V6" s="197" t="str">
        <f>V62</f>
        <v xml:space="preserve"> =</v>
      </c>
      <c r="W6" s="173">
        <f>W62</f>
        <v>0.25668449197860965</v>
      </c>
      <c r="X6" s="191" t="str">
        <f>X62</f>
        <v>V</v>
      </c>
      <c r="Z6" s="185" t="str">
        <f>U18</f>
        <v>I2</v>
      </c>
      <c r="AA6" s="184" t="str">
        <f>V18</f>
        <v xml:space="preserve"> =</v>
      </c>
      <c r="AB6" s="183">
        <f>W18</f>
        <v>0.5133689839572193</v>
      </c>
      <c r="AC6" s="183" t="str">
        <f>X18</f>
        <v>A</v>
      </c>
    </row>
    <row r="7" spans="3:29" ht="24" x14ac:dyDescent="0.45">
      <c r="P7" s="136" t="s">
        <v>331</v>
      </c>
      <c r="Q7" s="135" t="s">
        <v>328</v>
      </c>
      <c r="R7" s="122">
        <v>1</v>
      </c>
      <c r="S7" s="175" t="s">
        <v>317</v>
      </c>
      <c r="U7" s="173" t="str">
        <f>U62</f>
        <v>U1 = U2 = U23</v>
      </c>
      <c r="V7" s="197" t="str">
        <f>V62</f>
        <v xml:space="preserve"> =</v>
      </c>
      <c r="W7" s="173">
        <f>W62</f>
        <v>0.25668449197860965</v>
      </c>
      <c r="X7" s="191" t="str">
        <f>X62</f>
        <v>V</v>
      </c>
      <c r="Z7" s="185" t="str">
        <f>U21</f>
        <v>I3</v>
      </c>
      <c r="AA7" s="184" t="str">
        <f>V21</f>
        <v xml:space="preserve"> =</v>
      </c>
      <c r="AB7" s="185">
        <f>W21</f>
        <v>0.25668449197860965</v>
      </c>
      <c r="AC7" s="183" t="str">
        <f>X21</f>
        <v>A</v>
      </c>
    </row>
    <row r="8" spans="3:29" ht="24" x14ac:dyDescent="0.45">
      <c r="P8" s="136" t="s">
        <v>332</v>
      </c>
      <c r="Q8" s="135" t="s">
        <v>328</v>
      </c>
      <c r="R8" s="122">
        <v>1</v>
      </c>
      <c r="S8" s="175" t="s">
        <v>317</v>
      </c>
      <c r="U8" s="173" t="str">
        <f>U88</f>
        <v>U4 = U5 = U123 = U12345</v>
      </c>
      <c r="V8" s="197" t="str">
        <f>V88</f>
        <v xml:space="preserve"> =</v>
      </c>
      <c r="W8" s="173">
        <f>W88</f>
        <v>0.64171122994652408</v>
      </c>
      <c r="X8" s="191" t="str">
        <f>X88</f>
        <v>V</v>
      </c>
      <c r="Z8" s="185" t="str">
        <f>U24</f>
        <v>I4</v>
      </c>
      <c r="AA8" s="184" t="str">
        <f>V24</f>
        <v xml:space="preserve"> =</v>
      </c>
      <c r="AB8" s="185">
        <f>W24</f>
        <v>0.64171122994652408</v>
      </c>
      <c r="AC8" s="183" t="str">
        <f>X24</f>
        <v>A</v>
      </c>
    </row>
    <row r="9" spans="3:29" ht="24" x14ac:dyDescent="0.45">
      <c r="P9" s="136" t="s">
        <v>333</v>
      </c>
      <c r="Q9" s="135" t="s">
        <v>328</v>
      </c>
      <c r="R9" s="122">
        <v>2</v>
      </c>
      <c r="S9" s="175" t="s">
        <v>317</v>
      </c>
      <c r="U9" s="173" t="str">
        <f>U88</f>
        <v>U4 = U5 = U123 = U12345</v>
      </c>
      <c r="V9" s="197" t="str">
        <f>V88</f>
        <v xml:space="preserve"> =</v>
      </c>
      <c r="W9" s="173">
        <f>W88</f>
        <v>0.64171122994652408</v>
      </c>
      <c r="X9" s="191" t="str">
        <f>X88</f>
        <v>V</v>
      </c>
      <c r="Z9" s="185" t="str">
        <f>U27</f>
        <v>I5</v>
      </c>
      <c r="AA9" s="184" t="str">
        <f>V27</f>
        <v xml:space="preserve"> =</v>
      </c>
      <c r="AB9" s="185">
        <f>W27</f>
        <v>0.32085561497326204</v>
      </c>
      <c r="AC9" s="183" t="str">
        <f>X27</f>
        <v>A</v>
      </c>
    </row>
    <row r="10" spans="3:29" ht="24" x14ac:dyDescent="0.45">
      <c r="P10" s="136" t="s">
        <v>334</v>
      </c>
      <c r="Q10" s="135" t="s">
        <v>328</v>
      </c>
      <c r="R10" s="122">
        <v>2</v>
      </c>
      <c r="S10" s="175" t="s">
        <v>317</v>
      </c>
      <c r="U10" s="173" t="str">
        <f>U144</f>
        <v>U6</v>
      </c>
      <c r="V10" s="197" t="str">
        <f>V144</f>
        <v xml:space="preserve"> =</v>
      </c>
      <c r="W10" s="173">
        <f>W144</f>
        <v>3.4652406417112305</v>
      </c>
      <c r="X10" s="191" t="str">
        <f>X144</f>
        <v>V</v>
      </c>
      <c r="Z10" s="185" t="str">
        <f>U183</f>
        <v>I6 = I12345 = I123456</v>
      </c>
      <c r="AA10" s="184" t="str">
        <f>V183</f>
        <v xml:space="preserve"> =</v>
      </c>
      <c r="AB10" s="185">
        <f>W183</f>
        <v>1.7326203208556152</v>
      </c>
      <c r="AC10" s="183" t="str">
        <f>X183</f>
        <v>A</v>
      </c>
    </row>
    <row r="11" spans="3:29" ht="24" x14ac:dyDescent="0.45">
      <c r="P11" s="136" t="s">
        <v>335</v>
      </c>
      <c r="Q11" s="135" t="s">
        <v>328</v>
      </c>
      <c r="R11" s="122">
        <v>0.5</v>
      </c>
      <c r="S11" s="175" t="s">
        <v>317</v>
      </c>
      <c r="U11" s="173" t="str">
        <f>U31</f>
        <v>U7</v>
      </c>
      <c r="V11" s="197" t="str">
        <f>V31</f>
        <v xml:space="preserve"> =</v>
      </c>
      <c r="W11" s="173">
        <f>W31</f>
        <v>2.0534759358288772</v>
      </c>
      <c r="X11" s="191" t="str">
        <f>X31</f>
        <v>V</v>
      </c>
      <c r="Z11" s="185" t="str">
        <f>U68</f>
        <v>I7 = I8 = I78</v>
      </c>
      <c r="AA11" s="184" t="str">
        <f>V68</f>
        <v xml:space="preserve"> =</v>
      </c>
      <c r="AB11" s="185">
        <f>W68</f>
        <v>4.1069518716577544</v>
      </c>
      <c r="AC11" s="183" t="str">
        <f>X68</f>
        <v>A</v>
      </c>
    </row>
    <row r="12" spans="3:29" ht="24" x14ac:dyDescent="0.45">
      <c r="P12" s="136" t="s">
        <v>336</v>
      </c>
      <c r="Q12" s="135" t="s">
        <v>328</v>
      </c>
      <c r="R12" s="122">
        <v>0.5</v>
      </c>
      <c r="S12" s="175" t="s">
        <v>317</v>
      </c>
      <c r="U12" s="173" t="str">
        <f>U34</f>
        <v>U8</v>
      </c>
      <c r="V12" s="197" t="str">
        <f>V34</f>
        <v xml:space="preserve"> =</v>
      </c>
      <c r="W12" s="173">
        <f>W34</f>
        <v>2.0534759358288772</v>
      </c>
      <c r="X12" s="191" t="str">
        <f>X34</f>
        <v>V</v>
      </c>
      <c r="Z12" s="185" t="str">
        <f>U68</f>
        <v>I7 = I8 = I78</v>
      </c>
      <c r="AA12" s="184" t="str">
        <f>V68</f>
        <v xml:space="preserve"> =</v>
      </c>
      <c r="AB12" s="185">
        <f>W68</f>
        <v>4.1069518716577544</v>
      </c>
      <c r="AC12" s="183" t="str">
        <f>X68</f>
        <v>A</v>
      </c>
    </row>
    <row r="13" spans="3:29" ht="24" x14ac:dyDescent="0.45">
      <c r="P13" s="136" t="s">
        <v>337</v>
      </c>
      <c r="Q13" s="135" t="s">
        <v>328</v>
      </c>
      <c r="R13" s="122">
        <v>2</v>
      </c>
      <c r="S13" s="175" t="s">
        <v>317</v>
      </c>
      <c r="U13" s="173" t="str">
        <f>U172</f>
        <v>U9 = U123456789 = U78 = U123456</v>
      </c>
      <c r="V13" s="197" t="str">
        <f>V172</f>
        <v xml:space="preserve"> =</v>
      </c>
      <c r="W13" s="173">
        <f>W172</f>
        <v>4.1069518716577544</v>
      </c>
      <c r="X13" s="191" t="str">
        <f>X172</f>
        <v>V</v>
      </c>
      <c r="Z13" s="185" t="str">
        <f>U65</f>
        <v>I9</v>
      </c>
      <c r="AA13" s="184" t="str">
        <f>V65</f>
        <v xml:space="preserve"> =</v>
      </c>
      <c r="AB13" s="185">
        <f>W65</f>
        <v>2.0534759358288772</v>
      </c>
      <c r="AC13" s="183" t="str">
        <f>X65</f>
        <v>A</v>
      </c>
    </row>
    <row r="14" spans="3:29" ht="24" x14ac:dyDescent="0.45">
      <c r="P14" s="136" t="s">
        <v>338</v>
      </c>
      <c r="Q14" s="135" t="s">
        <v>328</v>
      </c>
      <c r="R14" s="122">
        <v>1</v>
      </c>
      <c r="S14" s="175" t="s">
        <v>317</v>
      </c>
      <c r="U14" s="173" t="str">
        <f>U229</f>
        <v>U10</v>
      </c>
      <c r="V14" s="197" t="str">
        <f>V229</f>
        <v xml:space="preserve"> =</v>
      </c>
      <c r="W14" s="173">
        <f>W229</f>
        <v>7.8930481283422456</v>
      </c>
      <c r="X14" s="191" t="str">
        <f>X229</f>
        <v>V</v>
      </c>
      <c r="Z14" s="185" t="str">
        <f>U273</f>
        <v>I10 = I123456789 = ITot</v>
      </c>
      <c r="AA14" s="184" t="str">
        <f>V273</f>
        <v xml:space="preserve"> =</v>
      </c>
      <c r="AB14" s="185">
        <f>W273</f>
        <v>7.8930481283422456</v>
      </c>
      <c r="AC14" s="183" t="str">
        <f>X273</f>
        <v>A</v>
      </c>
    </row>
    <row r="15" spans="3:29" ht="24" x14ac:dyDescent="0.45">
      <c r="P15" s="170" t="s">
        <v>398</v>
      </c>
      <c r="Q15" s="171" t="s">
        <v>328</v>
      </c>
      <c r="R15" s="172">
        <f>R273</f>
        <v>1.5203252032520327</v>
      </c>
      <c r="S15" s="176" t="s">
        <v>316</v>
      </c>
      <c r="U15" s="137" t="s">
        <v>397</v>
      </c>
      <c r="V15" s="198" t="s">
        <v>328</v>
      </c>
      <c r="W15" s="122">
        <v>12</v>
      </c>
      <c r="X15" s="192" t="s">
        <v>316</v>
      </c>
      <c r="Z15" s="185" t="str">
        <f>U273</f>
        <v>I10 = I123456789 = ITot</v>
      </c>
      <c r="AA15" s="184" t="str">
        <f>V273</f>
        <v xml:space="preserve"> =</v>
      </c>
      <c r="AB15" s="183">
        <f>W273</f>
        <v>7.8930481283422456</v>
      </c>
      <c r="AC15" s="183" t="str">
        <f>X273</f>
        <v>A</v>
      </c>
    </row>
    <row r="16" spans="3:29" ht="15.75" x14ac:dyDescent="0.25">
      <c r="G16" s="119"/>
      <c r="P16" s="120"/>
      <c r="Q16" s="147"/>
      <c r="R16" s="121"/>
      <c r="S16" s="143"/>
      <c r="U16" s="1"/>
      <c r="V16" s="37"/>
      <c r="AA16" s="55"/>
    </row>
    <row r="17" spans="16:27" ht="35.450000000000003" customHeight="1" x14ac:dyDescent="0.55000000000000004">
      <c r="P17" s="120"/>
      <c r="Q17" s="147"/>
      <c r="R17" s="121"/>
      <c r="S17" s="143"/>
      <c r="U17" s="127" t="s">
        <v>385</v>
      </c>
      <c r="V17" s="198" t="s">
        <v>328</v>
      </c>
      <c r="W17" s="149" t="s">
        <v>391</v>
      </c>
      <c r="X17" s="5"/>
      <c r="AA17" s="55"/>
    </row>
    <row r="18" spans="16:27" ht="35.450000000000003" customHeight="1" x14ac:dyDescent="0.55000000000000004">
      <c r="P18" s="186" t="str">
        <f>P59</f>
        <v>R23</v>
      </c>
      <c r="Q18" s="187" t="str">
        <f>Q59</f>
        <v xml:space="preserve"> =</v>
      </c>
      <c r="R18" s="186">
        <f>R59</f>
        <v>0.33333333333333331</v>
      </c>
      <c r="S18" s="188" t="str">
        <f>S59</f>
        <v>Ω</v>
      </c>
      <c r="U18" s="155" t="s">
        <v>385</v>
      </c>
      <c r="V18" s="199" t="s">
        <v>328</v>
      </c>
      <c r="W18" s="156">
        <f>W62/R6</f>
        <v>0.5133689839572193</v>
      </c>
      <c r="X18" s="156" t="s">
        <v>38</v>
      </c>
      <c r="AA18" s="55"/>
    </row>
    <row r="19" spans="16:27" ht="35.450000000000003" customHeight="1" x14ac:dyDescent="0.25">
      <c r="P19" s="186" t="str">
        <f>P62</f>
        <v>R45</v>
      </c>
      <c r="Q19" s="187" t="str">
        <f>Q62</f>
        <v xml:space="preserve"> =</v>
      </c>
      <c r="R19" s="186">
        <f>R62</f>
        <v>0.66666666666666663</v>
      </c>
      <c r="S19" s="188" t="str">
        <f>S62</f>
        <v>Ω</v>
      </c>
      <c r="U19" s="1"/>
      <c r="V19" s="37"/>
      <c r="AA19" s="55"/>
    </row>
    <row r="20" spans="16:27" ht="35.450000000000003" customHeight="1" x14ac:dyDescent="0.55000000000000004">
      <c r="P20" s="186" t="str">
        <f>P65</f>
        <v>R78</v>
      </c>
      <c r="Q20" s="187" t="str">
        <f>Q65</f>
        <v xml:space="preserve"> =</v>
      </c>
      <c r="R20" s="186">
        <f>R65</f>
        <v>1</v>
      </c>
      <c r="S20" s="188" t="str">
        <f>S65</f>
        <v>Ω</v>
      </c>
      <c r="U20" s="127" t="s">
        <v>386</v>
      </c>
      <c r="V20" s="198" t="s">
        <v>328</v>
      </c>
      <c r="W20" s="149" t="s">
        <v>392</v>
      </c>
      <c r="X20" s="5"/>
      <c r="AA20" s="55"/>
    </row>
    <row r="21" spans="16:27" ht="35.450000000000003" customHeight="1" x14ac:dyDescent="0.55000000000000004">
      <c r="P21" s="120"/>
      <c r="Q21" s="147"/>
      <c r="R21" s="121"/>
      <c r="S21" s="143"/>
      <c r="U21" s="155" t="s">
        <v>386</v>
      </c>
      <c r="V21" s="199" t="s">
        <v>328</v>
      </c>
      <c r="W21" s="156">
        <f>W62/R7</f>
        <v>0.25668449197860965</v>
      </c>
      <c r="X21" s="156" t="s">
        <v>38</v>
      </c>
      <c r="AA21" s="55"/>
    </row>
    <row r="22" spans="16:27" ht="35.450000000000003" customHeight="1" x14ac:dyDescent="0.25">
      <c r="P22" s="186" t="str">
        <f>P98</f>
        <v>R123</v>
      </c>
      <c r="Q22" s="187" t="str">
        <f>Q98</f>
        <v xml:space="preserve"> =</v>
      </c>
      <c r="R22" s="186">
        <f>R98</f>
        <v>0.83333333333333326</v>
      </c>
      <c r="S22" s="188" t="str">
        <f>S98</f>
        <v>Ω</v>
      </c>
      <c r="U22" s="1"/>
      <c r="V22" s="37"/>
      <c r="AA22" s="55"/>
    </row>
    <row r="23" spans="16:27" ht="35.450000000000003" customHeight="1" x14ac:dyDescent="0.55000000000000004">
      <c r="P23" s="186" t="str">
        <f>P101</f>
        <v>R789</v>
      </c>
      <c r="Q23" s="187" t="str">
        <f>Q101</f>
        <v xml:space="preserve"> =</v>
      </c>
      <c r="R23" s="186">
        <f>R101</f>
        <v>0.66666666666666663</v>
      </c>
      <c r="S23" s="188" t="str">
        <f>S101</f>
        <v>Ω</v>
      </c>
      <c r="U23" s="127" t="s">
        <v>387</v>
      </c>
      <c r="V23" s="198" t="s">
        <v>328</v>
      </c>
      <c r="W23" s="149" t="s">
        <v>393</v>
      </c>
      <c r="X23" s="5"/>
      <c r="AA23" s="55"/>
    </row>
    <row r="24" spans="16:27" ht="35.450000000000003" customHeight="1" x14ac:dyDescent="0.55000000000000004">
      <c r="P24" s="120"/>
      <c r="Q24" s="147"/>
      <c r="R24" s="121"/>
      <c r="S24" s="143"/>
      <c r="U24" s="155" t="s">
        <v>387</v>
      </c>
      <c r="V24" s="199" t="s">
        <v>328</v>
      </c>
      <c r="W24" s="156">
        <f>W88/R8</f>
        <v>0.64171122994652408</v>
      </c>
      <c r="X24" s="156" t="s">
        <v>38</v>
      </c>
      <c r="AA24" s="55"/>
    </row>
    <row r="25" spans="16:27" ht="35.450000000000003" customHeight="1" x14ac:dyDescent="0.25">
      <c r="P25" s="186" t="str">
        <f>P141</f>
        <v>R12345</v>
      </c>
      <c r="Q25" s="187" t="str">
        <f>Q141</f>
        <v xml:space="preserve"> =</v>
      </c>
      <c r="R25" s="186">
        <f>R141</f>
        <v>0.37037037037037035</v>
      </c>
      <c r="S25" s="188" t="str">
        <f>S141</f>
        <v>Ω</v>
      </c>
      <c r="U25" s="1"/>
      <c r="V25" s="37"/>
      <c r="AA25" s="55"/>
    </row>
    <row r="26" spans="16:27" ht="35.450000000000003" customHeight="1" x14ac:dyDescent="0.55000000000000004">
      <c r="P26" s="120"/>
      <c r="Q26" s="147"/>
      <c r="R26" s="121"/>
      <c r="S26" s="143"/>
      <c r="U26" s="127" t="s">
        <v>388</v>
      </c>
      <c r="V26" s="198" t="s">
        <v>328</v>
      </c>
      <c r="W26" s="149" t="s">
        <v>394</v>
      </c>
      <c r="X26" s="5"/>
      <c r="AA26" s="55"/>
    </row>
    <row r="27" spans="16:27" ht="35.450000000000003" customHeight="1" x14ac:dyDescent="0.55000000000000004">
      <c r="P27" s="186" t="str">
        <f>P180</f>
        <v>R123456</v>
      </c>
      <c r="Q27" s="187" t="str">
        <f>Q180</f>
        <v xml:space="preserve"> =</v>
      </c>
      <c r="R27" s="186">
        <f>R180</f>
        <v>2.3703703703703702</v>
      </c>
      <c r="S27" s="188" t="str">
        <f>S180</f>
        <v>Ω</v>
      </c>
      <c r="U27" s="155" t="s">
        <v>388</v>
      </c>
      <c r="V27" s="199" t="s">
        <v>328</v>
      </c>
      <c r="W27" s="156">
        <f>W88/R9</f>
        <v>0.32085561497326204</v>
      </c>
      <c r="X27" s="156" t="s">
        <v>38</v>
      </c>
      <c r="AA27" s="55"/>
    </row>
    <row r="28" spans="16:27" ht="35.450000000000003" customHeight="1" x14ac:dyDescent="0.25">
      <c r="P28" s="120"/>
      <c r="Q28" s="147"/>
      <c r="R28" s="121"/>
      <c r="S28" s="143"/>
      <c r="U28" s="1"/>
      <c r="V28" s="37"/>
      <c r="AA28" s="55"/>
    </row>
    <row r="29" spans="16:27" ht="35.450000000000003" customHeight="1" x14ac:dyDescent="0.25">
      <c r="P29" s="186" t="str">
        <f>P226</f>
        <v>R123456789</v>
      </c>
      <c r="Q29" s="187" t="str">
        <f>Q226</f>
        <v xml:space="preserve"> =</v>
      </c>
      <c r="R29" s="186">
        <f>R226</f>
        <v>0.52032520325203258</v>
      </c>
      <c r="S29" s="188" t="str">
        <f>S226</f>
        <v>Ω</v>
      </c>
      <c r="U29" s="1"/>
      <c r="V29" s="37"/>
      <c r="AA29" s="55"/>
    </row>
    <row r="30" spans="16:27" ht="35.450000000000003" customHeight="1" x14ac:dyDescent="0.55000000000000004">
      <c r="P30" s="120"/>
      <c r="Q30" s="147"/>
      <c r="R30" s="121"/>
      <c r="S30" s="143"/>
      <c r="U30" s="160" t="s">
        <v>389</v>
      </c>
      <c r="V30" s="198" t="s">
        <v>328</v>
      </c>
      <c r="W30" s="162" t="s">
        <v>395</v>
      </c>
      <c r="X30" s="193"/>
      <c r="AA30" s="55"/>
    </row>
    <row r="31" spans="16:27" ht="35.450000000000003" customHeight="1" x14ac:dyDescent="0.55000000000000004">
      <c r="P31" s="186" t="str">
        <f>P273</f>
        <v>RTot</v>
      </c>
      <c r="Q31" s="187" t="str">
        <f>Q273</f>
        <v xml:space="preserve"> =</v>
      </c>
      <c r="R31" s="186">
        <f>R273</f>
        <v>1.5203252032520327</v>
      </c>
      <c r="S31" s="188" t="str">
        <f>S273</f>
        <v>Ω</v>
      </c>
      <c r="U31" s="165" t="s">
        <v>389</v>
      </c>
      <c r="V31" s="199" t="s">
        <v>328</v>
      </c>
      <c r="W31" s="166">
        <f>W68*R11</f>
        <v>2.0534759358288772</v>
      </c>
      <c r="X31" s="166" t="s">
        <v>316</v>
      </c>
      <c r="AA31" s="55"/>
    </row>
    <row r="32" spans="16:27" ht="35.450000000000003" customHeight="1" x14ac:dyDescent="0.25">
      <c r="P32" s="120"/>
      <c r="Q32" s="147"/>
      <c r="R32" s="121"/>
      <c r="S32" s="143"/>
      <c r="U32" s="1"/>
      <c r="V32" s="37"/>
      <c r="AA32" s="55"/>
    </row>
    <row r="33" spans="3:27" ht="35.450000000000003" customHeight="1" x14ac:dyDescent="0.55000000000000004">
      <c r="P33" s="120"/>
      <c r="Q33" s="147"/>
      <c r="R33" s="121"/>
      <c r="S33" s="143"/>
      <c r="U33" s="160" t="s">
        <v>390</v>
      </c>
      <c r="V33" s="198" t="s">
        <v>328</v>
      </c>
      <c r="W33" s="162" t="s">
        <v>396</v>
      </c>
      <c r="X33" s="193"/>
      <c r="AA33" s="55"/>
    </row>
    <row r="34" spans="3:27" ht="35.450000000000003" customHeight="1" x14ac:dyDescent="0.55000000000000004">
      <c r="P34" s="120"/>
      <c r="Q34" s="147"/>
      <c r="R34" s="121"/>
      <c r="S34" s="143"/>
      <c r="U34" s="165" t="s">
        <v>390</v>
      </c>
      <c r="V34" s="199" t="s">
        <v>328</v>
      </c>
      <c r="W34" s="166">
        <f>W68*R12</f>
        <v>2.0534759358288772</v>
      </c>
      <c r="X34" s="166" t="s">
        <v>316</v>
      </c>
      <c r="AA34" s="55"/>
    </row>
    <row r="35" spans="3:27" ht="35.450000000000003" customHeight="1" x14ac:dyDescent="0.25">
      <c r="P35" s="120"/>
      <c r="Q35" s="147"/>
      <c r="R35" s="121"/>
      <c r="S35" s="143"/>
      <c r="U35" s="1"/>
      <c r="V35" s="37"/>
      <c r="AA35" s="55"/>
    </row>
    <row r="36" spans="3:27" ht="35.450000000000003" customHeight="1" x14ac:dyDescent="0.25">
      <c r="P36" s="120"/>
      <c r="Q36" s="147"/>
      <c r="R36" s="121"/>
      <c r="S36" s="143"/>
      <c r="U36" s="1"/>
      <c r="V36" s="37"/>
      <c r="AA36" s="55"/>
    </row>
    <row r="37" spans="3:27" ht="35.450000000000003" customHeight="1" x14ac:dyDescent="0.25">
      <c r="P37" s="120"/>
      <c r="Q37" s="147"/>
      <c r="R37" s="121"/>
      <c r="S37" s="143"/>
      <c r="U37" s="1"/>
      <c r="V37" s="37"/>
      <c r="AA37" s="55"/>
    </row>
    <row r="38" spans="3:27" ht="35.450000000000003" customHeight="1" x14ac:dyDescent="0.25">
      <c r="P38" s="120"/>
      <c r="Q38" s="147"/>
      <c r="R38" s="121"/>
      <c r="S38" s="143"/>
      <c r="U38" s="1"/>
      <c r="V38" s="37"/>
      <c r="AA38" s="55"/>
    </row>
    <row r="39" spans="3:27" ht="35.450000000000003" customHeight="1" x14ac:dyDescent="0.25">
      <c r="P39" s="120"/>
      <c r="Q39" s="147"/>
      <c r="R39" s="121"/>
      <c r="S39" s="143"/>
      <c r="U39" s="1"/>
      <c r="V39" s="37"/>
      <c r="AA39" s="55"/>
    </row>
    <row r="40" spans="3:27" ht="35.450000000000003" customHeight="1" x14ac:dyDescent="0.25">
      <c r="P40" s="120"/>
      <c r="Q40" s="147"/>
      <c r="R40" s="121"/>
      <c r="S40" s="143"/>
      <c r="U40" s="1"/>
      <c r="V40" s="37"/>
      <c r="AA40" s="55"/>
    </row>
    <row r="41" spans="3:27" ht="12.95" customHeight="1" x14ac:dyDescent="0.25">
      <c r="P41" s="120"/>
      <c r="Q41" s="147"/>
      <c r="R41" s="121"/>
      <c r="S41" s="143"/>
      <c r="U41" s="1"/>
      <c r="V41" s="37"/>
      <c r="AA41" s="55"/>
    </row>
    <row r="42" spans="3:27" ht="12.95" customHeight="1" x14ac:dyDescent="0.25">
      <c r="P42" s="120"/>
      <c r="Q42" s="147"/>
      <c r="R42" s="121"/>
      <c r="S42" s="143"/>
      <c r="U42" s="1"/>
      <c r="V42" s="37"/>
      <c r="AA42" s="55"/>
    </row>
    <row r="43" spans="3:27" ht="15.75" x14ac:dyDescent="0.25">
      <c r="P43" s="120"/>
      <c r="Q43" s="147"/>
      <c r="R43" s="121"/>
      <c r="S43" s="143"/>
      <c r="U43" s="1"/>
      <c r="V43" s="37"/>
      <c r="AA43" s="55"/>
    </row>
    <row r="44" spans="3:27" ht="15.75" x14ac:dyDescent="0.25">
      <c r="P44" s="120"/>
      <c r="Q44" s="147"/>
      <c r="R44" s="121"/>
      <c r="S44" s="143"/>
      <c r="U44" s="1"/>
      <c r="V44" s="37"/>
      <c r="AA44" s="55"/>
    </row>
    <row r="45" spans="3:27" ht="26.25" x14ac:dyDescent="0.4">
      <c r="C45" s="29" t="s">
        <v>319</v>
      </c>
      <c r="P45" s="120"/>
      <c r="Q45" s="147"/>
      <c r="R45" s="121"/>
      <c r="S45" s="143"/>
      <c r="U45" s="1"/>
      <c r="V45" s="37"/>
      <c r="AA45" s="55"/>
    </row>
    <row r="46" spans="3:27" ht="15.75" x14ac:dyDescent="0.25">
      <c r="P46" s="120"/>
      <c r="Q46" s="147"/>
      <c r="R46" s="120"/>
      <c r="S46" s="143"/>
      <c r="U46" s="1"/>
      <c r="V46" s="37"/>
      <c r="AA46" s="55"/>
    </row>
    <row r="47" spans="3:27" ht="15.75" x14ac:dyDescent="0.25">
      <c r="P47" s="120"/>
      <c r="Q47" s="147"/>
      <c r="R47" s="120"/>
      <c r="S47" s="143"/>
      <c r="U47" s="1"/>
      <c r="V47" s="37"/>
      <c r="AA47" s="55"/>
    </row>
    <row r="48" spans="3:27" ht="21" x14ac:dyDescent="0.35">
      <c r="P48" s="138" t="str">
        <f t="shared" ref="P48:S51" si="0">P6</f>
        <v>R2</v>
      </c>
      <c r="Q48" s="150" t="str">
        <f t="shared" si="0"/>
        <v xml:space="preserve"> =</v>
      </c>
      <c r="R48" s="138">
        <f t="shared" si="0"/>
        <v>0.5</v>
      </c>
      <c r="S48" s="142" t="str">
        <f t="shared" si="0"/>
        <v>Ω</v>
      </c>
      <c r="U48" s="6" t="str">
        <f>U98</f>
        <v>I1 = I23 = I123</v>
      </c>
      <c r="V48" s="200" t="str">
        <f>V98</f>
        <v xml:space="preserve"> =</v>
      </c>
      <c r="W48" s="6">
        <f>W98</f>
        <v>0.77005347593582896</v>
      </c>
      <c r="X48" s="168" t="str">
        <f>X98</f>
        <v>A</v>
      </c>
      <c r="AA48" s="55"/>
    </row>
    <row r="49" spans="16:27" ht="21" x14ac:dyDescent="0.35">
      <c r="P49" s="138" t="str">
        <f t="shared" si="0"/>
        <v>R3</v>
      </c>
      <c r="Q49" s="150" t="str">
        <f t="shared" si="0"/>
        <v xml:space="preserve"> =</v>
      </c>
      <c r="R49" s="138">
        <f t="shared" si="0"/>
        <v>1</v>
      </c>
      <c r="S49" s="142" t="str">
        <f t="shared" si="0"/>
        <v>Ω</v>
      </c>
      <c r="U49" s="163" t="str">
        <f>U226</f>
        <v>U9 = U123456789 = U78 = U123456</v>
      </c>
      <c r="V49" s="201" t="str">
        <f>V226</f>
        <v xml:space="preserve"> =</v>
      </c>
      <c r="W49" s="163">
        <f>W226</f>
        <v>4.1069518716577544</v>
      </c>
      <c r="X49" s="169" t="str">
        <f>X226</f>
        <v>V</v>
      </c>
      <c r="AA49" s="55"/>
    </row>
    <row r="50" spans="16:27" ht="21" x14ac:dyDescent="0.35">
      <c r="P50" s="138" t="str">
        <f t="shared" si="0"/>
        <v>R4</v>
      </c>
      <c r="Q50" s="150" t="str">
        <f t="shared" si="0"/>
        <v xml:space="preserve"> =</v>
      </c>
      <c r="R50" s="138">
        <f t="shared" si="0"/>
        <v>1</v>
      </c>
      <c r="S50" s="142" t="str">
        <f t="shared" si="0"/>
        <v>Ω</v>
      </c>
      <c r="U50" s="1" t="str">
        <f>P5</f>
        <v>R1</v>
      </c>
      <c r="V50" s="37" t="str">
        <f>Q5</f>
        <v xml:space="preserve"> =</v>
      </c>
      <c r="W50" s="1">
        <f>R5</f>
        <v>0.5</v>
      </c>
      <c r="X50" t="str">
        <f>S5</f>
        <v>Ω</v>
      </c>
      <c r="AA50" s="55"/>
    </row>
    <row r="51" spans="16:27" ht="21" x14ac:dyDescent="0.35">
      <c r="P51" s="138" t="str">
        <f t="shared" si="0"/>
        <v>R5</v>
      </c>
      <c r="Q51" s="150" t="str">
        <f t="shared" si="0"/>
        <v xml:space="preserve"> =</v>
      </c>
      <c r="R51" s="138">
        <f t="shared" si="0"/>
        <v>2</v>
      </c>
      <c r="S51" s="142" t="str">
        <f t="shared" si="0"/>
        <v>Ω</v>
      </c>
      <c r="U51" s="1" t="str">
        <f>P59</f>
        <v>R23</v>
      </c>
      <c r="V51" s="37" t="str">
        <f>Q59</f>
        <v xml:space="preserve"> =</v>
      </c>
      <c r="W51" s="1">
        <f>R59</f>
        <v>0.33333333333333331</v>
      </c>
      <c r="X51" t="str">
        <f>S59</f>
        <v>Ω</v>
      </c>
      <c r="AA51" s="55"/>
    </row>
    <row r="52" spans="16:27" ht="21" x14ac:dyDescent="0.35">
      <c r="P52" s="138" t="str">
        <f t="shared" ref="P52:S53" si="1">P11</f>
        <v>R7</v>
      </c>
      <c r="Q52" s="150" t="str">
        <f t="shared" si="1"/>
        <v xml:space="preserve"> =</v>
      </c>
      <c r="R52" s="138">
        <f t="shared" si="1"/>
        <v>0.5</v>
      </c>
      <c r="S52" s="142" t="str">
        <f t="shared" si="1"/>
        <v>Ω</v>
      </c>
      <c r="U52" s="1" t="str">
        <f>P65</f>
        <v>R78</v>
      </c>
      <c r="V52" s="37" t="str">
        <f>Q65</f>
        <v xml:space="preserve"> =</v>
      </c>
      <c r="W52" s="1">
        <f>R65</f>
        <v>1</v>
      </c>
      <c r="X52" t="str">
        <f>S65</f>
        <v>Ω</v>
      </c>
      <c r="AA52" s="55"/>
    </row>
    <row r="53" spans="16:27" ht="21" x14ac:dyDescent="0.35">
      <c r="P53" s="138" t="str">
        <f t="shared" si="1"/>
        <v>R8</v>
      </c>
      <c r="Q53" s="150" t="str">
        <f t="shared" si="1"/>
        <v xml:space="preserve"> =</v>
      </c>
      <c r="R53" s="138">
        <f t="shared" si="1"/>
        <v>0.5</v>
      </c>
      <c r="S53" s="142" t="str">
        <f t="shared" si="1"/>
        <v>Ω</v>
      </c>
      <c r="U53" s="1" t="str">
        <f>P13</f>
        <v>R9</v>
      </c>
      <c r="V53" s="37" t="str">
        <f>Q13</f>
        <v xml:space="preserve"> =</v>
      </c>
      <c r="W53" s="1">
        <f>R13</f>
        <v>2</v>
      </c>
      <c r="X53" t="str">
        <f>S13</f>
        <v>Ω</v>
      </c>
      <c r="AA53" s="55"/>
    </row>
    <row r="54" spans="16:27" ht="15.75" x14ac:dyDescent="0.25">
      <c r="P54" s="120"/>
      <c r="Q54" s="147"/>
      <c r="R54" s="120"/>
      <c r="S54" s="143"/>
      <c r="U54" s="1"/>
      <c r="V54" s="37"/>
      <c r="AA54" s="55"/>
    </row>
    <row r="55" spans="16:27" ht="15.75" x14ac:dyDescent="0.25">
      <c r="P55" s="120"/>
      <c r="Q55" s="147"/>
      <c r="R55" s="120"/>
      <c r="S55" s="143"/>
      <c r="U55" s="1"/>
      <c r="V55" s="37"/>
      <c r="AA55" s="55"/>
    </row>
    <row r="56" spans="16:27" ht="15.75" x14ac:dyDescent="0.25">
      <c r="P56" s="120"/>
      <c r="Q56" s="147"/>
      <c r="R56" s="121"/>
      <c r="S56" s="143"/>
      <c r="U56" s="1"/>
      <c r="V56" s="37"/>
      <c r="AA56" s="55"/>
    </row>
    <row r="57" spans="16:27" ht="15.75" x14ac:dyDescent="0.25">
      <c r="P57" s="120"/>
      <c r="Q57" s="147"/>
      <c r="R57" s="121"/>
      <c r="S57" s="143"/>
      <c r="U57" s="1"/>
      <c r="V57" s="37"/>
      <c r="AA57" s="55"/>
    </row>
    <row r="58" spans="16:27" ht="31.5" x14ac:dyDescent="0.55000000000000004">
      <c r="P58" s="123" t="s">
        <v>339</v>
      </c>
      <c r="Q58" s="135" t="s">
        <v>328</v>
      </c>
      <c r="R58" s="124" t="s">
        <v>343</v>
      </c>
      <c r="S58" s="177"/>
      <c r="U58" s="160" t="s">
        <v>379</v>
      </c>
      <c r="V58" s="198" t="s">
        <v>328</v>
      </c>
      <c r="W58" s="162" t="s">
        <v>381</v>
      </c>
      <c r="X58" s="193"/>
      <c r="AA58" s="55"/>
    </row>
    <row r="59" spans="16:27" ht="31.5" x14ac:dyDescent="0.55000000000000004">
      <c r="P59" s="139" t="s">
        <v>339</v>
      </c>
      <c r="Q59" s="140" t="s">
        <v>328</v>
      </c>
      <c r="R59" s="141">
        <f>1/(1/R6+1/R7)</f>
        <v>0.33333333333333331</v>
      </c>
      <c r="S59" s="178" t="s">
        <v>317</v>
      </c>
      <c r="U59" s="165" t="s">
        <v>379</v>
      </c>
      <c r="V59" s="199" t="s">
        <v>328</v>
      </c>
      <c r="W59" s="166">
        <f>W48*W50</f>
        <v>0.38502673796791448</v>
      </c>
      <c r="X59" s="166" t="s">
        <v>316</v>
      </c>
      <c r="AA59" s="55"/>
    </row>
    <row r="60" spans="16:27" ht="15.75" x14ac:dyDescent="0.25">
      <c r="P60" s="120"/>
      <c r="Q60" s="147"/>
      <c r="R60" s="121"/>
      <c r="S60" s="143"/>
      <c r="U60" s="1"/>
      <c r="V60" s="37"/>
      <c r="AA60" s="55"/>
    </row>
    <row r="61" spans="16:27" ht="31.5" x14ac:dyDescent="0.55000000000000004">
      <c r="P61" s="123" t="s">
        <v>340</v>
      </c>
      <c r="Q61" s="135" t="s">
        <v>328</v>
      </c>
      <c r="R61" s="124" t="s">
        <v>344</v>
      </c>
      <c r="S61" s="177"/>
      <c r="U61" s="160" t="s">
        <v>380</v>
      </c>
      <c r="V61" s="198" t="s">
        <v>328</v>
      </c>
      <c r="W61" s="162" t="s">
        <v>382</v>
      </c>
      <c r="X61" s="193"/>
      <c r="AA61" s="55"/>
    </row>
    <row r="62" spans="16:27" ht="31.5" x14ac:dyDescent="0.55000000000000004">
      <c r="P62" s="139" t="s">
        <v>340</v>
      </c>
      <c r="Q62" s="140" t="s">
        <v>328</v>
      </c>
      <c r="R62" s="141">
        <f>1/(1/R8+1/R9)</f>
        <v>0.66666666666666663</v>
      </c>
      <c r="S62" s="178" t="s">
        <v>317</v>
      </c>
      <c r="U62" s="165" t="s">
        <v>404</v>
      </c>
      <c r="V62" s="199" t="s">
        <v>328</v>
      </c>
      <c r="W62" s="166">
        <f>W48*W51</f>
        <v>0.25668449197860965</v>
      </c>
      <c r="X62" s="166" t="s">
        <v>316</v>
      </c>
      <c r="AA62" s="55"/>
    </row>
    <row r="63" spans="16:27" ht="15.75" x14ac:dyDescent="0.25">
      <c r="P63" s="120"/>
      <c r="Q63" s="147"/>
      <c r="R63" s="121"/>
      <c r="S63" s="143"/>
      <c r="U63" s="1"/>
      <c r="V63" s="37"/>
      <c r="AA63" s="55"/>
    </row>
    <row r="64" spans="16:27" ht="30.75" x14ac:dyDescent="0.55000000000000004">
      <c r="P64" s="123" t="s">
        <v>341</v>
      </c>
      <c r="Q64" s="135" t="s">
        <v>328</v>
      </c>
      <c r="R64" s="124" t="s">
        <v>345</v>
      </c>
      <c r="S64" s="177"/>
      <c r="U64" s="127" t="s">
        <v>378</v>
      </c>
      <c r="V64" s="198" t="s">
        <v>328</v>
      </c>
      <c r="W64" s="149" t="s">
        <v>383</v>
      </c>
      <c r="X64" s="5"/>
      <c r="AA64" s="55"/>
    </row>
    <row r="65" spans="16:27" ht="30.75" x14ac:dyDescent="0.55000000000000004">
      <c r="P65" s="139" t="s">
        <v>341</v>
      </c>
      <c r="Q65" s="140" t="s">
        <v>328</v>
      </c>
      <c r="R65" s="141">
        <f>R11+R12</f>
        <v>1</v>
      </c>
      <c r="S65" s="178" t="s">
        <v>317</v>
      </c>
      <c r="U65" s="155" t="s">
        <v>378</v>
      </c>
      <c r="V65" s="199" t="s">
        <v>328</v>
      </c>
      <c r="W65" s="156">
        <f>W49/W53</f>
        <v>2.0534759358288772</v>
      </c>
      <c r="X65" s="156" t="s">
        <v>38</v>
      </c>
      <c r="AA65" s="55"/>
    </row>
    <row r="66" spans="16:27" ht="15.75" x14ac:dyDescent="0.25">
      <c r="P66" s="120"/>
      <c r="Q66" s="147"/>
      <c r="R66" s="121"/>
      <c r="S66" s="143"/>
      <c r="U66" s="1"/>
      <c r="V66" s="37"/>
      <c r="AA66" s="55"/>
    </row>
    <row r="67" spans="16:27" ht="30.75" x14ac:dyDescent="0.55000000000000004">
      <c r="P67" s="120"/>
      <c r="Q67" s="147"/>
      <c r="R67" s="121"/>
      <c r="S67" s="143"/>
      <c r="U67" s="127" t="s">
        <v>377</v>
      </c>
      <c r="V67" s="198" t="s">
        <v>328</v>
      </c>
      <c r="W67" s="149" t="s">
        <v>384</v>
      </c>
      <c r="X67" s="5"/>
      <c r="AA67" s="55"/>
    </row>
    <row r="68" spans="16:27" ht="30.75" x14ac:dyDescent="0.55000000000000004">
      <c r="P68" s="120"/>
      <c r="Q68" s="147"/>
      <c r="R68" s="121"/>
      <c r="S68" s="143"/>
      <c r="U68" s="155" t="s">
        <v>405</v>
      </c>
      <c r="V68" s="199" t="s">
        <v>328</v>
      </c>
      <c r="W68" s="156">
        <f>W49/W52</f>
        <v>4.1069518716577544</v>
      </c>
      <c r="X68" s="156" t="s">
        <v>38</v>
      </c>
      <c r="AA68" s="55"/>
    </row>
    <row r="69" spans="16:27" ht="15.75" x14ac:dyDescent="0.25">
      <c r="P69" s="120"/>
      <c r="Q69" s="147"/>
      <c r="R69" s="121"/>
      <c r="S69" s="143"/>
      <c r="U69" s="1"/>
      <c r="V69" s="37"/>
      <c r="AA69" s="55"/>
    </row>
    <row r="70" spans="16:27" ht="16.5" thickBot="1" x14ac:dyDescent="0.3">
      <c r="P70" s="120"/>
      <c r="Q70" s="147"/>
      <c r="R70" s="121"/>
      <c r="S70" s="143"/>
      <c r="U70" s="1"/>
      <c r="V70" s="37"/>
      <c r="AA70" s="55"/>
    </row>
    <row r="71" spans="16:27" ht="32.25" thickBot="1" x14ac:dyDescent="0.6">
      <c r="P71" s="120"/>
      <c r="Q71" s="147"/>
      <c r="R71" s="121"/>
      <c r="S71" s="143"/>
      <c r="U71" s="134" t="s">
        <v>400</v>
      </c>
      <c r="V71" s="202">
        <f>IF(W59+W62=W88,1,-1)</f>
        <v>1</v>
      </c>
      <c r="AA71" s="55"/>
    </row>
    <row r="72" spans="16:27" ht="16.5" thickBot="1" x14ac:dyDescent="0.3">
      <c r="P72" s="120"/>
      <c r="Q72" s="147"/>
      <c r="R72" s="121"/>
      <c r="S72" s="143"/>
      <c r="U72" s="1"/>
      <c r="V72" s="37"/>
      <c r="AA72" s="55"/>
    </row>
    <row r="73" spans="16:27" ht="31.5" thickBot="1" x14ac:dyDescent="0.6">
      <c r="P73" s="120"/>
      <c r="Q73" s="147"/>
      <c r="R73" s="121"/>
      <c r="S73" s="143"/>
      <c r="U73" s="130" t="s">
        <v>401</v>
      </c>
      <c r="V73" s="203">
        <f>IF(W65+W68=W180,1,-1)</f>
        <v>1</v>
      </c>
      <c r="AA73" s="55"/>
    </row>
    <row r="74" spans="16:27" ht="15.75" x14ac:dyDescent="0.25">
      <c r="P74" s="120"/>
      <c r="Q74" s="147"/>
      <c r="R74" s="121"/>
      <c r="S74" s="143"/>
      <c r="U74" s="1"/>
      <c r="V74" s="37"/>
      <c r="AA74" s="55"/>
    </row>
    <row r="75" spans="16:27" ht="15.75" x14ac:dyDescent="0.25">
      <c r="P75" s="120"/>
      <c r="Q75" s="147"/>
      <c r="R75" s="121"/>
      <c r="S75" s="143"/>
      <c r="U75" s="1"/>
      <c r="V75" s="37"/>
      <c r="AA75" s="55"/>
    </row>
    <row r="76" spans="16:27" ht="15.75" x14ac:dyDescent="0.25">
      <c r="P76" s="120"/>
      <c r="Q76" s="147"/>
      <c r="R76" s="121"/>
      <c r="S76" s="143"/>
      <c r="U76" s="1"/>
      <c r="V76" s="37"/>
      <c r="AA76" s="55"/>
    </row>
    <row r="77" spans="16:27" ht="15.75" x14ac:dyDescent="0.25">
      <c r="P77" s="120"/>
      <c r="Q77" s="147"/>
      <c r="R77" s="121"/>
      <c r="S77" s="143"/>
      <c r="U77" s="1"/>
      <c r="V77" s="37"/>
      <c r="AA77" s="55"/>
    </row>
    <row r="78" spans="16:27" ht="15.75" x14ac:dyDescent="0.25">
      <c r="P78" s="120"/>
      <c r="Q78" s="147"/>
      <c r="R78" s="121"/>
      <c r="S78" s="143"/>
      <c r="U78" s="1"/>
      <c r="V78" s="37"/>
      <c r="AA78" s="55"/>
    </row>
    <row r="79" spans="16:27" ht="3.6" customHeight="1" x14ac:dyDescent="0.25">
      <c r="P79" s="120"/>
      <c r="Q79" s="147"/>
      <c r="R79" s="121"/>
      <c r="S79" s="143"/>
      <c r="U79" s="1"/>
      <c r="V79" s="37"/>
      <c r="AA79" s="55"/>
    </row>
    <row r="80" spans="16:27" ht="3.6" customHeight="1" x14ac:dyDescent="0.25">
      <c r="P80" s="120"/>
      <c r="Q80" s="147"/>
      <c r="R80" s="121"/>
      <c r="S80" s="143"/>
      <c r="U80" s="1"/>
      <c r="V80" s="37"/>
      <c r="AA80" s="55"/>
    </row>
    <row r="81" spans="3:27" ht="3.6" customHeight="1" x14ac:dyDescent="0.25">
      <c r="P81" s="120"/>
      <c r="Q81" s="147"/>
      <c r="R81" s="121"/>
      <c r="S81" s="143"/>
      <c r="U81" s="1"/>
      <c r="V81" s="37"/>
      <c r="AA81" s="55"/>
    </row>
    <row r="82" spans="3:27" ht="3.6" customHeight="1" x14ac:dyDescent="0.25">
      <c r="P82" s="120"/>
      <c r="Q82" s="147"/>
      <c r="R82" s="121"/>
      <c r="S82" s="143"/>
      <c r="U82" s="1"/>
      <c r="V82" s="37"/>
      <c r="AA82" s="55"/>
    </row>
    <row r="83" spans="3:27" ht="3.6" customHeight="1" x14ac:dyDescent="0.25">
      <c r="P83" s="120"/>
      <c r="Q83" s="147"/>
      <c r="R83" s="121"/>
      <c r="S83" s="143"/>
      <c r="U83" s="1"/>
      <c r="V83" s="37"/>
      <c r="AA83" s="55"/>
    </row>
    <row r="84" spans="3:27" ht="15.75" x14ac:dyDescent="0.25">
      <c r="P84" s="120"/>
      <c r="Q84" s="147"/>
      <c r="R84" s="121"/>
      <c r="S84" s="143"/>
      <c r="U84" s="1"/>
      <c r="V84" s="37"/>
      <c r="AA84" s="55"/>
    </row>
    <row r="85" spans="3:27" ht="15.75" x14ac:dyDescent="0.25">
      <c r="P85" s="120"/>
      <c r="Q85" s="147"/>
      <c r="R85" s="121"/>
      <c r="S85" s="143"/>
      <c r="U85" s="1"/>
      <c r="V85" s="37"/>
      <c r="AA85" s="55"/>
    </row>
    <row r="86" spans="3:27" ht="15.75" x14ac:dyDescent="0.25">
      <c r="P86" s="120"/>
      <c r="Q86" s="147"/>
      <c r="R86" s="121"/>
      <c r="S86" s="143"/>
      <c r="U86" s="1"/>
      <c r="V86" s="37"/>
      <c r="AA86" s="55"/>
    </row>
    <row r="87" spans="3:27" ht="15.75" x14ac:dyDescent="0.25">
      <c r="P87" s="120"/>
      <c r="Q87" s="147"/>
      <c r="R87" s="121"/>
      <c r="S87" s="143"/>
      <c r="U87" s="1"/>
      <c r="V87" s="37"/>
      <c r="AA87" s="55"/>
    </row>
    <row r="88" spans="3:27" ht="26.25" x14ac:dyDescent="0.4">
      <c r="C88" s="29" t="s">
        <v>324</v>
      </c>
      <c r="P88" s="120" t="str">
        <f>P5</f>
        <v>R1</v>
      </c>
      <c r="Q88" s="147" t="str">
        <f>Q5</f>
        <v xml:space="preserve"> =</v>
      </c>
      <c r="R88" s="120">
        <f>R5</f>
        <v>0.5</v>
      </c>
      <c r="S88" s="143" t="str">
        <f>S5</f>
        <v>Ω</v>
      </c>
      <c r="U88" s="163" t="str">
        <f>U141</f>
        <v>U4 = U5 = U123 = U12345</v>
      </c>
      <c r="V88" s="201" t="str">
        <f>V141</f>
        <v xml:space="preserve"> =</v>
      </c>
      <c r="W88" s="163">
        <f>W141</f>
        <v>0.64171122994652408</v>
      </c>
      <c r="X88" s="169" t="str">
        <f>X141</f>
        <v>V</v>
      </c>
      <c r="AA88" s="55"/>
    </row>
    <row r="89" spans="3:27" ht="15.75" x14ac:dyDescent="0.25">
      <c r="P89" s="120" t="str">
        <f>P13</f>
        <v>R9</v>
      </c>
      <c r="Q89" s="147" t="str">
        <f>Q13</f>
        <v xml:space="preserve"> =</v>
      </c>
      <c r="R89" s="120">
        <f>R13</f>
        <v>2</v>
      </c>
      <c r="S89" s="143" t="str">
        <f>S13</f>
        <v>Ω</v>
      </c>
      <c r="U89" s="1" t="str">
        <f>P98</f>
        <v>R123</v>
      </c>
      <c r="V89" s="37" t="str">
        <f>Q98</f>
        <v xml:space="preserve"> =</v>
      </c>
      <c r="W89" s="1">
        <f>R98</f>
        <v>0.83333333333333326</v>
      </c>
      <c r="X89" t="str">
        <f>S98</f>
        <v>Ω</v>
      </c>
      <c r="AA89" s="55"/>
    </row>
    <row r="90" spans="3:27" ht="15.75" x14ac:dyDescent="0.25">
      <c r="P90" s="120" t="str">
        <f>P59</f>
        <v>R23</v>
      </c>
      <c r="Q90" s="147" t="str">
        <f>Q59</f>
        <v xml:space="preserve"> =</v>
      </c>
      <c r="R90" s="120">
        <f>R59</f>
        <v>0.33333333333333331</v>
      </c>
      <c r="S90" s="143" t="str">
        <f>S59</f>
        <v>Ω</v>
      </c>
      <c r="U90" s="1" t="str">
        <f>P135</f>
        <v>R45</v>
      </c>
      <c r="V90" s="37" t="str">
        <f>Q135</f>
        <v xml:space="preserve"> =</v>
      </c>
      <c r="W90" s="1">
        <f>R135</f>
        <v>0.66666666666666663</v>
      </c>
      <c r="X90" t="str">
        <f>S135</f>
        <v>Ω</v>
      </c>
      <c r="AA90" s="55"/>
    </row>
    <row r="91" spans="3:27" ht="15.75" x14ac:dyDescent="0.25">
      <c r="P91" s="120" t="str">
        <f>P65</f>
        <v>R78</v>
      </c>
      <c r="Q91" s="147" t="str">
        <f>Q65</f>
        <v xml:space="preserve"> =</v>
      </c>
      <c r="R91" s="120">
        <f>R65</f>
        <v>1</v>
      </c>
      <c r="S91" s="143" t="str">
        <f>S65</f>
        <v>Ω</v>
      </c>
      <c r="U91" s="1"/>
      <c r="V91" s="37"/>
      <c r="AA91" s="55"/>
    </row>
    <row r="92" spans="3:27" ht="15.75" x14ac:dyDescent="0.25">
      <c r="P92" s="120"/>
      <c r="Q92" s="147"/>
      <c r="R92" s="121"/>
      <c r="S92" s="143"/>
      <c r="U92" s="1"/>
      <c r="V92" s="37"/>
      <c r="AA92" s="55"/>
    </row>
    <row r="93" spans="3:27" ht="15.75" x14ac:dyDescent="0.25">
      <c r="P93" s="120"/>
      <c r="Q93" s="147"/>
      <c r="R93" s="121"/>
      <c r="S93" s="143"/>
      <c r="U93" s="1"/>
      <c r="V93" s="37"/>
      <c r="AA93" s="55"/>
    </row>
    <row r="94" spans="3:27" ht="15.75" x14ac:dyDescent="0.25">
      <c r="P94" s="120"/>
      <c r="Q94" s="147"/>
      <c r="R94" s="121"/>
      <c r="S94" s="143"/>
      <c r="U94" s="1"/>
      <c r="V94" s="37"/>
      <c r="AA94" s="55"/>
    </row>
    <row r="95" spans="3:27" ht="15.75" x14ac:dyDescent="0.25">
      <c r="P95" s="120"/>
      <c r="Q95" s="147"/>
      <c r="R95" s="121"/>
      <c r="S95" s="143"/>
      <c r="U95" s="1"/>
      <c r="V95" s="37"/>
      <c r="AA95" s="55"/>
    </row>
    <row r="96" spans="3:27" ht="15.75" x14ac:dyDescent="0.25">
      <c r="P96" s="120"/>
      <c r="Q96" s="147"/>
      <c r="R96" s="121"/>
      <c r="S96" s="143"/>
      <c r="U96" s="1"/>
      <c r="V96" s="37"/>
      <c r="AA96" s="55"/>
    </row>
    <row r="97" spans="16:27" ht="30.75" x14ac:dyDescent="0.55000000000000004">
      <c r="P97" s="123" t="s">
        <v>342</v>
      </c>
      <c r="Q97" s="135" t="s">
        <v>328</v>
      </c>
      <c r="R97" s="124" t="s">
        <v>346</v>
      </c>
      <c r="S97" s="177"/>
      <c r="U97" s="127" t="s">
        <v>373</v>
      </c>
      <c r="V97" s="198" t="s">
        <v>328</v>
      </c>
      <c r="W97" s="149" t="s">
        <v>374</v>
      </c>
      <c r="X97" s="5"/>
      <c r="AA97" s="55"/>
    </row>
    <row r="98" spans="16:27" ht="30.75" x14ac:dyDescent="0.55000000000000004">
      <c r="P98" s="139" t="s">
        <v>342</v>
      </c>
      <c r="Q98" s="140" t="s">
        <v>328</v>
      </c>
      <c r="R98" s="141">
        <f>R90+R88</f>
        <v>0.83333333333333326</v>
      </c>
      <c r="S98" s="178" t="s">
        <v>317</v>
      </c>
      <c r="U98" s="155" t="s">
        <v>408</v>
      </c>
      <c r="V98" s="199" t="s">
        <v>328</v>
      </c>
      <c r="W98" s="156">
        <f>W88/W89</f>
        <v>0.77005347593582896</v>
      </c>
      <c r="X98" s="156" t="s">
        <v>38</v>
      </c>
      <c r="AA98" s="55"/>
    </row>
    <row r="99" spans="16:27" ht="15.75" x14ac:dyDescent="0.25">
      <c r="P99" s="120"/>
      <c r="Q99" s="147"/>
      <c r="R99" s="121"/>
      <c r="S99" s="143"/>
      <c r="U99" s="1"/>
      <c r="V99" s="37"/>
      <c r="AA99" s="55"/>
    </row>
    <row r="100" spans="16:27" ht="30.75" x14ac:dyDescent="0.55000000000000004">
      <c r="P100" s="123" t="s">
        <v>347</v>
      </c>
      <c r="Q100" s="135" t="s">
        <v>328</v>
      </c>
      <c r="R100" s="124" t="s">
        <v>348</v>
      </c>
      <c r="S100" s="177"/>
      <c r="U100" s="127" t="s">
        <v>375</v>
      </c>
      <c r="V100" s="198" t="s">
        <v>328</v>
      </c>
      <c r="W100" s="149" t="s">
        <v>376</v>
      </c>
      <c r="X100" s="5"/>
      <c r="AA100" s="55"/>
    </row>
    <row r="101" spans="16:27" ht="30.75" x14ac:dyDescent="0.55000000000000004">
      <c r="P101" s="139" t="s">
        <v>347</v>
      </c>
      <c r="Q101" s="140" t="s">
        <v>328</v>
      </c>
      <c r="R101" s="141">
        <f>1/(1/R89+1/R91)</f>
        <v>0.66666666666666663</v>
      </c>
      <c r="S101" s="178" t="s">
        <v>317</v>
      </c>
      <c r="U101" s="155" t="s">
        <v>375</v>
      </c>
      <c r="V101" s="199" t="s">
        <v>328</v>
      </c>
      <c r="W101" s="156">
        <f>W88/W90</f>
        <v>0.96256684491978617</v>
      </c>
      <c r="X101" s="156" t="s">
        <v>38</v>
      </c>
      <c r="AA101" s="55"/>
    </row>
    <row r="102" spans="16:27" ht="15.75" x14ac:dyDescent="0.25">
      <c r="P102" s="120"/>
      <c r="Q102" s="147"/>
      <c r="R102" s="121"/>
      <c r="S102" s="143"/>
      <c r="U102" s="1"/>
      <c r="V102" s="37"/>
      <c r="AA102" s="55"/>
    </row>
    <row r="103" spans="16:27" ht="16.5" thickBot="1" x14ac:dyDescent="0.3">
      <c r="P103" s="120"/>
      <c r="Q103" s="147"/>
      <c r="R103" s="121"/>
      <c r="S103" s="143"/>
      <c r="U103" s="1"/>
      <c r="V103" s="37"/>
      <c r="AA103" s="55"/>
    </row>
    <row r="104" spans="16:27" ht="31.5" thickBot="1" x14ac:dyDescent="0.6">
      <c r="P104" s="120"/>
      <c r="Q104" s="147"/>
      <c r="R104" s="121"/>
      <c r="S104" s="143"/>
      <c r="U104" s="130" t="s">
        <v>399</v>
      </c>
      <c r="V104" s="203">
        <f>IF(W98+W101=W137,1,-1)</f>
        <v>1</v>
      </c>
      <c r="AA104" s="55"/>
    </row>
    <row r="105" spans="16:27" ht="15.75" x14ac:dyDescent="0.25">
      <c r="P105" s="120"/>
      <c r="Q105" s="147"/>
      <c r="R105" s="121"/>
      <c r="S105" s="143"/>
      <c r="U105" s="1"/>
      <c r="V105" s="37"/>
      <c r="AA105" s="55"/>
    </row>
    <row r="106" spans="16:27" ht="15.75" x14ac:dyDescent="0.25">
      <c r="P106" s="120"/>
      <c r="Q106" s="147"/>
      <c r="R106" s="121"/>
      <c r="S106" s="143"/>
      <c r="U106" s="1"/>
      <c r="V106" s="37"/>
      <c r="AA106" s="55"/>
    </row>
    <row r="107" spans="16:27" ht="15.75" x14ac:dyDescent="0.25">
      <c r="P107" s="120"/>
      <c r="Q107" s="147"/>
      <c r="R107" s="121"/>
      <c r="S107" s="143"/>
      <c r="U107" s="1"/>
      <c r="V107" s="37"/>
      <c r="AA107" s="55"/>
    </row>
    <row r="108" spans="16:27" ht="15.75" x14ac:dyDescent="0.25">
      <c r="P108" s="120"/>
      <c r="Q108" s="147"/>
      <c r="R108" s="121"/>
      <c r="S108" s="143"/>
      <c r="U108" s="1"/>
      <c r="V108" s="37"/>
      <c r="AA108" s="55"/>
    </row>
    <row r="109" spans="16:27" ht="15.75" x14ac:dyDescent="0.25">
      <c r="P109" s="120"/>
      <c r="Q109" s="147"/>
      <c r="R109" s="121"/>
      <c r="S109" s="143"/>
      <c r="U109" s="1"/>
      <c r="V109" s="37"/>
      <c r="AA109" s="55"/>
    </row>
    <row r="110" spans="16:27" ht="15.75" x14ac:dyDescent="0.25">
      <c r="P110" s="120"/>
      <c r="Q110" s="147"/>
      <c r="R110" s="121"/>
      <c r="S110" s="143"/>
      <c r="U110" s="1"/>
      <c r="V110" s="37"/>
      <c r="AA110" s="55"/>
    </row>
    <row r="111" spans="16:27" ht="15.75" x14ac:dyDescent="0.25">
      <c r="P111" s="120"/>
      <c r="Q111" s="147"/>
      <c r="R111" s="121"/>
      <c r="S111" s="143"/>
      <c r="U111" s="1"/>
      <c r="V111" s="37"/>
      <c r="AA111" s="55"/>
    </row>
    <row r="112" spans="16:27" ht="15.75" x14ac:dyDescent="0.25">
      <c r="P112" s="120"/>
      <c r="Q112" s="147"/>
      <c r="R112" s="121"/>
      <c r="S112" s="143"/>
      <c r="U112" s="1"/>
      <c r="V112" s="37"/>
      <c r="AA112" s="55"/>
    </row>
    <row r="113" spans="16:27" ht="15.75" x14ac:dyDescent="0.25">
      <c r="P113" s="120"/>
      <c r="Q113" s="147"/>
      <c r="R113" s="121"/>
      <c r="S113" s="143"/>
      <c r="U113" s="1"/>
      <c r="V113" s="37"/>
      <c r="AA113" s="55"/>
    </row>
    <row r="114" spans="16:27" ht="3.6" customHeight="1" x14ac:dyDescent="0.25">
      <c r="P114" s="120"/>
      <c r="Q114" s="147"/>
      <c r="R114" s="121"/>
      <c r="S114" s="143"/>
      <c r="U114" s="1"/>
      <c r="V114" s="37"/>
      <c r="AA114" s="55"/>
    </row>
    <row r="115" spans="16:27" ht="3.6" customHeight="1" x14ac:dyDescent="0.25">
      <c r="P115" s="120"/>
      <c r="Q115" s="147"/>
      <c r="R115" s="121"/>
      <c r="S115" s="143"/>
      <c r="U115" s="1"/>
      <c r="V115" s="37"/>
      <c r="AA115" s="55"/>
    </row>
    <row r="116" spans="16:27" ht="3.6" customHeight="1" x14ac:dyDescent="0.25">
      <c r="P116" s="120"/>
      <c r="Q116" s="147"/>
      <c r="R116" s="121"/>
      <c r="S116" s="143"/>
      <c r="U116" s="1"/>
      <c r="V116" s="37"/>
      <c r="AA116" s="55"/>
    </row>
    <row r="117" spans="16:27" ht="3.6" customHeight="1" x14ac:dyDescent="0.25">
      <c r="P117" s="120"/>
      <c r="Q117" s="147"/>
      <c r="R117" s="121"/>
      <c r="S117" s="143"/>
      <c r="U117" s="1"/>
      <c r="V117" s="37"/>
      <c r="AA117" s="55"/>
    </row>
    <row r="118" spans="16:27" ht="3.6" customHeight="1" x14ac:dyDescent="0.25">
      <c r="P118" s="120"/>
      <c r="Q118" s="147"/>
      <c r="R118" s="121"/>
      <c r="S118" s="143"/>
      <c r="U118" s="1"/>
      <c r="V118" s="37"/>
      <c r="AA118" s="55"/>
    </row>
    <row r="119" spans="16:27" ht="3.6" customHeight="1" x14ac:dyDescent="0.25">
      <c r="P119" s="120"/>
      <c r="Q119" s="147"/>
      <c r="R119" s="121"/>
      <c r="S119" s="143"/>
      <c r="U119" s="1"/>
      <c r="V119" s="37"/>
      <c r="AA119" s="55"/>
    </row>
    <row r="120" spans="16:27" ht="3.6" customHeight="1" x14ac:dyDescent="0.25">
      <c r="P120" s="120"/>
      <c r="Q120" s="147"/>
      <c r="R120" s="121"/>
      <c r="S120" s="143"/>
      <c r="U120" s="1"/>
      <c r="V120" s="37"/>
      <c r="AA120" s="55"/>
    </row>
    <row r="121" spans="16:27" ht="3.6" customHeight="1" x14ac:dyDescent="0.25">
      <c r="P121" s="120"/>
      <c r="Q121" s="147"/>
      <c r="R121" s="121"/>
      <c r="S121" s="143"/>
      <c r="U121" s="1"/>
      <c r="V121" s="37"/>
      <c r="AA121" s="55"/>
    </row>
    <row r="122" spans="16:27" ht="3.6" customHeight="1" x14ac:dyDescent="0.25">
      <c r="P122" s="120"/>
      <c r="Q122" s="147"/>
      <c r="R122" s="121"/>
      <c r="S122" s="143"/>
      <c r="U122" s="1"/>
      <c r="V122" s="37"/>
      <c r="AA122" s="55"/>
    </row>
    <row r="123" spans="16:27" ht="3.6" customHeight="1" x14ac:dyDescent="0.25">
      <c r="P123" s="120"/>
      <c r="Q123" s="147"/>
      <c r="R123" s="121"/>
      <c r="S123" s="143"/>
      <c r="U123" s="1"/>
      <c r="V123" s="37"/>
      <c r="AA123" s="55"/>
    </row>
    <row r="124" spans="16:27" ht="3.6" customHeight="1" x14ac:dyDescent="0.25">
      <c r="P124" s="120"/>
      <c r="Q124" s="147"/>
      <c r="R124" s="121"/>
      <c r="S124" s="143"/>
      <c r="U124" s="1"/>
      <c r="V124" s="37"/>
      <c r="AA124" s="55"/>
    </row>
    <row r="125" spans="16:27" ht="3.6" customHeight="1" x14ac:dyDescent="0.25">
      <c r="P125" s="120"/>
      <c r="Q125" s="147"/>
      <c r="R125" s="121"/>
      <c r="S125" s="143"/>
      <c r="U125" s="1"/>
      <c r="V125" s="37"/>
      <c r="AA125" s="55"/>
    </row>
    <row r="126" spans="16:27" ht="3.6" customHeight="1" x14ac:dyDescent="0.25">
      <c r="P126" s="120"/>
      <c r="Q126" s="147"/>
      <c r="R126" s="121"/>
      <c r="S126" s="143"/>
      <c r="U126" s="1"/>
      <c r="V126" s="37"/>
      <c r="AA126" s="55"/>
    </row>
    <row r="127" spans="16:27" ht="3.6" customHeight="1" x14ac:dyDescent="0.25">
      <c r="P127" s="120"/>
      <c r="Q127" s="147"/>
      <c r="R127" s="121"/>
      <c r="S127" s="143"/>
      <c r="U127" s="1"/>
      <c r="V127" s="37"/>
      <c r="AA127" s="55"/>
    </row>
    <row r="128" spans="16:27" ht="15.75" x14ac:dyDescent="0.25">
      <c r="P128" s="120"/>
      <c r="Q128" s="147"/>
      <c r="R128" s="121"/>
      <c r="S128" s="143"/>
      <c r="U128" s="1"/>
      <c r="V128" s="37"/>
      <c r="AA128" s="55"/>
    </row>
    <row r="129" spans="3:27" ht="15.75" x14ac:dyDescent="0.25">
      <c r="P129" s="120"/>
      <c r="Q129" s="147"/>
      <c r="R129" s="121"/>
      <c r="S129" s="143"/>
      <c r="U129" s="1"/>
      <c r="V129" s="37"/>
      <c r="AA129" s="55"/>
    </row>
    <row r="130" spans="3:27" ht="26.25" x14ac:dyDescent="0.4">
      <c r="C130" s="29" t="s">
        <v>323</v>
      </c>
      <c r="P130" s="120"/>
      <c r="Q130" s="147"/>
      <c r="R130" s="121"/>
      <c r="S130" s="143"/>
      <c r="U130" s="1"/>
      <c r="V130" s="37"/>
      <c r="AA130" s="55"/>
    </row>
    <row r="131" spans="3:27" ht="15.75" x14ac:dyDescent="0.25">
      <c r="P131" s="120"/>
      <c r="Q131" s="147"/>
      <c r="R131" s="121"/>
      <c r="S131" s="143"/>
      <c r="U131" s="1"/>
      <c r="V131" s="37"/>
      <c r="AA131" s="55"/>
    </row>
    <row r="132" spans="3:27" ht="15.75" x14ac:dyDescent="0.25">
      <c r="P132" s="120"/>
      <c r="Q132" s="147"/>
      <c r="R132" s="121"/>
      <c r="S132" s="143"/>
      <c r="U132" s="1"/>
      <c r="V132" s="37"/>
      <c r="AA132" s="55"/>
    </row>
    <row r="133" spans="3:27" ht="15.75" x14ac:dyDescent="0.25">
      <c r="P133" s="120"/>
      <c r="Q133" s="147"/>
      <c r="R133" s="121"/>
      <c r="S133" s="143"/>
      <c r="U133" s="1"/>
      <c r="V133" s="37"/>
      <c r="AA133" s="55"/>
    </row>
    <row r="134" spans="3:27" ht="28.5" x14ac:dyDescent="0.45">
      <c r="P134" s="120"/>
      <c r="Q134" s="147"/>
      <c r="R134" s="121"/>
      <c r="S134" s="143"/>
      <c r="T134" s="132"/>
      <c r="U134" s="1"/>
      <c r="V134" s="37"/>
      <c r="AA134" s="55"/>
    </row>
    <row r="135" spans="3:27" ht="28.5" x14ac:dyDescent="0.45">
      <c r="P135" s="120" t="str">
        <f>P62</f>
        <v>R45</v>
      </c>
      <c r="Q135" s="147" t="str">
        <f>Q62</f>
        <v xml:space="preserve"> =</v>
      </c>
      <c r="R135" s="120">
        <f>R62</f>
        <v>0.66666666666666663</v>
      </c>
      <c r="S135" s="143" t="str">
        <f>S62</f>
        <v>Ω</v>
      </c>
      <c r="T135" s="132"/>
      <c r="U135" s="1" t="str">
        <f>P141</f>
        <v>R12345</v>
      </c>
      <c r="V135" s="37" t="str">
        <f>Q141</f>
        <v xml:space="preserve"> =</v>
      </c>
      <c r="W135" s="1">
        <f>R141</f>
        <v>0.37037037037037035</v>
      </c>
      <c r="X135" t="str">
        <f>S141</f>
        <v>Ω</v>
      </c>
      <c r="AA135" s="55"/>
    </row>
    <row r="136" spans="3:27" ht="28.5" x14ac:dyDescent="0.45">
      <c r="P136" s="120" t="str">
        <f>P98</f>
        <v>R123</v>
      </c>
      <c r="Q136" s="147" t="str">
        <f>Q98</f>
        <v xml:space="preserve"> =</v>
      </c>
      <c r="R136" s="120">
        <f>R98</f>
        <v>0.83333333333333326</v>
      </c>
      <c r="S136" s="143" t="str">
        <f>S98</f>
        <v>Ω</v>
      </c>
      <c r="T136" s="132"/>
      <c r="U136" s="1" t="str">
        <f>P172</f>
        <v>R6</v>
      </c>
      <c r="V136" s="37" t="str">
        <f>Q172</f>
        <v xml:space="preserve"> =</v>
      </c>
      <c r="W136" s="1">
        <f>R172</f>
        <v>2</v>
      </c>
      <c r="X136" t="str">
        <f>S172</f>
        <v>Ω</v>
      </c>
      <c r="AA136" s="55"/>
    </row>
    <row r="137" spans="3:27" ht="28.5" x14ac:dyDescent="0.45">
      <c r="P137" s="133"/>
      <c r="Q137" s="148"/>
      <c r="R137" s="132"/>
      <c r="S137" s="167"/>
      <c r="T137" s="132"/>
      <c r="U137" s="6" t="str">
        <f>U183</f>
        <v>I6 = I12345 = I123456</v>
      </c>
      <c r="V137" s="200" t="str">
        <f>V183</f>
        <v xml:space="preserve"> =</v>
      </c>
      <c r="W137" s="6">
        <f>W183</f>
        <v>1.7326203208556152</v>
      </c>
      <c r="X137" s="168" t="str">
        <f>X183</f>
        <v>A</v>
      </c>
      <c r="AA137" s="55"/>
    </row>
    <row r="138" spans="3:27" ht="15.75" x14ac:dyDescent="0.25">
      <c r="P138" s="120"/>
      <c r="Q138" s="147"/>
      <c r="R138" s="121"/>
      <c r="S138" s="143"/>
      <c r="U138" s="1"/>
      <c r="V138" s="37"/>
      <c r="AA138" s="55"/>
    </row>
    <row r="139" spans="3:27" ht="15.75" x14ac:dyDescent="0.25">
      <c r="P139" s="120"/>
      <c r="Q139" s="147"/>
      <c r="R139" s="121"/>
      <c r="S139" s="143"/>
      <c r="U139" s="1"/>
      <c r="V139" s="37"/>
      <c r="AA139" s="55"/>
    </row>
    <row r="140" spans="3:27" ht="31.5" x14ac:dyDescent="0.55000000000000004">
      <c r="P140" s="131" t="s">
        <v>349</v>
      </c>
      <c r="Q140" s="135" t="s">
        <v>328</v>
      </c>
      <c r="R140" s="124" t="s">
        <v>350</v>
      </c>
      <c r="S140" s="179"/>
      <c r="U140" s="160" t="s">
        <v>370</v>
      </c>
      <c r="V140" s="198" t="s">
        <v>328</v>
      </c>
      <c r="W140" s="162" t="s">
        <v>364</v>
      </c>
      <c r="X140" s="193"/>
      <c r="AA140" s="55"/>
    </row>
    <row r="141" spans="3:27" ht="31.5" x14ac:dyDescent="0.55000000000000004">
      <c r="P141" s="144" t="s">
        <v>349</v>
      </c>
      <c r="Q141" s="140" t="s">
        <v>328</v>
      </c>
      <c r="R141" s="145">
        <f>1/(1/R135+1/R136)</f>
        <v>0.37037037037037035</v>
      </c>
      <c r="S141" s="180" t="s">
        <v>317</v>
      </c>
      <c r="U141" s="165" t="s">
        <v>403</v>
      </c>
      <c r="V141" s="199" t="s">
        <v>328</v>
      </c>
      <c r="W141" s="166">
        <f>W137*W135</f>
        <v>0.64171122994652408</v>
      </c>
      <c r="X141" s="166" t="s">
        <v>316</v>
      </c>
      <c r="AA141" s="55"/>
    </row>
    <row r="142" spans="3:27" ht="15.75" x14ac:dyDescent="0.25">
      <c r="P142" s="120"/>
      <c r="Q142" s="147"/>
      <c r="R142" s="121"/>
      <c r="S142" s="143"/>
      <c r="U142" s="1"/>
      <c r="V142" s="37"/>
      <c r="AA142" s="55"/>
    </row>
    <row r="143" spans="3:27" ht="31.5" x14ac:dyDescent="0.55000000000000004">
      <c r="P143" s="120"/>
      <c r="Q143" s="147"/>
      <c r="R143" s="121"/>
      <c r="S143" s="143"/>
      <c r="U143" s="160" t="s">
        <v>371</v>
      </c>
      <c r="V143" s="198" t="s">
        <v>328</v>
      </c>
      <c r="W143" s="162" t="s">
        <v>366</v>
      </c>
      <c r="X143" s="193"/>
      <c r="AA143" s="55"/>
    </row>
    <row r="144" spans="3:27" ht="31.5" x14ac:dyDescent="0.55000000000000004">
      <c r="P144" s="120"/>
      <c r="Q144" s="147"/>
      <c r="R144" s="121"/>
      <c r="S144" s="143"/>
      <c r="U144" s="165" t="s">
        <v>371</v>
      </c>
      <c r="V144" s="199" t="s">
        <v>328</v>
      </c>
      <c r="W144" s="166">
        <f>W137*W136</f>
        <v>3.4652406417112305</v>
      </c>
      <c r="X144" s="166" t="s">
        <v>316</v>
      </c>
      <c r="AA144" s="55"/>
    </row>
    <row r="145" spans="16:27" ht="29.25" thickBot="1" x14ac:dyDescent="0.5">
      <c r="P145" s="120"/>
      <c r="Q145" s="147"/>
      <c r="R145" s="121"/>
      <c r="S145" s="143"/>
      <c r="U145" s="1"/>
      <c r="V145" s="37"/>
      <c r="W145" s="153"/>
      <c r="X145" s="132"/>
      <c r="AA145" s="55"/>
    </row>
    <row r="146" spans="16:27" ht="32.25" thickBot="1" x14ac:dyDescent="0.6">
      <c r="P146" s="120"/>
      <c r="Q146" s="147"/>
      <c r="R146" s="121"/>
      <c r="S146" s="143"/>
      <c r="U146" s="134" t="s">
        <v>372</v>
      </c>
      <c r="V146" s="202">
        <f>IF(W144+W141=W172,1,-1)</f>
        <v>1</v>
      </c>
      <c r="AA146" s="55"/>
    </row>
    <row r="147" spans="16:27" ht="15.75" x14ac:dyDescent="0.25">
      <c r="P147" s="120"/>
      <c r="Q147" s="147"/>
      <c r="R147" s="121"/>
      <c r="S147" s="143"/>
      <c r="U147" s="1"/>
      <c r="V147" s="37"/>
      <c r="AA147" s="55"/>
    </row>
    <row r="148" spans="16:27" ht="15.75" x14ac:dyDescent="0.25">
      <c r="P148" s="120"/>
      <c r="Q148" s="147"/>
      <c r="R148" s="121"/>
      <c r="S148" s="143"/>
      <c r="U148" s="1"/>
      <c r="V148" s="37"/>
      <c r="AA148" s="55"/>
    </row>
    <row r="149" spans="16:27" ht="15.75" x14ac:dyDescent="0.25">
      <c r="P149" s="120"/>
      <c r="Q149" s="147"/>
      <c r="R149" s="121"/>
      <c r="S149" s="143"/>
      <c r="U149" s="1"/>
      <c r="V149" s="37"/>
      <c r="AA149" s="55"/>
    </row>
    <row r="150" spans="16:27" ht="15.75" x14ac:dyDescent="0.25">
      <c r="P150" s="120"/>
      <c r="Q150" s="147"/>
      <c r="R150" s="121"/>
      <c r="S150" s="143"/>
      <c r="U150" s="1"/>
      <c r="V150" s="37"/>
      <c r="AA150" s="55"/>
    </row>
    <row r="151" spans="16:27" ht="15.75" x14ac:dyDescent="0.25">
      <c r="P151" s="120"/>
      <c r="Q151" s="147"/>
      <c r="R151" s="121"/>
      <c r="S151" s="143"/>
      <c r="U151" s="1"/>
      <c r="V151" s="37"/>
      <c r="AA151" s="55"/>
    </row>
    <row r="152" spans="16:27" ht="15.75" x14ac:dyDescent="0.25">
      <c r="P152" s="120"/>
      <c r="Q152" s="147"/>
      <c r="R152" s="121"/>
      <c r="S152" s="143"/>
      <c r="U152" s="1"/>
      <c r="V152" s="37"/>
      <c r="AA152" s="55"/>
    </row>
    <row r="153" spans="16:27" ht="15.75" x14ac:dyDescent="0.25">
      <c r="P153" s="120"/>
      <c r="Q153" s="147"/>
      <c r="R153" s="121"/>
      <c r="S153" s="143"/>
      <c r="U153" s="1"/>
      <c r="V153" s="37"/>
      <c r="AA153" s="55"/>
    </row>
    <row r="154" spans="16:27" ht="15.75" x14ac:dyDescent="0.25">
      <c r="P154" s="120"/>
      <c r="Q154" s="147"/>
      <c r="R154" s="121"/>
      <c r="S154" s="143"/>
      <c r="U154" s="1"/>
      <c r="V154" s="37"/>
      <c r="AA154" s="55"/>
    </row>
    <row r="155" spans="16:27" ht="5.0999999999999996" customHeight="1" x14ac:dyDescent="0.25">
      <c r="P155" s="120"/>
      <c r="Q155" s="147"/>
      <c r="R155" s="121"/>
      <c r="S155" s="143"/>
      <c r="U155" s="1"/>
      <c r="V155" s="37"/>
      <c r="AA155" s="55"/>
    </row>
    <row r="156" spans="16:27" ht="5.0999999999999996" customHeight="1" x14ac:dyDescent="0.25">
      <c r="P156" s="120"/>
      <c r="Q156" s="147"/>
      <c r="R156" s="121"/>
      <c r="S156" s="143"/>
      <c r="U156" s="1"/>
      <c r="V156" s="37"/>
      <c r="AA156" s="55"/>
    </row>
    <row r="157" spans="16:27" ht="5.0999999999999996" customHeight="1" x14ac:dyDescent="0.25">
      <c r="P157" s="120"/>
      <c r="Q157" s="147"/>
      <c r="R157" s="121"/>
      <c r="S157" s="143"/>
      <c r="U157" s="1"/>
      <c r="V157" s="37"/>
      <c r="AA157" s="55"/>
    </row>
    <row r="158" spans="16:27" ht="5.0999999999999996" customHeight="1" x14ac:dyDescent="0.25">
      <c r="P158" s="120"/>
      <c r="Q158" s="147"/>
      <c r="R158" s="121"/>
      <c r="S158" s="143"/>
      <c r="U158" s="1"/>
      <c r="V158" s="37"/>
      <c r="AA158" s="55"/>
    </row>
    <row r="159" spans="16:27" ht="5.0999999999999996" customHeight="1" x14ac:dyDescent="0.25">
      <c r="P159" s="120"/>
      <c r="Q159" s="147"/>
      <c r="R159" s="121"/>
      <c r="S159" s="143"/>
      <c r="U159" s="1"/>
      <c r="V159" s="37"/>
      <c r="AA159" s="55"/>
    </row>
    <row r="160" spans="16:27" ht="5.0999999999999996" customHeight="1" x14ac:dyDescent="0.25">
      <c r="P160" s="120"/>
      <c r="Q160" s="147"/>
      <c r="R160" s="121"/>
      <c r="S160" s="143"/>
      <c r="U160" s="1"/>
      <c r="V160" s="37"/>
      <c r="AA160" s="55"/>
    </row>
    <row r="161" spans="3:27" ht="5.0999999999999996" customHeight="1" x14ac:dyDescent="0.25">
      <c r="P161" s="120"/>
      <c r="Q161" s="147"/>
      <c r="R161" s="121"/>
      <c r="S161" s="143"/>
      <c r="U161" s="1"/>
      <c r="V161" s="37"/>
      <c r="AA161" s="55"/>
    </row>
    <row r="162" spans="3:27" ht="5.0999999999999996" customHeight="1" x14ac:dyDescent="0.25">
      <c r="P162" s="120"/>
      <c r="Q162" s="147"/>
      <c r="R162" s="121"/>
      <c r="S162" s="143"/>
      <c r="U162" s="1"/>
      <c r="V162" s="37"/>
      <c r="AA162" s="55"/>
    </row>
    <row r="163" spans="3:27" ht="5.0999999999999996" customHeight="1" x14ac:dyDescent="0.25">
      <c r="P163" s="120"/>
      <c r="Q163" s="147"/>
      <c r="R163" s="121"/>
      <c r="S163" s="143"/>
      <c r="U163" s="1"/>
      <c r="V163" s="37"/>
      <c r="AA163" s="55"/>
    </row>
    <row r="164" spans="3:27" ht="5.0999999999999996" customHeight="1" x14ac:dyDescent="0.25">
      <c r="P164" s="120"/>
      <c r="Q164" s="147"/>
      <c r="R164" s="121"/>
      <c r="S164" s="143"/>
      <c r="U164" s="1"/>
      <c r="V164" s="37"/>
      <c r="AA164" s="55"/>
    </row>
    <row r="165" spans="3:27" ht="5.0999999999999996" customHeight="1" x14ac:dyDescent="0.25">
      <c r="P165" s="120"/>
      <c r="Q165" s="147"/>
      <c r="R165" s="121"/>
      <c r="S165" s="143"/>
      <c r="U165" s="1"/>
      <c r="V165" s="37"/>
      <c r="AA165" s="55"/>
    </row>
    <row r="166" spans="3:27" ht="5.0999999999999996" customHeight="1" x14ac:dyDescent="0.25">
      <c r="P166" s="120"/>
      <c r="Q166" s="147"/>
      <c r="R166" s="121"/>
      <c r="S166" s="143"/>
      <c r="U166" s="1"/>
      <c r="V166" s="37"/>
      <c r="AA166" s="55"/>
    </row>
    <row r="167" spans="3:27" ht="5.0999999999999996" customHeight="1" x14ac:dyDescent="0.25">
      <c r="P167" s="120"/>
      <c r="Q167" s="147"/>
      <c r="R167" s="121"/>
      <c r="S167" s="143"/>
      <c r="U167" s="1"/>
      <c r="V167" s="37"/>
      <c r="AA167" s="55"/>
    </row>
    <row r="168" spans="3:27" ht="15.75" x14ac:dyDescent="0.25">
      <c r="P168" s="120"/>
      <c r="Q168" s="147"/>
      <c r="R168" s="121"/>
      <c r="S168" s="143"/>
      <c r="U168" s="1"/>
      <c r="V168" s="37"/>
      <c r="AA168" s="55"/>
    </row>
    <row r="169" spans="3:27" ht="15.75" x14ac:dyDescent="0.25">
      <c r="P169" s="120"/>
      <c r="Q169" s="147"/>
      <c r="R169" s="121"/>
      <c r="S169" s="143"/>
      <c r="U169" s="1"/>
      <c r="V169" s="37"/>
      <c r="AA169" s="55"/>
    </row>
    <row r="170" spans="3:27" ht="26.25" x14ac:dyDescent="0.4">
      <c r="C170" s="29" t="s">
        <v>322</v>
      </c>
      <c r="P170" s="120"/>
      <c r="Q170" s="147"/>
      <c r="R170" s="121"/>
      <c r="S170" s="143"/>
      <c r="U170" s="1"/>
      <c r="V170" s="37"/>
      <c r="AA170" s="55"/>
    </row>
    <row r="171" spans="3:27" ht="15.75" x14ac:dyDescent="0.25">
      <c r="E171" s="168">
        <f>$W$273</f>
        <v>7.8930481283422456</v>
      </c>
      <c r="P171" s="120"/>
      <c r="Q171" s="147"/>
      <c r="R171" s="121"/>
      <c r="S171" s="143"/>
      <c r="U171" s="1"/>
      <c r="V171" s="37"/>
      <c r="AA171" s="55"/>
    </row>
    <row r="172" spans="3:27" ht="18.600000000000001" customHeight="1" x14ac:dyDescent="0.4">
      <c r="P172" s="120" t="str">
        <f>P10</f>
        <v>R6</v>
      </c>
      <c r="Q172" s="147" t="str">
        <f>Q10</f>
        <v xml:space="preserve"> =</v>
      </c>
      <c r="R172" s="120">
        <f>R10</f>
        <v>2</v>
      </c>
      <c r="S172" s="143" t="str">
        <f>S10</f>
        <v>Ω</v>
      </c>
      <c r="T172" s="128"/>
      <c r="U172" s="163" t="str">
        <f>U226</f>
        <v>U9 = U123456789 = U78 = U123456</v>
      </c>
      <c r="V172" s="201" t="str">
        <f>V226</f>
        <v xml:space="preserve"> =</v>
      </c>
      <c r="W172" s="163">
        <f>W226</f>
        <v>4.1069518716577544</v>
      </c>
      <c r="X172" s="169" t="str">
        <f>X226</f>
        <v>V</v>
      </c>
      <c r="AA172" s="55"/>
    </row>
    <row r="173" spans="3:27" ht="26.25" x14ac:dyDescent="0.4">
      <c r="P173" s="120" t="str">
        <f>P141</f>
        <v>R12345</v>
      </c>
      <c r="Q173" s="147" t="str">
        <f>Q141</f>
        <v xml:space="preserve"> =</v>
      </c>
      <c r="R173" s="120">
        <f>R141</f>
        <v>0.37037037037037035</v>
      </c>
      <c r="S173" s="143" t="str">
        <f>S141</f>
        <v>Ω</v>
      </c>
      <c r="T173" s="128"/>
      <c r="U173" s="1" t="str">
        <f>P180</f>
        <v>R123456</v>
      </c>
      <c r="V173" s="37" t="str">
        <f>Q180</f>
        <v xml:space="preserve"> =</v>
      </c>
      <c r="W173" s="1">
        <f>R180</f>
        <v>2.3703703703703702</v>
      </c>
      <c r="X173" t="str">
        <f>S180</f>
        <v>Ω</v>
      </c>
      <c r="AA173" s="55"/>
    </row>
    <row r="174" spans="3:27" ht="15.75" x14ac:dyDescent="0.25">
      <c r="P174" s="120"/>
      <c r="Q174" s="147"/>
      <c r="R174" s="121"/>
      <c r="S174" s="143"/>
      <c r="U174" s="1" t="str">
        <f>P217</f>
        <v>R789</v>
      </c>
      <c r="V174" s="37" t="str">
        <f>Q217</f>
        <v xml:space="preserve"> =</v>
      </c>
      <c r="W174" s="1">
        <f>R217</f>
        <v>0.66666666666666663</v>
      </c>
      <c r="X174" t="str">
        <f>S217</f>
        <v>Ω</v>
      </c>
      <c r="AA174" s="55"/>
    </row>
    <row r="175" spans="3:27" ht="15.75" x14ac:dyDescent="0.25">
      <c r="P175" s="120"/>
      <c r="Q175" s="147"/>
      <c r="R175" s="121"/>
      <c r="S175" s="143"/>
      <c r="U175" s="1" t="str">
        <f>P267</f>
        <v>R10</v>
      </c>
      <c r="V175" s="37" t="str">
        <f>Q267</f>
        <v xml:space="preserve"> =</v>
      </c>
      <c r="W175" s="1">
        <f>R267</f>
        <v>1</v>
      </c>
      <c r="X175" t="str">
        <f>S267</f>
        <v>Ω</v>
      </c>
      <c r="AA175" s="55"/>
    </row>
    <row r="176" spans="3:27" ht="15.75" x14ac:dyDescent="0.25">
      <c r="P176" s="120"/>
      <c r="Q176" s="147"/>
      <c r="R176" s="121"/>
      <c r="S176" s="143"/>
      <c r="U176" s="6" t="str">
        <f>U217</f>
        <v>I10 = I123456789 = ITot</v>
      </c>
      <c r="V176" s="200" t="str">
        <f>V217</f>
        <v xml:space="preserve"> =</v>
      </c>
      <c r="W176" s="6">
        <f>W217</f>
        <v>7.8930481283422456</v>
      </c>
      <c r="X176" s="168" t="str">
        <f>X217</f>
        <v>A</v>
      </c>
      <c r="AA176" s="55"/>
    </row>
    <row r="177" spans="4:27" ht="15.75" x14ac:dyDescent="0.25">
      <c r="F177" s="163"/>
      <c r="P177" s="120"/>
      <c r="Q177" s="147"/>
      <c r="R177" s="121"/>
      <c r="S177" s="143"/>
      <c r="U177" s="1"/>
      <c r="V177" s="37"/>
      <c r="AA177" s="55"/>
    </row>
    <row r="178" spans="4:27" ht="15.75" x14ac:dyDescent="0.25">
      <c r="F178" s="163">
        <f>$W$226</f>
        <v>4.1069518716577544</v>
      </c>
      <c r="I178" s="163">
        <f>$W$226</f>
        <v>4.1069518716577544</v>
      </c>
      <c r="P178" s="120"/>
      <c r="Q178" s="147"/>
      <c r="R178" s="121"/>
      <c r="S178" s="143"/>
      <c r="U178" s="1"/>
      <c r="V178" s="37"/>
      <c r="AA178" s="55"/>
    </row>
    <row r="179" spans="4:27" ht="30.75" x14ac:dyDescent="0.55000000000000004">
      <c r="D179" s="169">
        <f>$W$229</f>
        <v>7.8930481283422456</v>
      </c>
      <c r="P179" s="125" t="s">
        <v>351</v>
      </c>
      <c r="Q179" s="135" t="s">
        <v>328</v>
      </c>
      <c r="R179" s="126" t="s">
        <v>352</v>
      </c>
      <c r="S179" s="181"/>
      <c r="U179" s="127" t="s">
        <v>361</v>
      </c>
      <c r="V179" s="198" t="s">
        <v>328</v>
      </c>
      <c r="W179" s="149" t="s">
        <v>360</v>
      </c>
      <c r="X179" s="194"/>
      <c r="AA179" s="55"/>
    </row>
    <row r="180" spans="4:27" ht="30.75" x14ac:dyDescent="0.55000000000000004">
      <c r="P180" s="151" t="s">
        <v>351</v>
      </c>
      <c r="Q180" s="140" t="s">
        <v>328</v>
      </c>
      <c r="R180" s="152">
        <f>R172+R173</f>
        <v>2.3703703703703702</v>
      </c>
      <c r="S180" s="182" t="s">
        <v>317</v>
      </c>
      <c r="U180" s="155" t="s">
        <v>361</v>
      </c>
      <c r="V180" s="199" t="s">
        <v>328</v>
      </c>
      <c r="W180" s="156">
        <f>W172/W174</f>
        <v>6.1604278074866317</v>
      </c>
      <c r="X180" s="156" t="s">
        <v>38</v>
      </c>
      <c r="AA180" s="55"/>
    </row>
    <row r="181" spans="4:27" ht="15.75" x14ac:dyDescent="0.25">
      <c r="P181" s="120"/>
      <c r="Q181" s="147"/>
      <c r="R181" s="121"/>
      <c r="S181" s="143"/>
      <c r="U181" s="1"/>
      <c r="V181" s="37"/>
      <c r="AA181" s="55"/>
    </row>
    <row r="182" spans="4:27" ht="30.75" x14ac:dyDescent="0.55000000000000004">
      <c r="P182" s="120"/>
      <c r="Q182" s="147"/>
      <c r="R182" s="121"/>
      <c r="S182" s="143"/>
      <c r="U182" s="127" t="s">
        <v>363</v>
      </c>
      <c r="V182" s="198" t="s">
        <v>328</v>
      </c>
      <c r="W182" s="149" t="s">
        <v>362</v>
      </c>
      <c r="X182" s="194"/>
      <c r="AA182" s="55"/>
    </row>
    <row r="183" spans="4:27" ht="30.75" x14ac:dyDescent="0.55000000000000004">
      <c r="P183" s="120"/>
      <c r="Q183" s="147"/>
      <c r="R183" s="121"/>
      <c r="S183" s="143"/>
      <c r="U183" s="155" t="s">
        <v>407</v>
      </c>
      <c r="V183" s="199" t="s">
        <v>328</v>
      </c>
      <c r="W183" s="156">
        <f>W172/W173</f>
        <v>1.7326203208556152</v>
      </c>
      <c r="X183" s="156" t="s">
        <v>38</v>
      </c>
      <c r="AA183" s="55"/>
    </row>
    <row r="184" spans="4:27" ht="15.75" x14ac:dyDescent="0.25">
      <c r="P184" s="120"/>
      <c r="Q184" s="147"/>
      <c r="R184" s="121"/>
      <c r="S184" s="143"/>
      <c r="U184" s="1"/>
      <c r="V184" s="37"/>
      <c r="AA184" s="55"/>
    </row>
    <row r="185" spans="4:27" ht="16.5" thickBot="1" x14ac:dyDescent="0.3">
      <c r="P185" s="120"/>
      <c r="Q185" s="147"/>
      <c r="R185" s="121"/>
      <c r="S185" s="143"/>
      <c r="U185" s="1"/>
      <c r="V185" s="37"/>
      <c r="AA185" s="55"/>
    </row>
    <row r="186" spans="4:27" ht="31.5" thickBot="1" x14ac:dyDescent="0.6">
      <c r="P186" s="120"/>
      <c r="Q186" s="147"/>
      <c r="R186" s="121"/>
      <c r="S186" s="143"/>
      <c r="U186" s="130" t="s">
        <v>325</v>
      </c>
      <c r="V186" s="203">
        <f>IF(W180+W183=W273,1,-1)</f>
        <v>1</v>
      </c>
      <c r="W186" s="174"/>
      <c r="X186" s="190"/>
      <c r="AA186" s="55"/>
    </row>
    <row r="187" spans="4:27" ht="26.25" x14ac:dyDescent="0.4">
      <c r="G187" s="168">
        <f>W180</f>
        <v>6.1604278074866317</v>
      </c>
      <c r="I187" s="168">
        <f>$W$183</f>
        <v>1.7326203208556152</v>
      </c>
      <c r="P187" s="120"/>
      <c r="Q187" s="147"/>
      <c r="R187" s="121"/>
      <c r="S187" s="143"/>
      <c r="U187" s="189"/>
      <c r="V187" s="204"/>
      <c r="W187" s="190"/>
      <c r="X187" s="190"/>
      <c r="AA187" s="55"/>
    </row>
    <row r="188" spans="4:27" ht="26.25" x14ac:dyDescent="0.4">
      <c r="P188" s="120"/>
      <c r="Q188" s="147"/>
      <c r="R188" s="121"/>
      <c r="S188" s="143"/>
      <c r="U188" s="1"/>
      <c r="V188" s="37"/>
      <c r="W188" s="154"/>
      <c r="X188" s="128"/>
      <c r="AA188" s="55"/>
    </row>
    <row r="189" spans="4:27" ht="15.75" x14ac:dyDescent="0.25">
      <c r="P189" s="120"/>
      <c r="Q189" s="147"/>
      <c r="R189" s="121"/>
      <c r="S189" s="143"/>
      <c r="U189" s="1"/>
      <c r="V189" s="37"/>
      <c r="AA189" s="55"/>
    </row>
    <row r="190" spans="4:27" ht="15.75" x14ac:dyDescent="0.25">
      <c r="P190" s="120"/>
      <c r="Q190" s="147"/>
      <c r="R190" s="121"/>
      <c r="S190" s="143"/>
      <c r="U190" s="1"/>
      <c r="V190" s="37"/>
      <c r="AA190" s="55"/>
    </row>
    <row r="191" spans="4:27" ht="15.75" x14ac:dyDescent="0.25">
      <c r="P191" s="120"/>
      <c r="Q191" s="147"/>
      <c r="R191" s="121"/>
      <c r="S191" s="143"/>
      <c r="U191" s="1"/>
      <c r="V191" s="37"/>
      <c r="AA191" s="55"/>
    </row>
    <row r="192" spans="4:27" ht="15.75" x14ac:dyDescent="0.25">
      <c r="P192" s="120"/>
      <c r="Q192" s="147"/>
      <c r="R192" s="121"/>
      <c r="S192" s="143"/>
      <c r="U192" s="1"/>
      <c r="V192" s="37"/>
      <c r="AA192" s="55"/>
    </row>
    <row r="193" spans="16:27" ht="15.75" x14ac:dyDescent="0.25">
      <c r="P193" s="120"/>
      <c r="Q193" s="147"/>
      <c r="R193" s="121"/>
      <c r="S193" s="143"/>
      <c r="U193" s="1"/>
      <c r="V193" s="37"/>
      <c r="AA193" s="55"/>
    </row>
    <row r="194" spans="16:27" ht="8.1" customHeight="1" x14ac:dyDescent="0.25">
      <c r="P194" s="120"/>
      <c r="Q194" s="147"/>
      <c r="R194" s="121"/>
      <c r="S194" s="143"/>
      <c r="U194" s="1"/>
      <c r="V194" s="37"/>
      <c r="AA194" s="55"/>
    </row>
    <row r="195" spans="16:27" ht="8.1" customHeight="1" x14ac:dyDescent="0.25">
      <c r="P195" s="120"/>
      <c r="Q195" s="147"/>
      <c r="R195" s="121"/>
      <c r="S195" s="143"/>
      <c r="U195" s="1"/>
      <c r="V195" s="37"/>
      <c r="AA195" s="55"/>
    </row>
    <row r="196" spans="16:27" ht="8.1" customHeight="1" x14ac:dyDescent="0.25">
      <c r="P196" s="120"/>
      <c r="Q196" s="147"/>
      <c r="R196" s="121"/>
      <c r="S196" s="143"/>
      <c r="U196" s="1"/>
      <c r="V196" s="37"/>
      <c r="AA196" s="55"/>
    </row>
    <row r="197" spans="16:27" ht="8.1" customHeight="1" x14ac:dyDescent="0.25">
      <c r="P197" s="120"/>
      <c r="Q197" s="147"/>
      <c r="R197" s="121"/>
      <c r="S197" s="143"/>
      <c r="U197" s="1"/>
      <c r="V197" s="37"/>
      <c r="AA197" s="55"/>
    </row>
    <row r="198" spans="16:27" ht="8.1" customHeight="1" x14ac:dyDescent="0.25">
      <c r="P198" s="120"/>
      <c r="Q198" s="147"/>
      <c r="R198" s="121"/>
      <c r="S198" s="143"/>
      <c r="U198" s="1"/>
      <c r="V198" s="37"/>
      <c r="AA198" s="55"/>
    </row>
    <row r="199" spans="16:27" ht="8.1" customHeight="1" x14ac:dyDescent="0.25">
      <c r="P199" s="120"/>
      <c r="Q199" s="147"/>
      <c r="R199" s="121"/>
      <c r="S199" s="143"/>
      <c r="U199" s="1"/>
      <c r="V199" s="37"/>
      <c r="AA199" s="55"/>
    </row>
    <row r="200" spans="16:27" ht="8.1" customHeight="1" x14ac:dyDescent="0.25">
      <c r="P200" s="120"/>
      <c r="Q200" s="147"/>
      <c r="R200" s="121"/>
      <c r="S200" s="143"/>
      <c r="U200" s="1"/>
      <c r="V200" s="37"/>
      <c r="AA200" s="55"/>
    </row>
    <row r="201" spans="16:27" ht="8.1" customHeight="1" x14ac:dyDescent="0.25">
      <c r="P201" s="120"/>
      <c r="Q201" s="147"/>
      <c r="R201" s="121"/>
      <c r="S201" s="143"/>
      <c r="U201" s="1"/>
      <c r="V201" s="37"/>
      <c r="AA201" s="55"/>
    </row>
    <row r="202" spans="16:27" ht="8.1" customHeight="1" x14ac:dyDescent="0.25">
      <c r="P202" s="120"/>
      <c r="Q202" s="147"/>
      <c r="R202" s="121"/>
      <c r="S202" s="143"/>
      <c r="U202" s="1"/>
      <c r="V202" s="37"/>
      <c r="AA202" s="55"/>
    </row>
    <row r="203" spans="16:27" ht="8.1" customHeight="1" x14ac:dyDescent="0.25">
      <c r="P203" s="120"/>
      <c r="Q203" s="147"/>
      <c r="R203" s="121"/>
      <c r="S203" s="143"/>
      <c r="U203" s="1"/>
      <c r="V203" s="37"/>
      <c r="AA203" s="55"/>
    </row>
    <row r="204" spans="16:27" ht="8.1" customHeight="1" x14ac:dyDescent="0.25">
      <c r="P204" s="120"/>
      <c r="Q204" s="147"/>
      <c r="R204" s="121"/>
      <c r="S204" s="143"/>
      <c r="U204" s="1"/>
      <c r="V204" s="37"/>
      <c r="AA204" s="55"/>
    </row>
    <row r="205" spans="16:27" ht="8.1" customHeight="1" x14ac:dyDescent="0.25">
      <c r="P205" s="120"/>
      <c r="Q205" s="147"/>
      <c r="R205" s="121"/>
      <c r="S205" s="143"/>
      <c r="U205" s="1"/>
      <c r="V205" s="37"/>
      <c r="AA205" s="55"/>
    </row>
    <row r="206" spans="16:27" ht="8.1" customHeight="1" x14ac:dyDescent="0.25">
      <c r="P206" s="120"/>
      <c r="Q206" s="147"/>
      <c r="R206" s="121"/>
      <c r="S206" s="143"/>
      <c r="U206" s="1"/>
      <c r="V206" s="37"/>
      <c r="AA206" s="55"/>
    </row>
    <row r="207" spans="16:27" ht="8.1" customHeight="1" x14ac:dyDescent="0.25">
      <c r="P207" s="120"/>
      <c r="Q207" s="147"/>
      <c r="R207" s="121"/>
      <c r="S207" s="143"/>
      <c r="U207" s="1"/>
      <c r="V207" s="37"/>
      <c r="AA207" s="55"/>
    </row>
    <row r="208" spans="16:27" ht="15.75" x14ac:dyDescent="0.25">
      <c r="P208" s="120"/>
      <c r="Q208" s="147"/>
      <c r="R208" s="121"/>
      <c r="S208" s="143"/>
      <c r="U208" s="1"/>
      <c r="V208" s="37"/>
      <c r="AA208" s="55"/>
    </row>
    <row r="209" spans="3:27" ht="15.75" x14ac:dyDescent="0.25">
      <c r="P209" s="120"/>
      <c r="Q209" s="147"/>
      <c r="R209" s="121"/>
      <c r="S209" s="143"/>
      <c r="U209" s="1"/>
      <c r="V209" s="37"/>
      <c r="AA209" s="55"/>
    </row>
    <row r="210" spans="3:27" ht="15.75" x14ac:dyDescent="0.25">
      <c r="P210" s="120"/>
      <c r="Q210" s="147"/>
      <c r="R210" s="121"/>
      <c r="S210" s="143"/>
      <c r="U210" s="1"/>
      <c r="V210" s="37"/>
      <c r="AA210" s="55"/>
    </row>
    <row r="211" spans="3:27" ht="15.75" x14ac:dyDescent="0.25">
      <c r="P211" s="120"/>
      <c r="Q211" s="147"/>
      <c r="R211" s="121"/>
      <c r="S211" s="143"/>
      <c r="U211" s="1"/>
      <c r="V211" s="37"/>
      <c r="AA211" s="55"/>
    </row>
    <row r="212" spans="3:27" ht="15.75" x14ac:dyDescent="0.25">
      <c r="P212" s="120"/>
      <c r="Q212" s="147"/>
      <c r="R212" s="121"/>
      <c r="S212" s="143"/>
      <c r="U212" s="1"/>
      <c r="V212" s="37"/>
      <c r="AA212" s="55"/>
    </row>
    <row r="213" spans="3:27" ht="26.25" x14ac:dyDescent="0.4">
      <c r="C213" s="29" t="s">
        <v>321</v>
      </c>
      <c r="P213" s="120"/>
      <c r="Q213" s="147"/>
      <c r="R213" s="121"/>
      <c r="S213" s="143"/>
      <c r="U213" s="1"/>
      <c r="V213" s="37"/>
      <c r="AA213" s="55"/>
    </row>
    <row r="214" spans="3:27" ht="15.75" x14ac:dyDescent="0.25">
      <c r="P214" s="120"/>
      <c r="Q214" s="147"/>
      <c r="R214" s="121"/>
      <c r="S214" s="143"/>
      <c r="U214" s="1"/>
      <c r="V214" s="37"/>
      <c r="AA214" s="55"/>
    </row>
    <row r="215" spans="3:27" ht="15.75" x14ac:dyDescent="0.25">
      <c r="P215" s="120"/>
      <c r="Q215" s="147"/>
      <c r="R215" s="121"/>
      <c r="S215" s="143"/>
      <c r="U215" s="1"/>
      <c r="V215" s="37"/>
      <c r="AA215" s="55"/>
    </row>
    <row r="216" spans="3:27" ht="15.75" x14ac:dyDescent="0.25">
      <c r="P216" s="120"/>
      <c r="Q216" s="147"/>
      <c r="R216" s="121"/>
      <c r="S216" s="143"/>
      <c r="U216" s="1"/>
      <c r="V216" s="37"/>
      <c r="AA216" s="55"/>
    </row>
    <row r="217" spans="3:27" ht="15.75" x14ac:dyDescent="0.25">
      <c r="P217" s="120" t="str">
        <f>P101</f>
        <v>R789</v>
      </c>
      <c r="Q217" s="147" t="str">
        <f>Q101</f>
        <v xml:space="preserve"> =</v>
      </c>
      <c r="R217" s="120">
        <f>R101</f>
        <v>0.66666666666666663</v>
      </c>
      <c r="S217" s="143" t="str">
        <f>S101</f>
        <v>Ω</v>
      </c>
      <c r="U217" s="6" t="str">
        <f>U273</f>
        <v>I10 = I123456789 = ITot</v>
      </c>
      <c r="V217" s="200" t="str">
        <f>V273</f>
        <v xml:space="preserve"> =</v>
      </c>
      <c r="W217" s="6">
        <f>W273</f>
        <v>7.8930481283422456</v>
      </c>
      <c r="X217" s="168" t="str">
        <f>X273</f>
        <v>A</v>
      </c>
      <c r="AA217" s="55"/>
    </row>
    <row r="218" spans="3:27" ht="15.75" x14ac:dyDescent="0.25">
      <c r="P218" s="120" t="str">
        <f>P180</f>
        <v>R123456</v>
      </c>
      <c r="Q218" s="147" t="str">
        <f>Q180</f>
        <v xml:space="preserve"> =</v>
      </c>
      <c r="R218" s="120">
        <f>R180</f>
        <v>2.3703703703703702</v>
      </c>
      <c r="S218" s="143" t="str">
        <f>S180</f>
        <v>Ω</v>
      </c>
      <c r="U218" s="1" t="str">
        <f>P226</f>
        <v>R123456789</v>
      </c>
      <c r="V218" s="37" t="str">
        <f>Q226</f>
        <v xml:space="preserve"> =</v>
      </c>
      <c r="W218" s="1">
        <f>R226</f>
        <v>0.52032520325203258</v>
      </c>
      <c r="X218" t="str">
        <f>S226</f>
        <v>Ω</v>
      </c>
      <c r="AA218" s="55"/>
    </row>
    <row r="219" spans="3:27" ht="15.75" x14ac:dyDescent="0.25">
      <c r="H219" s="168">
        <f>$W$273</f>
        <v>7.8930481283422456</v>
      </c>
      <c r="P219" s="120"/>
      <c r="Q219" s="147"/>
      <c r="R219" s="121"/>
      <c r="S219" s="143"/>
      <c r="U219" s="1" t="str">
        <f>P267</f>
        <v>R10</v>
      </c>
      <c r="V219" s="37" t="str">
        <f>Q267</f>
        <v xml:space="preserve"> =</v>
      </c>
      <c r="W219" s="1">
        <f>R267</f>
        <v>1</v>
      </c>
      <c r="X219" t="str">
        <f>S267</f>
        <v>Ω</v>
      </c>
      <c r="AA219" s="55"/>
    </row>
    <row r="220" spans="3:27" ht="15.75" x14ac:dyDescent="0.25">
      <c r="P220" s="120"/>
      <c r="Q220" s="147"/>
      <c r="R220" s="121"/>
      <c r="S220" s="143"/>
      <c r="U220" s="1"/>
      <c r="V220" s="37"/>
      <c r="AA220" s="55"/>
    </row>
    <row r="221" spans="3:27" ht="15.75" x14ac:dyDescent="0.25">
      <c r="D221" s="169">
        <f>$W$229</f>
        <v>7.8930481283422456</v>
      </c>
      <c r="P221" s="120"/>
      <c r="Q221" s="147"/>
      <c r="R221" s="121"/>
      <c r="S221" s="143"/>
      <c r="U221" s="1"/>
      <c r="V221" s="37"/>
      <c r="AA221" s="55"/>
    </row>
    <row r="222" spans="3:27" ht="15.75" x14ac:dyDescent="0.25">
      <c r="P222" s="120"/>
      <c r="Q222" s="147"/>
      <c r="R222" s="121"/>
      <c r="S222" s="143"/>
      <c r="U222" s="1"/>
      <c r="V222" s="37"/>
      <c r="AA222" s="55"/>
    </row>
    <row r="223" spans="3:27" ht="15.75" x14ac:dyDescent="0.25">
      <c r="P223" s="120"/>
      <c r="Q223" s="147"/>
      <c r="R223" s="121"/>
      <c r="S223" s="143"/>
      <c r="U223" s="1"/>
      <c r="V223" s="37"/>
      <c r="AA223" s="55"/>
    </row>
    <row r="224" spans="3:27" ht="15.75" x14ac:dyDescent="0.25">
      <c r="P224" s="120"/>
      <c r="Q224" s="147"/>
      <c r="R224" s="121"/>
      <c r="S224" s="143"/>
      <c r="U224" s="1"/>
      <c r="V224" s="37"/>
      <c r="AA224" s="55"/>
    </row>
    <row r="225" spans="9:27" ht="30.75" x14ac:dyDescent="0.55000000000000004">
      <c r="I225" s="163">
        <f>$W$226</f>
        <v>4.1069518716577544</v>
      </c>
      <c r="P225" s="125" t="s">
        <v>353</v>
      </c>
      <c r="Q225" s="135" t="s">
        <v>328</v>
      </c>
      <c r="R225" s="126" t="s">
        <v>354</v>
      </c>
      <c r="S225" s="181"/>
      <c r="T225" s="128"/>
      <c r="U225" s="157" t="s">
        <v>368</v>
      </c>
      <c r="V225" s="198" t="s">
        <v>328</v>
      </c>
      <c r="W225" s="161" t="s">
        <v>358</v>
      </c>
      <c r="X225" s="195"/>
      <c r="AA225" s="55"/>
    </row>
    <row r="226" spans="9:27" ht="30.75" x14ac:dyDescent="0.55000000000000004">
      <c r="P226" s="151" t="s">
        <v>353</v>
      </c>
      <c r="Q226" s="140" t="s">
        <v>328</v>
      </c>
      <c r="R226" s="152">
        <f>1/(1/R217+1/R218)</f>
        <v>0.52032520325203258</v>
      </c>
      <c r="S226" s="182" t="s">
        <v>317</v>
      </c>
      <c r="T226" s="128"/>
      <c r="U226" s="158" t="s">
        <v>402</v>
      </c>
      <c r="V226" s="199" t="s">
        <v>328</v>
      </c>
      <c r="W226" s="159">
        <f>W218*W217</f>
        <v>4.1069518716577544</v>
      </c>
      <c r="X226" s="159" t="s">
        <v>316</v>
      </c>
      <c r="AA226" s="55"/>
    </row>
    <row r="227" spans="9:27" ht="26.25" x14ac:dyDescent="0.4">
      <c r="P227" s="129"/>
      <c r="Q227" s="174"/>
      <c r="R227" s="128"/>
      <c r="S227" s="146"/>
      <c r="T227" s="128"/>
      <c r="U227" s="1"/>
      <c r="V227" s="37"/>
      <c r="AA227" s="55"/>
    </row>
    <row r="228" spans="9:27" ht="30.75" x14ac:dyDescent="0.55000000000000004">
      <c r="P228" s="129"/>
      <c r="Q228" s="174"/>
      <c r="R228" s="128"/>
      <c r="S228" s="146"/>
      <c r="T228" s="128"/>
      <c r="U228" s="157" t="s">
        <v>367</v>
      </c>
      <c r="V228" s="198" t="s">
        <v>328</v>
      </c>
      <c r="W228" s="149" t="s">
        <v>359</v>
      </c>
      <c r="X228" s="195"/>
      <c r="AA228" s="55"/>
    </row>
    <row r="229" spans="9:27" ht="30.75" x14ac:dyDescent="0.55000000000000004">
      <c r="P229" s="120"/>
      <c r="Q229" s="147"/>
      <c r="R229" s="121"/>
      <c r="S229" s="143"/>
      <c r="U229" s="158" t="s">
        <v>367</v>
      </c>
      <c r="V229" s="199" t="s">
        <v>328</v>
      </c>
      <c r="W229" s="159">
        <f>W217*W219</f>
        <v>7.8930481283422456</v>
      </c>
      <c r="X229" s="159" t="s">
        <v>316</v>
      </c>
      <c r="AA229" s="55"/>
    </row>
    <row r="230" spans="9:27" ht="26.25" x14ac:dyDescent="0.4">
      <c r="P230" s="120"/>
      <c r="Q230" s="147"/>
      <c r="R230" s="121"/>
      <c r="S230" s="143"/>
      <c r="U230" s="1"/>
      <c r="V230" s="37"/>
      <c r="W230" s="154"/>
      <c r="X230" s="128"/>
      <c r="AA230" s="55"/>
    </row>
    <row r="231" spans="9:27" ht="16.5" thickBot="1" x14ac:dyDescent="0.3">
      <c r="P231" s="120"/>
      <c r="Q231" s="147"/>
      <c r="R231" s="121"/>
      <c r="S231" s="143"/>
      <c r="U231" s="1"/>
      <c r="V231" s="37"/>
      <c r="AA231" s="55"/>
    </row>
    <row r="232" spans="9:27" ht="31.5" thickBot="1" x14ac:dyDescent="0.6">
      <c r="P232" s="120"/>
      <c r="Q232" s="147"/>
      <c r="R232" s="121"/>
      <c r="S232" s="143"/>
      <c r="U232" s="130" t="s">
        <v>369</v>
      </c>
      <c r="V232" s="203">
        <f>IF(W226+W229=W267,1,-1)</f>
        <v>1</v>
      </c>
      <c r="AA232" s="55"/>
    </row>
    <row r="233" spans="9:27" ht="15.75" x14ac:dyDescent="0.25">
      <c r="P233" s="120"/>
      <c r="Q233" s="147"/>
      <c r="R233" s="121"/>
      <c r="S233" s="143"/>
      <c r="U233" s="1"/>
      <c r="V233" s="37"/>
      <c r="AA233" s="55"/>
    </row>
    <row r="234" spans="9:27" ht="15.75" x14ac:dyDescent="0.25">
      <c r="P234" s="120"/>
      <c r="Q234" s="147"/>
      <c r="R234" s="121"/>
      <c r="S234" s="143"/>
      <c r="U234" s="1"/>
      <c r="V234" s="37"/>
      <c r="AA234" s="55"/>
    </row>
    <row r="235" spans="9:27" ht="15.75" x14ac:dyDescent="0.25">
      <c r="P235" s="120"/>
      <c r="Q235" s="147"/>
      <c r="R235" s="121"/>
      <c r="S235" s="143"/>
      <c r="U235" s="1"/>
      <c r="V235" s="37"/>
      <c r="AA235" s="55"/>
    </row>
    <row r="236" spans="9:27" ht="15.75" x14ac:dyDescent="0.25">
      <c r="P236" s="120"/>
      <c r="Q236" s="147"/>
      <c r="R236" s="121"/>
      <c r="S236" s="143"/>
      <c r="U236" s="1"/>
      <c r="V236" s="37"/>
      <c r="AA236" s="55"/>
    </row>
    <row r="237" spans="9:27" ht="15.75" x14ac:dyDescent="0.25">
      <c r="P237" s="120"/>
      <c r="Q237" s="147"/>
      <c r="R237" s="121"/>
      <c r="S237" s="143"/>
      <c r="U237" s="1"/>
      <c r="V237" s="37"/>
      <c r="AA237" s="55"/>
    </row>
    <row r="238" spans="9:27" ht="15.75" x14ac:dyDescent="0.25">
      <c r="P238" s="120"/>
      <c r="Q238" s="147"/>
      <c r="R238" s="121"/>
      <c r="S238" s="143"/>
      <c r="U238" s="1"/>
      <c r="V238" s="37"/>
      <c r="AA238" s="55"/>
    </row>
    <row r="239" spans="9:27" ht="3.95" customHeight="1" x14ac:dyDescent="0.25">
      <c r="P239" s="120"/>
      <c r="Q239" s="147"/>
      <c r="R239" s="121"/>
      <c r="S239" s="143"/>
      <c r="U239" s="1"/>
      <c r="V239" s="37"/>
      <c r="AA239" s="55"/>
    </row>
    <row r="240" spans="9:27" ht="3.95" customHeight="1" x14ac:dyDescent="0.25">
      <c r="P240" s="120"/>
      <c r="Q240" s="147"/>
      <c r="R240" s="121"/>
      <c r="S240" s="143"/>
      <c r="U240" s="1"/>
      <c r="V240" s="37"/>
      <c r="AA240" s="55"/>
    </row>
    <row r="241" spans="16:27" ht="3.95" customHeight="1" x14ac:dyDescent="0.25">
      <c r="P241" s="120"/>
      <c r="Q241" s="147"/>
      <c r="R241" s="121"/>
      <c r="S241" s="143"/>
      <c r="U241" s="1"/>
      <c r="V241" s="37"/>
      <c r="AA241" s="55"/>
    </row>
    <row r="242" spans="16:27" ht="3.95" customHeight="1" x14ac:dyDescent="0.25">
      <c r="P242" s="120"/>
      <c r="Q242" s="147"/>
      <c r="R242" s="121"/>
      <c r="S242" s="143"/>
      <c r="U242" s="1"/>
      <c r="V242" s="37"/>
      <c r="AA242" s="55"/>
    </row>
    <row r="243" spans="16:27" ht="3.95" customHeight="1" x14ac:dyDescent="0.25">
      <c r="P243" s="120"/>
      <c r="Q243" s="147"/>
      <c r="R243" s="121"/>
      <c r="S243" s="143"/>
      <c r="U243" s="1"/>
      <c r="V243" s="37"/>
      <c r="AA243" s="55"/>
    </row>
    <row r="244" spans="16:27" ht="3.95" customHeight="1" x14ac:dyDescent="0.25">
      <c r="P244" s="120"/>
      <c r="Q244" s="147"/>
      <c r="R244" s="121"/>
      <c r="S244" s="143"/>
      <c r="U244" s="1"/>
      <c r="V244" s="37"/>
      <c r="AA244" s="55"/>
    </row>
    <row r="245" spans="16:27" ht="3.95" customHeight="1" x14ac:dyDescent="0.25">
      <c r="P245" s="120"/>
      <c r="Q245" s="147"/>
      <c r="R245" s="121"/>
      <c r="S245" s="143"/>
      <c r="U245" s="1"/>
      <c r="V245" s="37"/>
      <c r="AA245" s="55"/>
    </row>
    <row r="246" spans="16:27" ht="3.95" customHeight="1" x14ac:dyDescent="0.25">
      <c r="P246" s="120"/>
      <c r="Q246" s="147"/>
      <c r="R246" s="121"/>
      <c r="S246" s="143"/>
      <c r="U246" s="1"/>
      <c r="V246" s="37"/>
      <c r="AA246" s="55"/>
    </row>
    <row r="247" spans="16:27" ht="3.95" customHeight="1" x14ac:dyDescent="0.25">
      <c r="P247" s="120"/>
      <c r="Q247" s="147"/>
      <c r="R247" s="121"/>
      <c r="S247" s="143"/>
      <c r="U247" s="1"/>
      <c r="V247" s="37"/>
      <c r="AA247" s="55"/>
    </row>
    <row r="248" spans="16:27" ht="3.95" customHeight="1" x14ac:dyDescent="0.25">
      <c r="P248" s="120"/>
      <c r="Q248" s="147"/>
      <c r="R248" s="121"/>
      <c r="S248" s="143"/>
      <c r="U248" s="1"/>
      <c r="V248" s="37"/>
      <c r="AA248" s="55"/>
    </row>
    <row r="249" spans="16:27" ht="3.95" customHeight="1" x14ac:dyDescent="0.25">
      <c r="P249" s="120"/>
      <c r="Q249" s="147"/>
      <c r="R249" s="121"/>
      <c r="S249" s="143"/>
      <c r="U249" s="1"/>
      <c r="V249" s="37"/>
      <c r="AA249" s="55"/>
    </row>
    <row r="250" spans="16:27" ht="3.95" customHeight="1" x14ac:dyDescent="0.25">
      <c r="P250" s="120"/>
      <c r="Q250" s="147"/>
      <c r="R250" s="121"/>
      <c r="S250" s="143"/>
      <c r="U250" s="1"/>
      <c r="V250" s="37"/>
      <c r="AA250" s="55"/>
    </row>
    <row r="251" spans="16:27" ht="3.95" customHeight="1" x14ac:dyDescent="0.25">
      <c r="P251" s="120"/>
      <c r="Q251" s="147"/>
      <c r="R251" s="121"/>
      <c r="S251" s="143"/>
      <c r="U251" s="1"/>
      <c r="V251" s="37"/>
      <c r="AA251" s="55"/>
    </row>
    <row r="252" spans="16:27" ht="3.95" customHeight="1" x14ac:dyDescent="0.25">
      <c r="P252" s="120"/>
      <c r="Q252" s="147"/>
      <c r="R252" s="121"/>
      <c r="S252" s="143"/>
      <c r="U252" s="1"/>
      <c r="V252" s="37"/>
      <c r="AA252" s="55"/>
    </row>
    <row r="253" spans="16:27" ht="3.95" customHeight="1" x14ac:dyDescent="0.25">
      <c r="P253" s="120"/>
      <c r="Q253" s="147"/>
      <c r="R253" s="121"/>
      <c r="S253" s="143"/>
      <c r="U253" s="1"/>
      <c r="V253" s="37"/>
      <c r="AA253" s="55"/>
    </row>
    <row r="254" spans="16:27" ht="3.95" customHeight="1" x14ac:dyDescent="0.25">
      <c r="P254" s="120"/>
      <c r="Q254" s="147"/>
      <c r="R254" s="121"/>
      <c r="S254" s="143"/>
      <c r="U254" s="1"/>
      <c r="V254" s="37"/>
      <c r="AA254" s="55"/>
    </row>
    <row r="255" spans="16:27" ht="3.95" customHeight="1" x14ac:dyDescent="0.25">
      <c r="P255" s="120"/>
      <c r="Q255" s="147"/>
      <c r="R255" s="121"/>
      <c r="S255" s="143"/>
      <c r="U255" s="1"/>
      <c r="V255" s="37"/>
      <c r="AA255" s="55"/>
    </row>
    <row r="256" spans="16:27" ht="15.75" x14ac:dyDescent="0.25">
      <c r="P256" s="120"/>
      <c r="Q256" s="147"/>
      <c r="R256" s="121"/>
      <c r="S256" s="143"/>
      <c r="U256" s="1"/>
      <c r="V256" s="37"/>
      <c r="AA256" s="55"/>
    </row>
    <row r="257" spans="3:27" ht="26.25" x14ac:dyDescent="0.4">
      <c r="C257" s="29" t="s">
        <v>320</v>
      </c>
      <c r="P257" s="120"/>
      <c r="Q257" s="147"/>
      <c r="R257" s="121"/>
      <c r="S257" s="143"/>
      <c r="U257" s="1"/>
      <c r="V257" s="37"/>
      <c r="AA257" s="55"/>
    </row>
    <row r="258" spans="3:27" ht="6.6" customHeight="1" x14ac:dyDescent="0.25">
      <c r="P258" s="120"/>
      <c r="Q258" s="147"/>
      <c r="R258" s="121"/>
      <c r="S258" s="143"/>
      <c r="U258" s="1"/>
      <c r="V258" s="37"/>
      <c r="AA258" s="55"/>
    </row>
    <row r="259" spans="3:27" ht="6.6" customHeight="1" x14ac:dyDescent="0.25">
      <c r="P259" s="120"/>
      <c r="Q259" s="147"/>
      <c r="R259" s="121"/>
      <c r="S259" s="143"/>
      <c r="U259" s="1"/>
      <c r="V259" s="37"/>
      <c r="AA259" s="55"/>
    </row>
    <row r="260" spans="3:27" ht="6.6" customHeight="1" x14ac:dyDescent="0.25">
      <c r="P260" s="120"/>
      <c r="Q260" s="147"/>
      <c r="R260" s="121"/>
      <c r="S260" s="143"/>
      <c r="U260" s="1"/>
      <c r="V260" s="37"/>
      <c r="AA260" s="55"/>
    </row>
    <row r="261" spans="3:27" ht="6.6" customHeight="1" x14ac:dyDescent="0.25">
      <c r="P261" s="120"/>
      <c r="Q261" s="147"/>
      <c r="R261" s="121"/>
      <c r="S261" s="143"/>
      <c r="U261" s="1"/>
      <c r="V261" s="37"/>
      <c r="AA261" s="55"/>
    </row>
    <row r="262" spans="3:27" ht="6.6" customHeight="1" x14ac:dyDescent="0.25">
      <c r="P262" s="120"/>
      <c r="Q262" s="147"/>
      <c r="R262" s="121"/>
      <c r="S262" s="143"/>
      <c r="U262" s="1"/>
      <c r="V262" s="37"/>
      <c r="AA262" s="55"/>
    </row>
    <row r="263" spans="3:27" ht="6.95" customHeight="1" x14ac:dyDescent="0.25">
      <c r="P263" s="120"/>
      <c r="Q263" s="147"/>
      <c r="R263" s="121"/>
      <c r="S263" s="143"/>
      <c r="U263" s="1"/>
      <c r="V263" s="37"/>
      <c r="AA263" s="55"/>
    </row>
    <row r="264" spans="3:27" ht="6.95" customHeight="1" x14ac:dyDescent="0.25">
      <c r="P264" s="120"/>
      <c r="Q264" s="147"/>
      <c r="R264" s="121"/>
      <c r="S264" s="143"/>
      <c r="U264" s="1"/>
      <c r="V264" s="37"/>
      <c r="AA264" s="55"/>
    </row>
    <row r="265" spans="3:27" ht="6.95" customHeight="1" x14ac:dyDescent="0.25">
      <c r="P265" s="120"/>
      <c r="Q265" s="147"/>
      <c r="R265" s="121"/>
      <c r="S265" s="143"/>
      <c r="U265" s="1"/>
      <c r="V265" s="37"/>
      <c r="AA265" s="55"/>
    </row>
    <row r="266" spans="3:27" ht="15.75" x14ac:dyDescent="0.25">
      <c r="P266" s="120"/>
      <c r="Q266" s="147"/>
      <c r="R266" s="121"/>
      <c r="S266" s="143"/>
      <c r="U266" s="1"/>
      <c r="V266" s="37"/>
      <c r="AA266" s="55"/>
    </row>
    <row r="267" spans="3:27" ht="15.75" x14ac:dyDescent="0.25">
      <c r="P267" s="120" t="str">
        <f>P14</f>
        <v>R10</v>
      </c>
      <c r="Q267" s="147" t="str">
        <f>Q14</f>
        <v xml:space="preserve"> =</v>
      </c>
      <c r="R267" s="120">
        <f>R14</f>
        <v>1</v>
      </c>
      <c r="S267" s="143" t="str">
        <f>S14</f>
        <v>Ω</v>
      </c>
      <c r="U267" s="163" t="str">
        <f>U15</f>
        <v>UTot</v>
      </c>
      <c r="V267" s="201" t="str">
        <f>V15</f>
        <v xml:space="preserve"> =</v>
      </c>
      <c r="W267" s="163">
        <f>W15</f>
        <v>12</v>
      </c>
      <c r="X267" s="169" t="str">
        <f>X15</f>
        <v>V</v>
      </c>
      <c r="AA267" s="55"/>
    </row>
    <row r="268" spans="3:27" ht="15.75" x14ac:dyDescent="0.25">
      <c r="H268" s="168">
        <f>$W$273</f>
        <v>7.8930481283422456</v>
      </c>
      <c r="P268" s="120" t="str">
        <f>P226</f>
        <v>R123456789</v>
      </c>
      <c r="Q268" s="147" t="str">
        <f>Q226</f>
        <v xml:space="preserve"> =</v>
      </c>
      <c r="R268" s="120">
        <f>R226</f>
        <v>0.52032520325203258</v>
      </c>
      <c r="S268" s="143" t="str">
        <f>S226</f>
        <v>Ω</v>
      </c>
      <c r="U268" s="1" t="str">
        <f>P273</f>
        <v>RTot</v>
      </c>
      <c r="V268" s="37" t="str">
        <f>Q273</f>
        <v xml:space="preserve"> =</v>
      </c>
      <c r="W268" s="1">
        <f>R273</f>
        <v>1.5203252032520327</v>
      </c>
      <c r="X268" t="str">
        <f>S273</f>
        <v>Ω</v>
      </c>
      <c r="AA268" s="55"/>
    </row>
    <row r="269" spans="3:27" ht="15.75" x14ac:dyDescent="0.25">
      <c r="P269" s="120"/>
      <c r="Q269" s="147"/>
      <c r="R269" s="121"/>
      <c r="S269" s="143"/>
      <c r="U269" s="1"/>
      <c r="V269" s="37"/>
      <c r="AA269" s="55"/>
    </row>
    <row r="270" spans="3:27" ht="15.75" x14ac:dyDescent="0.25">
      <c r="P270" s="120"/>
      <c r="Q270" s="147"/>
      <c r="R270" s="121"/>
      <c r="S270" s="143"/>
      <c r="U270" s="1"/>
      <c r="V270" s="37"/>
      <c r="AA270" s="55"/>
    </row>
    <row r="271" spans="3:27" ht="15.75" x14ac:dyDescent="0.25">
      <c r="P271" s="120"/>
      <c r="Q271" s="147"/>
      <c r="R271" s="121"/>
      <c r="S271" s="143"/>
      <c r="U271" s="1"/>
      <c r="V271" s="37"/>
      <c r="AA271" s="55"/>
    </row>
    <row r="272" spans="3:27" ht="30.75" x14ac:dyDescent="0.55000000000000004">
      <c r="P272" s="125" t="s">
        <v>357</v>
      </c>
      <c r="Q272" s="135" t="s">
        <v>328</v>
      </c>
      <c r="R272" s="126" t="s">
        <v>355</v>
      </c>
      <c r="S272" s="181"/>
      <c r="U272" s="127" t="s">
        <v>356</v>
      </c>
      <c r="V272" s="198" t="s">
        <v>328</v>
      </c>
      <c r="W272" s="149" t="s">
        <v>365</v>
      </c>
      <c r="X272" s="196"/>
      <c r="AA272" s="55"/>
    </row>
    <row r="273" spans="9:27" ht="30.75" x14ac:dyDescent="0.55000000000000004">
      <c r="I273" s="164">
        <f>W267</f>
        <v>12</v>
      </c>
      <c r="P273" s="151" t="s">
        <v>357</v>
      </c>
      <c r="Q273" s="140" t="s">
        <v>328</v>
      </c>
      <c r="R273" s="152">
        <f>R267+R268</f>
        <v>1.5203252032520327</v>
      </c>
      <c r="S273" s="182" t="s">
        <v>317</v>
      </c>
      <c r="U273" s="155" t="s">
        <v>406</v>
      </c>
      <c r="V273" s="205" t="s">
        <v>328</v>
      </c>
      <c r="W273" s="156">
        <f>W267/W268</f>
        <v>7.8930481283422456</v>
      </c>
      <c r="X273" s="156" t="s">
        <v>38</v>
      </c>
      <c r="AA273" s="55"/>
    </row>
    <row r="274" spans="9:27" ht="15.75" x14ac:dyDescent="0.25">
      <c r="P274" s="120"/>
      <c r="Q274" s="147"/>
      <c r="R274" s="121"/>
      <c r="S274" s="143"/>
      <c r="U274" s="1"/>
      <c r="V274" s="37"/>
      <c r="AA274" s="55"/>
    </row>
    <row r="275" spans="9:27" ht="15.75" x14ac:dyDescent="0.25">
      <c r="P275" s="120"/>
      <c r="Q275" s="147"/>
      <c r="R275" s="121"/>
      <c r="S275" s="143"/>
      <c r="U275" s="1"/>
      <c r="V275" s="37"/>
      <c r="AA275" s="55"/>
    </row>
    <row r="276" spans="9:27" ht="15.75" x14ac:dyDescent="0.25">
      <c r="P276" s="120"/>
      <c r="Q276" s="147"/>
      <c r="R276" s="121"/>
      <c r="S276" s="143"/>
      <c r="U276" s="1"/>
      <c r="V276" s="37"/>
      <c r="AA276" s="55"/>
    </row>
    <row r="277" spans="9:27" ht="15.75" x14ac:dyDescent="0.25">
      <c r="P277" s="120"/>
      <c r="Q277" s="147"/>
      <c r="R277" s="121"/>
      <c r="S277" s="143"/>
      <c r="U277" s="1"/>
      <c r="V277" s="37"/>
      <c r="AA277" s="55"/>
    </row>
    <row r="278" spans="9:27" ht="15.75" x14ac:dyDescent="0.25">
      <c r="P278" s="120"/>
      <c r="Q278" s="147"/>
      <c r="R278" s="121"/>
      <c r="S278" s="143"/>
      <c r="U278" s="1"/>
      <c r="V278" s="37"/>
      <c r="AA278" s="55"/>
    </row>
    <row r="279" spans="9:27" ht="15.75" x14ac:dyDescent="0.25">
      <c r="P279" s="120"/>
      <c r="Q279" s="147"/>
      <c r="R279" s="121"/>
      <c r="S279" s="143"/>
      <c r="U279" s="1"/>
      <c r="V279" s="37"/>
      <c r="AA279" s="55"/>
    </row>
    <row r="280" spans="9:27" ht="15.75" x14ac:dyDescent="0.25">
      <c r="P280" s="120"/>
      <c r="Q280" s="147"/>
      <c r="R280" s="121"/>
      <c r="S280" s="143"/>
      <c r="U280" s="1"/>
      <c r="V280" s="37"/>
      <c r="AA280" s="55"/>
    </row>
    <row r="281" spans="9:27" ht="15.75" x14ac:dyDescent="0.25">
      <c r="P281" s="120"/>
      <c r="Q281" s="147"/>
      <c r="R281" s="121"/>
      <c r="S281" s="143"/>
      <c r="U281" s="1"/>
      <c r="V281" s="37"/>
      <c r="AA281" s="55"/>
    </row>
    <row r="282" spans="9:27" ht="15.75" x14ac:dyDescent="0.25">
      <c r="P282" s="120"/>
      <c r="Q282" s="147"/>
      <c r="R282" s="121"/>
      <c r="S282" s="143"/>
      <c r="U282" s="1"/>
      <c r="V282" s="37"/>
      <c r="AA282" s="55"/>
    </row>
    <row r="283" spans="9:27" ht="15.75" x14ac:dyDescent="0.25">
      <c r="P283" s="120"/>
      <c r="Q283" s="147"/>
      <c r="R283" s="121"/>
      <c r="S283" s="143"/>
      <c r="U283" s="1"/>
      <c r="V283" s="37"/>
      <c r="AA283" s="55"/>
    </row>
    <row r="284" spans="9:27" ht="15.75" x14ac:dyDescent="0.25">
      <c r="P284" s="120"/>
      <c r="Q284" s="147"/>
      <c r="R284" s="121"/>
      <c r="S284" s="143"/>
      <c r="U284" s="1"/>
      <c r="V284" s="37"/>
      <c r="AA284" s="55"/>
    </row>
    <row r="285" spans="9:27" ht="15.75" x14ac:dyDescent="0.25">
      <c r="P285" s="120"/>
      <c r="Q285" s="147"/>
      <c r="R285" s="121"/>
      <c r="S285" s="143"/>
      <c r="U285" s="1"/>
      <c r="V285" s="37"/>
      <c r="AA285" s="55"/>
    </row>
  </sheetData>
  <pageMargins left="0.7" right="0.7" top="0.78740157499999996" bottom="0.78740157499999996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" id="{9BC1C921-8A7C-4043-8F5A-6A2CA2797CEE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Symbols" iconId="0"/>
              <x14:cfIcon iconSet="3Symbols" iconId="0"/>
              <x14:cfIcon iconSet="3Symbols" iconId="2"/>
            </x14:iconSet>
          </x14:cfRule>
          <xm:sqref>V71</xm:sqref>
        </x14:conditionalFormatting>
        <x14:conditionalFormatting xmlns:xm="http://schemas.microsoft.com/office/excel/2006/main">
          <x14:cfRule type="iconSet" priority="1" id="{4607DC92-ECD0-4971-AA83-96ACFDE9B154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Symbols" iconId="0"/>
              <x14:cfIcon iconSet="3Symbols" iconId="0"/>
              <x14:cfIcon iconSet="3Symbols" iconId="2"/>
            </x14:iconSet>
          </x14:cfRule>
          <xm:sqref>V73</xm:sqref>
        </x14:conditionalFormatting>
        <x14:conditionalFormatting xmlns:xm="http://schemas.microsoft.com/office/excel/2006/main">
          <x14:cfRule type="iconSet" priority="3" id="{A28A9E30-55EF-4D65-AEA8-ADEFA80613F6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Symbols" iconId="0"/>
              <x14:cfIcon iconSet="3Symbols" iconId="0"/>
              <x14:cfIcon iconSet="3Symbols" iconId="2"/>
            </x14:iconSet>
          </x14:cfRule>
          <xm:sqref>V104</xm:sqref>
        </x14:conditionalFormatting>
        <x14:conditionalFormatting xmlns:xm="http://schemas.microsoft.com/office/excel/2006/main">
          <x14:cfRule type="iconSet" priority="5" id="{D647EB0F-1563-4863-86E6-6D27818CC4C9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Symbols" iconId="0"/>
              <x14:cfIcon iconSet="3Symbols" iconId="0"/>
              <x14:cfIcon iconSet="3Symbols" iconId="2"/>
            </x14:iconSet>
          </x14:cfRule>
          <xm:sqref>V146 W145</xm:sqref>
        </x14:conditionalFormatting>
        <x14:conditionalFormatting xmlns:xm="http://schemas.microsoft.com/office/excel/2006/main">
          <x14:cfRule type="iconSet" priority="6" id="{51F77C4E-1D6D-4316-89A2-4DAD33F460B1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Symbols" iconId="0"/>
              <x14:cfIcon iconSet="3Symbols" iconId="0"/>
              <x14:cfIcon iconSet="3Symbols" iconId="2"/>
            </x14:iconSet>
          </x14:cfRule>
          <xm:sqref>V186 W188</xm:sqref>
        </x14:conditionalFormatting>
        <x14:conditionalFormatting xmlns:xm="http://schemas.microsoft.com/office/excel/2006/main">
          <x14:cfRule type="iconSet" priority="4" id="{496A24DC-8642-4524-80B7-B244D0499804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Symbols" iconId="0"/>
              <x14:cfIcon iconSet="3Symbols" iconId="0"/>
              <x14:cfIcon iconSet="3Symbols" iconId="2"/>
            </x14:iconSet>
          </x14:cfRule>
          <xm:sqref>W230 V232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DF1E5-940D-4D56-BF48-9B90FA3EA2CE}">
  <dimension ref="B2:AM42"/>
  <sheetViews>
    <sheetView showGridLines="0" topLeftCell="A6" zoomScale="130" zoomScaleNormal="130" workbookViewId="0">
      <selection activeCell="B15" sqref="B15"/>
    </sheetView>
  </sheetViews>
  <sheetFormatPr baseColWidth="10" defaultRowHeight="15" x14ac:dyDescent="0.25"/>
  <cols>
    <col min="3" max="3" width="13.140625" customWidth="1"/>
    <col min="7" max="7" width="12.42578125" customWidth="1"/>
    <col min="8" max="8" width="17.42578125" customWidth="1"/>
    <col min="12" max="12" width="17.85546875" customWidth="1"/>
    <col min="14" max="14" width="4.140625" customWidth="1"/>
    <col min="15" max="15" width="6.140625" customWidth="1"/>
    <col min="18" max="18" width="20" customWidth="1"/>
  </cols>
  <sheetData>
    <row r="2" spans="3:23" ht="23.25" x14ac:dyDescent="0.35">
      <c r="C2" s="9" t="s">
        <v>922</v>
      </c>
    </row>
    <row r="7" spans="3:23" ht="18" x14ac:dyDescent="0.35">
      <c r="H7" s="5" t="s">
        <v>923</v>
      </c>
      <c r="K7" s="5" t="s">
        <v>866</v>
      </c>
      <c r="L7" s="8" t="s">
        <v>927</v>
      </c>
      <c r="M7" s="4">
        <v>1</v>
      </c>
      <c r="N7" s="4" t="s">
        <v>694</v>
      </c>
      <c r="O7" s="5" t="str">
        <f>Einheitenvorsätze!$B$61</f>
        <v>Ω</v>
      </c>
      <c r="P7" s="77">
        <f>VLOOKUP(N7, CHOOSE({1,2,3,4,5}, Einheitenvorsätze!A:A, Einheitenvorsätze!B:B, Einheitenvorsätze!C:C, Einheitenvorsätze!D:D, Einheitenvorsätze!E:E), 5, FALSE)</f>
        <v>3</v>
      </c>
      <c r="Q7" s="77">
        <f>M7*VLOOKUP(N7, CHOOSE({1,2,3,4}, Einheitenvorsätze!A:A, Einheitenvorsätze!B:B, Einheitenvorsätze!C:C, Einheitenvorsätze!D:D), 3, FALSE)</f>
        <v>1000</v>
      </c>
      <c r="R7" s="8" t="s">
        <v>939</v>
      </c>
      <c r="S7" s="4">
        <v>2.4</v>
      </c>
      <c r="T7" s="4" t="s">
        <v>694</v>
      </c>
      <c r="U7" s="5" t="str">
        <f>Einheitenvorsätze!$B$61</f>
        <v>Ω</v>
      </c>
      <c r="V7" s="77">
        <f>VLOOKUP(T7, CHOOSE({1,2,3,4,5}, Einheitenvorsätze!A:A, Einheitenvorsätze!B:B, Einheitenvorsätze!C:C, Einheitenvorsätze!D:D, Einheitenvorsätze!E:E), 5, FALSE)</f>
        <v>3</v>
      </c>
      <c r="W7" s="77">
        <f>S7*VLOOKUP(T7, CHOOSE({1,2,3,4}, Einheitenvorsätze!A:A, Einheitenvorsätze!B:B, Einheitenvorsätze!C:C, Einheitenvorsätze!D:D), 3, FALSE)</f>
        <v>2400</v>
      </c>
    </row>
    <row r="8" spans="3:23" ht="18" x14ac:dyDescent="0.35">
      <c r="H8" s="5"/>
      <c r="K8" s="5"/>
      <c r="L8" s="8" t="s">
        <v>928</v>
      </c>
      <c r="M8" s="4">
        <v>3</v>
      </c>
      <c r="N8" s="4" t="s">
        <v>694</v>
      </c>
      <c r="O8" s="5" t="str">
        <f>Einheitenvorsätze!$B$61</f>
        <v>Ω</v>
      </c>
      <c r="P8" s="77">
        <f>VLOOKUP(N8, CHOOSE({1,2,3,4,5}, Einheitenvorsätze!A:A, Einheitenvorsätze!B:B, Einheitenvorsätze!C:C, Einheitenvorsätze!D:D, Einheitenvorsätze!E:E), 5, FALSE)</f>
        <v>3</v>
      </c>
      <c r="Q8" s="77">
        <f>M8*VLOOKUP(N8, CHOOSE({1,2,3,4}, Einheitenvorsätze!A:A, Einheitenvorsätze!B:B, Einheitenvorsätze!C:C, Einheitenvorsätze!D:D), 3, FALSE)</f>
        <v>3000</v>
      </c>
      <c r="R8" s="8" t="s">
        <v>940</v>
      </c>
      <c r="S8" s="4">
        <v>7.2</v>
      </c>
      <c r="T8" s="4" t="s">
        <v>694</v>
      </c>
      <c r="U8" s="5" t="str">
        <f>Einheitenvorsätze!$B$61</f>
        <v>Ω</v>
      </c>
      <c r="V8" s="77">
        <f>VLOOKUP(T8, CHOOSE({1,2,3,4,5}, Einheitenvorsätze!A:A, Einheitenvorsätze!B:B, Einheitenvorsätze!C:C, Einheitenvorsätze!D:D, Einheitenvorsätze!E:E), 5, FALSE)</f>
        <v>3</v>
      </c>
      <c r="W8" s="77">
        <f>S8*VLOOKUP(T8, CHOOSE({1,2,3,4}, Einheitenvorsätze!A:A, Einheitenvorsätze!B:B, Einheitenvorsätze!C:C, Einheitenvorsätze!D:D), 3, FALSE)</f>
        <v>7200</v>
      </c>
    </row>
    <row r="9" spans="3:23" ht="18" x14ac:dyDescent="0.35">
      <c r="H9" s="434" t="s">
        <v>924</v>
      </c>
      <c r="K9" s="5"/>
      <c r="L9" s="8" t="s">
        <v>929</v>
      </c>
      <c r="M9" s="4">
        <v>3</v>
      </c>
      <c r="N9" s="4" t="s">
        <v>694</v>
      </c>
      <c r="O9" s="5" t="str">
        <f>Einheitenvorsätze!$B$61</f>
        <v>Ω</v>
      </c>
      <c r="P9" s="77">
        <f>VLOOKUP(N9, CHOOSE({1,2,3,4,5}, Einheitenvorsätze!A:A, Einheitenvorsätze!B:B, Einheitenvorsätze!C:C, Einheitenvorsätze!D:D, Einheitenvorsätze!E:E), 5, FALSE)</f>
        <v>3</v>
      </c>
      <c r="Q9" s="77">
        <f>M9*VLOOKUP(N9, CHOOSE({1,2,3,4}, Einheitenvorsätze!A:A, Einheitenvorsätze!B:B, Einheitenvorsätze!C:C, Einheitenvorsätze!D:D), 3, FALSE)</f>
        <v>3000</v>
      </c>
    </row>
    <row r="10" spans="3:23" ht="18" x14ac:dyDescent="0.35">
      <c r="H10" s="434" t="s">
        <v>925</v>
      </c>
      <c r="K10" s="5"/>
      <c r="L10" s="8" t="s">
        <v>930</v>
      </c>
      <c r="M10" s="4">
        <v>12</v>
      </c>
      <c r="N10" s="4" t="s">
        <v>703</v>
      </c>
      <c r="O10" s="5" t="s">
        <v>316</v>
      </c>
      <c r="P10" s="77">
        <f>VLOOKUP(N10, CHOOSE({1,2,3,4,5}, Einheitenvorsätze!A:A, Einheitenvorsätze!B:B, Einheitenvorsätze!C:C, Einheitenvorsätze!D:D, Einheitenvorsätze!E:E), 5, FALSE)</f>
        <v>0</v>
      </c>
      <c r="Q10" s="77">
        <f>M10*VLOOKUP(N10, CHOOSE({1,2,3,4}, Einheitenvorsätze!A:A, Einheitenvorsätze!B:B, Einheitenvorsätze!C:C, Einheitenvorsätze!D:D), 3, FALSE)</f>
        <v>12</v>
      </c>
    </row>
    <row r="11" spans="3:23" ht="18" x14ac:dyDescent="0.35">
      <c r="H11" s="5"/>
      <c r="L11" s="8" t="s">
        <v>941</v>
      </c>
      <c r="M11" s="5"/>
      <c r="N11" s="5"/>
      <c r="O11" s="5"/>
      <c r="P11" s="5"/>
      <c r="Q11" s="77">
        <f>Q7/Q8</f>
        <v>0.33333333333333331</v>
      </c>
      <c r="R11" s="8" t="s">
        <v>942</v>
      </c>
      <c r="S11" s="5"/>
      <c r="T11" s="5"/>
      <c r="U11" s="5"/>
      <c r="V11" s="5"/>
      <c r="W11" s="77">
        <f>W7/W8</f>
        <v>0.33333333333333331</v>
      </c>
    </row>
    <row r="12" spans="3:23" ht="18" x14ac:dyDescent="0.35">
      <c r="H12" s="298" t="s">
        <v>926</v>
      </c>
      <c r="L12" s="8" t="s">
        <v>945</v>
      </c>
      <c r="M12" s="5"/>
      <c r="N12" s="5"/>
      <c r="O12" s="5"/>
      <c r="P12" s="5"/>
      <c r="Q12" s="77">
        <f>1-Q7/(Q7+Q8)</f>
        <v>0.75</v>
      </c>
      <c r="R12" s="8" t="s">
        <v>945</v>
      </c>
      <c r="S12" s="5"/>
      <c r="T12" s="5"/>
      <c r="U12" s="5"/>
      <c r="V12" s="5"/>
      <c r="W12" s="77">
        <f>1-W7/(W7+W8)</f>
        <v>0.75</v>
      </c>
    </row>
    <row r="13" spans="3:23" ht="18" x14ac:dyDescent="0.35">
      <c r="L13" s="8" t="s">
        <v>946</v>
      </c>
      <c r="M13" s="5"/>
      <c r="N13" s="5"/>
      <c r="O13" s="5"/>
      <c r="P13" s="5"/>
      <c r="Q13" s="77">
        <f>$M$10*Q12</f>
        <v>9</v>
      </c>
      <c r="R13" s="8" t="s">
        <v>946</v>
      </c>
      <c r="S13" s="5"/>
      <c r="T13" s="5"/>
      <c r="U13" s="5"/>
      <c r="V13" s="5"/>
      <c r="W13" s="77">
        <f>$M$10*W12</f>
        <v>9</v>
      </c>
    </row>
    <row r="14" spans="3:23" ht="18" x14ac:dyDescent="0.35">
      <c r="K14" s="8" t="s">
        <v>931</v>
      </c>
      <c r="L14" s="95" t="s">
        <v>932</v>
      </c>
      <c r="M14" s="77">
        <f>Q7 + (1/(1/Q8 + 1/Q9))</f>
        <v>2500</v>
      </c>
      <c r="N14" s="5" t="str">
        <f>Einheitenvorsätze!$B$61</f>
        <v>Ω</v>
      </c>
    </row>
    <row r="15" spans="3:23" ht="18" x14ac:dyDescent="0.35">
      <c r="K15" s="292" t="s">
        <v>933</v>
      </c>
      <c r="L15" s="95" t="s">
        <v>934</v>
      </c>
      <c r="M15" s="77">
        <f>Q10/M14</f>
        <v>4.7999999999999996E-3</v>
      </c>
      <c r="N15" s="5" t="s">
        <v>38</v>
      </c>
    </row>
    <row r="16" spans="3:23" ht="18" x14ac:dyDescent="0.35">
      <c r="K16" s="293" t="s">
        <v>935</v>
      </c>
      <c r="L16" s="95" t="s">
        <v>936</v>
      </c>
      <c r="M16" s="77">
        <f>Q7*M15</f>
        <v>4.8</v>
      </c>
      <c r="N16" s="5" t="s">
        <v>316</v>
      </c>
    </row>
    <row r="17" spans="2:39" ht="18" x14ac:dyDescent="0.35">
      <c r="K17" s="293" t="s">
        <v>937</v>
      </c>
      <c r="L17" s="95" t="s">
        <v>938</v>
      </c>
      <c r="M17" s="77">
        <f>Q10-M16</f>
        <v>7.2</v>
      </c>
      <c r="N17" s="5" t="s">
        <v>316</v>
      </c>
    </row>
    <row r="26" spans="2:39" x14ac:dyDescent="0.25">
      <c r="C26" s="8" t="s">
        <v>313</v>
      </c>
      <c r="D26" s="4">
        <v>1</v>
      </c>
      <c r="E26" s="4" t="s">
        <v>694</v>
      </c>
      <c r="F26" s="77">
        <f>$D$26*VLOOKUP(E26, CHOOSE({1,2,3,4}, Einheitenvorsätze!A:A, Einheitenvorsätze!B:B, Einheitenvorsätze!C:C, Einheitenvorsätze!D:D), 3, FALSE)</f>
        <v>1000</v>
      </c>
    </row>
    <row r="27" spans="2:39" ht="18" x14ac:dyDescent="0.35">
      <c r="B27" s="5"/>
      <c r="C27" s="8" t="s">
        <v>929</v>
      </c>
      <c r="D27" s="4">
        <v>0</v>
      </c>
      <c r="E27" s="77">
        <f>D27+$F$26</f>
        <v>1000</v>
      </c>
      <c r="F27" s="77">
        <f t="shared" ref="F27:AM27" si="0">E27+$F$26</f>
        <v>2000</v>
      </c>
      <c r="G27" s="77">
        <f t="shared" si="0"/>
        <v>3000</v>
      </c>
      <c r="H27" s="77">
        <f t="shared" si="0"/>
        <v>4000</v>
      </c>
      <c r="I27" s="77">
        <f t="shared" si="0"/>
        <v>5000</v>
      </c>
      <c r="J27" s="77">
        <f t="shared" si="0"/>
        <v>6000</v>
      </c>
      <c r="K27" s="77">
        <f t="shared" si="0"/>
        <v>7000</v>
      </c>
      <c r="L27" s="77">
        <f t="shared" si="0"/>
        <v>8000</v>
      </c>
      <c r="M27" s="77">
        <f t="shared" si="0"/>
        <v>9000</v>
      </c>
      <c r="N27" s="77">
        <f t="shared" si="0"/>
        <v>10000</v>
      </c>
      <c r="O27" s="77">
        <f t="shared" si="0"/>
        <v>11000</v>
      </c>
      <c r="P27" s="77">
        <f t="shared" si="0"/>
        <v>12000</v>
      </c>
      <c r="Q27" s="77">
        <f t="shared" si="0"/>
        <v>13000</v>
      </c>
      <c r="R27" s="77">
        <f t="shared" si="0"/>
        <v>14000</v>
      </c>
      <c r="S27" s="77">
        <f t="shared" si="0"/>
        <v>15000</v>
      </c>
      <c r="T27" s="77">
        <f t="shared" si="0"/>
        <v>16000</v>
      </c>
      <c r="U27" s="77">
        <f t="shared" si="0"/>
        <v>17000</v>
      </c>
      <c r="V27" s="77">
        <f t="shared" si="0"/>
        <v>18000</v>
      </c>
      <c r="W27" s="77">
        <f t="shared" si="0"/>
        <v>19000</v>
      </c>
      <c r="X27" s="77">
        <f t="shared" si="0"/>
        <v>20000</v>
      </c>
      <c r="Y27" s="77">
        <f t="shared" si="0"/>
        <v>21000</v>
      </c>
      <c r="Z27" s="77">
        <f t="shared" si="0"/>
        <v>22000</v>
      </c>
      <c r="AA27" s="77">
        <f t="shared" si="0"/>
        <v>23000</v>
      </c>
      <c r="AB27" s="77">
        <f t="shared" si="0"/>
        <v>24000</v>
      </c>
      <c r="AC27" s="77">
        <f t="shared" si="0"/>
        <v>25000</v>
      </c>
      <c r="AD27" s="77">
        <f t="shared" si="0"/>
        <v>26000</v>
      </c>
      <c r="AE27" s="77">
        <f t="shared" si="0"/>
        <v>27000</v>
      </c>
      <c r="AF27" s="77">
        <f t="shared" si="0"/>
        <v>28000</v>
      </c>
      <c r="AG27" s="77">
        <f t="shared" si="0"/>
        <v>29000</v>
      </c>
      <c r="AH27" s="77">
        <f t="shared" si="0"/>
        <v>30000</v>
      </c>
      <c r="AI27" s="77">
        <f t="shared" si="0"/>
        <v>31000</v>
      </c>
      <c r="AJ27" s="77">
        <f t="shared" si="0"/>
        <v>32000</v>
      </c>
      <c r="AK27" s="77">
        <f t="shared" si="0"/>
        <v>33000</v>
      </c>
      <c r="AL27" s="77">
        <f t="shared" si="0"/>
        <v>34000</v>
      </c>
      <c r="AM27" s="77">
        <f t="shared" si="0"/>
        <v>35000</v>
      </c>
    </row>
    <row r="28" spans="2:39" ht="18" x14ac:dyDescent="0.35">
      <c r="B28" s="8" t="s">
        <v>931</v>
      </c>
      <c r="C28" s="95" t="s">
        <v>932</v>
      </c>
      <c r="D28" s="212">
        <f>IF(D27=0,$Q$7,$Q$7 + (1/(1/$Q$8 + 1/D27)))</f>
        <v>1000</v>
      </c>
      <c r="E28" s="212">
        <f t="shared" ref="E28:H28" si="1">$Q$7 + (1/(1/$Q$8 + 1/E27))</f>
        <v>1750</v>
      </c>
      <c r="F28" s="212">
        <f t="shared" si="1"/>
        <v>2200</v>
      </c>
      <c r="G28" s="212">
        <f t="shared" si="1"/>
        <v>2500</v>
      </c>
      <c r="H28" s="212">
        <f t="shared" si="1"/>
        <v>2714.2857142857147</v>
      </c>
      <c r="I28" s="212">
        <f t="shared" ref="I28" si="2">$Q$7 + (1/(1/$Q$8 + 1/I27))</f>
        <v>2875</v>
      </c>
      <c r="J28" s="212">
        <f t="shared" ref="J28" si="3">$Q$7 + (1/(1/$Q$8 + 1/J27))</f>
        <v>3000</v>
      </c>
      <c r="K28" s="212">
        <f t="shared" ref="K28:L28" si="4">$Q$7 + (1/(1/$Q$8 + 1/K27))</f>
        <v>3100</v>
      </c>
      <c r="L28" s="212">
        <f t="shared" si="4"/>
        <v>3181.818181818182</v>
      </c>
      <c r="M28" s="212">
        <f t="shared" ref="M28" si="5">$Q$7 + (1/(1/$Q$8 + 1/M27))</f>
        <v>3250</v>
      </c>
      <c r="N28" s="212">
        <f t="shared" ref="N28" si="6">$Q$7 + (1/(1/$Q$8 + 1/N27))</f>
        <v>3307.6923076923076</v>
      </c>
      <c r="O28" s="212">
        <f t="shared" ref="O28:P28" si="7">$Q$7 + (1/(1/$Q$8 + 1/O27))</f>
        <v>3357.1428571428573</v>
      </c>
      <c r="P28" s="212">
        <f t="shared" si="7"/>
        <v>3400</v>
      </c>
      <c r="Q28" s="212">
        <f t="shared" ref="Q28" si="8">$Q$7 + (1/(1/$Q$8 + 1/Q27))</f>
        <v>3437.5</v>
      </c>
      <c r="R28" s="212">
        <f t="shared" ref="R28" si="9">$Q$7 + (1/(1/$Q$8 + 1/R27))</f>
        <v>3470.588235294118</v>
      </c>
      <c r="S28" s="212">
        <f t="shared" ref="S28:T28" si="10">$Q$7 + (1/(1/$Q$8 + 1/S27))</f>
        <v>3500</v>
      </c>
      <c r="T28" s="212">
        <f t="shared" si="10"/>
        <v>3526.3157894736842</v>
      </c>
      <c r="U28" s="212">
        <f t="shared" ref="U28" si="11">$Q$7 + (1/(1/$Q$8 + 1/U27))</f>
        <v>3550</v>
      </c>
      <c r="V28" s="212">
        <f t="shared" ref="V28" si="12">$Q$7 + (1/(1/$Q$8 + 1/V27))</f>
        <v>3571.4285714285716</v>
      </c>
      <c r="W28" s="212">
        <f t="shared" ref="W28:X28" si="13">$Q$7 + (1/(1/$Q$8 + 1/W27))</f>
        <v>3590.909090909091</v>
      </c>
      <c r="X28" s="212">
        <f t="shared" si="13"/>
        <v>3608.695652173913</v>
      </c>
      <c r="Y28" s="212">
        <f t="shared" ref="Y28" si="14">$Q$7 + (1/(1/$Q$8 + 1/Y27))</f>
        <v>3625</v>
      </c>
      <c r="Z28" s="212">
        <f t="shared" ref="Z28" si="15">$Q$7 + (1/(1/$Q$8 + 1/Z27))</f>
        <v>3640</v>
      </c>
      <c r="AA28" s="212">
        <f t="shared" ref="AA28:AB28" si="16">$Q$7 + (1/(1/$Q$8 + 1/AA27))</f>
        <v>3653.8461538461538</v>
      </c>
      <c r="AB28" s="212">
        <f t="shared" si="16"/>
        <v>3666.6666666666665</v>
      </c>
      <c r="AC28" s="212">
        <f t="shared" ref="AC28" si="17">$Q$7 + (1/(1/$Q$8 + 1/AC27))</f>
        <v>3678.5714285714289</v>
      </c>
      <c r="AD28" s="212">
        <f t="shared" ref="AD28" si="18">$Q$7 + (1/(1/$Q$8 + 1/AD27))</f>
        <v>3689.655172413793</v>
      </c>
      <c r="AE28" s="212">
        <f t="shared" ref="AE28:AF28" si="19">$Q$7 + (1/(1/$Q$8 + 1/AE27))</f>
        <v>3700</v>
      </c>
      <c r="AF28" s="212">
        <f t="shared" si="19"/>
        <v>3709.6774193548385</v>
      </c>
      <c r="AG28" s="212">
        <f t="shared" ref="AG28" si="20">$Q$7 + (1/(1/$Q$8 + 1/AG27))</f>
        <v>3718.75</v>
      </c>
      <c r="AH28" s="212">
        <f t="shared" ref="AH28" si="21">$Q$7 + (1/(1/$Q$8 + 1/AH27))</f>
        <v>3727.272727272727</v>
      </c>
      <c r="AI28" s="212">
        <f t="shared" ref="AI28:AJ28" si="22">$Q$7 + (1/(1/$Q$8 + 1/AI27))</f>
        <v>3735.2941176470586</v>
      </c>
      <c r="AJ28" s="212">
        <f t="shared" si="22"/>
        <v>3742.8571428571431</v>
      </c>
      <c r="AK28" s="212">
        <f t="shared" ref="AK28" si="23">$Q$7 + (1/(1/$Q$8 + 1/AK27))</f>
        <v>3750</v>
      </c>
      <c r="AL28" s="212">
        <f t="shared" ref="AL28" si="24">$Q$7 + (1/(1/$Q$8 + 1/AL27))</f>
        <v>3756.7567567567567</v>
      </c>
      <c r="AM28" s="212">
        <f t="shared" ref="AM28" si="25">$Q$7 + (1/(1/$Q$8 + 1/AM27))</f>
        <v>3763.1578947368421</v>
      </c>
    </row>
    <row r="29" spans="2:39" ht="18" x14ac:dyDescent="0.35">
      <c r="B29" s="292" t="s">
        <v>933</v>
      </c>
      <c r="C29" s="95" t="s">
        <v>934</v>
      </c>
      <c r="D29" s="212">
        <f>$Q$10/D28</f>
        <v>1.2E-2</v>
      </c>
      <c r="E29" s="212">
        <f t="shared" ref="E29:AM29" si="26">$Q$10/E28</f>
        <v>6.8571428571428568E-3</v>
      </c>
      <c r="F29" s="212">
        <f t="shared" si="26"/>
        <v>5.454545454545455E-3</v>
      </c>
      <c r="G29" s="212">
        <f t="shared" si="26"/>
        <v>4.7999999999999996E-3</v>
      </c>
      <c r="H29" s="212">
        <f t="shared" si="26"/>
        <v>4.4210526315789471E-3</v>
      </c>
      <c r="I29" s="212">
        <f t="shared" si="26"/>
        <v>4.1739130434782605E-3</v>
      </c>
      <c r="J29" s="212">
        <f t="shared" si="26"/>
        <v>4.0000000000000001E-3</v>
      </c>
      <c r="K29" s="212">
        <f t="shared" si="26"/>
        <v>3.8709677419354839E-3</v>
      </c>
      <c r="L29" s="212">
        <f t="shared" si="26"/>
        <v>3.7714285714285714E-3</v>
      </c>
      <c r="M29" s="212">
        <f t="shared" si="26"/>
        <v>3.6923076923076922E-3</v>
      </c>
      <c r="N29" s="212">
        <f t="shared" si="26"/>
        <v>3.6279069767441862E-3</v>
      </c>
      <c r="O29" s="212">
        <f t="shared" si="26"/>
        <v>3.5744680851063828E-3</v>
      </c>
      <c r="P29" s="212">
        <f t="shared" si="26"/>
        <v>3.5294117647058825E-3</v>
      </c>
      <c r="Q29" s="212">
        <f t="shared" si="26"/>
        <v>3.490909090909091E-3</v>
      </c>
      <c r="R29" s="212">
        <f t="shared" si="26"/>
        <v>3.4576271186440672E-3</v>
      </c>
      <c r="S29" s="212">
        <f t="shared" si="26"/>
        <v>3.4285714285714284E-3</v>
      </c>
      <c r="T29" s="212">
        <f t="shared" si="26"/>
        <v>3.4029850746268657E-3</v>
      </c>
      <c r="U29" s="212">
        <f t="shared" si="26"/>
        <v>3.3802816901408453E-3</v>
      </c>
      <c r="V29" s="212">
        <f t="shared" si="26"/>
        <v>3.3599999999999997E-3</v>
      </c>
      <c r="W29" s="212">
        <f t="shared" si="26"/>
        <v>3.3417721518987343E-3</v>
      </c>
      <c r="X29" s="212">
        <f t="shared" si="26"/>
        <v>3.3253012048192771E-3</v>
      </c>
      <c r="Y29" s="212">
        <f t="shared" si="26"/>
        <v>3.3103448275862068E-3</v>
      </c>
      <c r="Z29" s="212">
        <f t="shared" si="26"/>
        <v>3.2967032967032967E-3</v>
      </c>
      <c r="AA29" s="212">
        <f t="shared" si="26"/>
        <v>3.2842105263157896E-3</v>
      </c>
      <c r="AB29" s="212">
        <f t="shared" si="26"/>
        <v>3.2727272727272731E-3</v>
      </c>
      <c r="AC29" s="212">
        <f t="shared" si="26"/>
        <v>3.2621359223300966E-3</v>
      </c>
      <c r="AD29" s="212">
        <f t="shared" si="26"/>
        <v>3.2523364485981311E-3</v>
      </c>
      <c r="AE29" s="212">
        <f t="shared" si="26"/>
        <v>3.2432432432432431E-3</v>
      </c>
      <c r="AF29" s="212">
        <f t="shared" si="26"/>
        <v>3.2347826086956523E-3</v>
      </c>
      <c r="AG29" s="212">
        <f t="shared" si="26"/>
        <v>3.2268907563025211E-3</v>
      </c>
      <c r="AH29" s="212">
        <f t="shared" si="26"/>
        <v>3.2195121951219515E-3</v>
      </c>
      <c r="AI29" s="212">
        <f t="shared" si="26"/>
        <v>3.2125984251968505E-3</v>
      </c>
      <c r="AJ29" s="212">
        <f t="shared" si="26"/>
        <v>3.2061068702290076E-3</v>
      </c>
      <c r="AK29" s="212">
        <f t="shared" si="26"/>
        <v>3.2000000000000002E-3</v>
      </c>
      <c r="AL29" s="212">
        <f t="shared" si="26"/>
        <v>3.1942446043165471E-3</v>
      </c>
      <c r="AM29" s="212">
        <f t="shared" si="26"/>
        <v>3.1888111888111886E-3</v>
      </c>
    </row>
    <row r="30" spans="2:39" ht="18" x14ac:dyDescent="0.35">
      <c r="B30" s="293" t="s">
        <v>935</v>
      </c>
      <c r="C30" s="95" t="s">
        <v>936</v>
      </c>
      <c r="D30" s="212">
        <f>$Q$7*D29</f>
        <v>12</v>
      </c>
      <c r="E30" s="212">
        <f t="shared" ref="E30:AM30" si="27">$Q$7*E29</f>
        <v>6.8571428571428568</v>
      </c>
      <c r="F30" s="212">
        <f t="shared" si="27"/>
        <v>5.454545454545455</v>
      </c>
      <c r="G30" s="212">
        <f t="shared" si="27"/>
        <v>4.8</v>
      </c>
      <c r="H30" s="212">
        <f t="shared" si="27"/>
        <v>4.4210526315789469</v>
      </c>
      <c r="I30" s="212">
        <f t="shared" si="27"/>
        <v>4.1739130434782608</v>
      </c>
      <c r="J30" s="212">
        <f t="shared" si="27"/>
        <v>4</v>
      </c>
      <c r="K30" s="212">
        <f t="shared" si="27"/>
        <v>3.870967741935484</v>
      </c>
      <c r="L30" s="212">
        <f t="shared" si="27"/>
        <v>3.7714285714285714</v>
      </c>
      <c r="M30" s="212">
        <f t="shared" si="27"/>
        <v>3.6923076923076921</v>
      </c>
      <c r="N30" s="212">
        <f t="shared" si="27"/>
        <v>3.6279069767441863</v>
      </c>
      <c r="O30" s="212">
        <f t="shared" si="27"/>
        <v>3.5744680851063828</v>
      </c>
      <c r="P30" s="212">
        <f t="shared" si="27"/>
        <v>3.5294117647058827</v>
      </c>
      <c r="Q30" s="212">
        <f t="shared" si="27"/>
        <v>3.4909090909090907</v>
      </c>
      <c r="R30" s="212">
        <f t="shared" si="27"/>
        <v>3.457627118644067</v>
      </c>
      <c r="S30" s="212">
        <f t="shared" si="27"/>
        <v>3.4285714285714284</v>
      </c>
      <c r="T30" s="212">
        <f t="shared" si="27"/>
        <v>3.4029850746268657</v>
      </c>
      <c r="U30" s="212">
        <f t="shared" si="27"/>
        <v>3.3802816901408455</v>
      </c>
      <c r="V30" s="212">
        <f t="shared" si="27"/>
        <v>3.36</v>
      </c>
      <c r="W30" s="212">
        <f t="shared" si="27"/>
        <v>3.3417721518987342</v>
      </c>
      <c r="X30" s="212">
        <f t="shared" si="27"/>
        <v>3.3253012048192772</v>
      </c>
      <c r="Y30" s="212">
        <f t="shared" si="27"/>
        <v>3.3103448275862069</v>
      </c>
      <c r="Z30" s="212">
        <f t="shared" si="27"/>
        <v>3.2967032967032965</v>
      </c>
      <c r="AA30" s="212">
        <f t="shared" si="27"/>
        <v>3.2842105263157895</v>
      </c>
      <c r="AB30" s="212">
        <f t="shared" si="27"/>
        <v>3.2727272727272729</v>
      </c>
      <c r="AC30" s="212">
        <f t="shared" si="27"/>
        <v>3.2621359223300965</v>
      </c>
      <c r="AD30" s="212">
        <f t="shared" si="27"/>
        <v>3.2523364485981312</v>
      </c>
      <c r="AE30" s="212">
        <f t="shared" si="27"/>
        <v>3.243243243243243</v>
      </c>
      <c r="AF30" s="212">
        <f t="shared" si="27"/>
        <v>3.2347826086956522</v>
      </c>
      <c r="AG30" s="212">
        <f t="shared" si="27"/>
        <v>3.2268907563025211</v>
      </c>
      <c r="AH30" s="212">
        <f t="shared" si="27"/>
        <v>3.2195121951219514</v>
      </c>
      <c r="AI30" s="212">
        <f t="shared" si="27"/>
        <v>3.2125984251968505</v>
      </c>
      <c r="AJ30" s="212">
        <f t="shared" si="27"/>
        <v>3.2061068702290076</v>
      </c>
      <c r="AK30" s="212">
        <f t="shared" si="27"/>
        <v>3.2</v>
      </c>
      <c r="AL30" s="212">
        <f t="shared" si="27"/>
        <v>3.1942446043165469</v>
      </c>
      <c r="AM30" s="212">
        <f t="shared" si="27"/>
        <v>3.1888111888111887</v>
      </c>
    </row>
    <row r="31" spans="2:39" ht="18" x14ac:dyDescent="0.35">
      <c r="B31" s="293" t="s">
        <v>937</v>
      </c>
      <c r="C31" s="95" t="s">
        <v>938</v>
      </c>
      <c r="D31" s="212">
        <f>$Q$10-D30</f>
        <v>0</v>
      </c>
      <c r="E31" s="212">
        <f t="shared" ref="E31:AM31" si="28">$Q$10-E30</f>
        <v>5.1428571428571432</v>
      </c>
      <c r="F31" s="212">
        <f t="shared" si="28"/>
        <v>6.545454545454545</v>
      </c>
      <c r="G31" s="212">
        <f t="shared" si="28"/>
        <v>7.2</v>
      </c>
      <c r="H31" s="212">
        <f t="shared" si="28"/>
        <v>7.5789473684210531</v>
      </c>
      <c r="I31" s="212">
        <f t="shared" si="28"/>
        <v>7.8260869565217392</v>
      </c>
      <c r="J31" s="212">
        <f t="shared" si="28"/>
        <v>8</v>
      </c>
      <c r="K31" s="212">
        <f t="shared" si="28"/>
        <v>8.129032258064516</v>
      </c>
      <c r="L31" s="212">
        <f t="shared" si="28"/>
        <v>8.2285714285714278</v>
      </c>
      <c r="M31" s="212">
        <f t="shared" si="28"/>
        <v>8.3076923076923084</v>
      </c>
      <c r="N31" s="212">
        <f t="shared" si="28"/>
        <v>8.3720930232558146</v>
      </c>
      <c r="O31" s="212">
        <f t="shared" si="28"/>
        <v>8.4255319148936181</v>
      </c>
      <c r="P31" s="212">
        <f t="shared" si="28"/>
        <v>8.4705882352941178</v>
      </c>
      <c r="Q31" s="212">
        <f t="shared" si="28"/>
        <v>8.5090909090909097</v>
      </c>
      <c r="R31" s="212">
        <f t="shared" si="28"/>
        <v>8.5423728813559325</v>
      </c>
      <c r="S31" s="212">
        <f t="shared" si="28"/>
        <v>8.5714285714285712</v>
      </c>
      <c r="T31" s="212">
        <f t="shared" si="28"/>
        <v>8.5970149253731343</v>
      </c>
      <c r="U31" s="212">
        <f t="shared" si="28"/>
        <v>8.6197183098591541</v>
      </c>
      <c r="V31" s="212">
        <f t="shared" si="28"/>
        <v>8.64</v>
      </c>
      <c r="W31" s="212">
        <f t="shared" si="28"/>
        <v>8.6582278481012658</v>
      </c>
      <c r="X31" s="212">
        <f t="shared" si="28"/>
        <v>8.6746987951807224</v>
      </c>
      <c r="Y31" s="212">
        <f t="shared" si="28"/>
        <v>8.6896551724137936</v>
      </c>
      <c r="Z31" s="212">
        <f t="shared" si="28"/>
        <v>8.7032967032967044</v>
      </c>
      <c r="AA31" s="212">
        <f t="shared" si="28"/>
        <v>8.715789473684211</v>
      </c>
      <c r="AB31" s="212">
        <f t="shared" si="28"/>
        <v>8.7272727272727266</v>
      </c>
      <c r="AC31" s="212">
        <f t="shared" si="28"/>
        <v>8.7378640776699044</v>
      </c>
      <c r="AD31" s="212">
        <f t="shared" si="28"/>
        <v>8.7476635514018692</v>
      </c>
      <c r="AE31" s="212">
        <f t="shared" si="28"/>
        <v>8.7567567567567579</v>
      </c>
      <c r="AF31" s="212">
        <f t="shared" si="28"/>
        <v>8.765217391304347</v>
      </c>
      <c r="AG31" s="212">
        <f t="shared" si="28"/>
        <v>8.7731092436974798</v>
      </c>
      <c r="AH31" s="212">
        <f t="shared" si="28"/>
        <v>8.7804878048780495</v>
      </c>
      <c r="AI31" s="212">
        <f t="shared" si="28"/>
        <v>8.78740157480315</v>
      </c>
      <c r="AJ31" s="212">
        <f t="shared" si="28"/>
        <v>8.7938931297709928</v>
      </c>
      <c r="AK31" s="212">
        <f t="shared" si="28"/>
        <v>8.8000000000000007</v>
      </c>
      <c r="AL31" s="212">
        <f t="shared" si="28"/>
        <v>8.8057553956834536</v>
      </c>
      <c r="AM31" s="212">
        <f t="shared" si="28"/>
        <v>8.8111888111888117</v>
      </c>
    </row>
    <row r="32" spans="2:39" ht="18" x14ac:dyDescent="0.35">
      <c r="B32" s="8" t="s">
        <v>931</v>
      </c>
      <c r="C32" s="95" t="s">
        <v>943</v>
      </c>
      <c r="D32" s="212">
        <f>IF(D27=0,$W$7,$W$7 + (1/(1/$W$8 + 1/D27)))</f>
        <v>2400</v>
      </c>
      <c r="E32" s="212">
        <f t="shared" ref="E32:AM32" si="29">$W$7 + (1/(1/$W$8 + 1/E27))</f>
        <v>3278.0487804878048</v>
      </c>
      <c r="F32" s="212">
        <f t="shared" si="29"/>
        <v>3965.217391304348</v>
      </c>
      <c r="G32" s="212">
        <f t="shared" si="29"/>
        <v>4517.6470588235297</v>
      </c>
      <c r="H32" s="212">
        <f t="shared" si="29"/>
        <v>4971.4285714285706</v>
      </c>
      <c r="I32" s="212">
        <f t="shared" si="29"/>
        <v>5350.8196721311469</v>
      </c>
      <c r="J32" s="212">
        <f t="shared" si="29"/>
        <v>5672.727272727273</v>
      </c>
      <c r="K32" s="212">
        <f t="shared" si="29"/>
        <v>5949.2957746478878</v>
      </c>
      <c r="L32" s="212">
        <f t="shared" si="29"/>
        <v>6189.4736842105258</v>
      </c>
      <c r="M32" s="212">
        <f t="shared" si="29"/>
        <v>6400</v>
      </c>
      <c r="N32" s="212">
        <f t="shared" si="29"/>
        <v>6586.0465116279065</v>
      </c>
      <c r="O32" s="212">
        <f t="shared" si="29"/>
        <v>6751.6483516483513</v>
      </c>
      <c r="P32" s="212">
        <f t="shared" si="29"/>
        <v>6900</v>
      </c>
      <c r="Q32" s="212">
        <f t="shared" si="29"/>
        <v>7033.6633663366338</v>
      </c>
      <c r="R32" s="212">
        <f t="shared" si="29"/>
        <v>7154.7169811320755</v>
      </c>
      <c r="S32" s="212">
        <f t="shared" si="29"/>
        <v>7264.864864864865</v>
      </c>
      <c r="T32" s="212">
        <f t="shared" si="29"/>
        <v>7365.5172413793107</v>
      </c>
      <c r="U32" s="212">
        <f t="shared" si="29"/>
        <v>7457.8512396694214</v>
      </c>
      <c r="V32" s="212">
        <f t="shared" si="29"/>
        <v>7542.8571428571422</v>
      </c>
      <c r="W32" s="212">
        <f t="shared" si="29"/>
        <v>7621.3740458015263</v>
      </c>
      <c r="X32" s="212">
        <f t="shared" si="29"/>
        <v>7694.1176470588234</v>
      </c>
      <c r="Y32" s="212">
        <f t="shared" si="29"/>
        <v>7761.7021276595742</v>
      </c>
      <c r="Z32" s="212">
        <f t="shared" si="29"/>
        <v>7824.6575342465758</v>
      </c>
      <c r="AA32" s="212">
        <f t="shared" si="29"/>
        <v>7883.4437086092712</v>
      </c>
      <c r="AB32" s="212">
        <f t="shared" si="29"/>
        <v>7938.461538461539</v>
      </c>
      <c r="AC32" s="212">
        <f t="shared" si="29"/>
        <v>7990.0621118012423</v>
      </c>
      <c r="AD32" s="212">
        <f t="shared" si="29"/>
        <v>8038.5542168674701</v>
      </c>
      <c r="AE32" s="212">
        <f t="shared" si="29"/>
        <v>8084.21052631579</v>
      </c>
      <c r="AF32" s="212">
        <f t="shared" si="29"/>
        <v>8127.2727272727279</v>
      </c>
      <c r="AG32" s="212">
        <f t="shared" si="29"/>
        <v>8167.9558011049721</v>
      </c>
      <c r="AH32" s="212">
        <f t="shared" si="29"/>
        <v>8206.4516129032272</v>
      </c>
      <c r="AI32" s="212">
        <f t="shared" si="29"/>
        <v>8242.9319371727761</v>
      </c>
      <c r="AJ32" s="212">
        <f t="shared" si="29"/>
        <v>8277.551020408162</v>
      </c>
      <c r="AK32" s="212">
        <f t="shared" si="29"/>
        <v>8310.447761194031</v>
      </c>
      <c r="AL32" s="212">
        <f t="shared" si="29"/>
        <v>8341.7475728155332</v>
      </c>
      <c r="AM32" s="212">
        <f t="shared" si="29"/>
        <v>8371.5639810426546</v>
      </c>
    </row>
    <row r="33" spans="2:39" ht="18" x14ac:dyDescent="0.35">
      <c r="B33" s="292" t="s">
        <v>933</v>
      </c>
      <c r="C33" s="95" t="s">
        <v>934</v>
      </c>
      <c r="D33" s="212">
        <f>$Q$10/D32</f>
        <v>5.0000000000000001E-3</v>
      </c>
      <c r="E33" s="212">
        <f t="shared" ref="E33:AM33" si="30">$Q$10/E32</f>
        <v>3.6607142857142858E-3</v>
      </c>
      <c r="F33" s="212">
        <f t="shared" si="30"/>
        <v>3.0263157894736843E-3</v>
      </c>
      <c r="G33" s="212">
        <f t="shared" si="30"/>
        <v>2.6562499999999998E-3</v>
      </c>
      <c r="H33" s="212">
        <f t="shared" si="30"/>
        <v>2.4137931034482764E-3</v>
      </c>
      <c r="I33" s="212">
        <f t="shared" si="30"/>
        <v>2.2426470588235298E-3</v>
      </c>
      <c r="J33" s="212">
        <f t="shared" si="30"/>
        <v>2.1153846153846153E-3</v>
      </c>
      <c r="K33" s="212">
        <f t="shared" si="30"/>
        <v>2.0170454545454545E-3</v>
      </c>
      <c r="L33" s="212">
        <f t="shared" si="30"/>
        <v>1.9387755102040819E-3</v>
      </c>
      <c r="M33" s="212">
        <f t="shared" si="30"/>
        <v>1.8749999999999999E-3</v>
      </c>
      <c r="N33" s="212">
        <f t="shared" si="30"/>
        <v>1.8220338983050849E-3</v>
      </c>
      <c r="O33" s="212">
        <f t="shared" si="30"/>
        <v>1.7773437500000001E-3</v>
      </c>
      <c r="P33" s="212">
        <f t="shared" si="30"/>
        <v>1.7391304347826088E-3</v>
      </c>
      <c r="Q33" s="212">
        <f t="shared" si="30"/>
        <v>1.706081081081081E-3</v>
      </c>
      <c r="R33" s="212">
        <f t="shared" si="30"/>
        <v>1.6772151898734177E-3</v>
      </c>
      <c r="S33" s="212">
        <f t="shared" si="30"/>
        <v>1.6517857142857144E-3</v>
      </c>
      <c r="T33" s="212">
        <f t="shared" si="30"/>
        <v>1.6292134831460674E-3</v>
      </c>
      <c r="U33" s="212">
        <f t="shared" si="30"/>
        <v>1.6090425531914893E-3</v>
      </c>
      <c r="V33" s="212">
        <f t="shared" si="30"/>
        <v>1.590909090909091E-3</v>
      </c>
      <c r="W33" s="212">
        <f t="shared" si="30"/>
        <v>1.5745192307692309E-3</v>
      </c>
      <c r="X33" s="212">
        <f t="shared" si="30"/>
        <v>1.5596330275229359E-3</v>
      </c>
      <c r="Y33" s="212">
        <f t="shared" si="30"/>
        <v>1.5460526315789474E-3</v>
      </c>
      <c r="Z33" s="212">
        <f t="shared" si="30"/>
        <v>1.5336134453781511E-3</v>
      </c>
      <c r="AA33" s="212">
        <f t="shared" si="30"/>
        <v>1.5221774193548388E-3</v>
      </c>
      <c r="AB33" s="212">
        <f t="shared" si="30"/>
        <v>1.5116279069767441E-3</v>
      </c>
      <c r="AC33" s="212">
        <f t="shared" si="30"/>
        <v>1.501865671641791E-3</v>
      </c>
      <c r="AD33" s="212">
        <f t="shared" si="30"/>
        <v>1.4928057553956833E-3</v>
      </c>
      <c r="AE33" s="212">
        <f t="shared" si="30"/>
        <v>1.4843749999999998E-3</v>
      </c>
      <c r="AF33" s="212">
        <f t="shared" si="30"/>
        <v>1.4765100671140939E-3</v>
      </c>
      <c r="AG33" s="212">
        <f t="shared" si="30"/>
        <v>1.4691558441558442E-3</v>
      </c>
      <c r="AH33" s="212">
        <f t="shared" si="30"/>
        <v>1.462264150943396E-3</v>
      </c>
      <c r="AI33" s="212">
        <f t="shared" si="30"/>
        <v>1.455792682926829E-3</v>
      </c>
      <c r="AJ33" s="212">
        <f t="shared" si="30"/>
        <v>1.4497041420118346E-3</v>
      </c>
      <c r="AK33" s="212">
        <f t="shared" si="30"/>
        <v>1.443965517241379E-3</v>
      </c>
      <c r="AL33" s="212">
        <f t="shared" si="30"/>
        <v>1.4385474860335197E-3</v>
      </c>
      <c r="AM33" s="212">
        <f t="shared" si="30"/>
        <v>1.4334239130434781E-3</v>
      </c>
    </row>
    <row r="34" spans="2:39" ht="18" x14ac:dyDescent="0.35">
      <c r="B34" s="293" t="s">
        <v>935</v>
      </c>
      <c r="C34" s="95" t="s">
        <v>944</v>
      </c>
      <c r="D34" s="212">
        <f>$W$7*D33</f>
        <v>12</v>
      </c>
      <c r="E34" s="212">
        <f t="shared" ref="E34:AM34" si="31">$W$7*E33</f>
        <v>8.7857142857142865</v>
      </c>
      <c r="F34" s="212">
        <f t="shared" si="31"/>
        <v>7.2631578947368425</v>
      </c>
      <c r="G34" s="212">
        <f t="shared" si="31"/>
        <v>6.3749999999999991</v>
      </c>
      <c r="H34" s="212">
        <f t="shared" si="31"/>
        <v>5.7931034482758639</v>
      </c>
      <c r="I34" s="212">
        <f t="shared" si="31"/>
        <v>5.382352941176471</v>
      </c>
      <c r="J34" s="212">
        <f t="shared" si="31"/>
        <v>5.0769230769230766</v>
      </c>
      <c r="K34" s="212">
        <f t="shared" si="31"/>
        <v>4.8409090909090908</v>
      </c>
      <c r="L34" s="212">
        <f t="shared" si="31"/>
        <v>4.6530612244897966</v>
      </c>
      <c r="M34" s="212">
        <f t="shared" si="31"/>
        <v>4.5</v>
      </c>
      <c r="N34" s="212">
        <f t="shared" si="31"/>
        <v>4.3728813559322033</v>
      </c>
      <c r="O34" s="212">
        <f t="shared" si="31"/>
        <v>4.265625</v>
      </c>
      <c r="P34" s="212">
        <f t="shared" si="31"/>
        <v>4.1739130434782608</v>
      </c>
      <c r="Q34" s="212">
        <f t="shared" si="31"/>
        <v>4.0945945945945947</v>
      </c>
      <c r="R34" s="212">
        <f t="shared" si="31"/>
        <v>4.0253164556962027</v>
      </c>
      <c r="S34" s="212">
        <f t="shared" si="31"/>
        <v>3.9642857142857144</v>
      </c>
      <c r="T34" s="212">
        <f t="shared" si="31"/>
        <v>3.910112359550562</v>
      </c>
      <c r="U34" s="212">
        <f t="shared" si="31"/>
        <v>3.8617021276595742</v>
      </c>
      <c r="V34" s="212">
        <f t="shared" si="31"/>
        <v>3.8181818181818183</v>
      </c>
      <c r="W34" s="212">
        <f t="shared" si="31"/>
        <v>3.7788461538461542</v>
      </c>
      <c r="X34" s="212">
        <f t="shared" si="31"/>
        <v>3.7431192660550461</v>
      </c>
      <c r="Y34" s="212">
        <f t="shared" si="31"/>
        <v>3.7105263157894735</v>
      </c>
      <c r="Z34" s="212">
        <f t="shared" si="31"/>
        <v>3.6806722689075628</v>
      </c>
      <c r="AA34" s="212">
        <f t="shared" si="31"/>
        <v>3.653225806451613</v>
      </c>
      <c r="AB34" s="212">
        <f t="shared" si="31"/>
        <v>3.6279069767441858</v>
      </c>
      <c r="AC34" s="212">
        <f t="shared" si="31"/>
        <v>3.6044776119402986</v>
      </c>
      <c r="AD34" s="212">
        <f t="shared" si="31"/>
        <v>3.5827338129496402</v>
      </c>
      <c r="AE34" s="212">
        <f t="shared" si="31"/>
        <v>3.5624999999999996</v>
      </c>
      <c r="AF34" s="212">
        <f t="shared" si="31"/>
        <v>3.5436241610738253</v>
      </c>
      <c r="AG34" s="212">
        <f t="shared" si="31"/>
        <v>3.5259740259740262</v>
      </c>
      <c r="AH34" s="212">
        <f t="shared" si="31"/>
        <v>3.5094339622641506</v>
      </c>
      <c r="AI34" s="212">
        <f t="shared" si="31"/>
        <v>3.4939024390243896</v>
      </c>
      <c r="AJ34" s="212">
        <f t="shared" si="31"/>
        <v>3.4792899408284028</v>
      </c>
      <c r="AK34" s="212">
        <f t="shared" si="31"/>
        <v>3.4655172413793096</v>
      </c>
      <c r="AL34" s="212">
        <f t="shared" si="31"/>
        <v>3.4525139664804474</v>
      </c>
      <c r="AM34" s="212">
        <f t="shared" si="31"/>
        <v>3.4402173913043477</v>
      </c>
    </row>
    <row r="35" spans="2:39" ht="18" x14ac:dyDescent="0.35">
      <c r="B35" s="293" t="s">
        <v>937</v>
      </c>
      <c r="C35" s="95" t="s">
        <v>938</v>
      </c>
      <c r="D35" s="212">
        <f>$Q$10-D34</f>
        <v>0</v>
      </c>
      <c r="E35" s="212">
        <f t="shared" ref="E35:AM35" si="32">$Q$10-E34</f>
        <v>3.2142857142857135</v>
      </c>
      <c r="F35" s="212">
        <f t="shared" si="32"/>
        <v>4.7368421052631575</v>
      </c>
      <c r="G35" s="212">
        <f t="shared" si="32"/>
        <v>5.6250000000000009</v>
      </c>
      <c r="H35" s="212">
        <f t="shared" si="32"/>
        <v>6.2068965517241361</v>
      </c>
      <c r="I35" s="212">
        <f t="shared" si="32"/>
        <v>6.617647058823529</v>
      </c>
      <c r="J35" s="212">
        <f t="shared" si="32"/>
        <v>6.9230769230769234</v>
      </c>
      <c r="K35" s="212">
        <f t="shared" si="32"/>
        <v>7.1590909090909092</v>
      </c>
      <c r="L35" s="212">
        <f t="shared" si="32"/>
        <v>7.3469387755102034</v>
      </c>
      <c r="M35" s="212">
        <f t="shared" si="32"/>
        <v>7.5</v>
      </c>
      <c r="N35" s="212">
        <f t="shared" si="32"/>
        <v>7.6271186440677967</v>
      </c>
      <c r="O35" s="212">
        <f t="shared" si="32"/>
        <v>7.734375</v>
      </c>
      <c r="P35" s="212">
        <f t="shared" si="32"/>
        <v>7.8260869565217392</v>
      </c>
      <c r="Q35" s="212">
        <f t="shared" si="32"/>
        <v>7.9054054054054053</v>
      </c>
      <c r="R35" s="212">
        <f t="shared" si="32"/>
        <v>7.9746835443037973</v>
      </c>
      <c r="S35" s="212">
        <f t="shared" si="32"/>
        <v>8.0357142857142847</v>
      </c>
      <c r="T35" s="212">
        <f t="shared" si="32"/>
        <v>8.0898876404494384</v>
      </c>
      <c r="U35" s="212">
        <f t="shared" si="32"/>
        <v>8.1382978723404253</v>
      </c>
      <c r="V35" s="212">
        <f t="shared" si="32"/>
        <v>8.1818181818181817</v>
      </c>
      <c r="W35" s="212">
        <f t="shared" si="32"/>
        <v>8.2211538461538467</v>
      </c>
      <c r="X35" s="212">
        <f t="shared" si="32"/>
        <v>8.2568807339449535</v>
      </c>
      <c r="Y35" s="212">
        <f t="shared" si="32"/>
        <v>8.2894736842105274</v>
      </c>
      <c r="Z35" s="212">
        <f t="shared" si="32"/>
        <v>8.3193277310924376</v>
      </c>
      <c r="AA35" s="212">
        <f t="shared" si="32"/>
        <v>8.3467741935483879</v>
      </c>
      <c r="AB35" s="212">
        <f t="shared" si="32"/>
        <v>8.3720930232558146</v>
      </c>
      <c r="AC35" s="212">
        <f t="shared" si="32"/>
        <v>8.3955223880597014</v>
      </c>
      <c r="AD35" s="212">
        <f t="shared" si="32"/>
        <v>8.4172661870503589</v>
      </c>
      <c r="AE35" s="212">
        <f t="shared" si="32"/>
        <v>8.4375</v>
      </c>
      <c r="AF35" s="212">
        <f t="shared" si="32"/>
        <v>8.4563758389261743</v>
      </c>
      <c r="AG35" s="212">
        <f t="shared" si="32"/>
        <v>8.4740259740259738</v>
      </c>
      <c r="AH35" s="212">
        <f t="shared" si="32"/>
        <v>8.4905660377358494</v>
      </c>
      <c r="AI35" s="212">
        <f t="shared" si="32"/>
        <v>8.5060975609756113</v>
      </c>
      <c r="AJ35" s="212">
        <f t="shared" si="32"/>
        <v>8.5207100591715967</v>
      </c>
      <c r="AK35" s="212">
        <f t="shared" si="32"/>
        <v>8.5344827586206904</v>
      </c>
      <c r="AL35" s="212">
        <f t="shared" si="32"/>
        <v>8.5474860335195526</v>
      </c>
      <c r="AM35" s="212">
        <f t="shared" si="32"/>
        <v>8.5597826086956523</v>
      </c>
    </row>
    <row r="36" spans="2:39" x14ac:dyDescent="0.25">
      <c r="B36" s="163"/>
      <c r="C36" s="55"/>
    </row>
    <row r="37" spans="2:39" x14ac:dyDescent="0.25">
      <c r="B37" s="163"/>
      <c r="C37" s="55"/>
    </row>
    <row r="38" spans="2:39" x14ac:dyDescent="0.25">
      <c r="B38" s="163"/>
      <c r="C38" s="55"/>
    </row>
    <row r="39" spans="2:39" x14ac:dyDescent="0.25">
      <c r="B39" s="163"/>
      <c r="C39" s="55"/>
    </row>
    <row r="41" spans="2:39" x14ac:dyDescent="0.25">
      <c r="B41" s="432" t="str">
        <f>_xlfn.CONCAT("UL = f(RL)   R1/R2 =",Q11)</f>
        <v>UL = f(RL)   R1/R2 =0.333333333333333</v>
      </c>
      <c r="C41" s="218"/>
    </row>
    <row r="42" spans="2:39" x14ac:dyDescent="0.25">
      <c r="B42" s="433" t="str">
        <f>_xlfn.CONCAT("UL = f(RL)   R11/R22 =",W11)</f>
        <v>UL = f(RL)   R11/R22 =0.333333333333333</v>
      </c>
      <c r="C42" s="218"/>
    </row>
  </sheetData>
  <pageMargins left="0.7" right="0.7" top="0.78740157499999996" bottom="0.78740157499999996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8982B72-84FC-4BAF-B0ED-1A9CE5FC4314}">
          <x14:formula1>
            <xm:f>Einheitenvorsätze!$A$7:$A$31</xm:f>
          </x14:formula1>
          <xm:sqref>N7:N10 E26 T7:T8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CFDEC-9123-4C14-B840-25485A6FC396}">
  <dimension ref="C2"/>
  <sheetViews>
    <sheetView workbookViewId="0">
      <selection activeCell="A2" sqref="A2:XFD2"/>
    </sheetView>
  </sheetViews>
  <sheetFormatPr baseColWidth="10" defaultRowHeight="15" x14ac:dyDescent="0.25"/>
  <sheetData>
    <row r="2" spans="3:3" ht="23.25" x14ac:dyDescent="0.35">
      <c r="C2" s="9" t="s">
        <v>910</v>
      </c>
    </row>
  </sheetData>
  <pageMargins left="0.7" right="0.7" top="0.78740157499999996" bottom="0.78740157499999996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FE013-6E13-44EB-B2FE-BDD4AE303E4D}">
  <dimension ref="A2:O61"/>
  <sheetViews>
    <sheetView showGridLines="0" topLeftCell="A29" workbookViewId="0">
      <selection activeCell="B61" sqref="B61"/>
    </sheetView>
  </sheetViews>
  <sheetFormatPr baseColWidth="10" defaultRowHeight="15" x14ac:dyDescent="0.25"/>
  <cols>
    <col min="1" max="1" width="12.85546875" customWidth="1"/>
    <col min="2" max="2" width="14.42578125" customWidth="1"/>
    <col min="3" max="3" width="40.5703125" customWidth="1"/>
    <col min="4" max="4" width="17.28515625" customWidth="1"/>
    <col min="5" max="5" width="14.7109375" customWidth="1"/>
    <col min="8" max="8" width="14.85546875" customWidth="1"/>
    <col min="10" max="10" width="2.42578125" customWidth="1"/>
    <col min="15" max="15" width="14.140625" customWidth="1"/>
  </cols>
  <sheetData>
    <row r="2" spans="1:15" ht="23.25" x14ac:dyDescent="0.35">
      <c r="C2" s="9" t="s">
        <v>664</v>
      </c>
    </row>
    <row r="6" spans="1:15" ht="15.95" customHeight="1" x14ac:dyDescent="0.25">
      <c r="A6" s="358" t="s">
        <v>666</v>
      </c>
      <c r="B6" s="358" t="s">
        <v>665</v>
      </c>
      <c r="C6" s="358" t="s">
        <v>667</v>
      </c>
      <c r="D6" s="358" t="s">
        <v>668</v>
      </c>
      <c r="E6" s="358" t="s">
        <v>819</v>
      </c>
    </row>
    <row r="7" spans="1:15" ht="15.95" customHeight="1" x14ac:dyDescent="0.25">
      <c r="A7" s="111" t="s">
        <v>670</v>
      </c>
      <c r="B7" s="355" t="s">
        <v>669</v>
      </c>
      <c r="C7" s="357">
        <v>1E+30</v>
      </c>
      <c r="D7" s="111" t="s">
        <v>671</v>
      </c>
      <c r="E7" s="5">
        <v>30</v>
      </c>
    </row>
    <row r="8" spans="1:15" ht="15.95" customHeight="1" x14ac:dyDescent="0.25">
      <c r="A8" s="111" t="s">
        <v>673</v>
      </c>
      <c r="B8" s="355" t="s">
        <v>672</v>
      </c>
      <c r="C8" s="357">
        <v>1E+27</v>
      </c>
      <c r="D8" s="111" t="s">
        <v>674</v>
      </c>
      <c r="E8" s="5">
        <v>27</v>
      </c>
    </row>
    <row r="9" spans="1:15" ht="15.95" customHeight="1" x14ac:dyDescent="0.25">
      <c r="A9" s="111" t="s">
        <v>676</v>
      </c>
      <c r="B9" s="355" t="s">
        <v>675</v>
      </c>
      <c r="C9" s="357">
        <v>9.9999999999999998E+23</v>
      </c>
      <c r="D9" s="111" t="s">
        <v>677</v>
      </c>
      <c r="E9" s="5">
        <v>24</v>
      </c>
    </row>
    <row r="10" spans="1:15" ht="15.95" customHeight="1" thickBot="1" x14ac:dyDescent="0.3">
      <c r="A10" s="111" t="s">
        <v>679</v>
      </c>
      <c r="B10" s="355" t="s">
        <v>678</v>
      </c>
      <c r="C10" s="357">
        <v>1E+21</v>
      </c>
      <c r="D10" s="111" t="s">
        <v>680</v>
      </c>
      <c r="E10" s="5">
        <v>21</v>
      </c>
    </row>
    <row r="11" spans="1:15" ht="15.95" customHeight="1" thickBot="1" x14ac:dyDescent="0.3">
      <c r="A11" s="111" t="s">
        <v>42</v>
      </c>
      <c r="B11" s="355" t="s">
        <v>681</v>
      </c>
      <c r="C11" s="357">
        <v>1E+18</v>
      </c>
      <c r="D11" s="111" t="s">
        <v>682</v>
      </c>
      <c r="E11" s="5">
        <v>18</v>
      </c>
      <c r="H11" s="362" t="s">
        <v>740</v>
      </c>
      <c r="I11" s="363"/>
      <c r="J11" s="364"/>
      <c r="L11" s="5" t="s">
        <v>743</v>
      </c>
      <c r="M11" s="5"/>
      <c r="O11" s="5" t="s">
        <v>742</v>
      </c>
    </row>
    <row r="12" spans="1:15" ht="15.95" customHeight="1" thickBot="1" x14ac:dyDescent="0.3">
      <c r="A12" s="111" t="s">
        <v>684</v>
      </c>
      <c r="B12" s="355" t="s">
        <v>683</v>
      </c>
      <c r="C12" s="357">
        <v>1000000000000000</v>
      </c>
      <c r="D12" s="111" t="s">
        <v>685</v>
      </c>
      <c r="E12" s="5">
        <v>15</v>
      </c>
      <c r="H12" s="359">
        <v>5.23</v>
      </c>
      <c r="I12" s="360" t="s">
        <v>694</v>
      </c>
      <c r="J12" s="361" t="s">
        <v>741</v>
      </c>
      <c r="L12" s="77">
        <f>H12*VLOOKUP(I12, CHOOSE({1,2,3,4}, Einheitenvorsätze!A:A, Einheitenvorsätze!B:B, Einheitenvorsätze!C:C, Einheitenvorsätze!D:D), 3, FALSE)</f>
        <v>5230</v>
      </c>
      <c r="M12" s="77" t="str">
        <f>J12</f>
        <v>s</v>
      </c>
      <c r="O12" s="77" t="str">
        <f>IF(I12=Einheitenvorsätze!$A$19,_xlfn.CONCAT(H12,J12),_xlfn.CONCAT(H12," * ",VLOOKUP(I12, CHOOSE({1,2,3,4}, Einheitenvorsätze!A:A, Einheitenvorsätze!B:B, Einheitenvorsätze!C:C, Einheitenvorsätze!D:D), 4, FALSE),J12))</f>
        <v>5.23 * 10³s</v>
      </c>
    </row>
    <row r="13" spans="1:15" ht="15.95" customHeight="1" x14ac:dyDescent="0.25">
      <c r="A13" s="111" t="s">
        <v>687</v>
      </c>
      <c r="B13" s="355" t="s">
        <v>686</v>
      </c>
      <c r="C13" s="357">
        <v>1000000000000</v>
      </c>
      <c r="D13" s="111" t="s">
        <v>688</v>
      </c>
      <c r="E13" s="5">
        <v>12</v>
      </c>
    </row>
    <row r="14" spans="1:15" ht="15.95" customHeight="1" x14ac:dyDescent="0.25">
      <c r="A14" s="111" t="s">
        <v>43</v>
      </c>
      <c r="B14" s="355" t="s">
        <v>689</v>
      </c>
      <c r="C14" s="357">
        <v>1000000000</v>
      </c>
      <c r="D14" s="111" t="s">
        <v>690</v>
      </c>
      <c r="E14" s="5">
        <v>9</v>
      </c>
    </row>
    <row r="15" spans="1:15" ht="15.95" customHeight="1" x14ac:dyDescent="0.25">
      <c r="A15" s="111" t="s">
        <v>818</v>
      </c>
      <c r="B15" s="355" t="s">
        <v>691</v>
      </c>
      <c r="C15" s="357">
        <v>1000000</v>
      </c>
      <c r="D15" s="111" t="s">
        <v>692</v>
      </c>
      <c r="E15" s="5">
        <v>6</v>
      </c>
    </row>
    <row r="16" spans="1:15" ht="15.95" customHeight="1" x14ac:dyDescent="0.25">
      <c r="A16" s="111" t="s">
        <v>694</v>
      </c>
      <c r="B16" s="355" t="s">
        <v>693</v>
      </c>
      <c r="C16" s="357">
        <v>1000</v>
      </c>
      <c r="D16" s="111" t="s">
        <v>695</v>
      </c>
      <c r="E16" s="5">
        <v>3</v>
      </c>
      <c r="H16" s="8" t="s">
        <v>665</v>
      </c>
      <c r="I16" s="365" t="str">
        <f>VLOOKUP(I12, CHOOSE({1,2,3,4}, Einheitenvorsätze!A:A, Einheitenvorsätze!B:B, Einheitenvorsätze!C:C, Einheitenvorsätze!D:D), 2, FALSE)</f>
        <v>Kilo</v>
      </c>
    </row>
    <row r="17" spans="1:9" ht="15.95" customHeight="1" x14ac:dyDescent="0.25">
      <c r="A17" s="111" t="s">
        <v>697</v>
      </c>
      <c r="B17" s="355" t="s">
        <v>696</v>
      </c>
      <c r="C17" s="357">
        <v>100</v>
      </c>
      <c r="D17" s="111" t="s">
        <v>698</v>
      </c>
      <c r="E17" s="5">
        <v>2</v>
      </c>
      <c r="H17" s="8" t="s">
        <v>667</v>
      </c>
      <c r="I17" s="365">
        <f>VLOOKUP(I12, CHOOSE({1,2,3,4}, Einheitenvorsätze!A:A, Einheitenvorsätze!B:B, Einheitenvorsätze!C:C, Einheitenvorsätze!D:D), 3, FALSE)</f>
        <v>1000</v>
      </c>
    </row>
    <row r="18" spans="1:9" ht="15.95" customHeight="1" x14ac:dyDescent="0.25">
      <c r="A18" s="111" t="s">
        <v>700</v>
      </c>
      <c r="B18" s="355" t="s">
        <v>699</v>
      </c>
      <c r="C18" s="357">
        <v>10</v>
      </c>
      <c r="D18" s="111" t="s">
        <v>701</v>
      </c>
      <c r="E18" s="5">
        <v>1</v>
      </c>
      <c r="H18" s="8" t="s">
        <v>668</v>
      </c>
      <c r="I18" s="365" t="str">
        <f>VLOOKUP(I12, CHOOSE({1,2,3,4}, Einheitenvorsätze!A:A, Einheitenvorsätze!B:B, Einheitenvorsätze!C:C, Einheitenvorsätze!D:D), 4, FALSE)</f>
        <v>10³</v>
      </c>
    </row>
    <row r="19" spans="1:9" ht="15.95" customHeight="1" x14ac:dyDescent="0.25">
      <c r="A19" s="111" t="s">
        <v>703</v>
      </c>
      <c r="B19" s="355" t="s">
        <v>702</v>
      </c>
      <c r="C19" s="357">
        <v>1</v>
      </c>
      <c r="D19" s="111" t="s">
        <v>704</v>
      </c>
      <c r="E19" s="5">
        <v>0</v>
      </c>
      <c r="H19" s="8" t="str">
        <f>E6</f>
        <v>Vielfaches</v>
      </c>
      <c r="I19" s="365">
        <f>VLOOKUP(I12, CHOOSE({1,2,3,4,5}, Einheitenvorsätze!A:A, Einheitenvorsätze!B:B, Einheitenvorsätze!C:C, Einheitenvorsätze!D:D, Einheitenvorsätze!E:E), 5, FALSE)</f>
        <v>3</v>
      </c>
    </row>
    <row r="20" spans="1:9" ht="15.95" customHeight="1" x14ac:dyDescent="0.25">
      <c r="A20" s="111" t="s">
        <v>706</v>
      </c>
      <c r="B20" s="355" t="s">
        <v>705</v>
      </c>
      <c r="C20" s="111">
        <v>0.1</v>
      </c>
      <c r="D20" s="111" t="s">
        <v>707</v>
      </c>
      <c r="E20" s="5">
        <v>-1</v>
      </c>
    </row>
    <row r="21" spans="1:9" ht="15.95" customHeight="1" x14ac:dyDescent="0.25">
      <c r="A21" s="111" t="s">
        <v>709</v>
      </c>
      <c r="B21" s="355" t="s">
        <v>708</v>
      </c>
      <c r="C21" s="111">
        <v>0.01</v>
      </c>
      <c r="D21" s="111" t="s">
        <v>710</v>
      </c>
      <c r="E21" s="5">
        <v>-2</v>
      </c>
    </row>
    <row r="22" spans="1:9" ht="15.95" customHeight="1" x14ac:dyDescent="0.25">
      <c r="A22" s="111" t="s">
        <v>712</v>
      </c>
      <c r="B22" s="355" t="s">
        <v>711</v>
      </c>
      <c r="C22" s="111">
        <v>1E-3</v>
      </c>
      <c r="D22" s="111" t="s">
        <v>713</v>
      </c>
      <c r="E22" s="5">
        <v>-3</v>
      </c>
    </row>
    <row r="23" spans="1:9" ht="15.95" customHeight="1" x14ac:dyDescent="0.25">
      <c r="A23" s="111" t="s">
        <v>715</v>
      </c>
      <c r="B23" s="355" t="s">
        <v>714</v>
      </c>
      <c r="C23" s="111">
        <v>9.9999999999999995E-7</v>
      </c>
      <c r="D23" s="111" t="s">
        <v>716</v>
      </c>
      <c r="E23" s="5">
        <v>-6</v>
      </c>
    </row>
    <row r="24" spans="1:9" ht="15.95" customHeight="1" x14ac:dyDescent="0.25">
      <c r="A24" s="111" t="s">
        <v>718</v>
      </c>
      <c r="B24" s="355" t="s">
        <v>717</v>
      </c>
      <c r="C24" s="111">
        <v>1.0000000000000001E-9</v>
      </c>
      <c r="D24" s="111" t="s">
        <v>719</v>
      </c>
      <c r="E24" s="5">
        <v>-9</v>
      </c>
    </row>
    <row r="25" spans="1:9" ht="15.95" customHeight="1" x14ac:dyDescent="0.25">
      <c r="A25" s="111" t="s">
        <v>721</v>
      </c>
      <c r="B25" s="355" t="s">
        <v>720</v>
      </c>
      <c r="C25" s="111">
        <v>9.9999999999999998E-13</v>
      </c>
      <c r="D25" s="111" t="s">
        <v>722</v>
      </c>
      <c r="E25" s="5">
        <v>-12</v>
      </c>
    </row>
    <row r="26" spans="1:9" ht="15.95" customHeight="1" x14ac:dyDescent="0.25">
      <c r="A26" s="111" t="s">
        <v>724</v>
      </c>
      <c r="B26" s="355" t="s">
        <v>723</v>
      </c>
      <c r="C26" s="111">
        <v>1.0000000000000001E-15</v>
      </c>
      <c r="D26" s="111" t="s">
        <v>725</v>
      </c>
      <c r="E26" s="5">
        <v>-15</v>
      </c>
    </row>
    <row r="27" spans="1:9" ht="15.95" customHeight="1" x14ac:dyDescent="0.25">
      <c r="A27" s="111" t="s">
        <v>727</v>
      </c>
      <c r="B27" s="355" t="s">
        <v>726</v>
      </c>
      <c r="C27" s="111">
        <v>1.0000000000000001E-18</v>
      </c>
      <c r="D27" s="111" t="s">
        <v>728</v>
      </c>
      <c r="E27" s="5">
        <v>-18</v>
      </c>
    </row>
    <row r="28" spans="1:9" ht="15.95" customHeight="1" x14ac:dyDescent="0.25">
      <c r="A28" s="111" t="s">
        <v>730</v>
      </c>
      <c r="B28" s="355" t="s">
        <v>729</v>
      </c>
      <c r="C28" s="356">
        <v>9.9999999999999991E-22</v>
      </c>
      <c r="D28" s="111" t="s">
        <v>731</v>
      </c>
      <c r="E28" s="5">
        <v>-21</v>
      </c>
    </row>
    <row r="29" spans="1:9" ht="15.95" customHeight="1" x14ac:dyDescent="0.25">
      <c r="A29" s="111" t="s">
        <v>412</v>
      </c>
      <c r="B29" s="355" t="s">
        <v>732</v>
      </c>
      <c r="C29" s="356">
        <v>9.9999999999999992E-25</v>
      </c>
      <c r="D29" s="111" t="s">
        <v>733</v>
      </c>
      <c r="E29" s="5">
        <v>-24</v>
      </c>
    </row>
    <row r="30" spans="1:9" ht="15.95" customHeight="1" x14ac:dyDescent="0.25">
      <c r="A30" s="111" t="s">
        <v>735</v>
      </c>
      <c r="B30" s="355" t="s">
        <v>734</v>
      </c>
      <c r="C30" s="356">
        <v>1.0000000000000001E-30</v>
      </c>
      <c r="D30" s="111" t="s">
        <v>736</v>
      </c>
      <c r="E30" s="5">
        <v>-27</v>
      </c>
    </row>
    <row r="31" spans="1:9" ht="15.95" customHeight="1" x14ac:dyDescent="0.25">
      <c r="A31" s="111" t="s">
        <v>738</v>
      </c>
      <c r="B31" s="355" t="s">
        <v>737</v>
      </c>
      <c r="C31" s="356">
        <v>1E-27</v>
      </c>
      <c r="D31" s="111" t="s">
        <v>739</v>
      </c>
      <c r="E31" s="5">
        <v>-30</v>
      </c>
    </row>
    <row r="36" spans="1:3" x14ac:dyDescent="0.25">
      <c r="A36" t="s">
        <v>745</v>
      </c>
    </row>
    <row r="37" spans="1:3" x14ac:dyDescent="0.25">
      <c r="A37" s="372" t="s">
        <v>748</v>
      </c>
      <c r="B37" s="372" t="s">
        <v>746</v>
      </c>
      <c r="C37" s="372" t="s">
        <v>747</v>
      </c>
    </row>
    <row r="38" spans="1:3" x14ac:dyDescent="0.25">
      <c r="A38" s="111" t="s">
        <v>750</v>
      </c>
      <c r="B38" s="111" t="s">
        <v>749</v>
      </c>
      <c r="C38" s="111" t="s">
        <v>649</v>
      </c>
    </row>
    <row r="39" spans="1:3" x14ac:dyDescent="0.25">
      <c r="A39" s="111" t="s">
        <v>753</v>
      </c>
      <c r="B39" s="111" t="s">
        <v>751</v>
      </c>
      <c r="C39" s="111" t="s">
        <v>752</v>
      </c>
    </row>
    <row r="40" spans="1:3" x14ac:dyDescent="0.25">
      <c r="A40" s="111" t="s">
        <v>756</v>
      </c>
      <c r="B40" s="111" t="s">
        <v>754</v>
      </c>
      <c r="C40" s="111" t="s">
        <v>755</v>
      </c>
    </row>
    <row r="41" spans="1:3" x14ac:dyDescent="0.25">
      <c r="A41" s="111" t="s">
        <v>759</v>
      </c>
      <c r="B41" s="111" t="s">
        <v>757</v>
      </c>
      <c r="C41" s="111" t="s">
        <v>758</v>
      </c>
    </row>
    <row r="42" spans="1:3" x14ac:dyDescent="0.25">
      <c r="A42" s="111" t="s">
        <v>762</v>
      </c>
      <c r="B42" s="111" t="s">
        <v>760</v>
      </c>
      <c r="C42" s="111" t="s">
        <v>761</v>
      </c>
    </row>
    <row r="43" spans="1:3" x14ac:dyDescent="0.25">
      <c r="A43" s="111" t="s">
        <v>765</v>
      </c>
      <c r="B43" s="111" t="s">
        <v>763</v>
      </c>
      <c r="C43" s="111" t="s">
        <v>764</v>
      </c>
    </row>
    <row r="44" spans="1:3" x14ac:dyDescent="0.25">
      <c r="A44" s="111" t="s">
        <v>768</v>
      </c>
      <c r="B44" s="111" t="s">
        <v>766</v>
      </c>
      <c r="C44" s="111" t="s">
        <v>767</v>
      </c>
    </row>
    <row r="45" spans="1:3" x14ac:dyDescent="0.25">
      <c r="A45" s="111" t="s">
        <v>771</v>
      </c>
      <c r="B45" s="111" t="s">
        <v>769</v>
      </c>
      <c r="C45" s="111" t="s">
        <v>770</v>
      </c>
    </row>
    <row r="46" spans="1:3" x14ac:dyDescent="0.25">
      <c r="A46" s="111" t="s">
        <v>774</v>
      </c>
      <c r="B46" s="111" t="s">
        <v>772</v>
      </c>
      <c r="C46" s="111" t="s">
        <v>773</v>
      </c>
    </row>
    <row r="47" spans="1:3" x14ac:dyDescent="0.25">
      <c r="A47" s="111" t="s">
        <v>777</v>
      </c>
      <c r="B47" s="111" t="s">
        <v>775</v>
      </c>
      <c r="C47" s="111" t="s">
        <v>776</v>
      </c>
    </row>
    <row r="48" spans="1:3" x14ac:dyDescent="0.25">
      <c r="A48" s="111" t="s">
        <v>780</v>
      </c>
      <c r="B48" s="111" t="s">
        <v>778</v>
      </c>
      <c r="C48" s="111" t="s">
        <v>779</v>
      </c>
    </row>
    <row r="49" spans="1:3" x14ac:dyDescent="0.25">
      <c r="A49" s="111" t="s">
        <v>783</v>
      </c>
      <c r="B49" s="111" t="s">
        <v>781</v>
      </c>
      <c r="C49" s="111" t="s">
        <v>782</v>
      </c>
    </row>
    <row r="50" spans="1:3" x14ac:dyDescent="0.25">
      <c r="A50" s="111" t="s">
        <v>786</v>
      </c>
      <c r="B50" s="111" t="s">
        <v>784</v>
      </c>
      <c r="C50" s="111" t="s">
        <v>785</v>
      </c>
    </row>
    <row r="51" spans="1:3" x14ac:dyDescent="0.25">
      <c r="A51" s="111" t="s">
        <v>789</v>
      </c>
      <c r="B51" s="111" t="s">
        <v>787</v>
      </c>
      <c r="C51" s="111" t="s">
        <v>788</v>
      </c>
    </row>
    <row r="52" spans="1:3" x14ac:dyDescent="0.25">
      <c r="A52" s="111" t="s">
        <v>792</v>
      </c>
      <c r="B52" s="111" t="s">
        <v>790</v>
      </c>
      <c r="C52" s="111" t="s">
        <v>791</v>
      </c>
    </row>
    <row r="53" spans="1:3" x14ac:dyDescent="0.25">
      <c r="A53" s="111" t="s">
        <v>794</v>
      </c>
      <c r="B53" s="111" t="s">
        <v>793</v>
      </c>
      <c r="C53" s="111" t="s">
        <v>307</v>
      </c>
    </row>
    <row r="54" spans="1:3" x14ac:dyDescent="0.25">
      <c r="A54" s="111" t="s">
        <v>797</v>
      </c>
      <c r="B54" s="111" t="s">
        <v>795</v>
      </c>
      <c r="C54" s="111" t="s">
        <v>796</v>
      </c>
    </row>
    <row r="55" spans="1:3" x14ac:dyDescent="0.25">
      <c r="A55" s="111" t="s">
        <v>816</v>
      </c>
      <c r="B55" s="111" t="s">
        <v>798</v>
      </c>
      <c r="C55" s="111" t="s">
        <v>799</v>
      </c>
    </row>
    <row r="56" spans="1:3" x14ac:dyDescent="0.25">
      <c r="A56" s="111" t="s">
        <v>802</v>
      </c>
      <c r="B56" s="111" t="s">
        <v>800</v>
      </c>
      <c r="C56" s="111" t="s">
        <v>801</v>
      </c>
    </row>
    <row r="57" spans="1:3" x14ac:dyDescent="0.25">
      <c r="A57" s="111" t="s">
        <v>805</v>
      </c>
      <c r="B57" s="111" t="s">
        <v>803</v>
      </c>
      <c r="C57" s="111" t="s">
        <v>804</v>
      </c>
    </row>
    <row r="58" spans="1:3" x14ac:dyDescent="0.25">
      <c r="A58" s="111" t="s">
        <v>807</v>
      </c>
      <c r="B58" s="111" t="s">
        <v>806</v>
      </c>
      <c r="C58" s="111" t="s">
        <v>303</v>
      </c>
    </row>
    <row r="59" spans="1:3" x14ac:dyDescent="0.25">
      <c r="A59" s="111" t="s">
        <v>810</v>
      </c>
      <c r="B59" s="111" t="s">
        <v>808</v>
      </c>
      <c r="C59" s="111" t="s">
        <v>809</v>
      </c>
    </row>
    <row r="60" spans="1:3" x14ac:dyDescent="0.25">
      <c r="A60" s="111" t="s">
        <v>813</v>
      </c>
      <c r="B60" s="111" t="s">
        <v>811</v>
      </c>
      <c r="C60" s="111" t="s">
        <v>812</v>
      </c>
    </row>
    <row r="61" spans="1:3" x14ac:dyDescent="0.25">
      <c r="A61" s="111" t="s">
        <v>815</v>
      </c>
      <c r="B61" s="111" t="s">
        <v>317</v>
      </c>
      <c r="C61" s="111" t="s">
        <v>814</v>
      </c>
    </row>
  </sheetData>
  <dataValidations count="1">
    <dataValidation type="list" allowBlank="1" showInputMessage="1" showErrorMessage="1" sqref="I12" xr:uid="{B46EE706-8CDA-4D63-9BD9-200F8DE440DA}">
      <formula1>$A$7:$A$31</formula1>
    </dataValidation>
  </dataValidations>
  <pageMargins left="0.7" right="0.7" top="0.78740157499999996" bottom="0.78740157499999996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C872F-BD11-4FCA-BE32-D29FEF789864}">
  <sheetPr>
    <pageSetUpPr fitToPage="1"/>
  </sheetPr>
  <dimension ref="C8:U23"/>
  <sheetViews>
    <sheetView topLeftCell="H13" zoomScale="115" zoomScaleNormal="115" workbookViewId="0">
      <selection activeCell="C21" sqref="C21:R23"/>
    </sheetView>
  </sheetViews>
  <sheetFormatPr baseColWidth="10" defaultRowHeight="15" x14ac:dyDescent="0.25"/>
  <cols>
    <col min="3" max="7" width="20.28515625" customWidth="1"/>
    <col min="8" max="8" width="9.5703125" customWidth="1"/>
    <col min="9" max="9" width="20.28515625" customWidth="1"/>
    <col min="10" max="10" width="9.5703125" customWidth="1"/>
    <col min="11" max="11" width="19.85546875" customWidth="1"/>
    <col min="12" max="12" width="9.5703125" customWidth="1"/>
    <col min="13" max="15" width="20.5703125" customWidth="1"/>
    <col min="17" max="17" width="21" customWidth="1"/>
    <col min="18" max="18" width="20.5703125" customWidth="1"/>
    <col min="20" max="21" width="21" customWidth="1"/>
  </cols>
  <sheetData>
    <row r="8" spans="3:21" ht="90.6" customHeight="1" x14ac:dyDescent="0.25">
      <c r="C8" s="422" t="s">
        <v>908</v>
      </c>
      <c r="D8" s="5"/>
      <c r="E8" s="5"/>
      <c r="F8" s="5"/>
      <c r="G8" s="5"/>
    </row>
    <row r="9" spans="3:21" ht="90.6" customHeight="1" x14ac:dyDescent="0.25">
      <c r="C9" s="5"/>
      <c r="D9" s="5"/>
      <c r="E9" s="5"/>
      <c r="F9" s="5"/>
      <c r="G9" s="5"/>
    </row>
    <row r="10" spans="3:21" ht="90.6" customHeight="1" x14ac:dyDescent="0.25"/>
    <row r="11" spans="3:21" ht="29.1" customHeight="1" x14ac:dyDescent="0.35">
      <c r="C11" s="9" t="s">
        <v>909</v>
      </c>
    </row>
    <row r="12" spans="3:21" ht="14.1" customHeight="1" x14ac:dyDescent="0.25"/>
    <row r="13" spans="3:21" ht="95.45" customHeight="1" x14ac:dyDescent="0.25">
      <c r="C13" s="5"/>
      <c r="E13" s="5"/>
      <c r="G13" s="5"/>
      <c r="I13" s="5"/>
      <c r="K13" s="5"/>
      <c r="M13" s="5"/>
      <c r="O13" s="5"/>
      <c r="Q13" s="5"/>
      <c r="R13" s="5"/>
      <c r="T13" s="5"/>
      <c r="U13" s="5"/>
    </row>
    <row r="14" spans="3:21" ht="95.45" customHeight="1" x14ac:dyDescent="0.25">
      <c r="E14" s="5"/>
      <c r="G14" s="5"/>
      <c r="M14" s="5"/>
      <c r="O14" s="5"/>
      <c r="Q14" s="5"/>
      <c r="R14" s="5"/>
      <c r="T14" s="5"/>
      <c r="U14" s="5"/>
    </row>
    <row r="15" spans="3:21" ht="91.5" customHeight="1" x14ac:dyDescent="0.25">
      <c r="O15" s="5"/>
      <c r="Q15" s="5"/>
      <c r="R15" s="5"/>
    </row>
    <row r="17" spans="3:21" x14ac:dyDescent="0.25">
      <c r="C17" s="55">
        <v>3</v>
      </c>
      <c r="E17" s="55">
        <v>3</v>
      </c>
      <c r="G17" s="55">
        <v>3</v>
      </c>
      <c r="I17" s="55">
        <v>20</v>
      </c>
      <c r="K17" s="55">
        <v>1</v>
      </c>
      <c r="M17" s="55">
        <v>1</v>
      </c>
      <c r="O17" s="55">
        <v>1</v>
      </c>
      <c r="Q17" s="442">
        <v>1</v>
      </c>
      <c r="R17" s="442"/>
      <c r="T17" s="442">
        <v>1</v>
      </c>
      <c r="U17" s="442"/>
    </row>
    <row r="21" spans="3:21" ht="96.95" customHeight="1" x14ac:dyDescent="0.25">
      <c r="C21" s="5"/>
      <c r="E21" s="5"/>
      <c r="G21" s="5"/>
      <c r="I21" s="5"/>
      <c r="K21" s="5"/>
      <c r="M21" s="5"/>
      <c r="N21" s="5"/>
      <c r="Q21" s="5"/>
      <c r="R21" s="5"/>
    </row>
    <row r="22" spans="3:21" ht="96.95" customHeight="1" x14ac:dyDescent="0.25">
      <c r="I22" s="5"/>
      <c r="K22" s="5"/>
    </row>
    <row r="23" spans="3:21" ht="27" customHeight="1" x14ac:dyDescent="0.4">
      <c r="C23" s="174">
        <v>1</v>
      </c>
      <c r="D23" s="128"/>
      <c r="E23" s="174">
        <v>3</v>
      </c>
      <c r="F23" s="128"/>
      <c r="G23" s="174">
        <v>1</v>
      </c>
      <c r="H23" s="174"/>
      <c r="I23" s="174">
        <v>1</v>
      </c>
      <c r="J23" s="174"/>
      <c r="K23" s="174">
        <v>1</v>
      </c>
      <c r="L23" s="174"/>
      <c r="M23" s="443" t="s">
        <v>911</v>
      </c>
      <c r="N23" s="443"/>
      <c r="O23" s="174"/>
      <c r="P23" s="174"/>
      <c r="Q23" s="443">
        <v>3</v>
      </c>
      <c r="R23" s="443"/>
    </row>
  </sheetData>
  <mergeCells count="4">
    <mergeCell ref="Q17:R17"/>
    <mergeCell ref="T17:U17"/>
    <mergeCell ref="Q23:R23"/>
    <mergeCell ref="M23:N23"/>
  </mergeCells>
  <pageMargins left="0.7" right="0.7" top="0.78740157499999996" bottom="0.78740157499999996" header="0.3" footer="0.3"/>
  <pageSetup paperSize="9" scale="36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36A79-F1D9-4DCA-BAF5-2C24011BED35}">
  <dimension ref="C2"/>
  <sheetViews>
    <sheetView topLeftCell="A15" zoomScale="130" zoomScaleNormal="130" workbookViewId="0">
      <selection activeCell="L19" sqref="L19"/>
    </sheetView>
  </sheetViews>
  <sheetFormatPr baseColWidth="10" defaultRowHeight="15" x14ac:dyDescent="0.25"/>
  <cols>
    <col min="13" max="14" width="4.42578125" customWidth="1"/>
    <col min="16" max="21" width="3.42578125" customWidth="1"/>
  </cols>
  <sheetData>
    <row r="2" spans="3:3" ht="23.25" x14ac:dyDescent="0.35">
      <c r="C2" s="9" t="s">
        <v>610</v>
      </c>
    </row>
  </sheetData>
  <pageMargins left="0.7" right="0.7" top="0.78740157499999996" bottom="0.78740157499999996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72248-4BAA-4906-931A-7DA179A4CAFF}">
  <dimension ref="B2:AP88"/>
  <sheetViews>
    <sheetView showGridLines="0" tabSelected="1" topLeftCell="A38" zoomScale="85" zoomScaleNormal="85" workbookViewId="0">
      <selection activeCell="L50" sqref="L50"/>
    </sheetView>
  </sheetViews>
  <sheetFormatPr baseColWidth="10" defaultRowHeight="15" x14ac:dyDescent="0.25"/>
  <cols>
    <col min="3" max="3" width="38.28515625" customWidth="1"/>
    <col min="5" max="5" width="5.140625" customWidth="1"/>
    <col min="6" max="6" width="4.140625" customWidth="1"/>
    <col min="7" max="7" width="9.42578125" customWidth="1"/>
    <col min="8" max="9" width="10.85546875" customWidth="1"/>
    <col min="10" max="11" width="20.7109375" customWidth="1"/>
    <col min="12" max="12" width="34.28515625" customWidth="1"/>
    <col min="13" max="13" width="35.42578125" customWidth="1"/>
    <col min="14" max="14" width="6.85546875" customWidth="1"/>
    <col min="15" max="15" width="6.28515625" customWidth="1"/>
    <col min="16" max="16" width="10.85546875" customWidth="1"/>
    <col min="17" max="17" width="7.85546875" customWidth="1"/>
    <col min="18" max="18" width="10.85546875" customWidth="1"/>
    <col min="19" max="19" width="5.42578125" customWidth="1"/>
    <col min="20" max="20" width="14.42578125" customWidth="1"/>
    <col min="21" max="21" width="3.28515625" customWidth="1"/>
    <col min="22" max="22" width="8.42578125" customWidth="1"/>
    <col min="23" max="24" width="12.28515625" customWidth="1"/>
    <col min="25" max="25" width="5.42578125" customWidth="1"/>
    <col min="27" max="27" width="18.5703125" customWidth="1"/>
    <col min="28" max="28" width="14.7109375" customWidth="1"/>
    <col min="29" max="29" width="4.140625" customWidth="1"/>
    <col min="30" max="30" width="46.42578125" customWidth="1"/>
  </cols>
  <sheetData>
    <row r="2" spans="3:28" ht="23.25" x14ac:dyDescent="0.35">
      <c r="C2" s="9" t="s">
        <v>889</v>
      </c>
      <c r="R2" t="s">
        <v>64</v>
      </c>
      <c r="T2" t="s">
        <v>966</v>
      </c>
      <c r="AA2" s="8" t="s">
        <v>864</v>
      </c>
      <c r="AB2" s="4" t="s">
        <v>64</v>
      </c>
    </row>
    <row r="3" spans="3:28" x14ac:dyDescent="0.25">
      <c r="R3" t="s">
        <v>65</v>
      </c>
      <c r="T3" t="s">
        <v>967</v>
      </c>
    </row>
    <row r="16" spans="3:28" ht="15.75" thickBot="1" x14ac:dyDescent="0.3"/>
    <row r="17" spans="3:38" x14ac:dyDescent="0.25">
      <c r="Z17" s="396"/>
      <c r="AA17" s="397"/>
      <c r="AB17" s="397"/>
      <c r="AC17" s="397"/>
      <c r="AD17" s="397"/>
      <c r="AE17" s="398"/>
    </row>
    <row r="18" spans="3:38" x14ac:dyDescent="0.25">
      <c r="Z18" s="399"/>
      <c r="AE18" s="400"/>
    </row>
    <row r="19" spans="3:38" x14ac:dyDescent="0.25">
      <c r="Z19" s="399"/>
      <c r="AB19" s="5" t="s">
        <v>866</v>
      </c>
      <c r="AD19" s="5" t="s">
        <v>865</v>
      </c>
      <c r="AE19" s="400"/>
    </row>
    <row r="20" spans="3:38" ht="20.45" customHeight="1" x14ac:dyDescent="0.3">
      <c r="C20" s="8" t="s">
        <v>855</v>
      </c>
      <c r="D20" s="4">
        <v>1.5</v>
      </c>
      <c r="E20" s="4" t="s">
        <v>694</v>
      </c>
      <c r="F20" s="5" t="str">
        <f>Einheitenvorsätze!B61</f>
        <v>Ω</v>
      </c>
      <c r="G20" s="77">
        <f>VLOOKUP(E20, CHOOSE({1,2,3,4,5}, Einheitenvorsätze!A:A, Einheitenvorsätze!B:B, Einheitenvorsätze!C:C, Einheitenvorsätze!D:D, Einheitenvorsätze!E:E), 5, FALSE)</f>
        <v>3</v>
      </c>
      <c r="H20" s="77">
        <f>D20*VLOOKUP(E20, CHOOSE({1,2,3,4}, Einheitenvorsätze!A:A, Einheitenvorsätze!B:B, Einheitenvorsätze!C:C, Einheitenvorsätze!D:D), 3, FALSE)</f>
        <v>1500</v>
      </c>
      <c r="I20" s="393" t="str">
        <f>C20</f>
        <v xml:space="preserve">R = </v>
      </c>
      <c r="J20" s="77" t="str">
        <f>IF(E20=Einheitenvorsätze!$A$19,_xlfn.CONCAT(D20,F20),_xlfn.CONCAT(D20," * ",VLOOKUP(E20, CHOOSE({1,2,3,4}, Einheitenvorsätze!A:A, Einheitenvorsätze!B:B, Einheitenvorsätze!C:C, Einheitenvorsätze!D:D), 4, FALSE),F20))</f>
        <v>1.5 * 10³Ω</v>
      </c>
      <c r="K20" s="77" t="str">
        <f>IF(E20=Einheitenvorsätze!$A$19,_xlfn.CONCAT(D20,F20),_xlfn.CONCAT(D20,E20,F20))</f>
        <v>1.5kΩ</v>
      </c>
      <c r="L20" s="77" t="str">
        <f>_xlfn.CONCAT(I20,K20)</f>
        <v>R = 1.5kΩ</v>
      </c>
      <c r="M20" s="77" t="str">
        <f>_xlfn.CONCAT(I20,J20)</f>
        <v>R = 1.5 * 10³Ω</v>
      </c>
      <c r="Z20" s="399"/>
      <c r="AB20" s="394" t="str">
        <f>$L$20</f>
        <v>R = 1.5kΩ</v>
      </c>
      <c r="AD20" s="395" t="str">
        <f>IF($AB$2=$R$2,$L$25,_xlfn.CONCAT($C$25,"?"))</f>
        <v>ω = 6283.1853(1/s)</v>
      </c>
      <c r="AE20" s="400"/>
      <c r="AF20">
        <f>$H$20</f>
        <v>1500</v>
      </c>
      <c r="AG20" s="1" t="s">
        <v>876</v>
      </c>
      <c r="AH20">
        <v>0</v>
      </c>
      <c r="AI20">
        <f>IF($AB$2=$R$2,AF20,0)</f>
        <v>1500</v>
      </c>
      <c r="AK20">
        <v>0</v>
      </c>
      <c r="AL20">
        <v>0</v>
      </c>
    </row>
    <row r="21" spans="3:38" ht="20.45" customHeight="1" x14ac:dyDescent="0.3">
      <c r="C21" s="8" t="s">
        <v>856</v>
      </c>
      <c r="D21" s="4">
        <v>0.1</v>
      </c>
      <c r="E21" s="4" t="s">
        <v>715</v>
      </c>
      <c r="F21" s="5" t="s">
        <v>44</v>
      </c>
      <c r="G21" s="77">
        <f>VLOOKUP(E21, CHOOSE({1,2,3,4,5}, Einheitenvorsätze!A:A, Einheitenvorsätze!B:B, Einheitenvorsätze!C:C, Einheitenvorsätze!D:D, Einheitenvorsätze!E:E), 5, FALSE)</f>
        <v>-6</v>
      </c>
      <c r="H21" s="77">
        <f>D21*VLOOKUP(E21, CHOOSE({1,2,3,4}, Einheitenvorsätze!A:A, Einheitenvorsätze!B:B, Einheitenvorsätze!C:C, Einheitenvorsätze!D:D), 3, FALSE)</f>
        <v>9.9999999999999995E-8</v>
      </c>
      <c r="I21" s="393" t="str">
        <f t="shared" ref="I21:I23" si="0">C21</f>
        <v xml:space="preserve">C = </v>
      </c>
      <c r="J21" s="77" t="str">
        <f>IF(E21=Einheitenvorsätze!$A$19,_xlfn.CONCAT(D21,F21),_xlfn.CONCAT(D21," * ",VLOOKUP(E21, CHOOSE({1,2,3,4}, Einheitenvorsätze!A:A, Einheitenvorsätze!B:B, Einheitenvorsätze!C:C, Einheitenvorsätze!D:D), 4, FALSE),F21))</f>
        <v>0.1 * 10⁻⁶F</v>
      </c>
      <c r="K21" s="77" t="str">
        <f>IF(E21=Einheitenvorsätze!$A$19,_xlfn.CONCAT(D21,F21),_xlfn.CONCAT(D21,E21,F21))</f>
        <v>0.1µF</v>
      </c>
      <c r="L21" s="77" t="str">
        <f t="shared" ref="L21:L23" si="1">_xlfn.CONCAT(I21,K21)</f>
        <v>C = 0.1µF</v>
      </c>
      <c r="M21" s="77" t="str">
        <f t="shared" ref="M21:M23" si="2">_xlfn.CONCAT(I21,J21)</f>
        <v>C = 0.1 * 10⁻⁶F</v>
      </c>
      <c r="Z21" s="399"/>
      <c r="AB21" s="394" t="str">
        <f>$L$21</f>
        <v>C = 0.1µF</v>
      </c>
      <c r="AD21" s="395" t="str">
        <f>IF($AB$2=$R$2,$L$28,_xlfn.CONCAT($C$28,"?"))</f>
        <v>Blindwiderstand XC = 1.59kΩ</v>
      </c>
      <c r="AE21" s="400"/>
      <c r="AF21">
        <f>$H$28</f>
        <v>1590</v>
      </c>
      <c r="AG21" s="1" t="s">
        <v>877</v>
      </c>
      <c r="AH21">
        <v>0</v>
      </c>
      <c r="AI21">
        <v>0</v>
      </c>
      <c r="AK21">
        <v>0</v>
      </c>
      <c r="AL21">
        <f>IF($AB$2=$R$2,-AF21,0)</f>
        <v>-1590</v>
      </c>
    </row>
    <row r="22" spans="3:38" ht="20.45" customHeight="1" x14ac:dyDescent="0.3">
      <c r="C22" s="8" t="s">
        <v>857</v>
      </c>
      <c r="D22" s="4">
        <v>80</v>
      </c>
      <c r="E22" s="4" t="s">
        <v>712</v>
      </c>
      <c r="F22" s="5" t="s">
        <v>45</v>
      </c>
      <c r="G22" s="77">
        <f>VLOOKUP(E22, CHOOSE({1,2,3,4,5}, Einheitenvorsätze!A:A, Einheitenvorsätze!B:B, Einheitenvorsätze!C:C, Einheitenvorsätze!D:D, Einheitenvorsätze!E:E), 5, FALSE)</f>
        <v>-3</v>
      </c>
      <c r="H22" s="77">
        <f>D22*VLOOKUP(E22, CHOOSE({1,2,3,4}, Einheitenvorsätze!A:A, Einheitenvorsätze!B:B, Einheitenvorsätze!C:C, Einheitenvorsätze!D:D), 3, FALSE)</f>
        <v>0.08</v>
      </c>
      <c r="I22" s="393" t="str">
        <f t="shared" si="0"/>
        <v xml:space="preserve">L = </v>
      </c>
      <c r="J22" s="77" t="str">
        <f>IF(E22=Einheitenvorsätze!$A$19,_xlfn.CONCAT(D22,F22),_xlfn.CONCAT(D22," * ",VLOOKUP(E22, CHOOSE({1,2,3,4}, Einheitenvorsätze!A:A, Einheitenvorsätze!B:B, Einheitenvorsätze!C:C, Einheitenvorsätze!D:D), 4, FALSE),F22))</f>
        <v>80 * 10⁻³H</v>
      </c>
      <c r="K22" s="77" t="str">
        <f>IF(E22=Einheitenvorsätze!$A$19,_xlfn.CONCAT(D22,F22),_xlfn.CONCAT(D22,E22,F22))</f>
        <v>80mH</v>
      </c>
      <c r="L22" s="77" t="str">
        <f t="shared" si="1"/>
        <v>L = 80mH</v>
      </c>
      <c r="M22" s="77" t="str">
        <f t="shared" si="2"/>
        <v>L = 80 * 10⁻³H</v>
      </c>
      <c r="Z22" s="399"/>
      <c r="AB22" s="394" t="str">
        <f>$L$23</f>
        <v>f =1kHZ</v>
      </c>
      <c r="AD22" s="395" t="str">
        <f>IF($AB$2=$R$2,$L$32,_xlfn.CONCAT($C$32,"?"))</f>
        <v>Scheinwiderstand ZRC = 2.19kΩ</v>
      </c>
      <c r="AE22" s="401"/>
      <c r="AF22">
        <f>ABS(MAX(AF20:AF21))*1.1</f>
        <v>1749.0000000000002</v>
      </c>
      <c r="AG22" s="1" t="s">
        <v>879</v>
      </c>
      <c r="AH22">
        <f>-AF22</f>
        <v>-1749.0000000000002</v>
      </c>
      <c r="AI22">
        <f>AF22</f>
        <v>1749.0000000000002</v>
      </c>
      <c r="AK22">
        <v>0</v>
      </c>
      <c r="AL22">
        <v>0</v>
      </c>
    </row>
    <row r="23" spans="3:38" ht="20.45" customHeight="1" x14ac:dyDescent="0.3">
      <c r="C23" s="8" t="s">
        <v>858</v>
      </c>
      <c r="D23" s="4">
        <v>1</v>
      </c>
      <c r="E23" s="4" t="s">
        <v>694</v>
      </c>
      <c r="F23" s="5" t="s">
        <v>859</v>
      </c>
      <c r="G23" s="77">
        <f>VLOOKUP(E23, CHOOSE({1,2,3,4,5}, Einheitenvorsätze!A:A, Einheitenvorsätze!B:B, Einheitenvorsätze!C:C, Einheitenvorsätze!D:D, Einheitenvorsätze!E:E), 5, FALSE)</f>
        <v>3</v>
      </c>
      <c r="H23" s="77">
        <f>D23*VLOOKUP(E23, CHOOSE({1,2,3,4}, Einheitenvorsätze!A:A, Einheitenvorsätze!B:B, Einheitenvorsätze!C:C, Einheitenvorsätze!D:D), 3, FALSE)</f>
        <v>1000</v>
      </c>
      <c r="I23" s="393" t="str">
        <f t="shared" si="0"/>
        <v>f =</v>
      </c>
      <c r="J23" s="77" t="str">
        <f>IF(E23=Einheitenvorsätze!$A$19,_xlfn.CONCAT(D23,F23),_xlfn.CONCAT(D23," * ",VLOOKUP(E23, CHOOSE({1,2,3,4}, Einheitenvorsätze!A:A, Einheitenvorsätze!B:B, Einheitenvorsätze!C:C, Einheitenvorsätze!D:D), 4, FALSE),F23))</f>
        <v>1 * 10³HZ</v>
      </c>
      <c r="K23" s="77" t="str">
        <f>IF(E23=Einheitenvorsätze!$A$19,_xlfn.CONCAT(D23,F23),_xlfn.CONCAT(D23,E23,F23))</f>
        <v>1kHZ</v>
      </c>
      <c r="L23" s="77" t="str">
        <f t="shared" si="1"/>
        <v>f =1kHZ</v>
      </c>
      <c r="M23" s="77" t="str">
        <f t="shared" si="2"/>
        <v>f =1 * 10³HZ</v>
      </c>
      <c r="Z23" s="399"/>
      <c r="AD23" s="395" t="str">
        <f>IF($AB$2=$R$2,$T$32,_xlfn.CONCAT($O$32,"?"))</f>
        <v>φ = -46.7°</v>
      </c>
      <c r="AE23" s="400"/>
      <c r="AH23">
        <v>0</v>
      </c>
      <c r="AI23">
        <v>0</v>
      </c>
      <c r="AK23">
        <f>AH22</f>
        <v>-1749.0000000000002</v>
      </c>
      <c r="AL23">
        <f>AI22</f>
        <v>1749.0000000000002</v>
      </c>
    </row>
    <row r="24" spans="3:38" ht="20.45" customHeight="1" x14ac:dyDescent="0.3">
      <c r="Z24" s="399"/>
      <c r="AD24" s="395" t="str">
        <f>IF($AB$2=$R$2,$X$32,_xlfn.CONCAT($V$32,"?"))</f>
        <v>cos(φ) = 0.7</v>
      </c>
      <c r="AE24" s="400"/>
      <c r="AH24">
        <v>0</v>
      </c>
      <c r="AI24">
        <f>AI20</f>
        <v>1500</v>
      </c>
      <c r="AK24">
        <v>0</v>
      </c>
      <c r="AL24">
        <f>AL21</f>
        <v>-1590</v>
      </c>
    </row>
    <row r="25" spans="3:38" ht="20.45" customHeight="1" thickBot="1" x14ac:dyDescent="0.3">
      <c r="C25" s="8" t="s">
        <v>860</v>
      </c>
      <c r="D25" s="77">
        <f>ROUND((2*PI()*H23 / 10^G25),4)</f>
        <v>6283.1853000000001</v>
      </c>
      <c r="E25" s="4" t="s">
        <v>703</v>
      </c>
      <c r="F25" s="5" t="s">
        <v>861</v>
      </c>
      <c r="G25" s="77">
        <f>VLOOKUP(E25, CHOOSE({1,2,3,4,5}, Einheitenvorsätze!A:A, Einheitenvorsätze!B:B, Einheitenvorsätze!C:C, Einheitenvorsätze!D:D, Einheitenvorsätze!E:E), 5, FALSE)</f>
        <v>0</v>
      </c>
      <c r="H25" s="77">
        <f>D25*VLOOKUP(E25, CHOOSE({1,2,3,4}, Einheitenvorsätze!A:A, Einheitenvorsätze!B:B, Einheitenvorsätze!C:C, Einheitenvorsätze!D:D), 3, FALSE)</f>
        <v>6283.1853000000001</v>
      </c>
      <c r="I25" s="393" t="str">
        <f t="shared" ref="I25" si="3">C25</f>
        <v xml:space="preserve">ω = </v>
      </c>
      <c r="J25" s="77" t="str">
        <f>IF(E25=Einheitenvorsätze!$A$19,_xlfn.CONCAT(D25,F25),_xlfn.CONCAT(D25," * ",VLOOKUP(E25, CHOOSE({1,2,3,4}, Einheitenvorsätze!A:A, Einheitenvorsätze!B:B, Einheitenvorsätze!C:C, Einheitenvorsätze!D:D), 4, FALSE),F25))</f>
        <v>6283.1853(1/s)</v>
      </c>
      <c r="K25" s="77" t="str">
        <f>IF(E25=Einheitenvorsätze!$A$19,_xlfn.CONCAT(D25,F25),_xlfn.CONCAT(D25,E25,F25))</f>
        <v>6283.1853(1/s)</v>
      </c>
      <c r="L25" s="77" t="str">
        <f t="shared" ref="L25" si="4">_xlfn.CONCAT(I25,K25)</f>
        <v>ω = 6283.1853(1/s)</v>
      </c>
      <c r="M25" s="77" t="str">
        <f t="shared" ref="M25" si="5">_xlfn.CONCAT(I25,J25)</f>
        <v>ω = 6283.1853(1/s)</v>
      </c>
      <c r="Z25" s="402"/>
      <c r="AA25" s="403"/>
      <c r="AB25" s="403"/>
      <c r="AC25" s="403"/>
      <c r="AD25" s="403"/>
      <c r="AE25" s="404"/>
    </row>
    <row r="26" spans="3:38" ht="20.45" customHeight="1" x14ac:dyDescent="0.25"/>
    <row r="27" spans="3:38" ht="20.45" customHeight="1" x14ac:dyDescent="0.25"/>
    <row r="28" spans="3:38" ht="20.45" customHeight="1" x14ac:dyDescent="0.35">
      <c r="C28" s="8" t="s">
        <v>947</v>
      </c>
      <c r="D28" s="77">
        <f>ROUND((1/((D25*D21)*10^(G25+G21)))/10^G28,2)</f>
        <v>1.59</v>
      </c>
      <c r="E28" s="4" t="s">
        <v>694</v>
      </c>
      <c r="F28" s="5" t="str">
        <f>F20</f>
        <v>Ω</v>
      </c>
      <c r="G28" s="77">
        <f>VLOOKUP(E28, CHOOSE({1,2,3,4,5}, Einheitenvorsätze!A:A, Einheitenvorsätze!B:B, Einheitenvorsätze!C:C, Einheitenvorsätze!D:D, Einheitenvorsätze!E:E), 5, FALSE)</f>
        <v>3</v>
      </c>
      <c r="H28" s="77">
        <f>D28*VLOOKUP(E28, CHOOSE({1,2,3,4}, Einheitenvorsätze!A:A, Einheitenvorsätze!B:B, Einheitenvorsätze!C:C, Einheitenvorsätze!D:D), 3, FALSE)</f>
        <v>1590</v>
      </c>
      <c r="I28" s="393" t="str">
        <f t="shared" ref="I28:I29" si="6">C28</f>
        <v xml:space="preserve">Blindwiderstand XC = </v>
      </c>
      <c r="J28" s="77" t="str">
        <f>IF(E28=Einheitenvorsätze!$A$19,_xlfn.CONCAT(D28,F28),_xlfn.CONCAT(D28," * ",VLOOKUP(E28, CHOOSE({1,2,3,4}, Einheitenvorsätze!A:A, Einheitenvorsätze!B:B, Einheitenvorsätze!C:C, Einheitenvorsätze!D:D), 4, FALSE),F28))</f>
        <v>1.59 * 10³Ω</v>
      </c>
      <c r="K28" s="77" t="str">
        <f>IF(E28=Einheitenvorsätze!$A$19,_xlfn.CONCAT(D28,F28),_xlfn.CONCAT(D28,E28,F28))</f>
        <v>1.59kΩ</v>
      </c>
      <c r="L28" s="77" t="str">
        <f t="shared" ref="L28:L29" si="7">_xlfn.CONCAT(I28,K28)</f>
        <v>Blindwiderstand XC = 1.59kΩ</v>
      </c>
      <c r="M28" s="77" t="str">
        <f t="shared" ref="M28:M29" si="8">_xlfn.CONCAT(I28,J28)</f>
        <v>Blindwiderstand XC = 1.59 * 10³Ω</v>
      </c>
    </row>
    <row r="29" spans="3:38" ht="20.45" customHeight="1" x14ac:dyDescent="0.35">
      <c r="C29" s="8" t="s">
        <v>948</v>
      </c>
      <c r="D29" s="77">
        <f>ROUND((((D25*D22)*10^(G25+G22))/10^G29),4)</f>
        <v>502.65480000000002</v>
      </c>
      <c r="E29" s="4" t="s">
        <v>703</v>
      </c>
      <c r="F29" s="5" t="str">
        <f>F20</f>
        <v>Ω</v>
      </c>
      <c r="G29" s="77">
        <f>VLOOKUP(E29, CHOOSE({1,2,3,4,5}, Einheitenvorsätze!A:A, Einheitenvorsätze!B:B, Einheitenvorsätze!C:C, Einheitenvorsätze!D:D, Einheitenvorsätze!E:E), 5, FALSE)</f>
        <v>0</v>
      </c>
      <c r="H29" s="77">
        <f>D29*VLOOKUP(E29, CHOOSE({1,2,3,4}, Einheitenvorsätze!A:A, Einheitenvorsätze!B:B, Einheitenvorsätze!C:C, Einheitenvorsätze!D:D), 3, FALSE)</f>
        <v>502.65480000000002</v>
      </c>
      <c r="I29" s="393" t="str">
        <f t="shared" si="6"/>
        <v xml:space="preserve">Blindwiderstand XL = </v>
      </c>
      <c r="J29" s="77" t="str">
        <f>IF(E29=Einheitenvorsätze!$A$19,_xlfn.CONCAT(D29,F29),_xlfn.CONCAT(D29," * ",VLOOKUP(E29, CHOOSE({1,2,3,4}, Einheitenvorsätze!A:A, Einheitenvorsätze!B:B, Einheitenvorsätze!C:C, Einheitenvorsätze!D:D), 4, FALSE),F29))</f>
        <v>502.6548Ω</v>
      </c>
      <c r="K29" s="77" t="str">
        <f>IF(E29=Einheitenvorsätze!$A$19,_xlfn.CONCAT(D29,F29),_xlfn.CONCAT(D29,E29,F29))</f>
        <v>502.6548Ω</v>
      </c>
      <c r="L29" s="77" t="str">
        <f t="shared" si="7"/>
        <v>Blindwiderstand XL = 502.6548Ω</v>
      </c>
      <c r="M29" s="77" t="str">
        <f t="shared" si="8"/>
        <v>Blindwiderstand XL = 502.6548Ω</v>
      </c>
    </row>
    <row r="31" spans="3:38" x14ac:dyDescent="0.25">
      <c r="C31" t="s">
        <v>862</v>
      </c>
    </row>
    <row r="32" spans="3:38" ht="18" x14ac:dyDescent="0.35">
      <c r="C32" s="8" t="s">
        <v>949</v>
      </c>
      <c r="D32" s="77">
        <f>ROUND(SQRT(H20^2 + H28^2) / 10^G32,2)</f>
        <v>2.19</v>
      </c>
      <c r="E32" s="4" t="s">
        <v>694</v>
      </c>
      <c r="F32" s="5" t="str">
        <f>F29</f>
        <v>Ω</v>
      </c>
      <c r="G32" s="77">
        <f>VLOOKUP(E32, CHOOSE({1,2,3,4,5}, Einheitenvorsätze!A:A, Einheitenvorsätze!B:B, Einheitenvorsätze!C:C, Einheitenvorsätze!D:D, Einheitenvorsätze!E:E), 5, FALSE)</f>
        <v>3</v>
      </c>
      <c r="H32" s="77">
        <f>D32*VLOOKUP(E32, CHOOSE({1,2,3,4}, Einheitenvorsätze!A:A, Einheitenvorsätze!B:B, Einheitenvorsätze!C:C, Einheitenvorsätze!D:D), 3, FALSE)</f>
        <v>2190</v>
      </c>
      <c r="I32" s="393" t="str">
        <f t="shared" ref="I32:I34" si="9">C32</f>
        <v xml:space="preserve">Scheinwiderstand ZRC = </v>
      </c>
      <c r="J32" s="77" t="str">
        <f>IF(E32=Einheitenvorsätze!$A$19,_xlfn.CONCAT(D32,F32),_xlfn.CONCAT(D32," * ",VLOOKUP(E32, CHOOSE({1,2,3,4}, Einheitenvorsätze!A:A, Einheitenvorsätze!B:B, Einheitenvorsätze!C:C, Einheitenvorsätze!D:D), 4, FALSE),F32))</f>
        <v>2.19 * 10³Ω</v>
      </c>
      <c r="K32" s="77" t="str">
        <f>IF(E32=Einheitenvorsätze!$A$19,_xlfn.CONCAT(D32,F32),_xlfn.CONCAT(D32,E32,F32))</f>
        <v>2.19kΩ</v>
      </c>
      <c r="L32" s="77" t="str">
        <f t="shared" ref="L32:L34" si="10">_xlfn.CONCAT(I32,K32)</f>
        <v>Scheinwiderstand ZRC = 2.19kΩ</v>
      </c>
      <c r="M32" s="77" t="str">
        <f t="shared" ref="M32:M34" si="11">_xlfn.CONCAT(I32,J32)</f>
        <v>Scheinwiderstand ZRC = 2.19 * 10³Ω</v>
      </c>
      <c r="O32" s="8" t="s">
        <v>863</v>
      </c>
      <c r="P32" s="77">
        <f>ATAN2(H20,-H28)</f>
        <v>-0.8145161449044872</v>
      </c>
      <c r="Q32" s="5" t="s">
        <v>202</v>
      </c>
      <c r="R32" s="77">
        <f>DEGREES(P32)</f>
        <v>-46.668337448293308</v>
      </c>
      <c r="S32" s="5" t="s">
        <v>201</v>
      </c>
      <c r="T32" s="77" t="str">
        <f>_xlfn.CONCAT(O32,ROUND(R32,1),S32)</f>
        <v>φ = -46.7°</v>
      </c>
      <c r="V32" s="5" t="s">
        <v>954</v>
      </c>
      <c r="W32" s="77">
        <f>COS(RADIANS(R32))</f>
        <v>0.68622042689571938</v>
      </c>
      <c r="X32" s="77" t="str">
        <f>_xlfn.CONCAT(V32,ROUND(W32,1))</f>
        <v>cos(φ) = 0.7</v>
      </c>
    </row>
    <row r="33" spans="2:38" ht="18" x14ac:dyDescent="0.35">
      <c r="C33" s="8" t="s">
        <v>950</v>
      </c>
      <c r="D33" s="77">
        <f>ROUND(SQRT(H20^2 + H29^2)/10^G33,2)</f>
        <v>1.58</v>
      </c>
      <c r="E33" s="4" t="s">
        <v>694</v>
      </c>
      <c r="F33" s="5" t="str">
        <f>F29</f>
        <v>Ω</v>
      </c>
      <c r="G33" s="77">
        <f>VLOOKUP(E33, CHOOSE({1,2,3,4,5}, Einheitenvorsätze!A:A, Einheitenvorsätze!B:B, Einheitenvorsätze!C:C, Einheitenvorsätze!D:D, Einheitenvorsätze!E:E), 5, FALSE)</f>
        <v>3</v>
      </c>
      <c r="H33" s="77">
        <f>D33*VLOOKUP(E33, CHOOSE({1,2,3,4}, Einheitenvorsätze!A:A, Einheitenvorsätze!B:B, Einheitenvorsätze!C:C, Einheitenvorsätze!D:D), 3, FALSE)</f>
        <v>1580</v>
      </c>
      <c r="I33" s="393" t="str">
        <f t="shared" si="9"/>
        <v xml:space="preserve">Scheinwiderstand ZRL = </v>
      </c>
      <c r="J33" s="77" t="str">
        <f>IF(E33=Einheitenvorsätze!$A$19,_xlfn.CONCAT(D33,F33),_xlfn.CONCAT(D33," * ",VLOOKUP(E33, CHOOSE({1,2,3,4}, Einheitenvorsätze!A:A, Einheitenvorsätze!B:B, Einheitenvorsätze!C:C, Einheitenvorsätze!D:D), 4, FALSE),F33))</f>
        <v>1.58 * 10³Ω</v>
      </c>
      <c r="K33" s="77" t="str">
        <f>IF(E33=Einheitenvorsätze!$A$19,_xlfn.CONCAT(D33,F33),_xlfn.CONCAT(D33,E33,F33))</f>
        <v>1.58kΩ</v>
      </c>
      <c r="L33" s="77" t="str">
        <f t="shared" si="10"/>
        <v>Scheinwiderstand ZRL = 1.58kΩ</v>
      </c>
      <c r="M33" s="77" t="str">
        <f t="shared" si="11"/>
        <v>Scheinwiderstand ZRL = 1.58 * 10³Ω</v>
      </c>
      <c r="O33" s="8" t="s">
        <v>863</v>
      </c>
      <c r="P33" s="77">
        <f>ATAN2(H20,H29)</f>
        <v>0.32334258774486002</v>
      </c>
      <c r="Q33" s="5" t="s">
        <v>202</v>
      </c>
      <c r="R33" s="77">
        <f>DEGREES(P33)</f>
        <v>18.526165614618975</v>
      </c>
      <c r="S33" s="5" t="s">
        <v>201</v>
      </c>
      <c r="T33" s="77" t="str">
        <f>_xlfn.CONCAT(O33,ROUND(R33,1),S33)</f>
        <v>φ = 18.5°</v>
      </c>
      <c r="V33" s="5" t="s">
        <v>954</v>
      </c>
      <c r="W33" s="77">
        <f t="shared" ref="W33:W34" si="12">COS(RADIANS(R33))</f>
        <v>0.9481786508621064</v>
      </c>
      <c r="X33" s="77" t="str">
        <f t="shared" ref="X33:X34" si="13">_xlfn.CONCAT(V33,ROUND(W33,1))</f>
        <v>cos(φ) = 0.9</v>
      </c>
    </row>
    <row r="34" spans="2:38" ht="18" x14ac:dyDescent="0.35">
      <c r="B34" s="435" t="str">
        <f>IF(H28=H29,"ohmsch",IF(H28&gt;H29,"kapazitiv","induktiv"))</f>
        <v>kapazitiv</v>
      </c>
      <c r="C34" s="8" t="s">
        <v>951</v>
      </c>
      <c r="D34" s="77">
        <f>ROUND(SQRT(H20^2 + (H28-H29)^2)/10^G34,2)</f>
        <v>1.85</v>
      </c>
      <c r="E34" s="4" t="s">
        <v>694</v>
      </c>
      <c r="F34" s="5" t="str">
        <f>F28</f>
        <v>Ω</v>
      </c>
      <c r="G34" s="77">
        <f>VLOOKUP(E34, CHOOSE({1,2,3,4,5}, Einheitenvorsätze!A:A, Einheitenvorsätze!B:B, Einheitenvorsätze!C:C, Einheitenvorsätze!D:D, Einheitenvorsätze!E:E), 5, FALSE)</f>
        <v>3</v>
      </c>
      <c r="H34" s="77">
        <f>D34*VLOOKUP(E34, CHOOSE({1,2,3,4}, Einheitenvorsätze!A:A, Einheitenvorsätze!B:B, Einheitenvorsätze!C:C, Einheitenvorsätze!D:D), 3, FALSE)</f>
        <v>1850</v>
      </c>
      <c r="I34" s="393" t="str">
        <f t="shared" si="9"/>
        <v xml:space="preserve">Scheinwiderstand ZRLC = </v>
      </c>
      <c r="J34" s="77" t="str">
        <f>IF(E34=Einheitenvorsätze!$A$19,_xlfn.CONCAT(D34,F34),_xlfn.CONCAT(D34," * ",VLOOKUP(E34, CHOOSE({1,2,3,4}, Einheitenvorsätze!A:A, Einheitenvorsätze!B:B, Einheitenvorsätze!C:C, Einheitenvorsätze!D:D), 4, FALSE),F34))</f>
        <v>1.85 * 10³Ω</v>
      </c>
      <c r="K34" s="77" t="str">
        <f>IF(E34=Einheitenvorsätze!$A$19,_xlfn.CONCAT(D34,F34),_xlfn.CONCAT(D34,E34,F34))</f>
        <v>1.85kΩ</v>
      </c>
      <c r="L34" s="77" t="str">
        <f t="shared" si="10"/>
        <v>Scheinwiderstand ZRLC = 1.85kΩ</v>
      </c>
      <c r="M34" s="77" t="str">
        <f t="shared" si="11"/>
        <v>Scheinwiderstand ZRLC = 1.85 * 10³Ω</v>
      </c>
      <c r="O34" s="8" t="s">
        <v>863</v>
      </c>
      <c r="P34" s="77">
        <f>ATAN2(H20,H29-H28)</f>
        <v>-0.62724054455024325</v>
      </c>
      <c r="Q34" s="5" t="s">
        <v>202</v>
      </c>
      <c r="R34" s="77">
        <f>DEGREES(P34)</f>
        <v>-35.93823594221643</v>
      </c>
      <c r="S34" s="5" t="s">
        <v>201</v>
      </c>
      <c r="T34" s="77" t="str">
        <f>_xlfn.CONCAT(O34,ROUND(R34,1),S34)</f>
        <v>φ = -35.9°</v>
      </c>
      <c r="V34" s="5" t="s">
        <v>954</v>
      </c>
      <c r="W34" s="77">
        <f t="shared" si="12"/>
        <v>0.80965014856304451</v>
      </c>
      <c r="X34" s="77" t="str">
        <f t="shared" si="13"/>
        <v>cos(φ) = 0.8</v>
      </c>
    </row>
    <row r="35" spans="2:38" ht="15.75" thickBot="1" x14ac:dyDescent="0.3"/>
    <row r="36" spans="2:38" ht="23.25" x14ac:dyDescent="0.35">
      <c r="Z36" s="405"/>
      <c r="AA36" s="406"/>
      <c r="AB36" s="397"/>
      <c r="AC36" s="397"/>
      <c r="AD36" s="397"/>
      <c r="AE36" s="398"/>
    </row>
    <row r="37" spans="2:38" ht="23.25" x14ac:dyDescent="0.35">
      <c r="Z37" s="407"/>
      <c r="AA37" s="245"/>
      <c r="AB37" s="5" t="s">
        <v>866</v>
      </c>
      <c r="AD37" s="5" t="s">
        <v>865</v>
      </c>
      <c r="AE37" s="400"/>
    </row>
    <row r="38" spans="2:38" ht="19.5" x14ac:dyDescent="0.35">
      <c r="C38" t="s">
        <v>952</v>
      </c>
      <c r="Z38" s="399"/>
      <c r="AB38" s="394" t="str">
        <f>$L$20</f>
        <v>R = 1.5kΩ</v>
      </c>
      <c r="AD38" s="395" t="str">
        <f>IF($AB$2=$R$2,$L$25,_xlfn.CONCAT($C$25,"?"))</f>
        <v>ω = 6283.1853(1/s)</v>
      </c>
      <c r="AE38" s="400"/>
      <c r="AF38">
        <f>$H$20</f>
        <v>1500</v>
      </c>
      <c r="AG38" s="1" t="s">
        <v>876</v>
      </c>
      <c r="AH38">
        <v>0</v>
      </c>
      <c r="AI38">
        <f>IF($AB$2=$R$2,AF38,0)</f>
        <v>1500</v>
      </c>
      <c r="AK38">
        <v>0</v>
      </c>
      <c r="AL38">
        <v>0</v>
      </c>
    </row>
    <row r="39" spans="2:38" ht="18.75" x14ac:dyDescent="0.3">
      <c r="C39" t="s">
        <v>953</v>
      </c>
      <c r="Z39" s="399"/>
      <c r="AB39" s="394" t="str">
        <f>$L$22</f>
        <v>L = 80mH</v>
      </c>
      <c r="AD39" s="395" t="str">
        <f>IF($AB$2=$R$2,$L$29,_xlfn.CONCAT($C$29,"?"))</f>
        <v>Blindwiderstand XL = 502.6548Ω</v>
      </c>
      <c r="AE39" s="400"/>
      <c r="AF39" s="437">
        <f>$H$29</f>
        <v>502.65480000000002</v>
      </c>
      <c r="AG39" s="1" t="s">
        <v>878</v>
      </c>
      <c r="AH39">
        <v>0</v>
      </c>
      <c r="AI39">
        <v>0</v>
      </c>
      <c r="AK39">
        <v>0</v>
      </c>
      <c r="AL39">
        <f>IF($AB$2=$R$2,AF39,0)</f>
        <v>502.65480000000002</v>
      </c>
    </row>
    <row r="40" spans="2:38" ht="18.75" x14ac:dyDescent="0.3">
      <c r="Z40" s="399"/>
      <c r="AB40" s="394" t="str">
        <f>$L$23</f>
        <v>f =1kHZ</v>
      </c>
      <c r="AD40" s="395" t="str">
        <f>IF($AB$2=$R$2,$L$33,_xlfn.CONCAT($C$33,"?"))</f>
        <v>Scheinwiderstand ZRL = 1.58kΩ</v>
      </c>
      <c r="AE40" s="400"/>
      <c r="AF40">
        <f>ABS(MAX(AF38:AF39))*1.1</f>
        <v>1650.0000000000002</v>
      </c>
      <c r="AG40" s="1" t="s">
        <v>879</v>
      </c>
      <c r="AH40">
        <f>-AF40</f>
        <v>-1650.0000000000002</v>
      </c>
      <c r="AI40">
        <f>AF40</f>
        <v>1650.0000000000002</v>
      </c>
      <c r="AK40">
        <v>0</v>
      </c>
      <c r="AL40">
        <v>0</v>
      </c>
    </row>
    <row r="41" spans="2:38" ht="18.75" x14ac:dyDescent="0.3">
      <c r="C41" s="492" t="s">
        <v>967</v>
      </c>
      <c r="D41" s="2">
        <v>1.6</v>
      </c>
      <c r="Z41" s="399"/>
      <c r="AD41" s="395" t="str">
        <f>IF($AB$2=$R$2,$T$33,_xlfn.CONCAT($O$33,"?"))</f>
        <v>φ = 18.5°</v>
      </c>
      <c r="AE41" s="400"/>
      <c r="AH41">
        <v>0</v>
      </c>
      <c r="AI41">
        <v>0</v>
      </c>
      <c r="AK41">
        <f>AH40</f>
        <v>-1650.0000000000002</v>
      </c>
      <c r="AL41">
        <f>AI40</f>
        <v>1650.0000000000002</v>
      </c>
    </row>
    <row r="42" spans="2:38" ht="18.75" x14ac:dyDescent="0.3">
      <c r="C42" s="8" t="s">
        <v>969</v>
      </c>
      <c r="D42" s="4">
        <v>1</v>
      </c>
      <c r="E42" s="5">
        <f>IF($C$41=$T$2, D42+$D$41,D42*$D$41)</f>
        <v>1.6</v>
      </c>
      <c r="F42" s="5">
        <f t="shared" ref="F42:X42" si="14">IF($C$41=$T$2, E42+$D$41,E42*$D$41)</f>
        <v>2.5600000000000005</v>
      </c>
      <c r="G42" s="5">
        <f t="shared" si="14"/>
        <v>4.096000000000001</v>
      </c>
      <c r="H42" s="5">
        <f t="shared" si="14"/>
        <v>6.5536000000000021</v>
      </c>
      <c r="I42" s="5">
        <f t="shared" si="14"/>
        <v>10.485760000000004</v>
      </c>
      <c r="J42" s="5">
        <f t="shared" si="14"/>
        <v>16.777216000000006</v>
      </c>
      <c r="K42" s="5">
        <f t="shared" si="14"/>
        <v>26.843545600000013</v>
      </c>
      <c r="L42" s="5">
        <f t="shared" si="14"/>
        <v>42.949672960000022</v>
      </c>
      <c r="M42" s="5">
        <f t="shared" si="14"/>
        <v>68.719476736000033</v>
      </c>
      <c r="N42" s="5">
        <f t="shared" si="14"/>
        <v>109.95116277760006</v>
      </c>
      <c r="O42" s="5">
        <f t="shared" si="14"/>
        <v>175.9218604441601</v>
      </c>
      <c r="P42" s="5">
        <f t="shared" si="14"/>
        <v>281.47497671065616</v>
      </c>
      <c r="Q42" s="5">
        <f t="shared" si="14"/>
        <v>450.3599627370499</v>
      </c>
      <c r="R42" s="5">
        <f t="shared" si="14"/>
        <v>720.57594037927993</v>
      </c>
      <c r="S42" s="5">
        <f t="shared" si="14"/>
        <v>1152.921504606848</v>
      </c>
      <c r="T42" s="5">
        <f t="shared" si="14"/>
        <v>1844.6744073709569</v>
      </c>
      <c r="U42" s="5">
        <f t="shared" si="14"/>
        <v>2951.4790517935312</v>
      </c>
      <c r="V42" s="5">
        <f t="shared" si="14"/>
        <v>4722.3664828696501</v>
      </c>
      <c r="W42" s="5">
        <f t="shared" si="14"/>
        <v>7555.7863725914403</v>
      </c>
      <c r="X42" s="5">
        <f t="shared" si="14"/>
        <v>12089.258196146306</v>
      </c>
      <c r="Z42" s="399"/>
      <c r="AD42" s="395" t="str">
        <f>IF($AB$2=$R$2,$X$33,_xlfn.CONCAT($V$33,"?"))</f>
        <v>cos(φ) = 0.9</v>
      </c>
      <c r="AE42" s="400"/>
      <c r="AH42">
        <v>0</v>
      </c>
      <c r="AI42">
        <f>AI38</f>
        <v>1500</v>
      </c>
      <c r="AK42">
        <v>0</v>
      </c>
      <c r="AL42">
        <f>AL39</f>
        <v>502.65480000000002</v>
      </c>
    </row>
    <row r="43" spans="2:38" ht="17.25" x14ac:dyDescent="0.25">
      <c r="C43" s="8" t="s">
        <v>968</v>
      </c>
      <c r="D43" s="5">
        <f>2*PI()*D42</f>
        <v>6.2831853071795862</v>
      </c>
      <c r="E43" s="5">
        <f t="shared" ref="E43:X43" si="15">2*PI()*E42</f>
        <v>10.053096491487338</v>
      </c>
      <c r="F43" s="5">
        <f t="shared" si="15"/>
        <v>16.084954386379742</v>
      </c>
      <c r="G43" s="5">
        <f t="shared" si="15"/>
        <v>25.73592701820759</v>
      </c>
      <c r="H43" s="5">
        <f t="shared" si="15"/>
        <v>41.17748322913215</v>
      </c>
      <c r="I43" s="5">
        <f t="shared" si="15"/>
        <v>65.88397316661144</v>
      </c>
      <c r="J43" s="5">
        <f t="shared" si="15"/>
        <v>105.4143570665783</v>
      </c>
      <c r="K43" s="5">
        <f t="shared" si="15"/>
        <v>168.66297130652532</v>
      </c>
      <c r="L43" s="5">
        <f t="shared" si="15"/>
        <v>269.86075409044048</v>
      </c>
      <c r="M43" s="5">
        <f t="shared" si="15"/>
        <v>431.77720654470477</v>
      </c>
      <c r="N43" s="5">
        <f t="shared" si="15"/>
        <v>690.84353047152774</v>
      </c>
      <c r="O43" s="5">
        <f t="shared" si="15"/>
        <v>1105.3496487544444</v>
      </c>
      <c r="P43" s="5">
        <f t="shared" si="15"/>
        <v>1768.5594380071111</v>
      </c>
      <c r="Q43" s="5">
        <f t="shared" si="15"/>
        <v>2829.6951008113779</v>
      </c>
      <c r="R43" s="5">
        <f t="shared" si="15"/>
        <v>4527.5121612982048</v>
      </c>
      <c r="S43" s="5">
        <f t="shared" si="15"/>
        <v>7244.0194580771285</v>
      </c>
      <c r="T43" s="5">
        <f t="shared" si="15"/>
        <v>11590.431132923408</v>
      </c>
      <c r="U43" s="5">
        <f t="shared" si="15"/>
        <v>18544.689812677454</v>
      </c>
      <c r="V43" s="5">
        <f t="shared" si="15"/>
        <v>29671.503700283924</v>
      </c>
      <c r="W43" s="5">
        <f t="shared" si="15"/>
        <v>47474.405920454279</v>
      </c>
      <c r="X43" s="5">
        <f t="shared" si="15"/>
        <v>75959.049472726852</v>
      </c>
      <c r="Z43" s="399"/>
      <c r="AE43" s="400"/>
    </row>
    <row r="44" spans="2:38" ht="18" x14ac:dyDescent="0.35">
      <c r="C44" s="8" t="s">
        <v>971</v>
      </c>
      <c r="D44" s="5">
        <f>1/(D43*$H$21)</f>
        <v>1591549.4309189534</v>
      </c>
      <c r="E44" s="5">
        <f>1/(E43*$H$21)</f>
        <v>994718.39432434586</v>
      </c>
      <c r="F44" s="5">
        <f t="shared" ref="E44:X44" si="16">1/(F43*$H$21)</f>
        <v>621698.99645271618</v>
      </c>
      <c r="G44" s="5">
        <f t="shared" si="16"/>
        <v>388561.87278294755</v>
      </c>
      <c r="H44" s="5">
        <f t="shared" si="16"/>
        <v>242851.17048934216</v>
      </c>
      <c r="I44" s="5">
        <f t="shared" si="16"/>
        <v>151781.98155583887</v>
      </c>
      <c r="J44" s="5">
        <f t="shared" si="16"/>
        <v>94863.738472399287</v>
      </c>
      <c r="K44" s="5">
        <f t="shared" si="16"/>
        <v>59289.836545249542</v>
      </c>
      <c r="L44" s="5">
        <f t="shared" si="16"/>
        <v>37056.14784078097</v>
      </c>
      <c r="M44" s="5">
        <f t="shared" si="16"/>
        <v>23160.092400488105</v>
      </c>
      <c r="N44" s="5">
        <f t="shared" si="16"/>
        <v>14475.057750305064</v>
      </c>
      <c r="O44" s="5">
        <f t="shared" si="16"/>
        <v>9046.9110939406655</v>
      </c>
      <c r="P44" s="5">
        <f t="shared" si="16"/>
        <v>5654.3194337129153</v>
      </c>
      <c r="Q44" s="5">
        <f t="shared" si="16"/>
        <v>3533.9496460705723</v>
      </c>
      <c r="R44" s="5">
        <f t="shared" si="16"/>
        <v>2208.7185287941074</v>
      </c>
      <c r="S44" s="5">
        <f t="shared" si="16"/>
        <v>1380.449080496317</v>
      </c>
      <c r="T44" s="5">
        <f t="shared" si="16"/>
        <v>862.78067531019792</v>
      </c>
      <c r="U44" s="5">
        <f t="shared" si="16"/>
        <v>539.23792206887367</v>
      </c>
      <c r="V44" s="5">
        <f t="shared" si="16"/>
        <v>337.02370129304609</v>
      </c>
      <c r="W44" s="5">
        <f t="shared" si="16"/>
        <v>210.63981330815378</v>
      </c>
      <c r="X44" s="5">
        <f t="shared" si="16"/>
        <v>131.64988331759611</v>
      </c>
      <c r="Z44" s="399"/>
      <c r="AE44" s="400"/>
    </row>
    <row r="45" spans="2:38" ht="18" x14ac:dyDescent="0.35">
      <c r="C45" s="8" t="s">
        <v>970</v>
      </c>
      <c r="D45" s="5">
        <f>D43*$H$22</f>
        <v>0.50265482457436694</v>
      </c>
      <c r="E45" s="5">
        <f t="shared" ref="E45:X45" si="17">E43*$H$22</f>
        <v>0.80424771931898709</v>
      </c>
      <c r="F45" s="5">
        <f t="shared" si="17"/>
        <v>1.2867963509103795</v>
      </c>
      <c r="G45" s="5">
        <f t="shared" si="17"/>
        <v>2.0588741614566071</v>
      </c>
      <c r="H45" s="5">
        <f t="shared" si="17"/>
        <v>3.294198658330572</v>
      </c>
      <c r="I45" s="5">
        <f t="shared" si="17"/>
        <v>5.2707178533289154</v>
      </c>
      <c r="J45" s="5">
        <f t="shared" si="17"/>
        <v>8.433148565326265</v>
      </c>
      <c r="K45" s="5">
        <f t="shared" si="17"/>
        <v>13.493037704522026</v>
      </c>
      <c r="L45" s="5">
        <f t="shared" si="17"/>
        <v>21.588860327235238</v>
      </c>
      <c r="M45" s="5">
        <f t="shared" si="17"/>
        <v>34.54217652357638</v>
      </c>
      <c r="N45" s="5">
        <f t="shared" si="17"/>
        <v>55.267482437722222</v>
      </c>
      <c r="O45" s="5">
        <f t="shared" si="17"/>
        <v>88.427971900355558</v>
      </c>
      <c r="P45" s="5">
        <f t="shared" si="17"/>
        <v>141.4847550405689</v>
      </c>
      <c r="Q45" s="5">
        <f t="shared" si="17"/>
        <v>226.37560806491024</v>
      </c>
      <c r="R45" s="5">
        <f t="shared" si="17"/>
        <v>362.20097290385638</v>
      </c>
      <c r="S45" s="5">
        <f t="shared" si="17"/>
        <v>579.52155664617032</v>
      </c>
      <c r="T45" s="5">
        <f t="shared" si="17"/>
        <v>927.23449063387261</v>
      </c>
      <c r="U45" s="5">
        <f t="shared" si="17"/>
        <v>1483.5751850141964</v>
      </c>
      <c r="V45" s="5">
        <f t="shared" si="17"/>
        <v>2373.7202960227141</v>
      </c>
      <c r="W45" s="5">
        <f t="shared" si="17"/>
        <v>3797.9524736363423</v>
      </c>
      <c r="X45" s="5">
        <f t="shared" si="17"/>
        <v>6076.7239578181479</v>
      </c>
      <c r="Z45" s="399"/>
      <c r="AE45" s="400"/>
    </row>
    <row r="46" spans="2:38" ht="18" x14ac:dyDescent="0.35">
      <c r="C46" s="8" t="s">
        <v>973</v>
      </c>
      <c r="D46" s="5">
        <f>$H$20+D44</f>
        <v>1593049.4309189534</v>
      </c>
      <c r="E46" s="5">
        <f t="shared" ref="E46:X46" si="18">$H$20+E44</f>
        <v>996218.39432434586</v>
      </c>
      <c r="F46" s="5">
        <f t="shared" si="18"/>
        <v>623198.99645271618</v>
      </c>
      <c r="G46" s="5">
        <f t="shared" si="18"/>
        <v>390061.87278294755</v>
      </c>
      <c r="H46" s="5">
        <f t="shared" si="18"/>
        <v>244351.17048934216</v>
      </c>
      <c r="I46" s="5">
        <f t="shared" si="18"/>
        <v>153281.98155583887</v>
      </c>
      <c r="J46" s="5">
        <f t="shared" si="18"/>
        <v>96363.738472399287</v>
      </c>
      <c r="K46" s="5">
        <f t="shared" si="18"/>
        <v>60789.836545249542</v>
      </c>
      <c r="L46" s="5">
        <f t="shared" si="18"/>
        <v>38556.14784078097</v>
      </c>
      <c r="M46" s="5">
        <f t="shared" si="18"/>
        <v>24660.092400488105</v>
      </c>
      <c r="N46" s="5">
        <f t="shared" si="18"/>
        <v>15975.057750305064</v>
      </c>
      <c r="O46" s="5">
        <f t="shared" si="18"/>
        <v>10546.911093940666</v>
      </c>
      <c r="P46" s="5">
        <f t="shared" si="18"/>
        <v>7154.3194337129153</v>
      </c>
      <c r="Q46" s="5">
        <f t="shared" si="18"/>
        <v>5033.9496460705723</v>
      </c>
      <c r="R46" s="5">
        <f t="shared" si="18"/>
        <v>3708.7185287941074</v>
      </c>
      <c r="S46" s="5">
        <f t="shared" si="18"/>
        <v>2880.449080496317</v>
      </c>
      <c r="T46" s="5">
        <f t="shared" si="18"/>
        <v>2362.7806753101977</v>
      </c>
      <c r="U46" s="5">
        <f t="shared" si="18"/>
        <v>2039.2379220688736</v>
      </c>
      <c r="V46" s="5">
        <f t="shared" si="18"/>
        <v>1837.0237012930461</v>
      </c>
      <c r="W46" s="5">
        <f t="shared" si="18"/>
        <v>1710.6398133081539</v>
      </c>
      <c r="X46" s="5">
        <f t="shared" si="18"/>
        <v>1631.649883317596</v>
      </c>
      <c r="Z46" s="399"/>
      <c r="AE46" s="400"/>
    </row>
    <row r="47" spans="2:38" ht="18.75" thickBot="1" x14ac:dyDescent="0.4">
      <c r="C47" s="8" t="s">
        <v>972</v>
      </c>
      <c r="D47" s="5">
        <f>$H$20+D45</f>
        <v>1500.5026548245744</v>
      </c>
      <c r="E47" s="5">
        <f t="shared" ref="E47:X47" si="19">$H$20+E45</f>
        <v>1500.8042477193189</v>
      </c>
      <c r="F47" s="5">
        <f t="shared" si="19"/>
        <v>1501.2867963509104</v>
      </c>
      <c r="G47" s="5">
        <f t="shared" si="19"/>
        <v>1502.0588741614565</v>
      </c>
      <c r="H47" s="5">
        <f t="shared" si="19"/>
        <v>1503.2941986583305</v>
      </c>
      <c r="I47" s="5">
        <f t="shared" si="19"/>
        <v>1505.270717853329</v>
      </c>
      <c r="J47" s="5">
        <f t="shared" si="19"/>
        <v>1508.4331485653263</v>
      </c>
      <c r="K47" s="5">
        <f t="shared" si="19"/>
        <v>1513.4930377045221</v>
      </c>
      <c r="L47" s="5">
        <f t="shared" si="19"/>
        <v>1521.5888603272351</v>
      </c>
      <c r="M47" s="5">
        <f t="shared" si="19"/>
        <v>1534.5421765235765</v>
      </c>
      <c r="N47" s="5">
        <f t="shared" si="19"/>
        <v>1555.2674824377223</v>
      </c>
      <c r="O47" s="5">
        <f t="shared" si="19"/>
        <v>1588.4279719003555</v>
      </c>
      <c r="P47" s="5">
        <f t="shared" si="19"/>
        <v>1641.4847550405689</v>
      </c>
      <c r="Q47" s="5">
        <f t="shared" si="19"/>
        <v>1726.3756080649102</v>
      </c>
      <c r="R47" s="5">
        <f t="shared" si="19"/>
        <v>1862.2009729038564</v>
      </c>
      <c r="S47" s="5">
        <f t="shared" si="19"/>
        <v>2079.5215566461702</v>
      </c>
      <c r="T47" s="5">
        <f t="shared" si="19"/>
        <v>2427.2344906338726</v>
      </c>
      <c r="U47" s="5">
        <f t="shared" si="19"/>
        <v>2983.5751850141964</v>
      </c>
      <c r="V47" s="5">
        <f t="shared" si="19"/>
        <v>3873.7202960227141</v>
      </c>
      <c r="W47" s="5">
        <f t="shared" si="19"/>
        <v>5297.9524736363419</v>
      </c>
      <c r="X47" s="5">
        <f t="shared" si="19"/>
        <v>7576.7239578181479</v>
      </c>
      <c r="Z47" s="402"/>
      <c r="AA47" s="403"/>
      <c r="AB47" s="403"/>
      <c r="AC47" s="403"/>
      <c r="AD47" s="403"/>
      <c r="AE47" s="404"/>
    </row>
    <row r="48" spans="2:38" ht="18" x14ac:dyDescent="0.35">
      <c r="C48" s="493" t="s">
        <v>974</v>
      </c>
      <c r="D48" s="5">
        <f>D44/D46</f>
        <v>0.99905840963193793</v>
      </c>
      <c r="E48" s="5">
        <f t="shared" ref="E48:X48" si="20">E44/E46</f>
        <v>0.99849430605924783</v>
      </c>
      <c r="F48" s="5">
        <f t="shared" si="20"/>
        <v>0.99759306416002258</v>
      </c>
      <c r="G48" s="5">
        <f t="shared" si="20"/>
        <v>0.99615445624229293</v>
      </c>
      <c r="H48" s="5">
        <f t="shared" si="20"/>
        <v>0.99386129398522594</v>
      </c>
      <c r="I48" s="5">
        <f t="shared" si="20"/>
        <v>0.99021411398277381</v>
      </c>
      <c r="J48" s="5">
        <f t="shared" si="20"/>
        <v>0.98443397875820648</v>
      </c>
      <c r="K48" s="5">
        <f t="shared" si="20"/>
        <v>0.97532482261432862</v>
      </c>
      <c r="L48" s="5">
        <f t="shared" si="20"/>
        <v>0.96109569850716658</v>
      </c>
      <c r="M48" s="5">
        <f t="shared" si="20"/>
        <v>0.93917297730926952</v>
      </c>
      <c r="N48" s="5">
        <f t="shared" si="20"/>
        <v>0.90610362582436643</v>
      </c>
      <c r="O48" s="5">
        <f t="shared" si="20"/>
        <v>0.8577782644947326</v>
      </c>
      <c r="P48" s="5">
        <f t="shared" si="20"/>
        <v>0.79033645144056186</v>
      </c>
      <c r="Q48" s="5">
        <f t="shared" si="20"/>
        <v>0.70202324110037972</v>
      </c>
      <c r="R48" s="5">
        <f t="shared" si="20"/>
        <v>0.59554762963159513</v>
      </c>
      <c r="S48" s="5">
        <f t="shared" si="20"/>
        <v>0.47924786792567015</v>
      </c>
      <c r="T48" s="5">
        <f t="shared" si="20"/>
        <v>0.36515478746114588</v>
      </c>
      <c r="U48" s="5">
        <f t="shared" si="20"/>
        <v>0.26443109763366857</v>
      </c>
      <c r="V48" s="5">
        <f t="shared" si="20"/>
        <v>0.18346181437714795</v>
      </c>
      <c r="W48" s="5">
        <f t="shared" si="20"/>
        <v>0.12313510516325696</v>
      </c>
      <c r="X48" s="5">
        <f t="shared" si="20"/>
        <v>8.0685130225312457E-2</v>
      </c>
    </row>
    <row r="49" spans="3:42" ht="18" x14ac:dyDescent="0.35">
      <c r="C49" s="493" t="s">
        <v>975</v>
      </c>
      <c r="D49" s="5">
        <f>D45/D47</f>
        <v>3.3499095983481142E-4</v>
      </c>
      <c r="E49" s="5">
        <f t="shared" ref="E49:X49" si="21">E45/E47</f>
        <v>5.3587782719908574E-4</v>
      </c>
      <c r="F49" s="5">
        <f t="shared" si="21"/>
        <v>8.5712893368416999E-4</v>
      </c>
      <c r="G49" s="5">
        <f t="shared" si="21"/>
        <v>1.3707013732108203E-3</v>
      </c>
      <c r="H49" s="5">
        <f t="shared" si="21"/>
        <v>2.1913200099292602E-3</v>
      </c>
      <c r="I49" s="5">
        <f t="shared" si="21"/>
        <v>3.5015082608166998E-3</v>
      </c>
      <c r="J49" s="5">
        <f t="shared" si="21"/>
        <v>5.5906677557086629E-3</v>
      </c>
      <c r="K49" s="5">
        <f t="shared" si="21"/>
        <v>8.9151633792690487E-3</v>
      </c>
      <c r="L49" s="5">
        <f t="shared" si="21"/>
        <v>1.4188366443871248E-2</v>
      </c>
      <c r="M49" s="5">
        <f t="shared" si="21"/>
        <v>2.2509760273796996E-2</v>
      </c>
      <c r="N49" s="5">
        <f t="shared" si="21"/>
        <v>3.5535676699866514E-2</v>
      </c>
      <c r="O49" s="5">
        <f t="shared" si="21"/>
        <v>5.5670117540528162E-2</v>
      </c>
      <c r="P49" s="5">
        <f t="shared" si="21"/>
        <v>8.6193158118652247E-2</v>
      </c>
      <c r="Q49" s="5">
        <f t="shared" si="21"/>
        <v>0.13112766828225408</v>
      </c>
      <c r="R49" s="5">
        <f t="shared" si="21"/>
        <v>0.19450154852999127</v>
      </c>
      <c r="S49" s="5">
        <f t="shared" si="21"/>
        <v>0.27868023526566199</v>
      </c>
      <c r="T49" s="5">
        <f t="shared" si="21"/>
        <v>0.38201273680472675</v>
      </c>
      <c r="U49" s="5">
        <f t="shared" si="21"/>
        <v>0.49724746085362592</v>
      </c>
      <c r="V49" s="5">
        <f t="shared" si="21"/>
        <v>0.61277534634080233</v>
      </c>
      <c r="W49" s="5">
        <f t="shared" si="21"/>
        <v>0.71687175234879963</v>
      </c>
      <c r="X49" s="5">
        <f t="shared" si="21"/>
        <v>0.80202525414005554</v>
      </c>
    </row>
    <row r="50" spans="3:42" x14ac:dyDescent="0.25">
      <c r="C50" s="494" t="s">
        <v>976</v>
      </c>
    </row>
    <row r="52" spans="3:42" x14ac:dyDescent="0.25">
      <c r="AP52">
        <v>1</v>
      </c>
    </row>
    <row r="56" spans="3:42" ht="15.75" thickBot="1" x14ac:dyDescent="0.3"/>
    <row r="57" spans="3:42" x14ac:dyDescent="0.25">
      <c r="Z57" s="396"/>
      <c r="AA57" s="397"/>
      <c r="AB57" s="397"/>
      <c r="AC57" s="397"/>
      <c r="AD57" s="397"/>
      <c r="AE57" s="398"/>
      <c r="AF57" s="437"/>
    </row>
    <row r="58" spans="3:42" x14ac:dyDescent="0.25">
      <c r="Z58" s="399"/>
      <c r="AE58" s="400"/>
      <c r="AF58" s="437">
        <f>$H$20</f>
        <v>1500</v>
      </c>
      <c r="AG58" s="1" t="s">
        <v>876</v>
      </c>
      <c r="AH58">
        <v>0</v>
      </c>
      <c r="AI58">
        <f>IF($AB$2=$R$2,AF58,0)</f>
        <v>1500</v>
      </c>
      <c r="AK58">
        <v>0</v>
      </c>
      <c r="AL58">
        <v>0</v>
      </c>
    </row>
    <row r="59" spans="3:42" x14ac:dyDescent="0.25">
      <c r="Z59" s="399"/>
      <c r="AB59" s="5" t="s">
        <v>866</v>
      </c>
      <c r="AD59" s="5" t="s">
        <v>865</v>
      </c>
      <c r="AE59" s="400"/>
      <c r="AF59" s="437">
        <f>$H$28</f>
        <v>1590</v>
      </c>
      <c r="AG59" s="1" t="s">
        <v>877</v>
      </c>
      <c r="AH59">
        <v>0</v>
      </c>
      <c r="AI59">
        <v>0</v>
      </c>
      <c r="AK59">
        <v>0</v>
      </c>
      <c r="AL59">
        <f>IF($AB$2=$R$2,-AF59,0)</f>
        <v>-1590</v>
      </c>
    </row>
    <row r="60" spans="3:42" ht="18.75" x14ac:dyDescent="0.3">
      <c r="Z60" s="399"/>
      <c r="AB60" s="394" t="str">
        <f>$L$20</f>
        <v>R = 1.5kΩ</v>
      </c>
      <c r="AD60" s="395" t="str">
        <f>IF($AB$2=$R$2,$L$25,_xlfn.CONCAT($C$25,"?"))</f>
        <v>ω = 6283.1853(1/s)</v>
      </c>
      <c r="AE60" s="400"/>
      <c r="AF60" s="437">
        <f>$H$29</f>
        <v>502.65480000000002</v>
      </c>
      <c r="AG60" s="1" t="s">
        <v>878</v>
      </c>
      <c r="AH60">
        <v>0</v>
      </c>
      <c r="AI60">
        <v>0</v>
      </c>
      <c r="AK60">
        <v>0</v>
      </c>
      <c r="AL60">
        <f>IF($AB$2=$R$2,AF60,0)</f>
        <v>502.65480000000002</v>
      </c>
    </row>
    <row r="61" spans="3:42" ht="18.75" x14ac:dyDescent="0.3">
      <c r="Z61" s="399"/>
      <c r="AB61" s="394" t="str">
        <f>$L$22</f>
        <v>L = 80mH</v>
      </c>
      <c r="AD61" s="395" t="str">
        <f>IF($AB$2=$R$2,$L$29,_xlfn.CONCAT($C$29,"?"))</f>
        <v>Blindwiderstand XL = 502.6548Ω</v>
      </c>
      <c r="AE61" s="400"/>
      <c r="AF61" s="437"/>
      <c r="AG61" s="1" t="s">
        <v>880</v>
      </c>
      <c r="AH61">
        <v>0</v>
      </c>
      <c r="AI61">
        <v>0</v>
      </c>
      <c r="AK61">
        <v>0</v>
      </c>
      <c r="AL61">
        <f>AL59+AL60</f>
        <v>-1087.3452</v>
      </c>
    </row>
    <row r="62" spans="3:42" ht="18.75" x14ac:dyDescent="0.3">
      <c r="Z62" s="399"/>
      <c r="AB62" s="394" t="str">
        <f>$L$21</f>
        <v>C = 0.1µF</v>
      </c>
      <c r="AD62" s="395" t="str">
        <f>IF($AB$2=$R$2,$L$28,_xlfn.CONCAT($C$28,"?"))</f>
        <v>Blindwiderstand XC = 1.59kΩ</v>
      </c>
      <c r="AE62" s="400"/>
      <c r="AF62" s="437"/>
      <c r="AG62" s="1"/>
    </row>
    <row r="63" spans="3:42" ht="18.75" x14ac:dyDescent="0.3">
      <c r="Z63" s="399"/>
      <c r="AB63" s="394" t="str">
        <f>$L$23</f>
        <v>f =1kHZ</v>
      </c>
      <c r="AD63" s="395" t="str">
        <f>IF($AB$2=$R$2,$L$34,_xlfn.CONCAT($C$33,"?"))</f>
        <v>Scheinwiderstand ZRLC = 1.85kΩ</v>
      </c>
      <c r="AE63" s="400"/>
      <c r="AF63" s="437"/>
      <c r="AG63" s="1"/>
    </row>
    <row r="64" spans="3:42" ht="19.5" x14ac:dyDescent="0.35">
      <c r="Z64" s="399"/>
      <c r="AB64" s="411"/>
      <c r="AD64" s="395" t="str">
        <f>IF($AB$2=$R$2,$T$34,_xlfn.CONCAT($O$34,"?"))</f>
        <v>φ = -35.9°</v>
      </c>
      <c r="AE64" s="400"/>
      <c r="AF64" s="437"/>
      <c r="AG64" s="1" t="s">
        <v>881</v>
      </c>
      <c r="AH64">
        <v>0</v>
      </c>
      <c r="AI64">
        <f>AI58</f>
        <v>1500</v>
      </c>
      <c r="AK64">
        <v>0</v>
      </c>
      <c r="AL64">
        <f>AL61</f>
        <v>-1087.3452</v>
      </c>
    </row>
    <row r="65" spans="26:38" ht="18.75" x14ac:dyDescent="0.3">
      <c r="Z65" s="399"/>
      <c r="AD65" s="395" t="str">
        <f>IF($AB$2=$R$2,$X$34,_xlfn.CONCAT($V$34,"?"))</f>
        <v>cos(φ) = 0.8</v>
      </c>
      <c r="AE65" s="400"/>
      <c r="AF65" s="437">
        <f>ABS(MAX(AF58:AF60))*1.1</f>
        <v>1749.0000000000002</v>
      </c>
      <c r="AG65" s="1" t="s">
        <v>879</v>
      </c>
      <c r="AH65">
        <f>-AF65</f>
        <v>-1749.0000000000002</v>
      </c>
      <c r="AI65">
        <f>AF65</f>
        <v>1749.0000000000002</v>
      </c>
      <c r="AK65">
        <v>0</v>
      </c>
      <c r="AL65">
        <v>0</v>
      </c>
    </row>
    <row r="66" spans="26:38" ht="18.75" x14ac:dyDescent="0.3">
      <c r="Z66" s="399"/>
      <c r="AD66" s="395" t="str">
        <f>IF($AB$2=$R$2,_xlfn.CONCAT("Die Schaltung ist ",$B$34),"Ist die Schaltung induktiv oder kapazitiv?")</f>
        <v>Die Schaltung ist kapazitiv</v>
      </c>
      <c r="AE66" s="400"/>
      <c r="AH66">
        <v>0</v>
      </c>
      <c r="AI66">
        <v>0</v>
      </c>
      <c r="AK66">
        <f>AH65</f>
        <v>-1749.0000000000002</v>
      </c>
      <c r="AL66">
        <f>AI65</f>
        <v>1749.0000000000002</v>
      </c>
    </row>
    <row r="67" spans="26:38" x14ac:dyDescent="0.25">
      <c r="Z67" s="399"/>
      <c r="AE67" s="400"/>
      <c r="AH67">
        <v>0</v>
      </c>
      <c r="AI67">
        <f>AI59</f>
        <v>0</v>
      </c>
      <c r="AK67">
        <v>0</v>
      </c>
      <c r="AL67">
        <f>AL60</f>
        <v>502.65480000000002</v>
      </c>
    </row>
    <row r="68" spans="26:38" x14ac:dyDescent="0.25">
      <c r="Z68" s="399"/>
      <c r="AE68" s="400"/>
    </row>
    <row r="69" spans="26:38" x14ac:dyDescent="0.25">
      <c r="Z69" s="399"/>
      <c r="AE69" s="400"/>
    </row>
    <row r="70" spans="26:38" x14ac:dyDescent="0.25">
      <c r="Z70" s="399"/>
      <c r="AE70" s="400"/>
    </row>
    <row r="71" spans="26:38" x14ac:dyDescent="0.25">
      <c r="Z71" s="399"/>
      <c r="AE71" s="400"/>
    </row>
    <row r="72" spans="26:38" x14ac:dyDescent="0.25">
      <c r="Z72" s="399"/>
      <c r="AE72" s="400"/>
    </row>
    <row r="73" spans="26:38" ht="15.75" thickBot="1" x14ac:dyDescent="0.3">
      <c r="Z73" s="402"/>
      <c r="AA73" s="403"/>
      <c r="AB73" s="403"/>
      <c r="AC73" s="403"/>
      <c r="AD73" s="403"/>
      <c r="AE73" s="404"/>
    </row>
    <row r="88" spans="38:38" x14ac:dyDescent="0.25">
      <c r="AL88" s="1"/>
    </row>
  </sheetData>
  <dataValidations count="2">
    <dataValidation type="list" allowBlank="1" showInputMessage="1" showErrorMessage="1" sqref="AB2" xr:uid="{A9A26219-259F-45D1-BCF2-9011B2A42031}">
      <formula1>$R$2:$R$3</formula1>
    </dataValidation>
    <dataValidation type="list" allowBlank="1" showInputMessage="1" showErrorMessage="1" sqref="C41" xr:uid="{FC1FE4DE-4003-4D68-9370-AF8592D21EC0}">
      <formula1>$T$2:$T$3</formula1>
    </dataValidation>
  </dataValidations>
  <pageMargins left="0.7" right="0.7" top="0.78740157499999996" bottom="0.78740157499999996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F04A9C9-114C-4B38-8494-9D45ED943E48}">
          <x14:formula1>
            <xm:f>Einheitenvorsätze!$A$7:$A$31</xm:f>
          </x14:formula1>
          <xm:sqref>E20:E23 E25 E28:E29 E32:E34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5F62C-4C7A-4B23-A511-5F63D6E17045}">
  <dimension ref="A2:Z78"/>
  <sheetViews>
    <sheetView showGridLines="0" zoomScale="85" zoomScaleNormal="85" workbookViewId="0">
      <selection activeCell="I4" sqref="I4"/>
    </sheetView>
  </sheetViews>
  <sheetFormatPr baseColWidth="10" defaultRowHeight="15" x14ac:dyDescent="0.25"/>
  <cols>
    <col min="1" max="1" width="13.85546875" customWidth="1"/>
    <col min="2" max="2" width="24.5703125" customWidth="1"/>
    <col min="4" max="4" width="11.85546875" bestFit="1" customWidth="1"/>
    <col min="5" max="5" width="6.5703125" customWidth="1"/>
    <col min="6" max="6" width="5.42578125" customWidth="1"/>
    <col min="9" max="9" width="16.140625" customWidth="1"/>
    <col min="10" max="10" width="14.42578125" customWidth="1"/>
    <col min="11" max="11" width="19.42578125" customWidth="1"/>
    <col min="12" max="12" width="16" customWidth="1"/>
    <col min="13" max="13" width="19.42578125" customWidth="1"/>
    <col min="14" max="14" width="16.28515625" customWidth="1"/>
    <col min="19" max="19" width="12.85546875" customWidth="1"/>
  </cols>
  <sheetData>
    <row r="2" spans="2:19" ht="23.25" x14ac:dyDescent="0.35">
      <c r="C2" s="9" t="s">
        <v>890</v>
      </c>
      <c r="R2" t="s">
        <v>64</v>
      </c>
    </row>
    <row r="3" spans="2:19" ht="23.25" x14ac:dyDescent="0.35">
      <c r="C3" s="9"/>
      <c r="R3" t="s">
        <v>65</v>
      </c>
    </row>
    <row r="4" spans="2:19" ht="16.5" customHeight="1" x14ac:dyDescent="0.35">
      <c r="C4" s="9"/>
      <c r="H4" s="8" t="s">
        <v>864</v>
      </c>
      <c r="I4" s="4" t="s">
        <v>64</v>
      </c>
    </row>
    <row r="5" spans="2:19" ht="16.5" customHeight="1" x14ac:dyDescent="0.25">
      <c r="C5" s="416"/>
    </row>
    <row r="6" spans="2:19" ht="16.5" customHeight="1" x14ac:dyDescent="0.35">
      <c r="C6" s="8" t="s">
        <v>891</v>
      </c>
      <c r="D6" s="4">
        <v>55</v>
      </c>
      <c r="E6" s="4" t="s">
        <v>703</v>
      </c>
      <c r="F6" s="5" t="s">
        <v>316</v>
      </c>
      <c r="G6" s="77">
        <f>VLOOKUP(E6, CHOOSE({1,2,3,4,5}, Einheitenvorsätze!A:A, Einheitenvorsätze!B:B, Einheitenvorsätze!C:C, Einheitenvorsätze!D:D, Einheitenvorsätze!E:E), 5, FALSE)</f>
        <v>0</v>
      </c>
      <c r="H6" s="77">
        <f>D6*VLOOKUP(E6, CHOOSE({1,2,3,4}, Einheitenvorsätze!A:A, Einheitenvorsätze!B:B, Einheitenvorsätze!C:C, Einheitenvorsätze!D:D), 3, FALSE)</f>
        <v>55</v>
      </c>
      <c r="I6" s="393" t="str">
        <f>C6</f>
        <v xml:space="preserve">U0 = </v>
      </c>
      <c r="J6" s="77" t="str">
        <f>IF(E6=Einheitenvorsätze!$A$19,_xlfn.CONCAT(D6,F6),_xlfn.CONCAT(D6," * ",VLOOKUP(E6, CHOOSE({1,2,3,4}, Einheitenvorsätze!A:A, Einheitenvorsätze!B:B, Einheitenvorsätze!C:C, Einheitenvorsätze!D:D), 4, FALSE),F6))</f>
        <v>55V</v>
      </c>
      <c r="K6" s="77" t="str">
        <f>IF(E6=Einheitenvorsätze!$A$19,_xlfn.CONCAT(D6,F6),_xlfn.CONCAT(D6,E6,F6))</f>
        <v>55V</v>
      </c>
      <c r="L6" s="77" t="str">
        <f>_xlfn.CONCAT(I6,K6)</f>
        <v>U0 = 55V</v>
      </c>
      <c r="M6" s="77" t="str">
        <f>_xlfn.CONCAT(I6,J6)</f>
        <v>U0 = 55V</v>
      </c>
    </row>
    <row r="7" spans="2:19" ht="16.5" customHeight="1" x14ac:dyDescent="0.25">
      <c r="C7" s="8" t="s">
        <v>855</v>
      </c>
      <c r="D7" s="4">
        <v>1500</v>
      </c>
      <c r="E7" s="4" t="s">
        <v>694</v>
      </c>
      <c r="F7" s="5" t="str">
        <f>Einheitenvorsätze!B61</f>
        <v>Ω</v>
      </c>
      <c r="G7" s="77">
        <f>VLOOKUP(E7, CHOOSE({1,2,3,4,5}, Einheitenvorsätze!A:A, Einheitenvorsätze!B:B, Einheitenvorsätze!C:C, Einheitenvorsätze!D:D, Einheitenvorsätze!E:E), 5, FALSE)</f>
        <v>3</v>
      </c>
      <c r="H7" s="77">
        <f>D7*VLOOKUP(E7, CHOOSE({1,2,3,4}, Einheitenvorsätze!A:A, Einheitenvorsätze!B:B, Einheitenvorsätze!C:C, Einheitenvorsätze!D:D), 3, FALSE)</f>
        <v>1500000</v>
      </c>
      <c r="I7" s="393" t="str">
        <f>C7</f>
        <v xml:space="preserve">R = </v>
      </c>
      <c r="J7" s="77" t="str">
        <f>IF(E7=Einheitenvorsätze!$A$19,_xlfn.CONCAT(D7,F7),_xlfn.CONCAT(D7," * ",VLOOKUP(E7, CHOOSE({1,2,3,4}, Einheitenvorsätze!A:A, Einheitenvorsätze!B:B, Einheitenvorsätze!C:C, Einheitenvorsätze!D:D), 4, FALSE),F7))</f>
        <v>1500 * 10³Ω</v>
      </c>
      <c r="K7" s="77" t="str">
        <f>IF(E7=Einheitenvorsätze!$A$19,_xlfn.CONCAT(D7,F7),_xlfn.CONCAT(D7,E7,F7))</f>
        <v>1500kΩ</v>
      </c>
      <c r="L7" s="77" t="str">
        <f>_xlfn.CONCAT(I7,K7)</f>
        <v>R = 1500kΩ</v>
      </c>
      <c r="M7" s="77" t="str">
        <f>_xlfn.CONCAT(I7,J7)</f>
        <v>R = 1500 * 10³Ω</v>
      </c>
    </row>
    <row r="8" spans="2:19" ht="16.5" customHeight="1" x14ac:dyDescent="0.25">
      <c r="C8" s="8" t="s">
        <v>856</v>
      </c>
      <c r="D8" s="4">
        <v>12</v>
      </c>
      <c r="E8" s="4" t="s">
        <v>718</v>
      </c>
      <c r="F8" s="5" t="s">
        <v>44</v>
      </c>
      <c r="G8" s="77">
        <f>VLOOKUP(E8, CHOOSE({1,2,3,4,5}, Einheitenvorsätze!A:A, Einheitenvorsätze!B:B, Einheitenvorsätze!C:C, Einheitenvorsätze!D:D, Einheitenvorsätze!E:E), 5, FALSE)</f>
        <v>-9</v>
      </c>
      <c r="H8" s="77">
        <f>D8*VLOOKUP(E8, CHOOSE({1,2,3,4}, Einheitenvorsätze!A:A, Einheitenvorsätze!B:B, Einheitenvorsätze!C:C, Einheitenvorsätze!D:D), 3, FALSE)</f>
        <v>1.2000000000000002E-8</v>
      </c>
      <c r="I8" s="393" t="str">
        <f t="shared" ref="I8" si="0">C8</f>
        <v xml:space="preserve">C = </v>
      </c>
      <c r="J8" s="77" t="str">
        <f>IF(E8=Einheitenvorsätze!$A$19,_xlfn.CONCAT(D8,F8),_xlfn.CONCAT(D8," * ",VLOOKUP(E8, CHOOSE({1,2,3,4}, Einheitenvorsätze!A:A, Einheitenvorsätze!B:B, Einheitenvorsätze!C:C, Einheitenvorsätze!D:D), 4, FALSE),F8))</f>
        <v>12 * 10⁻⁹F</v>
      </c>
      <c r="K8" s="77" t="str">
        <f>IF(E8=Einheitenvorsätze!$A$19,_xlfn.CONCAT(D8,F8),_xlfn.CONCAT(D8,E8,F8))</f>
        <v>12nF</v>
      </c>
      <c r="L8" s="77" t="str">
        <f t="shared" ref="L8" si="1">_xlfn.CONCAT(I8,K8)</f>
        <v>C = 12nF</v>
      </c>
      <c r="M8" s="77" t="str">
        <f t="shared" ref="M8" si="2">_xlfn.CONCAT(I8,J8)</f>
        <v>C = 12 * 10⁻⁹F</v>
      </c>
    </row>
    <row r="9" spans="2:19" ht="18.75" x14ac:dyDescent="0.3">
      <c r="C9" s="8" t="s">
        <v>436</v>
      </c>
      <c r="D9" s="4">
        <v>12</v>
      </c>
      <c r="E9" s="4" t="s">
        <v>712</v>
      </c>
      <c r="F9" s="5" t="s">
        <v>741</v>
      </c>
      <c r="G9" s="77">
        <f>VLOOKUP(E9, CHOOSE({1,2,3,4,5}, Einheitenvorsätze!A:A, Einheitenvorsätze!B:B, Einheitenvorsätze!C:C, Einheitenvorsätze!D:D, Einheitenvorsätze!E:E), 5, FALSE)</f>
        <v>-3</v>
      </c>
      <c r="H9" s="77">
        <f>D9*VLOOKUP(E9, CHOOSE({1,2,3,4}, Einheitenvorsätze!A:A, Einheitenvorsätze!B:B, Einheitenvorsätze!C:C, Einheitenvorsätze!D:D), 3, FALSE)</f>
        <v>1.2E-2</v>
      </c>
      <c r="I9" s="393" t="str">
        <f>C9</f>
        <v xml:space="preserve">t = </v>
      </c>
      <c r="J9" s="77" t="str">
        <f>IF(E9=Einheitenvorsätze!$A$19,_xlfn.CONCAT(D9,F9),_xlfn.CONCAT(D9," * ",VLOOKUP(E9, CHOOSE({1,2,3,4}, Einheitenvorsätze!A:A, Einheitenvorsätze!B:B, Einheitenvorsätze!C:C, Einheitenvorsätze!D:D), 4, FALSE),F9))</f>
        <v>12 * 10⁻³s</v>
      </c>
      <c r="K9" s="77" t="str">
        <f>IF(E9=Einheitenvorsätze!$A$19,_xlfn.CONCAT(D9,F9),_xlfn.CONCAT(D9,E9,F9))</f>
        <v>12ms</v>
      </c>
      <c r="L9" s="77" t="str">
        <f>_xlfn.CONCAT(I9,K9)</f>
        <v>t = 12ms</v>
      </c>
      <c r="M9" s="77" t="str">
        <f>_xlfn.CONCAT(I9,J9)</f>
        <v>t = 12 * 10⁻³s</v>
      </c>
      <c r="O9" s="339" t="str">
        <f>_xlfn.CONCAT(C9,"-",Einheitenvorsätze!C56," * ln(1 - UC/U0)")</f>
        <v>t = -τ * ln(1 - UC/U0)</v>
      </c>
      <c r="R9" s="415">
        <f xml:space="preserve"> -D11 * LN(1 - D12/D6)</f>
        <v>1.2000026483616559E-2</v>
      </c>
    </row>
    <row r="10" spans="2:19" ht="18.75" x14ac:dyDescent="0.3">
      <c r="O10" s="339"/>
      <c r="R10" s="24"/>
    </row>
    <row r="11" spans="2:19" ht="18.75" x14ac:dyDescent="0.3">
      <c r="C11" s="8" t="str">
        <f>_xlfn.CONCAT(" ",Einheitenvorsätze!C56," = ")</f>
        <v xml:space="preserve"> τ = </v>
      </c>
      <c r="D11" s="77">
        <f>ROUND(D7*D8 * 10^(G7+G8+G11),4)</f>
        <v>1.7999999999999999E-2</v>
      </c>
      <c r="E11" s="4" t="s">
        <v>703</v>
      </c>
      <c r="F11" s="5" t="s">
        <v>741</v>
      </c>
      <c r="G11" s="77">
        <f>VLOOKUP(E11, CHOOSE({1,2,3,4,5}, Einheitenvorsätze!A:A, Einheitenvorsätze!B:B, Einheitenvorsätze!C:C, Einheitenvorsätze!D:D, Einheitenvorsätze!E:E), 5, FALSE)</f>
        <v>0</v>
      </c>
      <c r="H11" s="77">
        <f>D11*VLOOKUP(E11, CHOOSE({1,2,3,4}, Einheitenvorsätze!A:A, Einheitenvorsätze!B:B, Einheitenvorsätze!C:C, Einheitenvorsätze!D:D), 3, FALSE)</f>
        <v>1.7999999999999999E-2</v>
      </c>
      <c r="I11" s="393" t="str">
        <f>C11</f>
        <v xml:space="preserve"> τ = </v>
      </c>
      <c r="J11" s="77" t="str">
        <f>IF(E11=Einheitenvorsätze!$A$19,_xlfn.CONCAT(D11,F11),_xlfn.CONCAT(D11," * ",VLOOKUP(E11, CHOOSE({1,2,3,4}, Einheitenvorsätze!A:A, Einheitenvorsätze!B:B, Einheitenvorsätze!C:C, Einheitenvorsätze!D:D), 4, FALSE),F11))</f>
        <v>0.018s</v>
      </c>
      <c r="K11" s="77" t="str">
        <f>IF(E11=Einheitenvorsätze!$A$19,_xlfn.CONCAT(D11,F11),_xlfn.CONCAT(D11,E11,F11))</f>
        <v>0.018s</v>
      </c>
      <c r="L11" s="77" t="str">
        <f t="shared" ref="L11" si="3">_xlfn.CONCAT(I11,K11)</f>
        <v xml:space="preserve"> τ = 0.018s</v>
      </c>
      <c r="M11" s="77" t="str">
        <f t="shared" ref="M11" si="4">_xlfn.CONCAT(I11,J11)</f>
        <v xml:space="preserve"> τ = 0.018s</v>
      </c>
      <c r="N11" s="339" t="str">
        <f>_xlfn.CONCAT(C11," R*C")</f>
        <v xml:space="preserve"> τ =  R*C</v>
      </c>
      <c r="O11" s="339" t="str">
        <f>_xlfn.CONCAT(C11,"-t/ln(1 - UC/U0)")</f>
        <v xml:space="preserve"> τ = -t/ln(1 - UC/U0)</v>
      </c>
      <c r="R11" s="415">
        <f xml:space="preserve"> -D9 / LN(1 - D12/D6)</f>
        <v>17.999960274662833</v>
      </c>
    </row>
    <row r="12" spans="2:19" ht="18.75" x14ac:dyDescent="0.3">
      <c r="B12" s="412" t="s">
        <v>900</v>
      </c>
      <c r="C12" s="8" t="str">
        <f>_xlfn.CONCAT(" UC = ")</f>
        <v xml:space="preserve"> UC = </v>
      </c>
      <c r="D12" s="77">
        <f>ROUND(H6*(1-EXP(-H9/H11))/10^G12,4)</f>
        <v>26.7621</v>
      </c>
      <c r="E12" s="4" t="s">
        <v>703</v>
      </c>
      <c r="F12" s="5" t="s">
        <v>316</v>
      </c>
      <c r="G12" s="77">
        <f>VLOOKUP(E12, CHOOSE({1,2,3,4,5}, Einheitenvorsätze!A:A, Einheitenvorsätze!B:B, Einheitenvorsätze!C:C, Einheitenvorsätze!D:D, Einheitenvorsätze!E:E), 5, FALSE)</f>
        <v>0</v>
      </c>
      <c r="H12" s="77">
        <f>D12*VLOOKUP(E12, CHOOSE({1,2,3,4}, Einheitenvorsätze!A:A, Einheitenvorsätze!B:B, Einheitenvorsätze!C:C, Einheitenvorsätze!D:D), 3, FALSE)</f>
        <v>26.7621</v>
      </c>
      <c r="I12" s="393" t="str">
        <f t="shared" ref="I12" si="5">C12</f>
        <v xml:space="preserve"> UC = </v>
      </c>
      <c r="J12" s="77" t="str">
        <f>IF(E12=Einheitenvorsätze!$A$19,_xlfn.CONCAT(D12,F12),_xlfn.CONCAT(D12," * ",VLOOKUP(E12, CHOOSE({1,2,3,4}, Einheitenvorsätze!A:A, Einheitenvorsätze!B:B, Einheitenvorsätze!C:C, Einheitenvorsätze!D:D), 4, FALSE),F12))</f>
        <v>26.7621V</v>
      </c>
      <c r="K12" s="77" t="str">
        <f>IF(E12=Einheitenvorsätze!$A$19,_xlfn.CONCAT(D12,F12),_xlfn.CONCAT(D12,E12,F12))</f>
        <v>26.7621V</v>
      </c>
      <c r="L12" s="77" t="str">
        <f t="shared" ref="L12" si="6">_xlfn.CONCAT(I12,K12)</f>
        <v xml:space="preserve"> UC = 26.7621V</v>
      </c>
      <c r="M12" s="77" t="str">
        <f t="shared" ref="M12" si="7">_xlfn.CONCAT(I12,J12)</f>
        <v xml:space="preserve"> UC = 26.7621V</v>
      </c>
      <c r="N12" s="417" t="s">
        <v>900</v>
      </c>
      <c r="O12" s="339" t="str">
        <f>_xlfn.CONCAT("UC(t) = U0(1 - e^(-t/",Einheitenvorsätze!C56,"))")</f>
        <v>UC(t) = U0(1 - e^(-t/τ))</v>
      </c>
      <c r="R12" s="415">
        <f xml:space="preserve"> D6*(1 - EXP(-D9/D11))</f>
        <v>55</v>
      </c>
    </row>
    <row r="13" spans="2:19" ht="18.75" x14ac:dyDescent="0.3">
      <c r="B13" s="412" t="s">
        <v>901</v>
      </c>
      <c r="C13" s="8" t="str">
        <f>_xlfn.CONCAT(" UC = ")</f>
        <v xml:space="preserve"> UC = </v>
      </c>
      <c r="D13" s="77">
        <f>ROUND(H6*(EXP(-H9/H11))/10^G12,4)</f>
        <v>28.2379</v>
      </c>
      <c r="E13" s="4" t="s">
        <v>703</v>
      </c>
      <c r="F13" s="5" t="s">
        <v>316</v>
      </c>
      <c r="G13" s="77">
        <f>VLOOKUP(E13, CHOOSE({1,2,3,4,5}, Einheitenvorsätze!A:A, Einheitenvorsätze!B:B, Einheitenvorsätze!C:C, Einheitenvorsätze!D:D, Einheitenvorsätze!E:E), 5, FALSE)</f>
        <v>0</v>
      </c>
      <c r="H13" s="77">
        <f>D13*VLOOKUP(E13, CHOOSE({1,2,3,4}, Einheitenvorsätze!A:A, Einheitenvorsätze!B:B, Einheitenvorsätze!C:C, Einheitenvorsätze!D:D), 3, FALSE)</f>
        <v>28.2379</v>
      </c>
      <c r="I13" s="393" t="str">
        <f t="shared" ref="I13" si="8">C13</f>
        <v xml:space="preserve"> UC = </v>
      </c>
      <c r="J13" s="77" t="str">
        <f>IF(E13=Einheitenvorsätze!$A$19,_xlfn.CONCAT(D13,F13),_xlfn.CONCAT(D13," * ",VLOOKUP(E13, CHOOSE({1,2,3,4}, Einheitenvorsätze!A:A, Einheitenvorsätze!B:B, Einheitenvorsätze!C:C, Einheitenvorsätze!D:D), 4, FALSE),F13))</f>
        <v>28.2379V</v>
      </c>
      <c r="K13" s="77" t="str">
        <f>IF(E13=Einheitenvorsätze!$A$19,_xlfn.CONCAT(D13,F13),_xlfn.CONCAT(D13,E13,F13))</f>
        <v>28.2379V</v>
      </c>
      <c r="L13" s="77" t="str">
        <f t="shared" ref="L13" si="9">_xlfn.CONCAT(I13,K13)</f>
        <v xml:space="preserve"> UC = 28.2379V</v>
      </c>
      <c r="M13" s="77" t="str">
        <f t="shared" ref="M13" si="10">_xlfn.CONCAT(I13,J13)</f>
        <v xml:space="preserve"> UC = 28.2379V</v>
      </c>
      <c r="N13" s="417" t="s">
        <v>901</v>
      </c>
      <c r="O13" s="339" t="str">
        <f>_xlfn.CONCAT("UC(t) = U0(e^(-t/",Einheitenvorsätze!C56,"))")</f>
        <v>UC(t) = U0(e^(-t/τ))</v>
      </c>
      <c r="R13" s="24"/>
    </row>
    <row r="14" spans="2:19" ht="18.75" x14ac:dyDescent="0.3">
      <c r="C14" s="1"/>
      <c r="I14" s="1"/>
      <c r="N14" s="339"/>
      <c r="O14" s="339"/>
      <c r="R14" s="24"/>
    </row>
    <row r="15" spans="2:19" ht="15.75" thickBot="1" x14ac:dyDescent="0.3">
      <c r="C15" s="1"/>
      <c r="I15" s="1"/>
    </row>
    <row r="16" spans="2:19" x14ac:dyDescent="0.25">
      <c r="B16" s="396"/>
      <c r="C16" s="397"/>
      <c r="D16" s="397"/>
      <c r="E16" s="397"/>
      <c r="F16" s="397"/>
      <c r="G16" s="397"/>
      <c r="H16" s="397"/>
      <c r="I16" s="397"/>
      <c r="J16" s="397"/>
      <c r="K16" s="397"/>
      <c r="L16" s="398"/>
      <c r="N16" s="8" t="s">
        <v>896</v>
      </c>
      <c r="O16" s="77">
        <f>-H9/H11</f>
        <v>-0.66666666666666674</v>
      </c>
      <c r="R16" s="413" t="str">
        <f>_xlfn.CONCAT("t / ", Einheitenvorsätze!C56)</f>
        <v>t / τ</v>
      </c>
      <c r="S16" s="413" t="s">
        <v>899</v>
      </c>
    </row>
    <row r="17" spans="2:26" x14ac:dyDescent="0.25">
      <c r="B17" s="399"/>
      <c r="L17" s="400"/>
      <c r="N17" s="8" t="s">
        <v>897</v>
      </c>
      <c r="O17" s="77">
        <f>EXP(O16)</f>
        <v>0.51341711903259202</v>
      </c>
      <c r="R17" s="95">
        <v>0</v>
      </c>
      <c r="S17" s="414">
        <f>1-EXP(-R17)</f>
        <v>0</v>
      </c>
    </row>
    <row r="18" spans="2:26" x14ac:dyDescent="0.25">
      <c r="B18" s="399"/>
      <c r="I18" s="5" t="s">
        <v>866</v>
      </c>
      <c r="K18" s="5" t="s">
        <v>865</v>
      </c>
      <c r="L18" s="400"/>
      <c r="N18" s="8" t="s">
        <v>898</v>
      </c>
      <c r="O18" s="77">
        <f>1-O17</f>
        <v>0.48658288096740798</v>
      </c>
      <c r="R18" s="95">
        <v>1</v>
      </c>
      <c r="S18" s="414">
        <f t="shared" ref="S18:S23" si="11">1-EXP(-R18)</f>
        <v>0.63212055882855767</v>
      </c>
    </row>
    <row r="19" spans="2:26" ht="18.75" x14ac:dyDescent="0.3">
      <c r="B19" s="399"/>
      <c r="I19" s="394" t="str">
        <f>$L$7</f>
        <v>R = 1500kΩ</v>
      </c>
      <c r="K19" s="395" t="str">
        <f>IF($I$4=$R$2,$L$11,_xlfn.CONCAT($C$11,"?"))</f>
        <v xml:space="preserve"> τ = 0.018s</v>
      </c>
      <c r="L19" s="400"/>
      <c r="R19" s="95">
        <v>2</v>
      </c>
      <c r="S19" s="414">
        <f t="shared" si="11"/>
        <v>0.8646647167633873</v>
      </c>
    </row>
    <row r="20" spans="2:26" ht="18.75" x14ac:dyDescent="0.3">
      <c r="B20" s="399"/>
      <c r="I20" s="394" t="str">
        <f>$L$8</f>
        <v>C = 12nF</v>
      </c>
      <c r="K20" s="395" t="str">
        <f>IF($I$4=$R$2,$L$12,_xlfn.CONCAT($C$12,"?"))</f>
        <v xml:space="preserve"> UC = 26.7621V</v>
      </c>
      <c r="L20" s="436">
        <f>IF($I$4=$R$2,$H$12/$H$6,"")</f>
        <v>0.48658363636363638</v>
      </c>
      <c r="R20" s="95">
        <v>3</v>
      </c>
      <c r="S20" s="414">
        <f t="shared" si="11"/>
        <v>0.95021293163213605</v>
      </c>
    </row>
    <row r="21" spans="2:26" ht="18.75" x14ac:dyDescent="0.3">
      <c r="B21" s="399"/>
      <c r="I21" s="394" t="str">
        <f>$L$6</f>
        <v>U0 = 55V</v>
      </c>
      <c r="K21" s="411"/>
      <c r="L21" s="400"/>
      <c r="R21" s="95">
        <v>4</v>
      </c>
      <c r="S21" s="414">
        <f t="shared" si="11"/>
        <v>0.98168436111126578</v>
      </c>
    </row>
    <row r="22" spans="2:26" ht="18.75" x14ac:dyDescent="0.3">
      <c r="B22" s="399"/>
      <c r="I22" s="394" t="str">
        <f>$L$9</f>
        <v>t = 12ms</v>
      </c>
      <c r="K22" s="411"/>
      <c r="L22" s="400"/>
      <c r="R22" s="95">
        <v>5</v>
      </c>
      <c r="S22" s="414">
        <f t="shared" si="11"/>
        <v>0.99326205300091452</v>
      </c>
    </row>
    <row r="23" spans="2:26" x14ac:dyDescent="0.25">
      <c r="B23" s="399"/>
      <c r="L23" s="400"/>
      <c r="R23" s="95">
        <v>6</v>
      </c>
      <c r="S23" s="414">
        <f t="shared" si="11"/>
        <v>0.99752124782333362</v>
      </c>
    </row>
    <row r="24" spans="2:26" x14ac:dyDescent="0.25">
      <c r="B24" s="399"/>
      <c r="L24" s="400"/>
    </row>
    <row r="25" spans="2:26" ht="15.75" thickBot="1" x14ac:dyDescent="0.3">
      <c r="B25" s="402"/>
      <c r="C25" s="403"/>
      <c r="D25" s="403"/>
      <c r="E25" s="403"/>
      <c r="F25" s="403"/>
      <c r="G25" s="403"/>
      <c r="H25" s="403"/>
      <c r="I25" s="403"/>
      <c r="J25" s="403"/>
      <c r="K25" s="403"/>
      <c r="L25" s="404"/>
    </row>
    <row r="30" spans="2:26" x14ac:dyDescent="0.25">
      <c r="B30" s="8" t="s">
        <v>1</v>
      </c>
      <c r="C30" s="77">
        <v>2</v>
      </c>
      <c r="D30" s="77" t="str">
        <f>_xlfn.CONCAT(IF(E9="–","",E9),F9)</f>
        <v>ms</v>
      </c>
      <c r="Y30" t="s">
        <v>905</v>
      </c>
    </row>
    <row r="31" spans="2:26" x14ac:dyDescent="0.25">
      <c r="B31" s="8" t="s">
        <v>19</v>
      </c>
      <c r="C31" s="77">
        <f>C32*10^$G$9</f>
        <v>0</v>
      </c>
      <c r="D31" s="77">
        <f t="shared" ref="D31:W31" si="12">D32*10^$G$9</f>
        <v>2E-3</v>
      </c>
      <c r="E31" s="77">
        <f t="shared" si="12"/>
        <v>4.0000000000000001E-3</v>
      </c>
      <c r="F31" s="77">
        <f t="shared" si="12"/>
        <v>6.0000000000000001E-3</v>
      </c>
      <c r="G31" s="77">
        <f t="shared" si="12"/>
        <v>8.0000000000000002E-3</v>
      </c>
      <c r="H31" s="77">
        <f t="shared" si="12"/>
        <v>0.01</v>
      </c>
      <c r="I31" s="77">
        <f t="shared" si="12"/>
        <v>1.2E-2</v>
      </c>
      <c r="J31" s="77">
        <f t="shared" si="12"/>
        <v>1.4E-2</v>
      </c>
      <c r="K31" s="77">
        <f t="shared" si="12"/>
        <v>1.6E-2</v>
      </c>
      <c r="L31" s="77">
        <f t="shared" si="12"/>
        <v>1.8000000000000002E-2</v>
      </c>
      <c r="M31" s="77">
        <f t="shared" si="12"/>
        <v>0.02</v>
      </c>
      <c r="N31" s="77">
        <f t="shared" si="12"/>
        <v>2.1999999999999999E-2</v>
      </c>
      <c r="O31" s="77">
        <f t="shared" si="12"/>
        <v>2.4E-2</v>
      </c>
      <c r="P31" s="77">
        <f t="shared" si="12"/>
        <v>2.6000000000000002E-2</v>
      </c>
      <c r="Q31" s="77">
        <f t="shared" si="12"/>
        <v>2.8000000000000001E-2</v>
      </c>
      <c r="R31" s="77">
        <f t="shared" si="12"/>
        <v>0.03</v>
      </c>
      <c r="S31" s="77">
        <f t="shared" si="12"/>
        <v>3.2000000000000001E-2</v>
      </c>
      <c r="T31" s="77">
        <f t="shared" si="12"/>
        <v>3.4000000000000002E-2</v>
      </c>
      <c r="U31" s="77">
        <f t="shared" si="12"/>
        <v>3.6000000000000004E-2</v>
      </c>
      <c r="V31" s="77">
        <f t="shared" si="12"/>
        <v>3.7999999999999999E-2</v>
      </c>
      <c r="W31" s="77">
        <f t="shared" si="12"/>
        <v>0.04</v>
      </c>
      <c r="Y31" s="77">
        <f>C32</f>
        <v>0</v>
      </c>
      <c r="Z31" s="77">
        <f>W32</f>
        <v>40</v>
      </c>
    </row>
    <row r="32" spans="2:26" x14ac:dyDescent="0.25">
      <c r="B32" s="8" t="str">
        <f>_xlfn.CONCAT("t [",D30,"]")</f>
        <v>t [ms]</v>
      </c>
      <c r="C32" s="4">
        <v>0</v>
      </c>
      <c r="D32" s="77">
        <f>C32+$C$30</f>
        <v>2</v>
      </c>
      <c r="E32" s="77">
        <f t="shared" ref="E32:W32" si="13">D32+$C$30</f>
        <v>4</v>
      </c>
      <c r="F32" s="77">
        <f t="shared" si="13"/>
        <v>6</v>
      </c>
      <c r="G32" s="77">
        <f t="shared" si="13"/>
        <v>8</v>
      </c>
      <c r="H32" s="77">
        <f t="shared" si="13"/>
        <v>10</v>
      </c>
      <c r="I32" s="77">
        <f t="shared" si="13"/>
        <v>12</v>
      </c>
      <c r="J32" s="77">
        <f t="shared" si="13"/>
        <v>14</v>
      </c>
      <c r="K32" s="77">
        <f t="shared" si="13"/>
        <v>16</v>
      </c>
      <c r="L32" s="77">
        <f t="shared" si="13"/>
        <v>18</v>
      </c>
      <c r="M32" s="77">
        <f t="shared" si="13"/>
        <v>20</v>
      </c>
      <c r="N32" s="77">
        <f t="shared" si="13"/>
        <v>22</v>
      </c>
      <c r="O32" s="77">
        <f t="shared" si="13"/>
        <v>24</v>
      </c>
      <c r="P32" s="77">
        <f t="shared" si="13"/>
        <v>26</v>
      </c>
      <c r="Q32" s="77">
        <f t="shared" si="13"/>
        <v>28</v>
      </c>
      <c r="R32" s="77">
        <f t="shared" si="13"/>
        <v>30</v>
      </c>
      <c r="S32" s="77">
        <f t="shared" si="13"/>
        <v>32</v>
      </c>
      <c r="T32" s="77">
        <f t="shared" si="13"/>
        <v>34</v>
      </c>
      <c r="U32" s="77">
        <f t="shared" si="13"/>
        <v>36</v>
      </c>
      <c r="V32" s="77">
        <f t="shared" si="13"/>
        <v>38</v>
      </c>
      <c r="W32" s="77">
        <f t="shared" si="13"/>
        <v>40</v>
      </c>
      <c r="Y32" s="212">
        <f>$D$6</f>
        <v>55</v>
      </c>
      <c r="Z32" s="212">
        <f>Y32</f>
        <v>55</v>
      </c>
    </row>
    <row r="33" spans="1:25" x14ac:dyDescent="0.25">
      <c r="A33" s="8" t="s">
        <v>902</v>
      </c>
      <c r="B33" s="292" t="s">
        <v>892</v>
      </c>
      <c r="C33" s="212">
        <f>$D$6*(1-EXP(-C31/($H$7*$H$8)))</f>
        <v>0</v>
      </c>
      <c r="D33" s="212">
        <f t="shared" ref="D33:W33" si="14">$D$6*(1-EXP(-D31/($H$7*$H$8)))</f>
        <v>5.7838375752096614</v>
      </c>
      <c r="E33" s="212">
        <f t="shared" si="14"/>
        <v>10.959442839575557</v>
      </c>
      <c r="F33" s="212">
        <f t="shared" si="14"/>
        <v>15.59077791844159</v>
      </c>
      <c r="G33" s="212">
        <f t="shared" si="14"/>
        <v>19.735078636352497</v>
      </c>
      <c r="H33" s="212">
        <f t="shared" si="14"/>
        <v>23.443561859441193</v>
      </c>
      <c r="I33" s="212">
        <f t="shared" si="14"/>
        <v>26.762058453207437</v>
      </c>
      <c r="J33" s="212">
        <f t="shared" si="14"/>
        <v>29.731579678024037</v>
      </c>
      <c r="K33" s="212">
        <f t="shared" si="14"/>
        <v>32.388824022104693</v>
      </c>
      <c r="L33" s="212">
        <f t="shared" si="14"/>
        <v>34.766630735570672</v>
      </c>
      <c r="M33" s="212">
        <f t="shared" si="14"/>
        <v>36.894385670565192</v>
      </c>
      <c r="N33" s="212">
        <f t="shared" si="14"/>
        <v>38.798384442944084</v>
      </c>
      <c r="O33" s="212">
        <f t="shared" si="14"/>
        <v>40.502157403635032</v>
      </c>
      <c r="P33" s="212">
        <f t="shared" si="14"/>
        <v>42.0267604357865</v>
      </c>
      <c r="Q33" s="212">
        <f t="shared" si="14"/>
        <v>43.391035171490039</v>
      </c>
      <c r="R33" s="212">
        <f t="shared" si="14"/>
        <v>44.611841843934094</v>
      </c>
      <c r="S33" s="212">
        <f t="shared" si="14"/>
        <v>45.70426765266636</v>
      </c>
      <c r="T33" s="212">
        <f t="shared" si="14"/>
        <v>46.681813217022736</v>
      </c>
      <c r="U33" s="212">
        <f t="shared" si="14"/>
        <v>47.5565594219863</v>
      </c>
      <c r="V33" s="212">
        <f t="shared" si="14"/>
        <v>48.339316718421863</v>
      </c>
      <c r="W33" s="212">
        <f t="shared" si="14"/>
        <v>49.039758722795725</v>
      </c>
    </row>
    <row r="34" spans="1:25" x14ac:dyDescent="0.25">
      <c r="A34" s="8" t="s">
        <v>903</v>
      </c>
      <c r="B34" s="292" t="s">
        <v>904</v>
      </c>
      <c r="C34" s="212">
        <f>$D$6*EXP(-C32/($H$7*$H$8))</f>
        <v>55</v>
      </c>
      <c r="D34" s="212">
        <f t="shared" ref="D34:W34" si="15">$D$6*EXP(-D32/($H$7*$H$8))</f>
        <v>3.0578787139746315E-47</v>
      </c>
      <c r="E34" s="212">
        <f t="shared" si="15"/>
        <v>1.7001131326143899E-95</v>
      </c>
      <c r="F34" s="212">
        <f t="shared" si="15"/>
        <v>9.4522541083094524E-144</v>
      </c>
      <c r="G34" s="212">
        <f t="shared" si="15"/>
        <v>5.2552448430689352E-192</v>
      </c>
      <c r="H34" s="212">
        <f t="shared" si="15"/>
        <v>2.9218002440626845E-240</v>
      </c>
      <c r="I34" s="212">
        <f t="shared" si="15"/>
        <v>1.6244565041464168E-288</v>
      </c>
      <c r="J34" s="212">
        <f t="shared" si="15"/>
        <v>0</v>
      </c>
      <c r="K34" s="212">
        <f t="shared" si="15"/>
        <v>0</v>
      </c>
      <c r="L34" s="212">
        <f t="shared" si="15"/>
        <v>0</v>
      </c>
      <c r="M34" s="212">
        <f t="shared" si="15"/>
        <v>0</v>
      </c>
      <c r="N34" s="212">
        <f t="shared" si="15"/>
        <v>0</v>
      </c>
      <c r="O34" s="212">
        <f t="shared" si="15"/>
        <v>0</v>
      </c>
      <c r="P34" s="212">
        <f t="shared" si="15"/>
        <v>0</v>
      </c>
      <c r="Q34" s="212">
        <f t="shared" si="15"/>
        <v>0</v>
      </c>
      <c r="R34" s="212">
        <f t="shared" si="15"/>
        <v>0</v>
      </c>
      <c r="S34" s="212">
        <f t="shared" si="15"/>
        <v>0</v>
      </c>
      <c r="T34" s="212">
        <f t="shared" si="15"/>
        <v>0</v>
      </c>
      <c r="U34" s="212">
        <f t="shared" si="15"/>
        <v>0</v>
      </c>
      <c r="V34" s="212">
        <f t="shared" si="15"/>
        <v>0</v>
      </c>
      <c r="W34" s="212">
        <f t="shared" si="15"/>
        <v>0</v>
      </c>
    </row>
    <row r="39" spans="1:25" x14ac:dyDescent="0.25">
      <c r="I39" s="5" t="s">
        <v>894</v>
      </c>
      <c r="J39" s="5"/>
    </row>
    <row r="40" spans="1:25" x14ac:dyDescent="0.25">
      <c r="I40" s="5">
        <f>H11/10^G11</f>
        <v>1.7999999999999999E-2</v>
      </c>
      <c r="J40" s="5">
        <f>I40</f>
        <v>1.7999999999999999E-2</v>
      </c>
    </row>
    <row r="41" spans="1:25" ht="18.75" x14ac:dyDescent="0.3">
      <c r="I41" s="5">
        <v>0</v>
      </c>
      <c r="J41" s="5">
        <f>$H$6*(1 - EXP(-1))</f>
        <v>34.766630735570672</v>
      </c>
      <c r="O41" s="339"/>
    </row>
    <row r="42" spans="1:25" x14ac:dyDescent="0.25">
      <c r="N42" s="8" t="s">
        <v>313</v>
      </c>
      <c r="O42" s="4">
        <v>1</v>
      </c>
      <c r="P42" s="5"/>
      <c r="Q42" s="5"/>
      <c r="R42" s="5"/>
      <c r="S42" s="5"/>
      <c r="T42" s="5"/>
      <c r="U42" s="5"/>
      <c r="V42" s="5"/>
      <c r="W42" s="5"/>
      <c r="X42" s="5"/>
      <c r="Y42" s="5"/>
    </row>
    <row r="43" spans="1:25" x14ac:dyDescent="0.25">
      <c r="I43" s="5" t="s">
        <v>893</v>
      </c>
      <c r="J43" s="5"/>
      <c r="N43" s="8" t="s">
        <v>895</v>
      </c>
      <c r="O43" s="4">
        <v>0</v>
      </c>
      <c r="P43" s="77">
        <f t="shared" ref="P43:Y43" si="16">O43+$O$42</f>
        <v>1</v>
      </c>
      <c r="Q43" s="77">
        <f t="shared" si="16"/>
        <v>2</v>
      </c>
      <c r="R43" s="77">
        <f t="shared" si="16"/>
        <v>3</v>
      </c>
      <c r="S43" s="77">
        <f t="shared" si="16"/>
        <v>4</v>
      </c>
      <c r="T43" s="77">
        <f t="shared" si="16"/>
        <v>5</v>
      </c>
      <c r="U43" s="77">
        <f t="shared" si="16"/>
        <v>6</v>
      </c>
      <c r="V43" s="77">
        <f t="shared" si="16"/>
        <v>7</v>
      </c>
      <c r="W43" s="77">
        <f t="shared" si="16"/>
        <v>8</v>
      </c>
      <c r="X43" s="77">
        <f t="shared" si="16"/>
        <v>9</v>
      </c>
      <c r="Y43" s="77">
        <f t="shared" si="16"/>
        <v>10</v>
      </c>
    </row>
    <row r="44" spans="1:25" ht="17.25" x14ac:dyDescent="0.25">
      <c r="I44" s="5">
        <v>0</v>
      </c>
      <c r="J44" s="5">
        <f>J40</f>
        <v>1.7999999999999999E-2</v>
      </c>
      <c r="N44" s="418" t="s">
        <v>907</v>
      </c>
      <c r="O44" s="419">
        <f>1-EXP(-O43)</f>
        <v>0</v>
      </c>
      <c r="P44" s="419">
        <f t="shared" ref="P44:Q44" si="17">1-EXP(-P43)</f>
        <v>0.63212055882855767</v>
      </c>
      <c r="Q44" s="419">
        <f t="shared" si="17"/>
        <v>0.8646647167633873</v>
      </c>
      <c r="R44" s="419">
        <f>1-EXP(-R43)</f>
        <v>0.95021293163213605</v>
      </c>
      <c r="S44" s="419">
        <f t="shared" ref="S44" si="18">1-EXP(-S43)</f>
        <v>0.98168436111126578</v>
      </c>
      <c r="T44" s="419">
        <f t="shared" ref="T44" si="19">1-EXP(-T43)</f>
        <v>0.99326205300091452</v>
      </c>
      <c r="U44" s="419">
        <f>1-EXP(-U43)</f>
        <v>0.99752124782333362</v>
      </c>
      <c r="V44" s="419">
        <f t="shared" ref="V44" si="20">1-EXP(-V43)</f>
        <v>0.99908811803444553</v>
      </c>
      <c r="W44" s="419">
        <f t="shared" ref="W44" si="21">1-EXP(-W43)</f>
        <v>0.99966453737209748</v>
      </c>
      <c r="X44" s="419">
        <f>1-EXP(-X43)</f>
        <v>0.99987659019591335</v>
      </c>
      <c r="Y44" s="419">
        <f t="shared" ref="Y44" si="22">1-EXP(-Y43)</f>
        <v>0.99995460007023751</v>
      </c>
    </row>
    <row r="45" spans="1:25" ht="17.25" x14ac:dyDescent="0.25">
      <c r="I45" s="5">
        <f>J41</f>
        <v>34.766630735570672</v>
      </c>
      <c r="J45" s="5">
        <f>I45</f>
        <v>34.766630735570672</v>
      </c>
      <c r="N45" s="420" t="s">
        <v>906</v>
      </c>
      <c r="O45" s="421">
        <f>EXP(-O43)</f>
        <v>1</v>
      </c>
      <c r="P45" s="421">
        <f t="shared" ref="P45:Y45" si="23">EXP(-P43)</f>
        <v>0.36787944117144233</v>
      </c>
      <c r="Q45" s="421">
        <f t="shared" si="23"/>
        <v>0.1353352832366127</v>
      </c>
      <c r="R45" s="421">
        <f t="shared" si="23"/>
        <v>4.9787068367863944E-2</v>
      </c>
      <c r="S45" s="421">
        <f t="shared" si="23"/>
        <v>1.8315638888734179E-2</v>
      </c>
      <c r="T45" s="421">
        <f t="shared" si="23"/>
        <v>6.737946999085467E-3</v>
      </c>
      <c r="U45" s="421">
        <f t="shared" si="23"/>
        <v>2.4787521766663585E-3</v>
      </c>
      <c r="V45" s="421">
        <f t="shared" si="23"/>
        <v>9.1188196555451624E-4</v>
      </c>
      <c r="W45" s="421">
        <f t="shared" si="23"/>
        <v>3.3546262790251185E-4</v>
      </c>
      <c r="X45" s="421">
        <f t="shared" si="23"/>
        <v>1.2340980408667956E-4</v>
      </c>
      <c r="Y45" s="421">
        <f t="shared" si="23"/>
        <v>4.5399929762484854E-5</v>
      </c>
    </row>
    <row r="72" spans="8:9" x14ac:dyDescent="0.25">
      <c r="H72" s="5" t="s">
        <v>894</v>
      </c>
      <c r="I72" s="5"/>
    </row>
    <row r="73" spans="8:9" x14ac:dyDescent="0.25">
      <c r="H73" s="77">
        <f>H11/10^G11</f>
        <v>1.7999999999999999E-2</v>
      </c>
      <c r="I73" s="77">
        <f>H73</f>
        <v>1.7999999999999999E-2</v>
      </c>
    </row>
    <row r="74" spans="8:9" x14ac:dyDescent="0.25">
      <c r="H74" s="77">
        <v>0</v>
      </c>
      <c r="I74" s="77">
        <f>$H$6*(EXP(-1))</f>
        <v>20.233369264429328</v>
      </c>
    </row>
    <row r="76" spans="8:9" x14ac:dyDescent="0.25">
      <c r="H76" s="5" t="s">
        <v>893</v>
      </c>
      <c r="I76" s="5"/>
    </row>
    <row r="77" spans="8:9" x14ac:dyDescent="0.25">
      <c r="H77" s="77">
        <v>0</v>
      </c>
      <c r="I77" s="77">
        <f>I73</f>
        <v>1.7999999999999999E-2</v>
      </c>
    </row>
    <row r="78" spans="8:9" x14ac:dyDescent="0.25">
      <c r="H78" s="77">
        <f>I74</f>
        <v>20.233369264429328</v>
      </c>
      <c r="I78" s="77">
        <f>H78</f>
        <v>20.233369264429328</v>
      </c>
    </row>
  </sheetData>
  <dataValidations count="1">
    <dataValidation type="list" allowBlank="1" showInputMessage="1" showErrorMessage="1" sqref="I4" xr:uid="{83BD4BF2-6430-44B0-90B5-524BD8272BC6}">
      <formula1>$R$2:$R$3</formula1>
    </dataValidation>
  </dataValidations>
  <pageMargins left="0.7" right="0.7" top="0.78740157499999996" bottom="0.78740157499999996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185B389-5BDE-49E8-9859-D473E46AA2D2}">
          <x14:formula1>
            <xm:f>Einheitenvorsätze!$A$7:$A$31</xm:f>
          </x14:formula1>
          <xm:sqref>E6:E9 E11:E15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149F8-A047-42CA-B474-659FAD63CE22}">
  <dimension ref="C2:AD24"/>
  <sheetViews>
    <sheetView topLeftCell="K1" zoomScale="70" zoomScaleNormal="70" workbookViewId="0">
      <selection activeCell="I10" sqref="I10:AD12"/>
    </sheetView>
  </sheetViews>
  <sheetFormatPr baseColWidth="10" defaultRowHeight="15" x14ac:dyDescent="0.25"/>
  <cols>
    <col min="9" max="9" width="16.5703125" customWidth="1"/>
    <col min="10" max="10" width="14.42578125" customWidth="1"/>
    <col min="12" max="12" width="4.85546875" customWidth="1"/>
    <col min="14" max="14" width="18.140625" customWidth="1"/>
    <col min="15" max="15" width="9.42578125" customWidth="1"/>
  </cols>
  <sheetData>
    <row r="2" spans="3:30" ht="23.25" x14ac:dyDescent="0.35">
      <c r="C2" s="9" t="s">
        <v>561</v>
      </c>
    </row>
    <row r="5" spans="3:30" ht="18" x14ac:dyDescent="0.35">
      <c r="J5" s="5" t="s">
        <v>593</v>
      </c>
      <c r="K5" s="5"/>
      <c r="L5" s="5"/>
      <c r="N5" s="5" t="s">
        <v>592</v>
      </c>
      <c r="O5" s="5"/>
    </row>
    <row r="6" spans="3:30" ht="18" x14ac:dyDescent="0.35">
      <c r="J6" s="8" t="s">
        <v>584</v>
      </c>
      <c r="K6" s="4">
        <v>1.55</v>
      </c>
      <c r="L6" s="5" t="s">
        <v>549</v>
      </c>
      <c r="N6" s="5" t="s">
        <v>590</v>
      </c>
      <c r="O6" s="212">
        <f>K6/(2*K7)</f>
        <v>1.1071428571428572</v>
      </c>
      <c r="Q6">
        <f>K7</f>
        <v>0.7</v>
      </c>
      <c r="R6">
        <f>Q6</f>
        <v>0.7</v>
      </c>
    </row>
    <row r="7" spans="3:30" ht="18" x14ac:dyDescent="0.35">
      <c r="J7" s="8" t="s">
        <v>583</v>
      </c>
      <c r="K7" s="4">
        <v>0.7</v>
      </c>
      <c r="L7" s="5" t="s">
        <v>562</v>
      </c>
      <c r="N7" s="5" t="s">
        <v>589</v>
      </c>
      <c r="O7" s="212">
        <f>K6/2</f>
        <v>0.77500000000000002</v>
      </c>
      <c r="Q7">
        <v>0</v>
      </c>
      <c r="R7" s="99">
        <f>MAX(O6:O8)</f>
        <v>1.1071428571428572</v>
      </c>
    </row>
    <row r="8" spans="3:30" ht="18" x14ac:dyDescent="0.35">
      <c r="J8" s="1"/>
      <c r="K8" s="1"/>
      <c r="N8" s="5" t="s">
        <v>591</v>
      </c>
      <c r="O8" s="212">
        <f>O6*O7</f>
        <v>0.85803571428571435</v>
      </c>
    </row>
    <row r="10" spans="3:30" x14ac:dyDescent="0.25">
      <c r="I10" s="8" t="s">
        <v>1</v>
      </c>
      <c r="J10" s="4">
        <v>0.1</v>
      </c>
    </row>
    <row r="11" spans="3:30" ht="18" x14ac:dyDescent="0.35">
      <c r="I11" s="8" t="s">
        <v>585</v>
      </c>
      <c r="J11" s="4">
        <v>0</v>
      </c>
      <c r="K11" s="77">
        <f>J11+$J$10</f>
        <v>0.1</v>
      </c>
      <c r="L11" s="77">
        <f t="shared" ref="L11:AC11" si="0">K11+$J$10</f>
        <v>0.2</v>
      </c>
      <c r="M11" s="77">
        <f t="shared" si="0"/>
        <v>0.30000000000000004</v>
      </c>
      <c r="N11" s="77">
        <f t="shared" si="0"/>
        <v>0.4</v>
      </c>
      <c r="O11" s="77">
        <f t="shared" si="0"/>
        <v>0.5</v>
      </c>
      <c r="P11" s="77">
        <f t="shared" si="0"/>
        <v>0.6</v>
      </c>
      <c r="Q11" s="77">
        <f t="shared" si="0"/>
        <v>0.7</v>
      </c>
      <c r="R11" s="77">
        <f t="shared" si="0"/>
        <v>0.79999999999999993</v>
      </c>
      <c r="S11" s="77">
        <f t="shared" si="0"/>
        <v>0.89999999999999991</v>
      </c>
      <c r="T11" s="77">
        <f t="shared" si="0"/>
        <v>0.99999999999999989</v>
      </c>
      <c r="U11" s="77">
        <f t="shared" si="0"/>
        <v>1.0999999999999999</v>
      </c>
      <c r="V11" s="77">
        <f t="shared" si="0"/>
        <v>1.2</v>
      </c>
      <c r="W11" s="77">
        <f t="shared" si="0"/>
        <v>1.3</v>
      </c>
      <c r="X11" s="77">
        <f t="shared" si="0"/>
        <v>1.4000000000000001</v>
      </c>
      <c r="Y11" s="77">
        <f t="shared" si="0"/>
        <v>1.5000000000000002</v>
      </c>
      <c r="Z11" s="77">
        <f t="shared" si="0"/>
        <v>1.6000000000000003</v>
      </c>
      <c r="AA11" s="77">
        <f t="shared" si="0"/>
        <v>1.7000000000000004</v>
      </c>
      <c r="AB11" s="77">
        <f t="shared" si="0"/>
        <v>1.8000000000000005</v>
      </c>
      <c r="AC11" s="77">
        <f t="shared" si="0"/>
        <v>1.9000000000000006</v>
      </c>
      <c r="AD11" s="77">
        <f>AC11+$J$10</f>
        <v>2.0000000000000004</v>
      </c>
    </row>
    <row r="12" spans="3:30" ht="18" x14ac:dyDescent="0.35">
      <c r="I12" s="292" t="s">
        <v>586</v>
      </c>
      <c r="J12" s="212">
        <f>$K$6/($K$7+J11)</f>
        <v>2.2142857142857144</v>
      </c>
      <c r="K12" s="212">
        <f t="shared" ref="K12:AD12" si="1">$K$6/($K$7+K11)</f>
        <v>1.9375000000000002</v>
      </c>
      <c r="L12" s="212">
        <f t="shared" si="1"/>
        <v>1.7222222222222225</v>
      </c>
      <c r="M12" s="212">
        <f t="shared" si="1"/>
        <v>1.55</v>
      </c>
      <c r="N12" s="212">
        <f t="shared" si="1"/>
        <v>1.4090909090909089</v>
      </c>
      <c r="O12" s="212">
        <f t="shared" si="1"/>
        <v>1.2916666666666667</v>
      </c>
      <c r="P12" s="212">
        <f t="shared" si="1"/>
        <v>1.1923076923076925</v>
      </c>
      <c r="Q12" s="212">
        <f t="shared" si="1"/>
        <v>1.1071428571428572</v>
      </c>
      <c r="R12" s="212">
        <f t="shared" si="1"/>
        <v>1.0333333333333334</v>
      </c>
      <c r="S12" s="212">
        <f t="shared" si="1"/>
        <v>0.96875000000000011</v>
      </c>
      <c r="T12" s="212">
        <f t="shared" si="1"/>
        <v>0.91176470588235314</v>
      </c>
      <c r="U12" s="212">
        <f t="shared" si="1"/>
        <v>0.86111111111111127</v>
      </c>
      <c r="V12" s="212">
        <f t="shared" si="1"/>
        <v>0.81578947368421062</v>
      </c>
      <c r="W12" s="212">
        <f t="shared" si="1"/>
        <v>0.77500000000000002</v>
      </c>
      <c r="X12" s="212">
        <f t="shared" si="1"/>
        <v>0.73809523809523814</v>
      </c>
      <c r="Y12" s="212">
        <f t="shared" si="1"/>
        <v>0.70454545454545447</v>
      </c>
      <c r="Z12" s="212">
        <f t="shared" si="1"/>
        <v>0.67391304347826086</v>
      </c>
      <c r="AA12" s="212">
        <f t="shared" si="1"/>
        <v>0.64583333333333326</v>
      </c>
      <c r="AB12" s="212">
        <f t="shared" si="1"/>
        <v>0.61999999999999988</v>
      </c>
      <c r="AC12" s="212">
        <f t="shared" si="1"/>
        <v>0.59615384615384603</v>
      </c>
      <c r="AD12" s="212">
        <f t="shared" si="1"/>
        <v>0.57407407407407407</v>
      </c>
    </row>
    <row r="13" spans="3:30" ht="18" x14ac:dyDescent="0.35">
      <c r="I13" s="293" t="s">
        <v>587</v>
      </c>
      <c r="J13" s="212">
        <f>J11*J12</f>
        <v>0</v>
      </c>
      <c r="K13" s="212">
        <f t="shared" ref="K13:AD13" si="2">K11*K12</f>
        <v>0.19375000000000003</v>
      </c>
      <c r="L13" s="212">
        <f t="shared" si="2"/>
        <v>0.34444444444444455</v>
      </c>
      <c r="M13" s="212">
        <f t="shared" si="2"/>
        <v>0.46500000000000008</v>
      </c>
      <c r="N13" s="212">
        <f t="shared" si="2"/>
        <v>0.5636363636363636</v>
      </c>
      <c r="O13" s="212">
        <f t="shared" si="2"/>
        <v>0.64583333333333337</v>
      </c>
      <c r="P13" s="212">
        <f t="shared" si="2"/>
        <v>0.71538461538461551</v>
      </c>
      <c r="Q13" s="212">
        <f t="shared" si="2"/>
        <v>0.77500000000000002</v>
      </c>
      <c r="R13" s="212">
        <f t="shared" si="2"/>
        <v>0.82666666666666666</v>
      </c>
      <c r="S13" s="212">
        <f t="shared" si="2"/>
        <v>0.87187500000000007</v>
      </c>
      <c r="T13" s="212">
        <f t="shared" si="2"/>
        <v>0.91176470588235303</v>
      </c>
      <c r="U13" s="212">
        <f t="shared" si="2"/>
        <v>0.9472222222222223</v>
      </c>
      <c r="V13" s="212">
        <f t="shared" si="2"/>
        <v>0.97894736842105268</v>
      </c>
      <c r="W13" s="212">
        <f t="shared" si="2"/>
        <v>1.0075000000000001</v>
      </c>
      <c r="X13" s="212">
        <f t="shared" si="2"/>
        <v>1.0333333333333334</v>
      </c>
      <c r="Y13" s="212">
        <f t="shared" si="2"/>
        <v>1.0568181818181819</v>
      </c>
      <c r="Z13" s="212">
        <f t="shared" si="2"/>
        <v>1.0782608695652176</v>
      </c>
      <c r="AA13" s="212">
        <f t="shared" si="2"/>
        <v>1.0979166666666669</v>
      </c>
      <c r="AB13" s="212">
        <f t="shared" si="2"/>
        <v>1.1160000000000001</v>
      </c>
      <c r="AC13" s="212">
        <f t="shared" si="2"/>
        <v>1.1326923076923079</v>
      </c>
      <c r="AD13" s="212">
        <f t="shared" si="2"/>
        <v>1.1481481481481484</v>
      </c>
    </row>
    <row r="14" spans="3:30" ht="18" x14ac:dyDescent="0.35">
      <c r="I14" s="294" t="s">
        <v>588</v>
      </c>
      <c r="J14" s="212">
        <f>J12*J13</f>
        <v>0</v>
      </c>
      <c r="K14" s="212">
        <f t="shared" ref="K14:AD14" si="3">K12*K13</f>
        <v>0.37539062500000009</v>
      </c>
      <c r="L14" s="212">
        <f t="shared" si="3"/>
        <v>0.59320987654321022</v>
      </c>
      <c r="M14" s="212">
        <f t="shared" si="3"/>
        <v>0.72075000000000011</v>
      </c>
      <c r="N14" s="212">
        <f t="shared" si="3"/>
        <v>0.79421487603305774</v>
      </c>
      <c r="O14" s="212">
        <f t="shared" si="3"/>
        <v>0.83420138888888895</v>
      </c>
      <c r="P14" s="212">
        <f t="shared" si="3"/>
        <v>0.85295857988165713</v>
      </c>
      <c r="Q14" s="212">
        <f t="shared" si="3"/>
        <v>0.85803571428571435</v>
      </c>
      <c r="R14" s="212">
        <f t="shared" si="3"/>
        <v>0.85422222222222233</v>
      </c>
      <c r="S14" s="212">
        <f t="shared" si="3"/>
        <v>0.8446289062500002</v>
      </c>
      <c r="T14" s="212">
        <f t="shared" si="3"/>
        <v>0.83131487889273381</v>
      </c>
      <c r="U14" s="212">
        <f t="shared" si="3"/>
        <v>0.81566358024691377</v>
      </c>
      <c r="V14" s="212">
        <f t="shared" si="3"/>
        <v>0.79861495844875363</v>
      </c>
      <c r="W14" s="212">
        <f t="shared" si="3"/>
        <v>0.78081250000000002</v>
      </c>
      <c r="X14" s="212">
        <f t="shared" si="3"/>
        <v>0.76269841269841276</v>
      </c>
      <c r="Y14" s="212">
        <f t="shared" si="3"/>
        <v>0.74457644628099173</v>
      </c>
      <c r="Z14" s="212">
        <f t="shared" si="3"/>
        <v>0.72665406427221191</v>
      </c>
      <c r="AA14" s="212">
        <f t="shared" si="3"/>
        <v>0.70907118055555562</v>
      </c>
      <c r="AB14" s="212">
        <f t="shared" si="3"/>
        <v>0.69191999999999998</v>
      </c>
      <c r="AC14" s="212">
        <f t="shared" si="3"/>
        <v>0.67525887573964494</v>
      </c>
      <c r="AD14" s="212">
        <f t="shared" si="3"/>
        <v>0.65912208504801106</v>
      </c>
    </row>
    <row r="17" spans="9:15" ht="18" x14ac:dyDescent="0.35">
      <c r="I17" s="95" t="s">
        <v>585</v>
      </c>
      <c r="J17" s="295" t="s">
        <v>586</v>
      </c>
      <c r="K17" s="296" t="s">
        <v>587</v>
      </c>
    </row>
    <row r="18" spans="9:15" x14ac:dyDescent="0.25">
      <c r="I18" s="95" t="s">
        <v>562</v>
      </c>
      <c r="J18" s="295" t="s">
        <v>594</v>
      </c>
      <c r="K18" s="296" t="s">
        <v>549</v>
      </c>
    </row>
    <row r="19" spans="9:15" x14ac:dyDescent="0.25">
      <c r="I19" s="95">
        <v>8</v>
      </c>
      <c r="J19" s="212">
        <f t="shared" ref="J19:J24" si="4">$K$6/($K$7+I19)*1000</f>
        <v>178.16091954022991</v>
      </c>
      <c r="K19" s="212">
        <f t="shared" ref="K19:K24" si="5">I19*J19/1000</f>
        <v>1.4252873563218393</v>
      </c>
      <c r="L19" s="99"/>
      <c r="M19" s="99"/>
      <c r="N19" s="99"/>
      <c r="O19" s="99"/>
    </row>
    <row r="20" spans="9:15" x14ac:dyDescent="0.25">
      <c r="I20" s="95">
        <v>4</v>
      </c>
      <c r="J20" s="212">
        <f t="shared" si="4"/>
        <v>329.78723404255317</v>
      </c>
      <c r="K20" s="212">
        <f t="shared" si="5"/>
        <v>1.3191489361702127</v>
      </c>
    </row>
    <row r="21" spans="9:15" x14ac:dyDescent="0.25">
      <c r="I21" s="95">
        <v>1.5</v>
      </c>
      <c r="J21" s="212">
        <f t="shared" si="4"/>
        <v>704.5454545454545</v>
      </c>
      <c r="K21" s="212">
        <f t="shared" si="5"/>
        <v>1.0568181818181817</v>
      </c>
    </row>
    <row r="22" spans="9:15" x14ac:dyDescent="0.25">
      <c r="I22" s="95">
        <v>0.75</v>
      </c>
      <c r="J22" s="212">
        <f t="shared" si="4"/>
        <v>1068.9655172413795</v>
      </c>
      <c r="K22" s="212">
        <f t="shared" si="5"/>
        <v>0.8017241379310347</v>
      </c>
    </row>
    <row r="23" spans="9:15" x14ac:dyDescent="0.25">
      <c r="I23" s="95">
        <v>0.3</v>
      </c>
      <c r="J23" s="212">
        <f t="shared" si="4"/>
        <v>1550</v>
      </c>
      <c r="K23" s="212">
        <f t="shared" si="5"/>
        <v>0.46500000000000002</v>
      </c>
    </row>
    <row r="24" spans="9:15" x14ac:dyDescent="0.25">
      <c r="I24" s="95">
        <v>0</v>
      </c>
      <c r="J24" s="212">
        <f t="shared" si="4"/>
        <v>2214.2857142857142</v>
      </c>
      <c r="K24" s="212">
        <f t="shared" si="5"/>
        <v>0</v>
      </c>
    </row>
  </sheetData>
  <pageMargins left="0.7" right="0.7" top="0.78740157499999996" bottom="0.78740157499999996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9C101-0721-4B41-AB3B-88F5CF5B361C}">
  <dimension ref="C1:AK42"/>
  <sheetViews>
    <sheetView showGridLines="0" zoomScaleNormal="100" workbookViewId="0"/>
  </sheetViews>
  <sheetFormatPr baseColWidth="10" defaultRowHeight="15" x14ac:dyDescent="0.25"/>
  <cols>
    <col min="1" max="1" width="3.85546875" customWidth="1"/>
    <col min="2" max="2" width="11.85546875" customWidth="1"/>
    <col min="3" max="3" width="12" customWidth="1"/>
    <col min="4" max="4" width="35.140625" customWidth="1"/>
    <col min="5" max="5" width="9.5703125" customWidth="1"/>
    <col min="6" max="6" width="12.42578125" customWidth="1"/>
    <col min="7" max="8" width="9.85546875" customWidth="1"/>
    <col min="9" max="9" width="16" customWidth="1"/>
    <col min="10" max="10" width="11.42578125" customWidth="1"/>
    <col min="11" max="11" width="33" customWidth="1"/>
    <col min="12" max="12" width="15.5703125" customWidth="1"/>
    <col min="13" max="13" width="15" customWidth="1"/>
    <col min="14" max="14" width="6.5703125" customWidth="1"/>
    <col min="15" max="15" width="24.5703125" customWidth="1"/>
    <col min="16" max="16" width="7.28515625" customWidth="1"/>
    <col min="21" max="21" width="16.42578125" customWidth="1"/>
  </cols>
  <sheetData>
    <row r="1" spans="3:25" ht="39.950000000000003" customHeight="1" x14ac:dyDescent="0.25"/>
    <row r="2" spans="3:25" ht="26.25" x14ac:dyDescent="0.4">
      <c r="C2" s="29" t="s">
        <v>238</v>
      </c>
      <c r="D2" s="29"/>
      <c r="L2" s="105" t="s">
        <v>254</v>
      </c>
      <c r="M2" s="106" t="s">
        <v>257</v>
      </c>
      <c r="N2" s="91"/>
    </row>
    <row r="3" spans="3:25" x14ac:dyDescent="0.25">
      <c r="L3" s="95" t="s">
        <v>201</v>
      </c>
      <c r="M3" s="95" t="s">
        <v>259</v>
      </c>
      <c r="T3" s="66"/>
      <c r="X3" s="99"/>
      <c r="Y3" s="99"/>
    </row>
    <row r="4" spans="3:25" x14ac:dyDescent="0.25">
      <c r="L4" s="95" t="s">
        <v>202</v>
      </c>
      <c r="M4" s="95" t="s">
        <v>258</v>
      </c>
      <c r="T4" s="66"/>
    </row>
    <row r="5" spans="3:25" x14ac:dyDescent="0.25">
      <c r="L5" s="95"/>
      <c r="M5" s="95" t="s">
        <v>247</v>
      </c>
      <c r="T5" s="66"/>
    </row>
    <row r="6" spans="3:25" x14ac:dyDescent="0.25">
      <c r="L6" s="95"/>
      <c r="M6" s="95" t="s">
        <v>256</v>
      </c>
    </row>
    <row r="20" spans="4:35" x14ac:dyDescent="0.25">
      <c r="D20" s="5" t="s">
        <v>244</v>
      </c>
      <c r="E20" s="8" t="s">
        <v>245</v>
      </c>
      <c r="F20" s="75">
        <v>5</v>
      </c>
      <c r="G20" s="4" t="s">
        <v>258</v>
      </c>
      <c r="I20" s="99"/>
      <c r="K20" s="5" t="s">
        <v>262</v>
      </c>
      <c r="L20" s="5"/>
    </row>
    <row r="21" spans="4:35" x14ac:dyDescent="0.25">
      <c r="D21" s="5" t="s">
        <v>252</v>
      </c>
      <c r="E21" s="8" t="s">
        <v>253</v>
      </c>
      <c r="F21" s="75">
        <v>31</v>
      </c>
      <c r="G21" s="4" t="s">
        <v>201</v>
      </c>
      <c r="I21" s="99"/>
      <c r="K21" s="8" t="s">
        <v>265</v>
      </c>
      <c r="L21" s="113">
        <v>0.6</v>
      </c>
    </row>
    <row r="22" spans="4:35" x14ac:dyDescent="0.25">
      <c r="D22" s="107"/>
      <c r="E22" s="8" t="str">
        <f>E21</f>
        <v xml:space="preserve">α = </v>
      </c>
      <c r="F22" s="108">
        <f>IF(G21=G22,F21,F21*180/PI())</f>
        <v>31</v>
      </c>
      <c r="G22" s="107" t="str">
        <f>L3</f>
        <v>°</v>
      </c>
      <c r="I22" s="99"/>
      <c r="K22" s="8" t="s">
        <v>266</v>
      </c>
      <c r="L22" s="115">
        <v>0.2</v>
      </c>
    </row>
    <row r="23" spans="4:35" x14ac:dyDescent="0.25">
      <c r="D23" s="107"/>
      <c r="E23" s="8" t="str">
        <f>E21</f>
        <v xml:space="preserve">α = </v>
      </c>
      <c r="F23" s="108">
        <f>IF(G21=G23,F21,F21*PI()/180)</f>
        <v>0.54105206811824214</v>
      </c>
      <c r="G23" s="107" t="str">
        <f>L4</f>
        <v>rad</v>
      </c>
      <c r="I23" s="99"/>
      <c r="K23" s="5" t="s">
        <v>297</v>
      </c>
      <c r="L23" s="114">
        <f>DEGREES(ATAN(L21))</f>
        <v>30.963756532073521</v>
      </c>
      <c r="M23" s="5" t="s">
        <v>298</v>
      </c>
      <c r="O23" s="5">
        <f>L23*PI()/180</f>
        <v>0.54041950027058416</v>
      </c>
      <c r="P23" s="5" t="s">
        <v>300</v>
      </c>
    </row>
    <row r="24" spans="4:35" ht="17.25" x14ac:dyDescent="0.25">
      <c r="D24" s="5" t="s">
        <v>246</v>
      </c>
      <c r="E24" s="8" t="s">
        <v>302</v>
      </c>
      <c r="F24" s="74">
        <v>9.81</v>
      </c>
      <c r="G24" s="5" t="s">
        <v>248</v>
      </c>
      <c r="K24" s="5" t="s">
        <v>299</v>
      </c>
      <c r="L24" s="114">
        <f>DEGREES(ATAN(L22))</f>
        <v>11.309932474020215</v>
      </c>
      <c r="M24" s="5" t="s">
        <v>298</v>
      </c>
      <c r="O24" s="5">
        <f>L24*PI()/180</f>
        <v>0.1973955598498808</v>
      </c>
      <c r="P24" s="5" t="s">
        <v>300</v>
      </c>
    </row>
    <row r="26" spans="4:35" ht="18" x14ac:dyDescent="0.35">
      <c r="D26" s="5" t="s">
        <v>255</v>
      </c>
      <c r="E26" s="8" t="s">
        <v>239</v>
      </c>
      <c r="F26" s="5" t="s">
        <v>249</v>
      </c>
      <c r="G26" s="74">
        <f>$F$20*$F$24</f>
        <v>49.050000000000004</v>
      </c>
      <c r="H26" s="5" t="str">
        <f>IF($G$20=$M$5,"N",IF($G$20=$M$6,"kN",IF($G$20=$M$4,"mN",IF($G$20=$M$3,"Mikro N",""))))</f>
        <v>mN</v>
      </c>
    </row>
    <row r="27" spans="4:35" ht="18" x14ac:dyDescent="0.35">
      <c r="D27" s="5" t="s">
        <v>240</v>
      </c>
      <c r="E27" s="8" t="s">
        <v>242</v>
      </c>
      <c r="F27" s="5" t="s">
        <v>251</v>
      </c>
      <c r="G27" s="74">
        <f>$G$26*SIN($F$23)</f>
        <v>25.262617574338158</v>
      </c>
      <c r="H27" s="5" t="str">
        <f>H26</f>
        <v>mN</v>
      </c>
    </row>
    <row r="28" spans="4:35" ht="18" x14ac:dyDescent="0.35">
      <c r="D28" s="5" t="s">
        <v>241</v>
      </c>
      <c r="E28" s="8" t="s">
        <v>243</v>
      </c>
      <c r="F28" s="5" t="s">
        <v>250</v>
      </c>
      <c r="G28" s="74">
        <f>$G$26*COS($F$23)</f>
        <v>42.044056099438613</v>
      </c>
      <c r="H28" s="5" t="str">
        <f>H27</f>
        <v>mN</v>
      </c>
    </row>
    <row r="29" spans="4:35" x14ac:dyDescent="0.25">
      <c r="D29" s="5"/>
      <c r="E29" s="8"/>
      <c r="F29" s="5"/>
      <c r="G29" s="74"/>
      <c r="H29" s="5"/>
    </row>
    <row r="30" spans="4:35" ht="18" x14ac:dyDescent="0.35">
      <c r="D30" s="5" t="s">
        <v>282</v>
      </c>
      <c r="E30" s="8" t="s">
        <v>286</v>
      </c>
      <c r="F30" s="5" t="s">
        <v>281</v>
      </c>
      <c r="G30" s="74">
        <f>$G$28*$L$21</f>
        <v>25.226433659663169</v>
      </c>
      <c r="H30" s="5" t="str">
        <f>H28</f>
        <v>mN</v>
      </c>
    </row>
    <row r="31" spans="4:35" ht="15.95" customHeight="1" x14ac:dyDescent="0.35">
      <c r="D31" s="5" t="s">
        <v>283</v>
      </c>
      <c r="E31" s="8" t="s">
        <v>291</v>
      </c>
      <c r="F31" s="5" t="s">
        <v>287</v>
      </c>
      <c r="G31" s="74">
        <f>$G$27-G30</f>
        <v>3.6183914674989381E-2</v>
      </c>
      <c r="H31" s="5" t="str">
        <f>H30</f>
        <v>mN</v>
      </c>
      <c r="I31" t="str">
        <f>IF(G31&gt;0,"Gleiten","Haftet")</f>
        <v>Gleiten</v>
      </c>
      <c r="K31" s="112" t="s">
        <v>267</v>
      </c>
      <c r="L31" s="112" t="s">
        <v>263</v>
      </c>
      <c r="M31" s="112" t="s">
        <v>264</v>
      </c>
      <c r="O31" t="str">
        <f>D21</f>
        <v>Steigungswinkel:</v>
      </c>
      <c r="R31" s="1" t="s">
        <v>8</v>
      </c>
      <c r="S31" s="2">
        <v>5</v>
      </c>
    </row>
    <row r="32" spans="4:35" ht="15.95" customHeight="1" x14ac:dyDescent="0.35">
      <c r="D32" s="5" t="s">
        <v>285</v>
      </c>
      <c r="E32" s="8" t="s">
        <v>288</v>
      </c>
      <c r="F32" s="5" t="s">
        <v>284</v>
      </c>
      <c r="G32" s="74">
        <f>$G$28*$L$22</f>
        <v>8.4088112198877223</v>
      </c>
      <c r="H32" s="5" t="str">
        <f>H31</f>
        <v>mN</v>
      </c>
      <c r="K32" s="111" t="s">
        <v>268</v>
      </c>
      <c r="L32" s="111" t="s">
        <v>269</v>
      </c>
      <c r="M32" s="111" t="s">
        <v>270</v>
      </c>
      <c r="O32" s="116" t="s">
        <v>253</v>
      </c>
      <c r="P32" s="116" t="s">
        <v>294</v>
      </c>
      <c r="Q32" s="4">
        <v>0</v>
      </c>
      <c r="R32" s="5">
        <f>Q32+$S$31</f>
        <v>5</v>
      </c>
      <c r="S32" s="5">
        <f t="shared" ref="S32:AA32" si="0">R32+$S$31</f>
        <v>10</v>
      </c>
      <c r="T32" s="5">
        <f t="shared" si="0"/>
        <v>15</v>
      </c>
      <c r="U32" s="5">
        <f t="shared" si="0"/>
        <v>20</v>
      </c>
      <c r="V32" s="5">
        <f t="shared" si="0"/>
        <v>25</v>
      </c>
      <c r="W32" s="5">
        <f t="shared" si="0"/>
        <v>30</v>
      </c>
      <c r="X32" s="5">
        <f t="shared" si="0"/>
        <v>35</v>
      </c>
      <c r="Y32" s="5">
        <f t="shared" si="0"/>
        <v>40</v>
      </c>
      <c r="Z32" s="5">
        <f t="shared" si="0"/>
        <v>45</v>
      </c>
      <c r="AA32" s="5">
        <f t="shared" si="0"/>
        <v>50</v>
      </c>
      <c r="AB32" s="5">
        <f t="shared" ref="AB32:AI32" si="1">AA32+$S$31</f>
        <v>55</v>
      </c>
      <c r="AC32" s="5">
        <f t="shared" si="1"/>
        <v>60</v>
      </c>
      <c r="AD32" s="5">
        <f t="shared" si="1"/>
        <v>65</v>
      </c>
      <c r="AE32" s="5">
        <f t="shared" si="1"/>
        <v>70</v>
      </c>
      <c r="AF32" s="5">
        <f t="shared" si="1"/>
        <v>75</v>
      </c>
      <c r="AG32" s="5">
        <f t="shared" si="1"/>
        <v>80</v>
      </c>
      <c r="AH32" s="5">
        <f t="shared" si="1"/>
        <v>85</v>
      </c>
      <c r="AI32" s="5">
        <f t="shared" si="1"/>
        <v>90</v>
      </c>
    </row>
    <row r="33" spans="4:37" ht="15.95" customHeight="1" x14ac:dyDescent="0.35">
      <c r="D33" s="5" t="s">
        <v>289</v>
      </c>
      <c r="E33" s="8" t="s">
        <v>292</v>
      </c>
      <c r="F33" s="5" t="s">
        <v>290</v>
      </c>
      <c r="G33" s="74">
        <f>$G$27-G32</f>
        <v>16.853806354450434</v>
      </c>
      <c r="H33" s="5" t="str">
        <f>H32</f>
        <v>mN</v>
      </c>
      <c r="K33" s="111" t="s">
        <v>271</v>
      </c>
      <c r="L33" s="111" t="s">
        <v>272</v>
      </c>
      <c r="M33" s="111" t="s">
        <v>273</v>
      </c>
      <c r="O33" s="116" t="s">
        <v>253</v>
      </c>
      <c r="P33" s="116" t="s">
        <v>295</v>
      </c>
      <c r="Q33" s="5">
        <f>Q32*PI()/180</f>
        <v>0</v>
      </c>
      <c r="R33" s="5">
        <f>R32*PI()/180</f>
        <v>8.7266462599716474E-2</v>
      </c>
      <c r="S33" s="5">
        <f t="shared" ref="S33:AA33" si="2">S32*PI()/180</f>
        <v>0.17453292519943295</v>
      </c>
      <c r="T33" s="5">
        <f t="shared" si="2"/>
        <v>0.26179938779914941</v>
      </c>
      <c r="U33" s="5">
        <f t="shared" si="2"/>
        <v>0.3490658503988659</v>
      </c>
      <c r="V33" s="5">
        <f t="shared" si="2"/>
        <v>0.43633231299858238</v>
      </c>
      <c r="W33" s="5">
        <f t="shared" si="2"/>
        <v>0.52359877559829882</v>
      </c>
      <c r="X33" s="5">
        <f t="shared" si="2"/>
        <v>0.6108652381980153</v>
      </c>
      <c r="Y33" s="5">
        <f t="shared" si="2"/>
        <v>0.69813170079773179</v>
      </c>
      <c r="Z33" s="5">
        <f t="shared" si="2"/>
        <v>0.78539816339744828</v>
      </c>
      <c r="AA33" s="5">
        <f t="shared" si="2"/>
        <v>0.87266462599716477</v>
      </c>
      <c r="AB33" s="5">
        <f t="shared" ref="AB33:AI33" si="3">AB32*PI()/180</f>
        <v>0.95993108859688125</v>
      </c>
      <c r="AC33" s="5">
        <f t="shared" si="3"/>
        <v>1.0471975511965976</v>
      </c>
      <c r="AD33" s="5">
        <f t="shared" si="3"/>
        <v>1.1344640137963142</v>
      </c>
      <c r="AE33" s="5">
        <f t="shared" si="3"/>
        <v>1.2217304763960306</v>
      </c>
      <c r="AF33" s="5">
        <f t="shared" si="3"/>
        <v>1.3089969389957472</v>
      </c>
      <c r="AG33" s="5">
        <f t="shared" si="3"/>
        <v>1.3962634015954636</v>
      </c>
      <c r="AH33" s="5">
        <f t="shared" si="3"/>
        <v>1.4835298641951802</v>
      </c>
      <c r="AI33" s="5">
        <f t="shared" si="3"/>
        <v>1.5707963267948966</v>
      </c>
    </row>
    <row r="34" spans="4:37" ht="15.95" customHeight="1" x14ac:dyDescent="0.35">
      <c r="K34" s="111" t="s">
        <v>274</v>
      </c>
      <c r="L34" s="111" t="s">
        <v>273</v>
      </c>
      <c r="M34" s="111" t="s">
        <v>275</v>
      </c>
      <c r="O34" s="8" t="s">
        <v>242</v>
      </c>
      <c r="P34" s="8" t="str">
        <f>H26</f>
        <v>mN</v>
      </c>
      <c r="Q34" s="5">
        <f>$F$20*SIN(Q33)*$F$24</f>
        <v>0</v>
      </c>
      <c r="R34" s="5">
        <f t="shared" ref="R34:AI34" si="4">$F$20*SIN(R33)*$F$24</f>
        <v>4.2749891817726331</v>
      </c>
      <c r="S34" s="5">
        <f t="shared" si="4"/>
        <v>8.5174431145629335</v>
      </c>
      <c r="T34" s="5">
        <f t="shared" si="4"/>
        <v>12.695074162278642</v>
      </c>
      <c r="U34" s="5">
        <f t="shared" si="4"/>
        <v>16.77608803012405</v>
      </c>
      <c r="V34" s="5">
        <f t="shared" si="4"/>
        <v>20.729425738381309</v>
      </c>
      <c r="W34" s="5">
        <f t="shared" si="4"/>
        <v>24.524999999999999</v>
      </c>
      <c r="X34" s="5">
        <f t="shared" si="4"/>
        <v>28.133924203018811</v>
      </c>
      <c r="Y34" s="5">
        <f t="shared" si="4"/>
        <v>31.528732255124751</v>
      </c>
      <c r="Z34" s="5">
        <f t="shared" si="4"/>
        <v>34.683587617200153</v>
      </c>
      <c r="AA34" s="5">
        <f t="shared" si="4"/>
        <v>37.574479934985874</v>
      </c>
      <c r="AB34" s="5">
        <f t="shared" si="4"/>
        <v>40.179407772375043</v>
      </c>
      <c r="AC34" s="5">
        <f t="shared" si="4"/>
        <v>42.478546055626715</v>
      </c>
      <c r="AD34" s="5">
        <f t="shared" si="4"/>
        <v>44.454396954147676</v>
      </c>
      <c r="AE34" s="5">
        <f t="shared" si="4"/>
        <v>46.091923049548804</v>
      </c>
      <c r="AF34" s="5">
        <f t="shared" si="4"/>
        <v>47.378661779478804</v>
      </c>
      <c r="AG34" s="5">
        <f t="shared" si="4"/>
        <v>48.304820285248802</v>
      </c>
      <c r="AH34" s="5">
        <f t="shared" si="4"/>
        <v>48.863349941400116</v>
      </c>
      <c r="AI34" s="5">
        <f t="shared" si="4"/>
        <v>49.050000000000004</v>
      </c>
    </row>
    <row r="35" spans="4:37" ht="15.95" customHeight="1" x14ac:dyDescent="0.35">
      <c r="K35" s="111" t="s">
        <v>276</v>
      </c>
      <c r="L35" s="111" t="s">
        <v>277</v>
      </c>
      <c r="M35" s="111" t="s">
        <v>278</v>
      </c>
      <c r="O35" s="8" t="s">
        <v>286</v>
      </c>
      <c r="P35" s="8" t="str">
        <f>P34</f>
        <v>mN</v>
      </c>
      <c r="Q35" s="5">
        <f>$F$20*$F$24*COS(Q33)*$L$21</f>
        <v>29.43</v>
      </c>
      <c r="R35" s="5">
        <f t="shared" ref="R35:AI35" si="5">$F$20*$F$24*COS(R33)*$L$21</f>
        <v>29.318009964840073</v>
      </c>
      <c r="S35" s="5">
        <f t="shared" si="5"/>
        <v>28.982892171149285</v>
      </c>
      <c r="T35" s="5">
        <f t="shared" si="5"/>
        <v>28.427197067687281</v>
      </c>
      <c r="U35" s="5">
        <f t="shared" si="5"/>
        <v>27.655153829729286</v>
      </c>
      <c r="V35" s="5">
        <f t="shared" si="5"/>
        <v>26.672638172488607</v>
      </c>
      <c r="W35" s="5">
        <f t="shared" si="5"/>
        <v>25.487127633376033</v>
      </c>
      <c r="X35" s="5">
        <f t="shared" si="5"/>
        <v>24.107644663425031</v>
      </c>
      <c r="Y35" s="5">
        <f t="shared" si="5"/>
        <v>22.544687960991524</v>
      </c>
      <c r="Z35" s="5">
        <f t="shared" si="5"/>
        <v>20.810152570320096</v>
      </c>
      <c r="AA35" s="5">
        <f t="shared" si="5"/>
        <v>18.917239353074855</v>
      </c>
      <c r="AB35" s="5">
        <f t="shared" si="5"/>
        <v>16.880354521811292</v>
      </c>
      <c r="AC35" s="5">
        <f t="shared" si="5"/>
        <v>14.715000000000005</v>
      </c>
      <c r="AD35" s="5">
        <f t="shared" si="5"/>
        <v>12.437655443028785</v>
      </c>
      <c r="AE35" s="5">
        <f t="shared" si="5"/>
        <v>10.065652818074435</v>
      </c>
      <c r="AF35" s="5">
        <f t="shared" si="5"/>
        <v>7.6170444973671856</v>
      </c>
      <c r="AG35" s="5">
        <f t="shared" si="5"/>
        <v>5.1104658687377622</v>
      </c>
      <c r="AH35" s="5">
        <f t="shared" si="5"/>
        <v>2.5649935090635791</v>
      </c>
      <c r="AI35" s="5">
        <f t="shared" si="5"/>
        <v>1.8028059513980344E-15</v>
      </c>
    </row>
    <row r="36" spans="4:37" ht="15.95" customHeight="1" x14ac:dyDescent="0.35">
      <c r="K36" s="111" t="s">
        <v>279</v>
      </c>
      <c r="L36" s="111" t="s">
        <v>280</v>
      </c>
      <c r="M36" s="111" t="s">
        <v>280</v>
      </c>
      <c r="O36" s="8" t="s">
        <v>288</v>
      </c>
      <c r="P36" s="8" t="str">
        <f>P35</f>
        <v>mN</v>
      </c>
      <c r="Q36" s="5">
        <f>$F$20*$F$24*COS(Q33)*$L$22</f>
        <v>9.8100000000000023</v>
      </c>
      <c r="R36" s="5">
        <f t="shared" ref="R36:AI36" si="6">$F$20*$F$24*COS(R33)*$L$22</f>
        <v>9.7726699882800254</v>
      </c>
      <c r="S36" s="5">
        <f t="shared" si="6"/>
        <v>9.6609640570497621</v>
      </c>
      <c r="T36" s="5">
        <f t="shared" si="6"/>
        <v>9.4757323558957616</v>
      </c>
      <c r="U36" s="5">
        <f t="shared" si="6"/>
        <v>9.2183846099097622</v>
      </c>
      <c r="V36" s="5">
        <f t="shared" si="6"/>
        <v>8.8908793908295376</v>
      </c>
      <c r="W36" s="5">
        <f t="shared" si="6"/>
        <v>8.4957092111253445</v>
      </c>
      <c r="X36" s="5">
        <f t="shared" si="6"/>
        <v>8.0358815544750097</v>
      </c>
      <c r="Y36" s="5">
        <f t="shared" si="6"/>
        <v>7.5148959869971748</v>
      </c>
      <c r="Z36" s="5">
        <f t="shared" si="6"/>
        <v>6.9367175234400325</v>
      </c>
      <c r="AA36" s="5">
        <f t="shared" si="6"/>
        <v>6.3057464510249517</v>
      </c>
      <c r="AB36" s="5">
        <f t="shared" si="6"/>
        <v>5.6267848406037642</v>
      </c>
      <c r="AC36" s="5">
        <f t="shared" si="6"/>
        <v>4.905000000000002</v>
      </c>
      <c r="AD36" s="5">
        <f t="shared" si="6"/>
        <v>4.1458851476762622</v>
      </c>
      <c r="AE36" s="5">
        <f t="shared" si="6"/>
        <v>3.3552176060248118</v>
      </c>
      <c r="AF36" s="5">
        <f t="shared" si="6"/>
        <v>2.5390148324557291</v>
      </c>
      <c r="AG36" s="5">
        <f t="shared" si="6"/>
        <v>1.7034886229125874</v>
      </c>
      <c r="AH36" s="5">
        <f t="shared" si="6"/>
        <v>0.85499783635452653</v>
      </c>
      <c r="AI36" s="5">
        <f t="shared" si="6"/>
        <v>6.0093531713267827E-16</v>
      </c>
    </row>
    <row r="37" spans="4:37" ht="18" x14ac:dyDescent="0.35">
      <c r="O37" s="8" t="s">
        <v>291</v>
      </c>
      <c r="P37" s="8" t="str">
        <f>P36</f>
        <v>mN</v>
      </c>
      <c r="Q37" s="5">
        <f>Q34-Q35</f>
        <v>-29.43</v>
      </c>
      <c r="R37" s="5">
        <f t="shared" ref="R37:AI37" si="7">R34-R35</f>
        <v>-25.043020783067441</v>
      </c>
      <c r="S37" s="5">
        <f t="shared" si="7"/>
        <v>-20.465449056586351</v>
      </c>
      <c r="T37" s="5">
        <f t="shared" si="7"/>
        <v>-15.732122905408639</v>
      </c>
      <c r="U37" s="5">
        <f t="shared" si="7"/>
        <v>-10.879065799605236</v>
      </c>
      <c r="V37" s="5">
        <f t="shared" si="7"/>
        <v>-5.9432124341072985</v>
      </c>
      <c r="W37" s="5">
        <f t="shared" si="7"/>
        <v>-0.96212763337603491</v>
      </c>
      <c r="X37" s="5">
        <f t="shared" si="7"/>
        <v>4.02627953959378</v>
      </c>
      <c r="Y37" s="5">
        <f t="shared" si="7"/>
        <v>8.984044294133227</v>
      </c>
      <c r="Z37" s="5">
        <f t="shared" si="7"/>
        <v>13.873435046880058</v>
      </c>
      <c r="AA37" s="5">
        <f t="shared" si="7"/>
        <v>18.657240581911019</v>
      </c>
      <c r="AB37" s="5">
        <f t="shared" si="7"/>
        <v>23.299053250563752</v>
      </c>
      <c r="AC37" s="5">
        <f t="shared" si="7"/>
        <v>27.763546055626712</v>
      </c>
      <c r="AD37" s="5">
        <f t="shared" si="7"/>
        <v>32.016741511118894</v>
      </c>
      <c r="AE37" s="5">
        <f t="shared" si="7"/>
        <v>36.026270231474371</v>
      </c>
      <c r="AF37" s="5">
        <f t="shared" si="7"/>
        <v>39.761617282111615</v>
      </c>
      <c r="AG37" s="5">
        <f t="shared" si="7"/>
        <v>43.19435441651104</v>
      </c>
      <c r="AH37" s="5">
        <f t="shared" si="7"/>
        <v>46.29835643233654</v>
      </c>
      <c r="AI37" s="5">
        <f t="shared" si="7"/>
        <v>49.050000000000004</v>
      </c>
    </row>
    <row r="38" spans="4:37" ht="18" x14ac:dyDescent="0.35">
      <c r="O38" s="8" t="s">
        <v>292</v>
      </c>
      <c r="P38" s="8" t="str">
        <f>P37</f>
        <v>mN</v>
      </c>
      <c r="Q38" s="5">
        <f>Q34-Q36</f>
        <v>-9.8100000000000023</v>
      </c>
      <c r="R38" s="5">
        <f t="shared" ref="R38:AI38" si="8">R34-R36</f>
        <v>-5.4976808065073923</v>
      </c>
      <c r="S38" s="5">
        <f t="shared" si="8"/>
        <v>-1.1435209424868287</v>
      </c>
      <c r="T38" s="5">
        <f t="shared" si="8"/>
        <v>3.2193418063828805</v>
      </c>
      <c r="U38" s="5">
        <f t="shared" si="8"/>
        <v>7.5577034202142883</v>
      </c>
      <c r="V38" s="5">
        <f t="shared" si="8"/>
        <v>11.838546347551771</v>
      </c>
      <c r="W38" s="5">
        <f t="shared" si="8"/>
        <v>16.029290788874654</v>
      </c>
      <c r="X38" s="5">
        <f t="shared" si="8"/>
        <v>20.098042648543803</v>
      </c>
      <c r="Y38" s="5">
        <f t="shared" si="8"/>
        <v>24.013836268127577</v>
      </c>
      <c r="Z38" s="5">
        <f t="shared" si="8"/>
        <v>27.746870093760123</v>
      </c>
      <c r="AA38" s="5">
        <f t="shared" si="8"/>
        <v>31.268733483960922</v>
      </c>
      <c r="AB38" s="5">
        <f t="shared" si="8"/>
        <v>34.552622931771282</v>
      </c>
      <c r="AC38" s="5">
        <f t="shared" si="8"/>
        <v>37.573546055626714</v>
      </c>
      <c r="AD38" s="5">
        <f t="shared" si="8"/>
        <v>40.308511806471415</v>
      </c>
      <c r="AE38" s="5">
        <f t="shared" si="8"/>
        <v>42.736705443523995</v>
      </c>
      <c r="AF38" s="5">
        <f t="shared" si="8"/>
        <v>44.839646947023077</v>
      </c>
      <c r="AG38" s="5">
        <f t="shared" si="8"/>
        <v>46.601331662336214</v>
      </c>
      <c r="AH38" s="5">
        <f t="shared" si="8"/>
        <v>48.008352105045589</v>
      </c>
      <c r="AI38" s="5">
        <f t="shared" si="8"/>
        <v>49.050000000000004</v>
      </c>
    </row>
    <row r="39" spans="4:37" ht="18" x14ac:dyDescent="0.35">
      <c r="O39" s="8" t="s">
        <v>293</v>
      </c>
      <c r="P39" s="8"/>
      <c r="Q39" s="5">
        <f>IF(Q38&gt;0,Q38/$F$20,0)</f>
        <v>0</v>
      </c>
      <c r="R39" s="5">
        <f t="shared" ref="R39:AI39" si="9">IF(R38&gt;0,R38/$F$20,0)</f>
        <v>0</v>
      </c>
      <c r="S39" s="5">
        <f t="shared" si="9"/>
        <v>0</v>
      </c>
      <c r="T39" s="5">
        <f t="shared" si="9"/>
        <v>0.6438683612765761</v>
      </c>
      <c r="U39" s="5">
        <f t="shared" si="9"/>
        <v>1.5115406840428576</v>
      </c>
      <c r="V39" s="5">
        <f t="shared" si="9"/>
        <v>2.3677092695103541</v>
      </c>
      <c r="W39" s="5">
        <f t="shared" si="9"/>
        <v>3.205858157774931</v>
      </c>
      <c r="X39" s="5">
        <f t="shared" si="9"/>
        <v>4.0196085297087603</v>
      </c>
      <c r="Y39" s="5">
        <f t="shared" si="9"/>
        <v>4.8027672536255155</v>
      </c>
      <c r="Z39" s="5">
        <f t="shared" si="9"/>
        <v>5.5493740187520242</v>
      </c>
      <c r="AA39" s="5">
        <f t="shared" si="9"/>
        <v>6.2537466967921844</v>
      </c>
      <c r="AB39" s="5">
        <f t="shared" si="9"/>
        <v>6.9105245863542564</v>
      </c>
      <c r="AC39" s="5">
        <f t="shared" si="9"/>
        <v>7.5147092111253428</v>
      </c>
      <c r="AD39" s="5">
        <f t="shared" si="9"/>
        <v>8.0617023612942837</v>
      </c>
      <c r="AE39" s="5">
        <f t="shared" si="9"/>
        <v>8.5473410887047994</v>
      </c>
      <c r="AF39" s="5">
        <f t="shared" si="9"/>
        <v>8.967929389404615</v>
      </c>
      <c r="AG39" s="5">
        <f t="shared" si="9"/>
        <v>9.3202663324672432</v>
      </c>
      <c r="AH39" s="5">
        <f t="shared" si="9"/>
        <v>9.6016704210091177</v>
      </c>
      <c r="AI39" s="5">
        <f t="shared" si="9"/>
        <v>9.81</v>
      </c>
    </row>
    <row r="40" spans="4:37" x14ac:dyDescent="0.25">
      <c r="O40" s="8" t="s">
        <v>296</v>
      </c>
      <c r="P40" s="5"/>
      <c r="Q40" s="5">
        <f>IF(Q38&gt;0,$F$24*(SIN(Q33)-$L$22*COS(Q33)),0)</f>
        <v>0</v>
      </c>
      <c r="R40" s="5">
        <f t="shared" ref="R40:AI40" si="10">IF(R38&gt;0,$F$24*(SIN(R33)-$L$22*COS(R33)),0)</f>
        <v>0</v>
      </c>
      <c r="S40" s="5">
        <f t="shared" si="10"/>
        <v>0</v>
      </c>
      <c r="T40" s="5">
        <f t="shared" si="10"/>
        <v>0.64386836127657632</v>
      </c>
      <c r="U40" s="5">
        <f>IF(U38&gt;0,$F$24*(SIN(U33)-$L$22*COS(U33)),0)</f>
        <v>1.5115406840428576</v>
      </c>
      <c r="V40" s="5">
        <f t="shared" si="10"/>
        <v>2.3677092695103545</v>
      </c>
      <c r="W40" s="5">
        <f t="shared" si="10"/>
        <v>3.205858157774931</v>
      </c>
      <c r="X40" s="5">
        <f t="shared" si="10"/>
        <v>4.0196085297087603</v>
      </c>
      <c r="Y40" s="5">
        <f t="shared" si="10"/>
        <v>4.8027672536255155</v>
      </c>
      <c r="Z40" s="5">
        <f t="shared" si="10"/>
        <v>5.5493740187520242</v>
      </c>
      <c r="AA40" s="5">
        <f t="shared" si="10"/>
        <v>6.2537466967921844</v>
      </c>
      <c r="AB40" s="5">
        <f t="shared" si="10"/>
        <v>6.9105245863542581</v>
      </c>
      <c r="AC40" s="5">
        <f t="shared" si="10"/>
        <v>7.514709211125342</v>
      </c>
      <c r="AD40" s="5">
        <f t="shared" si="10"/>
        <v>8.0617023612942837</v>
      </c>
      <c r="AE40" s="5">
        <f t="shared" si="10"/>
        <v>8.5473410887047994</v>
      </c>
      <c r="AF40" s="5">
        <f t="shared" si="10"/>
        <v>8.967929389404615</v>
      </c>
      <c r="AG40" s="5">
        <f t="shared" si="10"/>
        <v>9.3202663324672432</v>
      </c>
      <c r="AH40" s="117">
        <f t="shared" si="10"/>
        <v>9.6016704210091195</v>
      </c>
      <c r="AI40" s="117">
        <f t="shared" si="10"/>
        <v>9.81</v>
      </c>
    </row>
    <row r="41" spans="4:37" x14ac:dyDescent="0.25">
      <c r="AH41" s="5" t="s">
        <v>301</v>
      </c>
      <c r="AI41" s="74">
        <v>0</v>
      </c>
      <c r="AJ41" s="74">
        <f>$L$23</f>
        <v>30.963756532073521</v>
      </c>
      <c r="AK41" s="74">
        <f>$L$23</f>
        <v>30.963756532073521</v>
      </c>
    </row>
    <row r="42" spans="4:37" x14ac:dyDescent="0.25">
      <c r="AH42" s="5"/>
      <c r="AI42" s="5">
        <v>0</v>
      </c>
      <c r="AJ42" s="5">
        <v>0</v>
      </c>
      <c r="AK42" s="5">
        <f>$F$24*(SIN(O23)-$L$22*COS(O23))</f>
        <v>3.3648022404960245</v>
      </c>
    </row>
  </sheetData>
  <conditionalFormatting sqref="Q37:AI37">
    <cfRule type="expression" dxfId="2" priority="2">
      <formula>Q37&gt;0</formula>
    </cfRule>
  </conditionalFormatting>
  <conditionalFormatting sqref="Q38:AI38">
    <cfRule type="expression" dxfId="1" priority="1">
      <formula>Q38&lt;0</formula>
    </cfRule>
  </conditionalFormatting>
  <dataValidations count="2">
    <dataValidation type="list" allowBlank="1" showInputMessage="1" showErrorMessage="1" sqref="G21 O2" xr:uid="{914C84CC-881B-4AD5-BC66-6A288299472A}">
      <formula1>$L$3:$L$4</formula1>
    </dataValidation>
    <dataValidation type="list" allowBlank="1" showInputMessage="1" showErrorMessage="1" sqref="G20 P3" xr:uid="{BB7C4B13-58A2-49D4-9141-FDBC564F0ECC}">
      <formula1>$M$3:$M$6</formula1>
    </dataValidation>
  </dataValidations>
  <pageMargins left="0.7" right="0.7" top="0.78740157499999996" bottom="0.78740157499999996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14390-BAED-44B4-AA9A-09C4333BEBF1}">
  <dimension ref="B2:AT17"/>
  <sheetViews>
    <sheetView showGridLines="0" zoomScale="70" zoomScaleNormal="70" workbookViewId="0">
      <selection activeCell="J4" sqref="J4"/>
    </sheetView>
  </sheetViews>
  <sheetFormatPr baseColWidth="10" defaultRowHeight="15" x14ac:dyDescent="0.25"/>
  <cols>
    <col min="2" max="2" width="7.85546875" customWidth="1"/>
    <col min="3" max="3" width="21" customWidth="1"/>
    <col min="4" max="4" width="31.5703125" customWidth="1"/>
    <col min="5" max="5" width="14.5703125" customWidth="1"/>
    <col min="6" max="6" width="16.140625" bestFit="1" customWidth="1"/>
  </cols>
  <sheetData>
    <row r="2" spans="2:46" ht="23.25" x14ac:dyDescent="0.35">
      <c r="C2" s="9" t="s">
        <v>842</v>
      </c>
      <c r="D2" s="90"/>
    </row>
    <row r="4" spans="2:46" ht="18" x14ac:dyDescent="0.35">
      <c r="E4" s="8" t="s">
        <v>545</v>
      </c>
      <c r="F4" s="4">
        <v>1</v>
      </c>
      <c r="G4" s="5" t="s">
        <v>316</v>
      </c>
      <c r="I4" s="272" t="s">
        <v>547</v>
      </c>
      <c r="J4" s="4">
        <v>120</v>
      </c>
      <c r="K4" s="5" t="s">
        <v>548</v>
      </c>
      <c r="L4" s="77">
        <f>RADIANS(J4)</f>
        <v>2.0943951023931953</v>
      </c>
      <c r="M4" s="5" t="s">
        <v>202</v>
      </c>
      <c r="T4" s="5" t="s">
        <v>470</v>
      </c>
      <c r="U4" s="77">
        <f>MIN(F8:AT8)</f>
        <v>0</v>
      </c>
      <c r="V4" s="77">
        <f>MAX(F8:AT8)</f>
        <v>400</v>
      </c>
      <c r="Y4" s="5" t="s">
        <v>471</v>
      </c>
      <c r="Z4" s="5">
        <v>0</v>
      </c>
      <c r="AA4" s="5">
        <v>0</v>
      </c>
      <c r="AC4" s="5" t="s">
        <v>64</v>
      </c>
    </row>
    <row r="5" spans="2:46" ht="18" x14ac:dyDescent="0.35">
      <c r="E5" s="8" t="s">
        <v>546</v>
      </c>
      <c r="F5" s="4">
        <v>2</v>
      </c>
      <c r="G5" s="5" t="s">
        <v>38</v>
      </c>
      <c r="I5" s="272" t="s">
        <v>551</v>
      </c>
      <c r="J5" s="4">
        <v>90</v>
      </c>
      <c r="K5" s="5" t="s">
        <v>548</v>
      </c>
      <c r="L5" s="77">
        <f>RADIANS(J5)</f>
        <v>1.5707963267948966</v>
      </c>
      <c r="M5" s="5" t="s">
        <v>202</v>
      </c>
      <c r="T5" s="5"/>
      <c r="U5" s="5">
        <v>0</v>
      </c>
      <c r="V5" s="5">
        <v>0</v>
      </c>
      <c r="Y5" s="74"/>
      <c r="Z5" s="212">
        <f>MIN(F10:AT13)</f>
        <v>-2</v>
      </c>
      <c r="AA5" s="212">
        <f>MAX(F10:AT13)</f>
        <v>2</v>
      </c>
      <c r="AC5" s="5" t="s">
        <v>65</v>
      </c>
    </row>
    <row r="6" spans="2:46" x14ac:dyDescent="0.25">
      <c r="E6" s="1"/>
      <c r="H6" s="271"/>
    </row>
    <row r="7" spans="2:46" x14ac:dyDescent="0.25">
      <c r="E7" s="8" t="s">
        <v>313</v>
      </c>
      <c r="F7" s="4">
        <v>10</v>
      </c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</row>
    <row r="8" spans="2:46" x14ac:dyDescent="0.25">
      <c r="C8" s="95" t="s">
        <v>411</v>
      </c>
      <c r="D8" s="5"/>
      <c r="E8" s="95" t="s">
        <v>298</v>
      </c>
      <c r="F8" s="225">
        <v>0</v>
      </c>
      <c r="G8" s="77">
        <f>F8+$F$7</f>
        <v>10</v>
      </c>
      <c r="H8" s="77">
        <f t="shared" ref="H8:AT8" si="0">G8+$F$7</f>
        <v>20</v>
      </c>
      <c r="I8" s="77">
        <f t="shared" si="0"/>
        <v>30</v>
      </c>
      <c r="J8" s="77">
        <f t="shared" si="0"/>
        <v>40</v>
      </c>
      <c r="K8" s="77">
        <f t="shared" si="0"/>
        <v>50</v>
      </c>
      <c r="L8" s="77">
        <f t="shared" si="0"/>
        <v>60</v>
      </c>
      <c r="M8" s="77">
        <f t="shared" si="0"/>
        <v>70</v>
      </c>
      <c r="N8" s="77">
        <f t="shared" si="0"/>
        <v>80</v>
      </c>
      <c r="O8" s="77">
        <f t="shared" si="0"/>
        <v>90</v>
      </c>
      <c r="P8" s="77">
        <f t="shared" si="0"/>
        <v>100</v>
      </c>
      <c r="Q8" s="77">
        <f t="shared" si="0"/>
        <v>110</v>
      </c>
      <c r="R8" s="77">
        <f t="shared" si="0"/>
        <v>120</v>
      </c>
      <c r="S8" s="77">
        <f t="shared" si="0"/>
        <v>130</v>
      </c>
      <c r="T8" s="77">
        <f t="shared" si="0"/>
        <v>140</v>
      </c>
      <c r="U8" s="77">
        <f t="shared" si="0"/>
        <v>150</v>
      </c>
      <c r="V8" s="77">
        <f t="shared" si="0"/>
        <v>160</v>
      </c>
      <c r="W8" s="77">
        <f t="shared" si="0"/>
        <v>170</v>
      </c>
      <c r="X8" s="77">
        <f t="shared" si="0"/>
        <v>180</v>
      </c>
      <c r="Y8" s="77">
        <f t="shared" si="0"/>
        <v>190</v>
      </c>
      <c r="Z8" s="77">
        <f t="shared" si="0"/>
        <v>200</v>
      </c>
      <c r="AA8" s="77">
        <f t="shared" si="0"/>
        <v>210</v>
      </c>
      <c r="AB8" s="77">
        <f t="shared" si="0"/>
        <v>220</v>
      </c>
      <c r="AC8" s="77">
        <f t="shared" si="0"/>
        <v>230</v>
      </c>
      <c r="AD8" s="77">
        <f t="shared" si="0"/>
        <v>240</v>
      </c>
      <c r="AE8" s="77">
        <f t="shared" si="0"/>
        <v>250</v>
      </c>
      <c r="AF8" s="77">
        <f t="shared" si="0"/>
        <v>260</v>
      </c>
      <c r="AG8" s="77">
        <f t="shared" si="0"/>
        <v>270</v>
      </c>
      <c r="AH8" s="77">
        <f t="shared" si="0"/>
        <v>280</v>
      </c>
      <c r="AI8" s="77">
        <f t="shared" si="0"/>
        <v>290</v>
      </c>
      <c r="AJ8" s="77">
        <f t="shared" si="0"/>
        <v>300</v>
      </c>
      <c r="AK8" s="77">
        <f t="shared" si="0"/>
        <v>310</v>
      </c>
      <c r="AL8" s="77">
        <f t="shared" si="0"/>
        <v>320</v>
      </c>
      <c r="AM8" s="77">
        <f t="shared" si="0"/>
        <v>330</v>
      </c>
      <c r="AN8" s="77">
        <f t="shared" si="0"/>
        <v>340</v>
      </c>
      <c r="AO8" s="77">
        <f t="shared" si="0"/>
        <v>350</v>
      </c>
      <c r="AP8" s="77">
        <f t="shared" si="0"/>
        <v>360</v>
      </c>
      <c r="AQ8" s="77">
        <f t="shared" si="0"/>
        <v>370</v>
      </c>
      <c r="AR8" s="77">
        <f t="shared" si="0"/>
        <v>380</v>
      </c>
      <c r="AS8" s="77">
        <f t="shared" si="0"/>
        <v>390</v>
      </c>
      <c r="AT8" s="77">
        <f t="shared" si="0"/>
        <v>400</v>
      </c>
    </row>
    <row r="9" spans="2:46" x14ac:dyDescent="0.25">
      <c r="C9" s="95" t="s">
        <v>411</v>
      </c>
      <c r="D9" s="5"/>
      <c r="E9" s="95" t="s">
        <v>300</v>
      </c>
      <c r="F9" s="212">
        <f>F8*PI()/180</f>
        <v>0</v>
      </c>
      <c r="G9" s="212">
        <f t="shared" ref="G9:AT9" si="1">G8*PI()/180</f>
        <v>0.17453292519943295</v>
      </c>
      <c r="H9" s="212">
        <f t="shared" si="1"/>
        <v>0.3490658503988659</v>
      </c>
      <c r="I9" s="212">
        <f t="shared" si="1"/>
        <v>0.52359877559829882</v>
      </c>
      <c r="J9" s="212">
        <f t="shared" si="1"/>
        <v>0.69813170079773179</v>
      </c>
      <c r="K9" s="212">
        <f t="shared" si="1"/>
        <v>0.87266462599716477</v>
      </c>
      <c r="L9" s="212">
        <f t="shared" si="1"/>
        <v>1.0471975511965976</v>
      </c>
      <c r="M9" s="212">
        <f t="shared" si="1"/>
        <v>1.2217304763960306</v>
      </c>
      <c r="N9" s="212">
        <f t="shared" si="1"/>
        <v>1.3962634015954636</v>
      </c>
      <c r="O9" s="212">
        <f t="shared" si="1"/>
        <v>1.5707963267948966</v>
      </c>
      <c r="P9" s="212">
        <f t="shared" si="1"/>
        <v>1.7453292519943295</v>
      </c>
      <c r="Q9" s="212">
        <f t="shared" si="1"/>
        <v>1.9198621771937625</v>
      </c>
      <c r="R9" s="212">
        <f t="shared" si="1"/>
        <v>2.0943951023931953</v>
      </c>
      <c r="S9" s="212">
        <f t="shared" si="1"/>
        <v>2.2689280275926285</v>
      </c>
      <c r="T9" s="212">
        <f t="shared" si="1"/>
        <v>2.4434609527920612</v>
      </c>
      <c r="U9" s="212">
        <f t="shared" si="1"/>
        <v>2.6179938779914944</v>
      </c>
      <c r="V9" s="212">
        <f t="shared" si="1"/>
        <v>2.7925268031909272</v>
      </c>
      <c r="W9" s="212">
        <f t="shared" si="1"/>
        <v>2.9670597283903604</v>
      </c>
      <c r="X9" s="212">
        <f t="shared" si="1"/>
        <v>3.1415926535897931</v>
      </c>
      <c r="Y9" s="212">
        <f t="shared" si="1"/>
        <v>3.3161255787892263</v>
      </c>
      <c r="Z9" s="212">
        <f t="shared" si="1"/>
        <v>3.4906585039886591</v>
      </c>
      <c r="AA9" s="212">
        <f t="shared" si="1"/>
        <v>3.6651914291880923</v>
      </c>
      <c r="AB9" s="212">
        <f t="shared" si="1"/>
        <v>3.839724354387525</v>
      </c>
      <c r="AC9" s="212">
        <f t="shared" si="1"/>
        <v>4.0142572795869578</v>
      </c>
      <c r="AD9" s="212">
        <f t="shared" si="1"/>
        <v>4.1887902047863905</v>
      </c>
      <c r="AE9" s="212">
        <f t="shared" si="1"/>
        <v>4.3633231299858233</v>
      </c>
      <c r="AF9" s="212">
        <f t="shared" si="1"/>
        <v>4.5378560551852569</v>
      </c>
      <c r="AG9" s="212">
        <f t="shared" si="1"/>
        <v>4.7123889803846897</v>
      </c>
      <c r="AH9" s="212">
        <f t="shared" si="1"/>
        <v>4.8869219055841224</v>
      </c>
      <c r="AI9" s="212">
        <f t="shared" si="1"/>
        <v>5.0614548307835552</v>
      </c>
      <c r="AJ9" s="212">
        <f t="shared" si="1"/>
        <v>5.2359877559829888</v>
      </c>
      <c r="AK9" s="212">
        <f t="shared" si="1"/>
        <v>5.4105206811824216</v>
      </c>
      <c r="AL9" s="212">
        <f t="shared" si="1"/>
        <v>5.5850536063818543</v>
      </c>
      <c r="AM9" s="212">
        <f t="shared" si="1"/>
        <v>5.7595865315812871</v>
      </c>
      <c r="AN9" s="212">
        <f t="shared" si="1"/>
        <v>5.9341194567807207</v>
      </c>
      <c r="AO9" s="212">
        <f t="shared" si="1"/>
        <v>6.1086523819801526</v>
      </c>
      <c r="AP9" s="212">
        <f t="shared" si="1"/>
        <v>6.2831853071795862</v>
      </c>
      <c r="AQ9" s="212">
        <f t="shared" si="1"/>
        <v>6.457718232379019</v>
      </c>
      <c r="AR9" s="212">
        <f t="shared" si="1"/>
        <v>6.6322511575784526</v>
      </c>
      <c r="AS9" s="212">
        <f t="shared" si="1"/>
        <v>6.8067840827778845</v>
      </c>
      <c r="AT9" s="212">
        <f t="shared" si="1"/>
        <v>6.9813170079773181</v>
      </c>
    </row>
    <row r="10" spans="2:46" ht="24" x14ac:dyDescent="0.45">
      <c r="B10" s="104" t="s">
        <v>64</v>
      </c>
      <c r="C10" s="273" t="s">
        <v>553</v>
      </c>
      <c r="D10" s="277" t="s">
        <v>555</v>
      </c>
      <c r="E10" s="274" t="s">
        <v>549</v>
      </c>
      <c r="F10" s="212">
        <f>IF($B$10=$AC$4,$F$4*SIN(F9+$L$4),0)</f>
        <v>0.86602540378443871</v>
      </c>
      <c r="G10" s="212">
        <f t="shared" ref="G10:AT10" si="2">IF($B$10=$AC$4,$F$4*SIN(G9+$L$4),0)</f>
        <v>0.76604444311897835</v>
      </c>
      <c r="H10" s="212">
        <f t="shared" si="2"/>
        <v>0.64278760968653947</v>
      </c>
      <c r="I10" s="212">
        <f t="shared" si="2"/>
        <v>0.50000000000000033</v>
      </c>
      <c r="J10" s="212">
        <f t="shared" si="2"/>
        <v>0.34202014332566888</v>
      </c>
      <c r="K10" s="212">
        <f t="shared" si="2"/>
        <v>0.17364817766693069</v>
      </c>
      <c r="L10" s="212">
        <f t="shared" si="2"/>
        <v>1.22514845490862E-16</v>
      </c>
      <c r="M10" s="212">
        <f t="shared" si="2"/>
        <v>-0.17364817766693003</v>
      </c>
      <c r="N10" s="212">
        <f t="shared" si="2"/>
        <v>-0.34202014332566821</v>
      </c>
      <c r="O10" s="212">
        <f t="shared" si="2"/>
        <v>-0.49999999999999972</v>
      </c>
      <c r="P10" s="212">
        <f t="shared" si="2"/>
        <v>-0.64278760968653925</v>
      </c>
      <c r="Q10" s="212">
        <f t="shared" si="2"/>
        <v>-0.7660444431189779</v>
      </c>
      <c r="R10" s="212">
        <f t="shared" si="2"/>
        <v>-0.86602540378443837</v>
      </c>
      <c r="S10" s="212">
        <f t="shared" si="2"/>
        <v>-0.93969262078590843</v>
      </c>
      <c r="T10" s="212">
        <f t="shared" si="2"/>
        <v>-0.98480775301220802</v>
      </c>
      <c r="U10" s="212">
        <f t="shared" si="2"/>
        <v>-1</v>
      </c>
      <c r="V10" s="212">
        <f t="shared" si="2"/>
        <v>-0.98480775301220813</v>
      </c>
      <c r="W10" s="212">
        <f t="shared" si="2"/>
        <v>-0.93969262078590854</v>
      </c>
      <c r="X10" s="212">
        <f t="shared" si="2"/>
        <v>-0.86602540378443904</v>
      </c>
      <c r="Y10" s="212">
        <f t="shared" si="2"/>
        <v>-0.76604444311897812</v>
      </c>
      <c r="Z10" s="212">
        <f t="shared" si="2"/>
        <v>-0.64278760968653958</v>
      </c>
      <c r="AA10" s="212">
        <f t="shared" si="2"/>
        <v>-0.49999999999999967</v>
      </c>
      <c r="AB10" s="212">
        <f t="shared" si="2"/>
        <v>-0.3420201433256686</v>
      </c>
      <c r="AC10" s="212">
        <f t="shared" si="2"/>
        <v>-0.17364817766693039</v>
      </c>
      <c r="AD10" s="212">
        <f t="shared" si="2"/>
        <v>-2.45029690981724E-16</v>
      </c>
      <c r="AE10" s="212">
        <f t="shared" si="2"/>
        <v>0.17364817766692991</v>
      </c>
      <c r="AF10" s="212">
        <f t="shared" si="2"/>
        <v>0.3420201433256681</v>
      </c>
      <c r="AG10" s="212">
        <f t="shared" si="2"/>
        <v>0.49999999999999928</v>
      </c>
      <c r="AH10" s="212">
        <f t="shared" si="2"/>
        <v>0.64278760968653847</v>
      </c>
      <c r="AI10" s="212">
        <f t="shared" si="2"/>
        <v>0.76604444311897724</v>
      </c>
      <c r="AJ10" s="212">
        <f t="shared" si="2"/>
        <v>0.86602540378443882</v>
      </c>
      <c r="AK10" s="212">
        <f t="shared" si="2"/>
        <v>0.93969262078590843</v>
      </c>
      <c r="AL10" s="212">
        <f t="shared" si="2"/>
        <v>0.98480775301220802</v>
      </c>
      <c r="AM10" s="212">
        <f t="shared" si="2"/>
        <v>1</v>
      </c>
      <c r="AN10" s="212">
        <f t="shared" si="2"/>
        <v>0.98480775301220813</v>
      </c>
      <c r="AO10" s="212">
        <f t="shared" si="2"/>
        <v>0.93969262078590865</v>
      </c>
      <c r="AP10" s="212">
        <f t="shared" si="2"/>
        <v>0.86602540378443915</v>
      </c>
      <c r="AQ10" s="212">
        <f t="shared" si="2"/>
        <v>0.76604444311897879</v>
      </c>
      <c r="AR10" s="212">
        <f t="shared" si="2"/>
        <v>0.64278760968653903</v>
      </c>
      <c r="AS10" s="212">
        <f t="shared" si="2"/>
        <v>0.50000000000000133</v>
      </c>
      <c r="AT10" s="212">
        <f t="shared" si="2"/>
        <v>0.34202014332566871</v>
      </c>
    </row>
    <row r="11" spans="2:46" ht="24" x14ac:dyDescent="0.45">
      <c r="B11" s="104" t="s">
        <v>64</v>
      </c>
      <c r="C11" s="275" t="s">
        <v>554</v>
      </c>
      <c r="D11" s="278" t="s">
        <v>556</v>
      </c>
      <c r="E11" s="276" t="s">
        <v>550</v>
      </c>
      <c r="F11" s="212">
        <f>IF($B$11=$AC$4,$F$5*SIN(F9+$L$5),0)</f>
        <v>2</v>
      </c>
      <c r="G11" s="212">
        <f t="shared" ref="G11:AT11" si="3">IF($B$11=$AC$4,$F$5*SIN(G9+$L$5),0)</f>
        <v>1.969615506024416</v>
      </c>
      <c r="H11" s="212">
        <f t="shared" si="3"/>
        <v>1.8793852415718169</v>
      </c>
      <c r="I11" s="212">
        <f t="shared" si="3"/>
        <v>1.7320508075688774</v>
      </c>
      <c r="J11" s="212">
        <f t="shared" si="3"/>
        <v>1.532088886237956</v>
      </c>
      <c r="K11" s="212">
        <f t="shared" si="3"/>
        <v>1.2855752193730789</v>
      </c>
      <c r="L11" s="212">
        <f t="shared" si="3"/>
        <v>1.0000000000000007</v>
      </c>
      <c r="M11" s="212">
        <f t="shared" si="3"/>
        <v>0.68404028665133776</v>
      </c>
      <c r="N11" s="212">
        <f t="shared" si="3"/>
        <v>0.34729635533386055</v>
      </c>
      <c r="O11" s="212">
        <f t="shared" si="3"/>
        <v>2.45029690981724E-16</v>
      </c>
      <c r="P11" s="212">
        <f t="shared" si="3"/>
        <v>-0.34729635533386005</v>
      </c>
      <c r="Q11" s="212">
        <f t="shared" si="3"/>
        <v>-0.68404028665133731</v>
      </c>
      <c r="R11" s="212">
        <f t="shared" si="3"/>
        <v>-0.99999999999999944</v>
      </c>
      <c r="S11" s="212">
        <f t="shared" si="3"/>
        <v>-1.2855752193730785</v>
      </c>
      <c r="T11" s="212">
        <f t="shared" si="3"/>
        <v>-1.5320888862379558</v>
      </c>
      <c r="U11" s="212">
        <f t="shared" si="3"/>
        <v>-1.7320508075688776</v>
      </c>
      <c r="V11" s="212">
        <f t="shared" si="3"/>
        <v>-1.8793852415718169</v>
      </c>
      <c r="W11" s="212">
        <f t="shared" si="3"/>
        <v>-1.969615506024416</v>
      </c>
      <c r="X11" s="212">
        <f t="shared" si="3"/>
        <v>-2</v>
      </c>
      <c r="Y11" s="212">
        <f t="shared" si="3"/>
        <v>-1.9696155060244163</v>
      </c>
      <c r="Z11" s="212">
        <f t="shared" si="3"/>
        <v>-1.8793852415718171</v>
      </c>
      <c r="AA11" s="212">
        <f t="shared" si="3"/>
        <v>-1.7320508075688772</v>
      </c>
      <c r="AB11" s="212">
        <f t="shared" si="3"/>
        <v>-1.5320888862379562</v>
      </c>
      <c r="AC11" s="212">
        <f t="shared" si="3"/>
        <v>-1.2855752193730792</v>
      </c>
      <c r="AD11" s="212">
        <f t="shared" si="3"/>
        <v>-1.0000000000000009</v>
      </c>
      <c r="AE11" s="212">
        <f t="shared" si="3"/>
        <v>-0.68404028665133887</v>
      </c>
      <c r="AF11" s="212">
        <f t="shared" si="3"/>
        <v>-0.34729635533386077</v>
      </c>
      <c r="AG11" s="212">
        <f t="shared" si="3"/>
        <v>-4.90059381963448E-16</v>
      </c>
      <c r="AH11" s="212">
        <f t="shared" si="3"/>
        <v>0.34729635533385983</v>
      </c>
      <c r="AI11" s="212">
        <f t="shared" si="3"/>
        <v>0.6840402866513362</v>
      </c>
      <c r="AJ11" s="212">
        <f t="shared" si="3"/>
        <v>1</v>
      </c>
      <c r="AK11" s="212">
        <f t="shared" si="3"/>
        <v>1.2855752193730783</v>
      </c>
      <c r="AL11" s="212">
        <f t="shared" si="3"/>
        <v>1.5320888862379556</v>
      </c>
      <c r="AM11" s="212">
        <f t="shared" si="3"/>
        <v>1.7320508075688767</v>
      </c>
      <c r="AN11" s="212">
        <f t="shared" si="3"/>
        <v>1.8793852415718169</v>
      </c>
      <c r="AO11" s="212">
        <f t="shared" si="3"/>
        <v>1.9696155060244158</v>
      </c>
      <c r="AP11" s="212">
        <f t="shared" si="3"/>
        <v>2</v>
      </c>
      <c r="AQ11" s="212">
        <f t="shared" si="3"/>
        <v>1.9696155060244163</v>
      </c>
      <c r="AR11" s="212">
        <f t="shared" si="3"/>
        <v>1.879385241571816</v>
      </c>
      <c r="AS11" s="212">
        <f t="shared" si="3"/>
        <v>1.7320508075688783</v>
      </c>
      <c r="AT11" s="212">
        <f t="shared" si="3"/>
        <v>1.5320888862379551</v>
      </c>
    </row>
    <row r="12" spans="2:46" ht="21" x14ac:dyDescent="0.35">
      <c r="B12" s="104" t="s">
        <v>65</v>
      </c>
      <c r="C12" s="279" t="s">
        <v>557</v>
      </c>
      <c r="D12" s="280" t="str">
        <f>IF($J$4=$J$5,"Umomentan^2 / R","Nicht gleichphasig")</f>
        <v>Nicht gleichphasig</v>
      </c>
      <c r="E12" s="281" t="s">
        <v>552</v>
      </c>
      <c r="F12" s="212">
        <f>IF($B$12=$AC$4,IF($J$4=$J$5,F10^2,0),0)</f>
        <v>0</v>
      </c>
      <c r="G12" s="212">
        <f t="shared" ref="G12:AT12" si="4">IF($B$12=$AC$4,IF($J$4=$J$5,G10^2,0),0)</f>
        <v>0</v>
      </c>
      <c r="H12" s="212">
        <f t="shared" si="4"/>
        <v>0</v>
      </c>
      <c r="I12" s="212">
        <f t="shared" si="4"/>
        <v>0</v>
      </c>
      <c r="J12" s="212">
        <f t="shared" si="4"/>
        <v>0</v>
      </c>
      <c r="K12" s="212">
        <f t="shared" si="4"/>
        <v>0</v>
      </c>
      <c r="L12" s="212">
        <f t="shared" si="4"/>
        <v>0</v>
      </c>
      <c r="M12" s="212">
        <f t="shared" si="4"/>
        <v>0</v>
      </c>
      <c r="N12" s="212">
        <f t="shared" si="4"/>
        <v>0</v>
      </c>
      <c r="O12" s="212">
        <f t="shared" si="4"/>
        <v>0</v>
      </c>
      <c r="P12" s="212">
        <f t="shared" si="4"/>
        <v>0</v>
      </c>
      <c r="Q12" s="212">
        <f t="shared" si="4"/>
        <v>0</v>
      </c>
      <c r="R12" s="212">
        <f t="shared" si="4"/>
        <v>0</v>
      </c>
      <c r="S12" s="212">
        <f t="shared" si="4"/>
        <v>0</v>
      </c>
      <c r="T12" s="212">
        <f t="shared" si="4"/>
        <v>0</v>
      </c>
      <c r="U12" s="212">
        <f t="shared" si="4"/>
        <v>0</v>
      </c>
      <c r="V12" s="212">
        <f t="shared" si="4"/>
        <v>0</v>
      </c>
      <c r="W12" s="212">
        <f t="shared" si="4"/>
        <v>0</v>
      </c>
      <c r="X12" s="212">
        <f t="shared" si="4"/>
        <v>0</v>
      </c>
      <c r="Y12" s="212">
        <f t="shared" si="4"/>
        <v>0</v>
      </c>
      <c r="Z12" s="212">
        <f t="shared" si="4"/>
        <v>0</v>
      </c>
      <c r="AA12" s="212">
        <f t="shared" si="4"/>
        <v>0</v>
      </c>
      <c r="AB12" s="212">
        <f t="shared" si="4"/>
        <v>0</v>
      </c>
      <c r="AC12" s="212">
        <f t="shared" si="4"/>
        <v>0</v>
      </c>
      <c r="AD12" s="212">
        <f t="shared" si="4"/>
        <v>0</v>
      </c>
      <c r="AE12" s="212">
        <f t="shared" si="4"/>
        <v>0</v>
      </c>
      <c r="AF12" s="212">
        <f t="shared" si="4"/>
        <v>0</v>
      </c>
      <c r="AG12" s="212">
        <f t="shared" si="4"/>
        <v>0</v>
      </c>
      <c r="AH12" s="212">
        <f t="shared" si="4"/>
        <v>0</v>
      </c>
      <c r="AI12" s="212">
        <f t="shared" si="4"/>
        <v>0</v>
      </c>
      <c r="AJ12" s="212">
        <f t="shared" si="4"/>
        <v>0</v>
      </c>
      <c r="AK12" s="212">
        <f t="shared" si="4"/>
        <v>0</v>
      </c>
      <c r="AL12" s="212">
        <f t="shared" si="4"/>
        <v>0</v>
      </c>
      <c r="AM12" s="212">
        <f t="shared" si="4"/>
        <v>0</v>
      </c>
      <c r="AN12" s="212">
        <f t="shared" si="4"/>
        <v>0</v>
      </c>
      <c r="AO12" s="212">
        <f t="shared" si="4"/>
        <v>0</v>
      </c>
      <c r="AP12" s="212">
        <f t="shared" si="4"/>
        <v>0</v>
      </c>
      <c r="AQ12" s="212">
        <f t="shared" si="4"/>
        <v>0</v>
      </c>
      <c r="AR12" s="212">
        <f t="shared" si="4"/>
        <v>0</v>
      </c>
      <c r="AS12" s="212">
        <f t="shared" si="4"/>
        <v>0</v>
      </c>
      <c r="AT12" s="212">
        <f t="shared" si="4"/>
        <v>0</v>
      </c>
    </row>
    <row r="13" spans="2:46" ht="21" x14ac:dyDescent="0.35">
      <c r="B13" s="104" t="s">
        <v>64</v>
      </c>
      <c r="C13" s="279" t="s">
        <v>557</v>
      </c>
      <c r="D13" s="278" t="s">
        <v>558</v>
      </c>
      <c r="E13" s="281" t="s">
        <v>552</v>
      </c>
      <c r="F13" s="212">
        <f>IF($B$13=$AC$4,F10*F11,0)</f>
        <v>1.7320508075688774</v>
      </c>
      <c r="G13" s="212">
        <f t="shared" ref="G13:AT13" si="5">IF($B$13=$AC$4,G10*G11,0)</f>
        <v>1.5088130134709785</v>
      </c>
      <c r="H13" s="212">
        <f t="shared" si="5"/>
        <v>1.2080455471101077</v>
      </c>
      <c r="I13" s="212">
        <f t="shared" si="5"/>
        <v>0.86602540378443926</v>
      </c>
      <c r="J13" s="212">
        <f t="shared" si="5"/>
        <v>0.52400526045877016</v>
      </c>
      <c r="K13" s="212">
        <f t="shared" si="5"/>
        <v>0.22323779409789982</v>
      </c>
      <c r="L13" s="212">
        <f t="shared" si="5"/>
        <v>1.2251484549086207E-16</v>
      </c>
      <c r="M13" s="212">
        <f t="shared" si="5"/>
        <v>-0.11878234922776924</v>
      </c>
      <c r="N13" s="212">
        <f t="shared" si="5"/>
        <v>-0.11878234922776919</v>
      </c>
      <c r="O13" s="212">
        <f t="shared" si="5"/>
        <v>-1.2251484549086193E-16</v>
      </c>
      <c r="P13" s="212">
        <f t="shared" si="5"/>
        <v>0.22323779409789887</v>
      </c>
      <c r="Q13" s="212">
        <f t="shared" si="5"/>
        <v>0.52400526045876972</v>
      </c>
      <c r="R13" s="212">
        <f t="shared" si="5"/>
        <v>0.86602540378443793</v>
      </c>
      <c r="S13" s="212">
        <f t="shared" si="5"/>
        <v>1.2080455471101073</v>
      </c>
      <c r="T13" s="212">
        <f t="shared" si="5"/>
        <v>1.5088130134709776</v>
      </c>
      <c r="U13" s="212">
        <f t="shared" si="5"/>
        <v>1.7320508075688776</v>
      </c>
      <c r="V13" s="212">
        <f t="shared" si="5"/>
        <v>1.8508331567966469</v>
      </c>
      <c r="W13" s="212">
        <f t="shared" si="5"/>
        <v>1.8508331567966469</v>
      </c>
      <c r="X13" s="212">
        <f t="shared" si="5"/>
        <v>1.7320508075688781</v>
      </c>
      <c r="Y13" s="212">
        <f t="shared" si="5"/>
        <v>1.5088130134709783</v>
      </c>
      <c r="Z13" s="212">
        <f t="shared" si="5"/>
        <v>1.2080455471101081</v>
      </c>
      <c r="AA13" s="212">
        <f t="shared" si="5"/>
        <v>0.86602540378443804</v>
      </c>
      <c r="AB13" s="212">
        <f t="shared" si="5"/>
        <v>0.52400526045876983</v>
      </c>
      <c r="AC13" s="212">
        <f t="shared" si="5"/>
        <v>0.22323779409789946</v>
      </c>
      <c r="AD13" s="212">
        <f t="shared" si="5"/>
        <v>2.450296909817242E-16</v>
      </c>
      <c r="AE13" s="212">
        <f t="shared" si="5"/>
        <v>-0.11878234922776935</v>
      </c>
      <c r="AF13" s="212">
        <f t="shared" si="5"/>
        <v>-0.11878234922776922</v>
      </c>
      <c r="AG13" s="212">
        <f t="shared" si="5"/>
        <v>-2.4502969098172366E-16</v>
      </c>
      <c r="AH13" s="212">
        <f t="shared" si="5"/>
        <v>0.22323779409789846</v>
      </c>
      <c r="AI13" s="212">
        <f t="shared" si="5"/>
        <v>0.52400526045876838</v>
      </c>
      <c r="AJ13" s="212">
        <f t="shared" si="5"/>
        <v>0.86602540378443882</v>
      </c>
      <c r="AK13" s="212">
        <f t="shared" si="5"/>
        <v>1.208045547110107</v>
      </c>
      <c r="AL13" s="212">
        <f t="shared" si="5"/>
        <v>1.5088130134709774</v>
      </c>
      <c r="AM13" s="212">
        <f t="shared" si="5"/>
        <v>1.7320508075688767</v>
      </c>
      <c r="AN13" s="212">
        <f t="shared" si="5"/>
        <v>1.8508331567966469</v>
      </c>
      <c r="AO13" s="212">
        <f t="shared" si="5"/>
        <v>1.8508331567966469</v>
      </c>
      <c r="AP13" s="212">
        <f t="shared" si="5"/>
        <v>1.7320508075688783</v>
      </c>
      <c r="AQ13" s="212">
        <f t="shared" si="5"/>
        <v>1.5088130134709796</v>
      </c>
      <c r="AR13" s="212">
        <f t="shared" si="5"/>
        <v>1.2080455471101064</v>
      </c>
      <c r="AS13" s="212">
        <f t="shared" si="5"/>
        <v>0.86602540378444148</v>
      </c>
      <c r="AT13" s="212">
        <f t="shared" si="5"/>
        <v>0.52400526045876961</v>
      </c>
    </row>
    <row r="16" spans="2:46" ht="15.75" thickBot="1" x14ac:dyDescent="0.3"/>
    <row r="17" spans="6:10" ht="27" thickBot="1" x14ac:dyDescent="0.45">
      <c r="F17" s="282" t="str">
        <f>IF(AND($B$10=$AC$4,$B$11=$AC$4),IF(J4=J5,"Phasengleich (Ohmsche Last)",IF(J4&gt;J5,"Spannung voreilend (Induktive Last)",IF(J4&lt;J5,"Strom voreilend (Kapazitive Last)","ERROR"))),"")</f>
        <v>Spannung voreilend (Induktive Last)</v>
      </c>
      <c r="G17" s="283"/>
      <c r="H17" s="283"/>
      <c r="I17" s="283"/>
      <c r="J17" s="284"/>
    </row>
  </sheetData>
  <dataValidations count="1">
    <dataValidation type="list" allowBlank="1" showInputMessage="1" showErrorMessage="1" sqref="B10:B13" xr:uid="{20FCF022-FBF5-47BC-A2B3-BAFD880D50E7}">
      <formula1>$AC$4:$AC$5</formula1>
    </dataValidation>
  </dataValidations>
  <pageMargins left="0.7" right="0.7" top="0.78740157499999996" bottom="0.78740157499999996" header="0.3" footer="0.3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1D6AE-9875-4C47-A8F2-B20D10B6BD57}">
  <dimension ref="C1:BS132"/>
  <sheetViews>
    <sheetView showGridLines="0" zoomScale="70" zoomScaleNormal="70" workbookViewId="0">
      <selection activeCell="BI52" sqref="BI52"/>
    </sheetView>
  </sheetViews>
  <sheetFormatPr baseColWidth="10" defaultRowHeight="15" x14ac:dyDescent="0.25"/>
  <cols>
    <col min="1" max="1" width="2.42578125" customWidth="1"/>
    <col min="2" max="3" width="16.140625" customWidth="1"/>
    <col min="4" max="4" width="23.85546875" customWidth="1"/>
    <col min="5" max="5" width="16.140625" customWidth="1"/>
    <col min="6" max="6" width="15.7109375" customWidth="1"/>
    <col min="7" max="7" width="27.28515625" customWidth="1"/>
    <col min="8" max="8" width="9.42578125" customWidth="1"/>
    <col min="9" max="9" width="9.5703125" customWidth="1"/>
    <col min="10" max="10" width="17.140625" customWidth="1"/>
    <col min="11" max="11" width="21.28515625" customWidth="1"/>
    <col min="12" max="12" width="11.7109375" customWidth="1"/>
    <col min="13" max="13" width="7.42578125" customWidth="1"/>
    <col min="14" max="46" width="2.140625" customWidth="1"/>
    <col min="47" max="49" width="4.7109375" customWidth="1"/>
    <col min="50" max="50" width="9.140625" customWidth="1"/>
    <col min="56" max="56" width="14.85546875" customWidth="1"/>
    <col min="57" max="57" width="14.5703125" customWidth="1"/>
    <col min="58" max="58" width="15.140625" customWidth="1"/>
  </cols>
  <sheetData>
    <row r="1" spans="3:71" ht="38.1" customHeight="1" x14ac:dyDescent="0.25"/>
    <row r="2" spans="3:71" ht="26.25" x14ac:dyDescent="0.4">
      <c r="F2" s="29" t="s">
        <v>311</v>
      </c>
      <c r="BC2" s="310" t="s">
        <v>612</v>
      </c>
      <c r="BD2" s="310"/>
    </row>
    <row r="3" spans="3:71" x14ac:dyDescent="0.25">
      <c r="L3" s="5" t="s">
        <v>64</v>
      </c>
      <c r="M3" s="5" t="s">
        <v>298</v>
      </c>
      <c r="BC3" s="77">
        <f>AZ10</f>
        <v>30</v>
      </c>
      <c r="BD3" s="77">
        <f>BC3</f>
        <v>30</v>
      </c>
    </row>
    <row r="4" spans="3:71" x14ac:dyDescent="0.25">
      <c r="L4" s="5" t="s">
        <v>65</v>
      </c>
      <c r="M4" s="5" t="s">
        <v>300</v>
      </c>
      <c r="BC4" s="212">
        <f>IF(MIN(AZ12:AZ17)&gt;0,0,MIN(AZ12:AZ17))</f>
        <v>0</v>
      </c>
      <c r="BD4" s="212">
        <f>IF(MAX(AZ12:AZ17) &lt; 0,0,MAX(AZ12:AZ17))</f>
        <v>1.9999999999999998</v>
      </c>
    </row>
    <row r="5" spans="3:71" x14ac:dyDescent="0.25">
      <c r="BC5" s="99"/>
      <c r="BD5" s="99"/>
    </row>
    <row r="6" spans="3:71" x14ac:dyDescent="0.25">
      <c r="BC6" s="99"/>
      <c r="BD6" s="99"/>
    </row>
    <row r="7" spans="3:71" x14ac:dyDescent="0.25">
      <c r="BC7" s="99"/>
      <c r="BD7" s="99"/>
    </row>
    <row r="9" spans="3:71" x14ac:dyDescent="0.25">
      <c r="C9" s="5"/>
      <c r="D9" s="5"/>
      <c r="E9" s="5"/>
      <c r="F9" s="5"/>
      <c r="G9" s="8" t="s">
        <v>313</v>
      </c>
      <c r="H9" s="4">
        <v>10</v>
      </c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Z9" s="5" t="s">
        <v>611</v>
      </c>
      <c r="BA9" s="5"/>
      <c r="BC9" s="5" t="s">
        <v>195</v>
      </c>
      <c r="BD9" s="5"/>
      <c r="BE9" s="5"/>
      <c r="BF9" s="5"/>
      <c r="BG9" s="5" t="s">
        <v>617</v>
      </c>
      <c r="BH9" s="5"/>
      <c r="BI9" s="5"/>
      <c r="BJ9" s="5"/>
      <c r="BK9" s="5" t="s">
        <v>230</v>
      </c>
      <c r="BL9" s="5"/>
      <c r="BM9" s="5"/>
      <c r="BN9" s="5"/>
      <c r="BO9" s="5"/>
      <c r="BP9" s="5"/>
      <c r="BQ9" s="5"/>
      <c r="BR9" s="5"/>
      <c r="BS9" s="5"/>
    </row>
    <row r="10" spans="3:71" ht="18" x14ac:dyDescent="0.35">
      <c r="C10" s="5" t="s">
        <v>613</v>
      </c>
      <c r="D10" s="5"/>
      <c r="E10" s="5"/>
      <c r="F10" s="8" t="s">
        <v>411</v>
      </c>
      <c r="G10" s="225" t="s">
        <v>298</v>
      </c>
      <c r="H10" s="225">
        <v>0</v>
      </c>
      <c r="I10" s="77">
        <f>H10+$H$9</f>
        <v>10</v>
      </c>
      <c r="J10" s="77">
        <f t="shared" ref="J10:AV10" si="0">I10+$H$9</f>
        <v>20</v>
      </c>
      <c r="K10" s="77">
        <f t="shared" si="0"/>
        <v>30</v>
      </c>
      <c r="L10" s="77">
        <f t="shared" si="0"/>
        <v>40</v>
      </c>
      <c r="M10" s="77">
        <f t="shared" si="0"/>
        <v>50</v>
      </c>
      <c r="N10" s="77">
        <f t="shared" si="0"/>
        <v>60</v>
      </c>
      <c r="O10" s="77">
        <f t="shared" si="0"/>
        <v>70</v>
      </c>
      <c r="P10" s="77">
        <f t="shared" si="0"/>
        <v>80</v>
      </c>
      <c r="Q10" s="77">
        <f t="shared" si="0"/>
        <v>90</v>
      </c>
      <c r="R10" s="77">
        <f t="shared" si="0"/>
        <v>100</v>
      </c>
      <c r="S10" s="77">
        <f t="shared" si="0"/>
        <v>110</v>
      </c>
      <c r="T10" s="77">
        <f t="shared" si="0"/>
        <v>120</v>
      </c>
      <c r="U10" s="77">
        <f t="shared" si="0"/>
        <v>130</v>
      </c>
      <c r="V10" s="77">
        <f t="shared" si="0"/>
        <v>140</v>
      </c>
      <c r="W10" s="77">
        <f t="shared" si="0"/>
        <v>150</v>
      </c>
      <c r="X10" s="77">
        <f t="shared" si="0"/>
        <v>160</v>
      </c>
      <c r="Y10" s="77">
        <f t="shared" si="0"/>
        <v>170</v>
      </c>
      <c r="Z10" s="77">
        <f t="shared" si="0"/>
        <v>180</v>
      </c>
      <c r="AA10" s="77">
        <f t="shared" si="0"/>
        <v>190</v>
      </c>
      <c r="AB10" s="77">
        <f t="shared" si="0"/>
        <v>200</v>
      </c>
      <c r="AC10" s="77">
        <f t="shared" si="0"/>
        <v>210</v>
      </c>
      <c r="AD10" s="77">
        <f t="shared" si="0"/>
        <v>220</v>
      </c>
      <c r="AE10" s="77">
        <f t="shared" si="0"/>
        <v>230</v>
      </c>
      <c r="AF10" s="77">
        <f t="shared" si="0"/>
        <v>240</v>
      </c>
      <c r="AG10" s="77">
        <f t="shared" si="0"/>
        <v>250</v>
      </c>
      <c r="AH10" s="77">
        <f t="shared" si="0"/>
        <v>260</v>
      </c>
      <c r="AI10" s="77">
        <f t="shared" si="0"/>
        <v>270</v>
      </c>
      <c r="AJ10" s="77">
        <f t="shared" si="0"/>
        <v>280</v>
      </c>
      <c r="AK10" s="77">
        <f t="shared" si="0"/>
        <v>290</v>
      </c>
      <c r="AL10" s="77">
        <f t="shared" si="0"/>
        <v>300</v>
      </c>
      <c r="AM10" s="77">
        <f t="shared" si="0"/>
        <v>310</v>
      </c>
      <c r="AN10" s="77">
        <f t="shared" si="0"/>
        <v>320</v>
      </c>
      <c r="AO10" s="77">
        <f t="shared" si="0"/>
        <v>330</v>
      </c>
      <c r="AP10" s="77">
        <f t="shared" si="0"/>
        <v>340</v>
      </c>
      <c r="AQ10" s="77">
        <f t="shared" si="0"/>
        <v>350</v>
      </c>
      <c r="AR10" s="77">
        <f t="shared" si="0"/>
        <v>360</v>
      </c>
      <c r="AS10" s="77">
        <f t="shared" si="0"/>
        <v>370</v>
      </c>
      <c r="AT10" s="77">
        <f t="shared" si="0"/>
        <v>380</v>
      </c>
      <c r="AU10" s="77">
        <f t="shared" si="0"/>
        <v>390</v>
      </c>
      <c r="AV10" s="77">
        <f t="shared" si="0"/>
        <v>400</v>
      </c>
      <c r="AZ10" s="4">
        <v>30</v>
      </c>
      <c r="BA10" s="113" t="s">
        <v>298</v>
      </c>
      <c r="BC10" s="5" t="s">
        <v>206</v>
      </c>
      <c r="BD10" s="5" t="s">
        <v>207</v>
      </c>
      <c r="BE10" s="8" t="s">
        <v>411</v>
      </c>
      <c r="BF10" s="8" t="s">
        <v>412</v>
      </c>
      <c r="BG10" s="95" t="s">
        <v>615</v>
      </c>
      <c r="BH10" s="95" t="s">
        <v>616</v>
      </c>
      <c r="BI10" s="95" t="s">
        <v>618</v>
      </c>
      <c r="BJ10" s="95" t="s">
        <v>227</v>
      </c>
      <c r="BK10" s="95" t="s">
        <v>619</v>
      </c>
      <c r="BL10" s="95" t="s">
        <v>615</v>
      </c>
      <c r="BM10" s="95" t="s">
        <v>616</v>
      </c>
      <c r="BN10" s="95" t="s">
        <v>620</v>
      </c>
      <c r="BO10" s="95" t="s">
        <v>621</v>
      </c>
      <c r="BP10" s="95" t="s">
        <v>618</v>
      </c>
      <c r="BQ10" s="95" t="s">
        <v>622</v>
      </c>
      <c r="BR10" s="95" t="s">
        <v>623</v>
      </c>
      <c r="BS10" s="95" t="s">
        <v>624</v>
      </c>
    </row>
    <row r="11" spans="3:71" x14ac:dyDescent="0.25">
      <c r="C11" s="5" t="s">
        <v>614</v>
      </c>
      <c r="D11" s="5" t="s">
        <v>625</v>
      </c>
      <c r="E11" s="5" t="s">
        <v>912</v>
      </c>
      <c r="F11" s="8" t="s">
        <v>411</v>
      </c>
      <c r="G11" s="8" t="s">
        <v>300</v>
      </c>
      <c r="H11" s="212">
        <f>IF($G$10=$M$3,H10*PI()/180,H10)</f>
        <v>0</v>
      </c>
      <c r="I11" s="212">
        <f t="shared" ref="I11:Q11" si="1">IF($G$10=$M$3,I10*PI()/180,I10)</f>
        <v>0.17453292519943295</v>
      </c>
      <c r="J11" s="212">
        <f t="shared" si="1"/>
        <v>0.3490658503988659</v>
      </c>
      <c r="K11" s="212">
        <f t="shared" si="1"/>
        <v>0.52359877559829882</v>
      </c>
      <c r="L11" s="212">
        <f t="shared" si="1"/>
        <v>0.69813170079773179</v>
      </c>
      <c r="M11" s="212">
        <f t="shared" si="1"/>
        <v>0.87266462599716477</v>
      </c>
      <c r="N11" s="212">
        <f t="shared" si="1"/>
        <v>1.0471975511965976</v>
      </c>
      <c r="O11" s="212">
        <f t="shared" si="1"/>
        <v>1.2217304763960306</v>
      </c>
      <c r="P11" s="212">
        <f t="shared" si="1"/>
        <v>1.3962634015954636</v>
      </c>
      <c r="Q11" s="212">
        <f t="shared" si="1"/>
        <v>1.5707963267948966</v>
      </c>
      <c r="R11" s="212">
        <f t="shared" ref="R11:AV11" si="2">IF($G$10=$M$3,R10*PI()/180,R10)</f>
        <v>1.7453292519943295</v>
      </c>
      <c r="S11" s="212">
        <f t="shared" si="2"/>
        <v>1.9198621771937625</v>
      </c>
      <c r="T11" s="212">
        <f t="shared" si="2"/>
        <v>2.0943951023931953</v>
      </c>
      <c r="U11" s="212">
        <f t="shared" si="2"/>
        <v>2.2689280275926285</v>
      </c>
      <c r="V11" s="212">
        <f t="shared" si="2"/>
        <v>2.4434609527920612</v>
      </c>
      <c r="W11" s="212">
        <f t="shared" si="2"/>
        <v>2.6179938779914944</v>
      </c>
      <c r="X11" s="212">
        <f t="shared" si="2"/>
        <v>2.7925268031909272</v>
      </c>
      <c r="Y11" s="212">
        <f t="shared" si="2"/>
        <v>2.9670597283903604</v>
      </c>
      <c r="Z11" s="212">
        <f t="shared" si="2"/>
        <v>3.1415926535897931</v>
      </c>
      <c r="AA11" s="212">
        <f t="shared" si="2"/>
        <v>3.3161255787892263</v>
      </c>
      <c r="AB11" s="212">
        <f t="shared" si="2"/>
        <v>3.4906585039886591</v>
      </c>
      <c r="AC11" s="212">
        <f t="shared" si="2"/>
        <v>3.6651914291880923</v>
      </c>
      <c r="AD11" s="212">
        <f t="shared" si="2"/>
        <v>3.839724354387525</v>
      </c>
      <c r="AE11" s="212">
        <f t="shared" si="2"/>
        <v>4.0142572795869578</v>
      </c>
      <c r="AF11" s="212">
        <f t="shared" si="2"/>
        <v>4.1887902047863905</v>
      </c>
      <c r="AG11" s="212">
        <f t="shared" si="2"/>
        <v>4.3633231299858233</v>
      </c>
      <c r="AH11" s="212">
        <f t="shared" si="2"/>
        <v>4.5378560551852569</v>
      </c>
      <c r="AI11" s="212">
        <f t="shared" si="2"/>
        <v>4.7123889803846897</v>
      </c>
      <c r="AJ11" s="212">
        <f t="shared" si="2"/>
        <v>4.8869219055841224</v>
      </c>
      <c r="AK11" s="212">
        <f t="shared" si="2"/>
        <v>5.0614548307835552</v>
      </c>
      <c r="AL11" s="212">
        <f t="shared" si="2"/>
        <v>5.2359877559829888</v>
      </c>
      <c r="AM11" s="212">
        <f t="shared" si="2"/>
        <v>5.4105206811824216</v>
      </c>
      <c r="AN11" s="212">
        <f t="shared" si="2"/>
        <v>5.5850536063818543</v>
      </c>
      <c r="AO11" s="212">
        <f t="shared" si="2"/>
        <v>5.7595865315812871</v>
      </c>
      <c r="AP11" s="212">
        <f t="shared" si="2"/>
        <v>5.9341194567807207</v>
      </c>
      <c r="AQ11" s="212">
        <f t="shared" si="2"/>
        <v>6.1086523819801526</v>
      </c>
      <c r="AR11" s="212">
        <f t="shared" si="2"/>
        <v>6.2831853071795862</v>
      </c>
      <c r="AS11" s="212">
        <f t="shared" si="2"/>
        <v>6.457718232379019</v>
      </c>
      <c r="AT11" s="212">
        <f t="shared" si="2"/>
        <v>6.6322511575784526</v>
      </c>
      <c r="AU11" s="212">
        <f t="shared" si="2"/>
        <v>6.8067840827778845</v>
      </c>
      <c r="AV11" s="212">
        <f t="shared" si="2"/>
        <v>6.9813170079773181</v>
      </c>
      <c r="AW11" s="99"/>
      <c r="AX11" s="1" t="s">
        <v>628</v>
      </c>
      <c r="AZ11" s="309">
        <f>IF($BA$10=$M$3,AZ10*PI()/180,H10)</f>
        <v>0.52359877559829882</v>
      </c>
      <c r="BA11" s="5" t="str">
        <f>M4</f>
        <v>[rad]</v>
      </c>
      <c r="BC11" s="5"/>
      <c r="BD11" s="5"/>
      <c r="BE11" s="5"/>
      <c r="BF11" s="5"/>
      <c r="BG11" s="5"/>
      <c r="BH11" s="5"/>
      <c r="BI11" s="5"/>
      <c r="BJ11" s="5"/>
      <c r="BK11" s="77" cm="1">
        <f t="array" ref="BK11">MAX(ABS(BC12:BC16))</f>
        <v>4</v>
      </c>
      <c r="BL11" s="77">
        <v>0</v>
      </c>
      <c r="BM11" s="77">
        <f>BK11</f>
        <v>4</v>
      </c>
      <c r="BN11" s="77">
        <v>0</v>
      </c>
      <c r="BO11" s="77">
        <f>-BK11</f>
        <v>-4</v>
      </c>
      <c r="BP11" s="77">
        <f>BM11</f>
        <v>4</v>
      </c>
      <c r="BQ11" s="77">
        <v>0</v>
      </c>
      <c r="BR11" s="77">
        <f>BO11</f>
        <v>-4</v>
      </c>
      <c r="BS11" s="77">
        <v>0</v>
      </c>
    </row>
    <row r="12" spans="3:71" ht="18.75" x14ac:dyDescent="0.3">
      <c r="C12" s="4">
        <v>4</v>
      </c>
      <c r="D12" s="4">
        <v>0</v>
      </c>
      <c r="E12" s="104"/>
      <c r="F12" s="279" t="s">
        <v>312</v>
      </c>
      <c r="G12" s="279" t="str">
        <f>_xlfn.CONCAT(C12, IF(D12=0," * sin(x) =",IF(D12&lt;0,_xlfn.CONCAT(" * sin(x - ",ABS(D12),") ="),_xlfn.CONCAT(" * sin(x + ",D12,") ="))))</f>
        <v>4 * sin(x) =</v>
      </c>
      <c r="H12" s="212">
        <f>IF($AX$12=$L$3,$C$12*SIN(H11+RADIANS($D$12)),0)</f>
        <v>0</v>
      </c>
      <c r="I12" s="212">
        <f t="shared" ref="I12:AV12" si="3">IF($AX$12=$L$3,$C$12*SIN(I11+RADIANS($D$12)),0)</f>
        <v>0.69459271066772132</v>
      </c>
      <c r="J12" s="212">
        <f t="shared" si="3"/>
        <v>1.3680805733026749</v>
      </c>
      <c r="K12" s="212">
        <f t="shared" si="3"/>
        <v>1.9999999999999998</v>
      </c>
      <c r="L12" s="212">
        <f t="shared" si="3"/>
        <v>2.571150438746157</v>
      </c>
      <c r="M12" s="212">
        <f t="shared" si="3"/>
        <v>3.0641777724759121</v>
      </c>
      <c r="N12" s="212">
        <f t="shared" si="3"/>
        <v>3.4641016151377544</v>
      </c>
      <c r="O12" s="212">
        <f t="shared" si="3"/>
        <v>3.7587704831436333</v>
      </c>
      <c r="P12" s="212">
        <f t="shared" si="3"/>
        <v>3.9392310120488321</v>
      </c>
      <c r="Q12" s="212">
        <f t="shared" si="3"/>
        <v>4</v>
      </c>
      <c r="R12" s="212">
        <f t="shared" si="3"/>
        <v>3.9392310120488321</v>
      </c>
      <c r="S12" s="212">
        <f t="shared" si="3"/>
        <v>3.7587704831436337</v>
      </c>
      <c r="T12" s="212">
        <f t="shared" si="3"/>
        <v>3.4641016151377548</v>
      </c>
      <c r="U12" s="212">
        <f t="shared" si="3"/>
        <v>3.0641777724759121</v>
      </c>
      <c r="V12" s="212">
        <f t="shared" si="3"/>
        <v>2.5711504387461579</v>
      </c>
      <c r="W12" s="212">
        <f t="shared" si="3"/>
        <v>1.9999999999999998</v>
      </c>
      <c r="X12" s="212">
        <f t="shared" si="3"/>
        <v>1.3680805733026755</v>
      </c>
      <c r="Y12" s="212">
        <f t="shared" si="3"/>
        <v>0.6945927106677211</v>
      </c>
      <c r="Z12" s="212">
        <f t="shared" si="3"/>
        <v>4.90059381963448E-16</v>
      </c>
      <c r="AA12" s="212">
        <f t="shared" si="3"/>
        <v>-0.69459271066772188</v>
      </c>
      <c r="AB12" s="212">
        <f t="shared" si="3"/>
        <v>-1.3680805733026746</v>
      </c>
      <c r="AC12" s="212">
        <f t="shared" si="3"/>
        <v>-2.0000000000000004</v>
      </c>
      <c r="AD12" s="212">
        <f t="shared" si="3"/>
        <v>-2.571150438746157</v>
      </c>
      <c r="AE12" s="212">
        <f t="shared" si="3"/>
        <v>-3.0641777724759116</v>
      </c>
      <c r="AF12" s="212">
        <f t="shared" si="3"/>
        <v>-3.4641016151377535</v>
      </c>
      <c r="AG12" s="212">
        <f t="shared" si="3"/>
        <v>-3.7587704831436328</v>
      </c>
      <c r="AH12" s="212">
        <f t="shared" si="3"/>
        <v>-3.9392310120488321</v>
      </c>
      <c r="AI12" s="212">
        <f t="shared" si="3"/>
        <v>-4</v>
      </c>
      <c r="AJ12" s="212">
        <f t="shared" si="3"/>
        <v>-3.9392310120488325</v>
      </c>
      <c r="AK12" s="212">
        <f t="shared" si="3"/>
        <v>-3.7587704831436342</v>
      </c>
      <c r="AL12" s="212">
        <f t="shared" si="3"/>
        <v>-3.4641016151377544</v>
      </c>
      <c r="AM12" s="212">
        <f t="shared" si="3"/>
        <v>-3.0641777724759125</v>
      </c>
      <c r="AN12" s="212">
        <f t="shared" si="3"/>
        <v>-2.5711504387461583</v>
      </c>
      <c r="AO12" s="212">
        <f t="shared" si="3"/>
        <v>-2.0000000000000018</v>
      </c>
      <c r="AP12" s="212">
        <f t="shared" si="3"/>
        <v>-1.3680805733026744</v>
      </c>
      <c r="AQ12" s="212">
        <f t="shared" si="3"/>
        <v>-0.6945927106677251</v>
      </c>
      <c r="AR12" s="212">
        <f t="shared" si="3"/>
        <v>-9.8011876392689601E-16</v>
      </c>
      <c r="AS12" s="212">
        <f t="shared" si="3"/>
        <v>0.69459271066771966</v>
      </c>
      <c r="AT12" s="212">
        <f t="shared" si="3"/>
        <v>1.3680805733026757</v>
      </c>
      <c r="AU12" s="212">
        <f t="shared" si="3"/>
        <v>1.9999999999999971</v>
      </c>
      <c r="AV12" s="212">
        <f t="shared" si="3"/>
        <v>2.5711504387461566</v>
      </c>
      <c r="AW12" s="99"/>
      <c r="AX12" s="318" t="s">
        <v>64</v>
      </c>
      <c r="AZ12" s="212">
        <f>IF($AX$12=$L$3,$C$12 * SIN(AZ11 + RADIANS($D$12)),0)</f>
        <v>1.9999999999999998</v>
      </c>
      <c r="BA12" s="5"/>
      <c r="BC12" s="77">
        <f>IF($AX$12=$L$3,$C12,0)</f>
        <v>4</v>
      </c>
      <c r="BD12" s="77">
        <f>$AZ$10+$D$12</f>
        <v>30</v>
      </c>
      <c r="BE12" s="311">
        <f>BC12*COS(RADIANS(BD12))</f>
        <v>3.4641016151377548</v>
      </c>
      <c r="BF12" s="311">
        <f>BC12*SIN(RADIANS(BD12))</f>
        <v>1.9999999999999998</v>
      </c>
      <c r="BG12" s="311">
        <v>0</v>
      </c>
      <c r="BH12" s="311">
        <f>BE12</f>
        <v>3.4641016151377548</v>
      </c>
      <c r="BI12" s="311">
        <v>0</v>
      </c>
      <c r="BJ12" s="311">
        <f>BF12</f>
        <v>1.9999999999999998</v>
      </c>
    </row>
    <row r="13" spans="3:71" ht="18.75" x14ac:dyDescent="0.3">
      <c r="C13" s="4">
        <v>4</v>
      </c>
      <c r="D13" s="4">
        <v>-90</v>
      </c>
      <c r="E13" s="104"/>
      <c r="F13" s="317" t="s">
        <v>315</v>
      </c>
      <c r="G13" s="317" t="str">
        <f>_xlfn.CONCAT(C13, IF(D13=0," * cos(x) =",IF(D13&lt;0,_xlfn.CONCAT(" * cos(x - ",ABS(D13),") ="),_xlfn.CONCAT(" * cos(x + ",D13,") ="))))</f>
        <v>4 * cos(x - 90) =</v>
      </c>
      <c r="H13" s="212">
        <f t="shared" ref="H13:AV13" si="4">IF($AX$13=$L$3,$C$13*COS(H11+RADIANS($D$13)),0)</f>
        <v>0</v>
      </c>
      <c r="I13" s="212">
        <f t="shared" si="4"/>
        <v>0</v>
      </c>
      <c r="J13" s="212">
        <f t="shared" si="4"/>
        <v>0</v>
      </c>
      <c r="K13" s="212">
        <f t="shared" si="4"/>
        <v>0</v>
      </c>
      <c r="L13" s="212">
        <f t="shared" si="4"/>
        <v>0</v>
      </c>
      <c r="M13" s="212">
        <f t="shared" si="4"/>
        <v>0</v>
      </c>
      <c r="N13" s="212">
        <f t="shared" si="4"/>
        <v>0</v>
      </c>
      <c r="O13" s="212">
        <f t="shared" si="4"/>
        <v>0</v>
      </c>
      <c r="P13" s="212">
        <f t="shared" si="4"/>
        <v>0</v>
      </c>
      <c r="Q13" s="212">
        <f t="shared" si="4"/>
        <v>0</v>
      </c>
      <c r="R13" s="212">
        <f t="shared" si="4"/>
        <v>0</v>
      </c>
      <c r="S13" s="212">
        <f t="shared" si="4"/>
        <v>0</v>
      </c>
      <c r="T13" s="212">
        <f t="shared" si="4"/>
        <v>0</v>
      </c>
      <c r="U13" s="212">
        <f t="shared" si="4"/>
        <v>0</v>
      </c>
      <c r="V13" s="212">
        <f t="shared" si="4"/>
        <v>0</v>
      </c>
      <c r="W13" s="212">
        <f t="shared" si="4"/>
        <v>0</v>
      </c>
      <c r="X13" s="212">
        <f t="shared" si="4"/>
        <v>0</v>
      </c>
      <c r="Y13" s="212">
        <f t="shared" si="4"/>
        <v>0</v>
      </c>
      <c r="Z13" s="212">
        <f t="shared" si="4"/>
        <v>0</v>
      </c>
      <c r="AA13" s="212">
        <f t="shared" si="4"/>
        <v>0</v>
      </c>
      <c r="AB13" s="212">
        <f t="shared" si="4"/>
        <v>0</v>
      </c>
      <c r="AC13" s="212">
        <f t="shared" si="4"/>
        <v>0</v>
      </c>
      <c r="AD13" s="212">
        <f t="shared" si="4"/>
        <v>0</v>
      </c>
      <c r="AE13" s="212">
        <f t="shared" si="4"/>
        <v>0</v>
      </c>
      <c r="AF13" s="212">
        <f t="shared" si="4"/>
        <v>0</v>
      </c>
      <c r="AG13" s="212">
        <f t="shared" si="4"/>
        <v>0</v>
      </c>
      <c r="AH13" s="212">
        <f t="shared" si="4"/>
        <v>0</v>
      </c>
      <c r="AI13" s="212">
        <f t="shared" si="4"/>
        <v>0</v>
      </c>
      <c r="AJ13" s="212">
        <f t="shared" si="4"/>
        <v>0</v>
      </c>
      <c r="AK13" s="212">
        <f t="shared" si="4"/>
        <v>0</v>
      </c>
      <c r="AL13" s="212">
        <f t="shared" si="4"/>
        <v>0</v>
      </c>
      <c r="AM13" s="212">
        <f t="shared" si="4"/>
        <v>0</v>
      </c>
      <c r="AN13" s="212">
        <f t="shared" si="4"/>
        <v>0</v>
      </c>
      <c r="AO13" s="212">
        <f t="shared" si="4"/>
        <v>0</v>
      </c>
      <c r="AP13" s="212">
        <f t="shared" si="4"/>
        <v>0</v>
      </c>
      <c r="AQ13" s="212">
        <f t="shared" si="4"/>
        <v>0</v>
      </c>
      <c r="AR13" s="212">
        <f t="shared" si="4"/>
        <v>0</v>
      </c>
      <c r="AS13" s="212">
        <f t="shared" si="4"/>
        <v>0</v>
      </c>
      <c r="AT13" s="212">
        <f t="shared" si="4"/>
        <v>0</v>
      </c>
      <c r="AU13" s="212">
        <f t="shared" si="4"/>
        <v>0</v>
      </c>
      <c r="AV13" s="212">
        <f t="shared" si="4"/>
        <v>0</v>
      </c>
      <c r="AW13" s="99"/>
      <c r="AX13" s="318" t="s">
        <v>65</v>
      </c>
      <c r="AZ13" s="212">
        <f>IF($AX$13=$L$3,$C$13 * COS(AZ11+RADIANS(D13)),0)</f>
        <v>0</v>
      </c>
      <c r="BA13" s="5"/>
      <c r="BC13" s="77">
        <f>IF($AX$13=$L$3,$C13,0)</f>
        <v>0</v>
      </c>
      <c r="BD13" s="77">
        <f>$AZ$10+90+$D$13</f>
        <v>30</v>
      </c>
      <c r="BE13" s="311">
        <f>BC13*COS(RADIANS(BD13))</f>
        <v>0</v>
      </c>
      <c r="BF13" s="311">
        <f>BC13*SIN(RADIANS(BD13))</f>
        <v>0</v>
      </c>
      <c r="BG13" s="311">
        <v>0</v>
      </c>
      <c r="BH13" s="311">
        <f>BE13</f>
        <v>0</v>
      </c>
      <c r="BI13" s="311">
        <v>0</v>
      </c>
      <c r="BJ13" s="311">
        <f>BF13</f>
        <v>0</v>
      </c>
    </row>
    <row r="14" spans="3:71" ht="18.75" x14ac:dyDescent="0.3">
      <c r="F14" s="316"/>
      <c r="G14" s="316"/>
      <c r="H14" s="99"/>
      <c r="I14" s="99"/>
      <c r="J14" s="99"/>
      <c r="K14" s="99"/>
      <c r="L14" s="99"/>
      <c r="M14" s="99"/>
      <c r="N14" s="99"/>
      <c r="O14" s="99"/>
      <c r="P14" s="99"/>
      <c r="Q14" s="99"/>
      <c r="R14" s="99"/>
      <c r="S14" s="99"/>
      <c r="T14" s="99"/>
      <c r="U14" s="99"/>
      <c r="V14" s="99"/>
      <c r="W14" s="99"/>
      <c r="X14" s="99"/>
      <c r="Y14" s="99"/>
      <c r="Z14" s="99"/>
      <c r="AA14" s="99"/>
      <c r="AB14" s="99"/>
      <c r="AC14" s="99"/>
      <c r="AD14" s="99"/>
      <c r="AE14" s="99"/>
      <c r="AF14" s="99"/>
      <c r="AG14" s="99"/>
      <c r="AH14" s="99"/>
      <c r="AI14" s="99"/>
      <c r="AJ14" s="99"/>
      <c r="AK14" s="99"/>
      <c r="AL14" s="99"/>
      <c r="AM14" s="99"/>
      <c r="AN14" s="99"/>
      <c r="AO14" s="99"/>
      <c r="AP14" s="99"/>
      <c r="AQ14" s="99"/>
      <c r="AR14" s="99"/>
      <c r="AS14" s="99"/>
      <c r="AT14" s="99"/>
      <c r="AU14" s="99"/>
      <c r="AV14" s="99"/>
      <c r="AW14" s="99"/>
      <c r="AX14" s="99"/>
      <c r="AZ14" s="99"/>
      <c r="BE14" s="313"/>
      <c r="BF14" s="313"/>
      <c r="BG14" s="313"/>
      <c r="BH14" s="313"/>
      <c r="BI14" s="313"/>
      <c r="BJ14" s="313"/>
    </row>
    <row r="15" spans="3:71" ht="18.75" x14ac:dyDescent="0.3">
      <c r="D15" s="1"/>
      <c r="E15" s="1"/>
      <c r="F15" s="316"/>
      <c r="G15" s="316"/>
      <c r="H15" s="99"/>
      <c r="I15" s="99"/>
      <c r="J15" s="99"/>
      <c r="K15" s="99"/>
      <c r="L15" s="99"/>
      <c r="M15" s="99"/>
      <c r="N15" s="99"/>
      <c r="O15" s="99"/>
      <c r="P15" s="99"/>
      <c r="Q15" s="99"/>
      <c r="R15" s="99"/>
      <c r="S15" s="99"/>
      <c r="T15" s="99"/>
      <c r="U15" s="99"/>
      <c r="V15" s="99"/>
      <c r="W15" s="99"/>
      <c r="X15" s="99"/>
      <c r="Y15" s="99"/>
      <c r="Z15" s="99"/>
      <c r="AA15" s="99"/>
      <c r="AB15" s="99"/>
      <c r="AC15" s="99"/>
      <c r="AD15" s="99"/>
      <c r="AE15" s="99"/>
      <c r="AF15" s="99"/>
      <c r="AG15" s="99"/>
      <c r="AH15" s="99"/>
      <c r="AI15" s="99"/>
      <c r="AJ15" s="99"/>
      <c r="AK15" s="99"/>
      <c r="AL15" s="99"/>
      <c r="AM15" s="99"/>
      <c r="AN15" s="99"/>
      <c r="AO15" s="99"/>
      <c r="AP15" s="99"/>
      <c r="AQ15" s="99"/>
      <c r="AR15" s="99"/>
      <c r="AS15" s="99"/>
      <c r="AT15" s="99"/>
      <c r="AU15" s="99"/>
      <c r="AV15" s="99"/>
      <c r="AW15" s="99"/>
      <c r="AX15" s="99"/>
      <c r="AZ15" s="99"/>
      <c r="BE15" s="313"/>
      <c r="BF15" s="313"/>
      <c r="BG15" s="313"/>
      <c r="BH15" s="313"/>
      <c r="BI15" s="313"/>
      <c r="BJ15" s="313"/>
      <c r="BK15" s="5" t="s">
        <v>633</v>
      </c>
      <c r="BL15" s="5"/>
      <c r="BM15" s="5"/>
      <c r="BN15" s="5"/>
      <c r="BO15" s="5" t="s">
        <v>634</v>
      </c>
      <c r="BP15" s="5"/>
      <c r="BQ15" s="5"/>
      <c r="BR15" s="5"/>
    </row>
    <row r="16" spans="3:71" ht="18.75" x14ac:dyDescent="0.3">
      <c r="D16" s="321"/>
      <c r="E16" s="104"/>
      <c r="F16" s="319" t="s">
        <v>631</v>
      </c>
      <c r="G16" s="319" t="s">
        <v>627</v>
      </c>
      <c r="H16" s="212">
        <f>IF($AX$16=$L$3,H12+H13,0)</f>
        <v>0</v>
      </c>
      <c r="I16" s="212">
        <f t="shared" ref="I16:AV16" si="5">IF($AX$16=$L$3,I12+I13,0)</f>
        <v>0</v>
      </c>
      <c r="J16" s="212">
        <f t="shared" si="5"/>
        <v>0</v>
      </c>
      <c r="K16" s="212">
        <f t="shared" si="5"/>
        <v>0</v>
      </c>
      <c r="L16" s="212">
        <f t="shared" si="5"/>
        <v>0</v>
      </c>
      <c r="M16" s="212">
        <f t="shared" si="5"/>
        <v>0</v>
      </c>
      <c r="N16" s="212">
        <f t="shared" si="5"/>
        <v>0</v>
      </c>
      <c r="O16" s="212">
        <f t="shared" si="5"/>
        <v>0</v>
      </c>
      <c r="P16" s="212">
        <f t="shared" si="5"/>
        <v>0</v>
      </c>
      <c r="Q16" s="212">
        <f t="shared" si="5"/>
        <v>0</v>
      </c>
      <c r="R16" s="212">
        <f t="shared" si="5"/>
        <v>0</v>
      </c>
      <c r="S16" s="212">
        <f t="shared" si="5"/>
        <v>0</v>
      </c>
      <c r="T16" s="212">
        <f t="shared" si="5"/>
        <v>0</v>
      </c>
      <c r="U16" s="212">
        <f t="shared" si="5"/>
        <v>0</v>
      </c>
      <c r="V16" s="212">
        <f t="shared" si="5"/>
        <v>0</v>
      </c>
      <c r="W16" s="212">
        <f t="shared" si="5"/>
        <v>0</v>
      </c>
      <c r="X16" s="212">
        <f t="shared" si="5"/>
        <v>0</v>
      </c>
      <c r="Y16" s="212">
        <f t="shared" si="5"/>
        <v>0</v>
      </c>
      <c r="Z16" s="212">
        <f t="shared" si="5"/>
        <v>0</v>
      </c>
      <c r="AA16" s="212">
        <f t="shared" si="5"/>
        <v>0</v>
      </c>
      <c r="AB16" s="212">
        <f t="shared" si="5"/>
        <v>0</v>
      </c>
      <c r="AC16" s="212">
        <f t="shared" si="5"/>
        <v>0</v>
      </c>
      <c r="AD16" s="212">
        <f t="shared" si="5"/>
        <v>0</v>
      </c>
      <c r="AE16" s="212">
        <f t="shared" si="5"/>
        <v>0</v>
      </c>
      <c r="AF16" s="212">
        <f t="shared" si="5"/>
        <v>0</v>
      </c>
      <c r="AG16" s="212">
        <f t="shared" si="5"/>
        <v>0</v>
      </c>
      <c r="AH16" s="212">
        <f t="shared" si="5"/>
        <v>0</v>
      </c>
      <c r="AI16" s="212">
        <f t="shared" si="5"/>
        <v>0</v>
      </c>
      <c r="AJ16" s="212">
        <f t="shared" si="5"/>
        <v>0</v>
      </c>
      <c r="AK16" s="212">
        <f t="shared" si="5"/>
        <v>0</v>
      </c>
      <c r="AL16" s="212">
        <f t="shared" si="5"/>
        <v>0</v>
      </c>
      <c r="AM16" s="212">
        <f t="shared" si="5"/>
        <v>0</v>
      </c>
      <c r="AN16" s="212">
        <f t="shared" si="5"/>
        <v>0</v>
      </c>
      <c r="AO16" s="212">
        <f t="shared" si="5"/>
        <v>0</v>
      </c>
      <c r="AP16" s="212">
        <f t="shared" si="5"/>
        <v>0</v>
      </c>
      <c r="AQ16" s="212">
        <f t="shared" si="5"/>
        <v>0</v>
      </c>
      <c r="AR16" s="212">
        <f t="shared" si="5"/>
        <v>0</v>
      </c>
      <c r="AS16" s="212">
        <f t="shared" si="5"/>
        <v>0</v>
      </c>
      <c r="AT16" s="212">
        <f t="shared" si="5"/>
        <v>0</v>
      </c>
      <c r="AU16" s="212">
        <f t="shared" si="5"/>
        <v>0</v>
      </c>
      <c r="AV16" s="212">
        <f t="shared" si="5"/>
        <v>0</v>
      </c>
      <c r="AW16" s="99"/>
      <c r="AX16" s="318" t="s">
        <v>65</v>
      </c>
      <c r="AZ16" s="212">
        <f>IF($AX$16=$L$3,AZ12+AZ13,0)</f>
        <v>0</v>
      </c>
      <c r="BC16" s="311">
        <f>SQRT(BE16^2+BF16^2)</f>
        <v>0</v>
      </c>
      <c r="BD16" s="311">
        <f>IF($AX$16=$L$3,DEGREES(ATAN2(BE16,BF16)),0)</f>
        <v>0</v>
      </c>
      <c r="BE16" s="311">
        <f>IF($AX$16=$L$3,BE12+BE13,0)</f>
        <v>0</v>
      </c>
      <c r="BF16" s="311">
        <f>IF($AX$16=$L$3,BF12+BF13,0)</f>
        <v>0</v>
      </c>
      <c r="BG16" s="311">
        <v>0</v>
      </c>
      <c r="BH16" s="311">
        <f>BE16</f>
        <v>0</v>
      </c>
      <c r="BI16" s="311">
        <v>0</v>
      </c>
      <c r="BJ16" s="322">
        <f>BF16</f>
        <v>0</v>
      </c>
      <c r="BK16" s="311">
        <f>IF($AX$16=$L$3,BE13,0)</f>
        <v>0</v>
      </c>
      <c r="BL16" s="311">
        <f>BE16</f>
        <v>0</v>
      </c>
      <c r="BM16" s="311">
        <f>IF($AX$16=$L$3,BF13,0)</f>
        <v>0</v>
      </c>
      <c r="BN16" s="311">
        <f>BF16</f>
        <v>0</v>
      </c>
      <c r="BO16" s="311">
        <f>BE12</f>
        <v>3.4641016151377548</v>
      </c>
      <c r="BP16" s="311">
        <f>BL16</f>
        <v>0</v>
      </c>
      <c r="BQ16" s="311">
        <f>IF($AX$16=$L$3,BF12,0)</f>
        <v>0</v>
      </c>
      <c r="BR16" s="311">
        <f>BN16</f>
        <v>0</v>
      </c>
    </row>
    <row r="17" spans="4:62" ht="18.75" x14ac:dyDescent="0.3">
      <c r="D17" s="321"/>
      <c r="E17" s="104"/>
      <c r="F17" s="320" t="s">
        <v>631</v>
      </c>
      <c r="G17" s="320" t="s">
        <v>632</v>
      </c>
      <c r="H17" s="212">
        <f>IF($AX$17=$L$3,H12*H13,0)</f>
        <v>0</v>
      </c>
      <c r="I17" s="212">
        <f t="shared" ref="I17:AV17" si="6">IF($AX$17=$L$3,I12*I13,0)</f>
        <v>0</v>
      </c>
      <c r="J17" s="212">
        <f t="shared" si="6"/>
        <v>0</v>
      </c>
      <c r="K17" s="212">
        <f t="shared" si="6"/>
        <v>0</v>
      </c>
      <c r="L17" s="212">
        <f t="shared" si="6"/>
        <v>0</v>
      </c>
      <c r="M17" s="212">
        <f t="shared" si="6"/>
        <v>0</v>
      </c>
      <c r="N17" s="212">
        <f t="shared" si="6"/>
        <v>0</v>
      </c>
      <c r="O17" s="212">
        <f t="shared" si="6"/>
        <v>0</v>
      </c>
      <c r="P17" s="212">
        <f t="shared" si="6"/>
        <v>0</v>
      </c>
      <c r="Q17" s="212">
        <f t="shared" si="6"/>
        <v>0</v>
      </c>
      <c r="R17" s="212">
        <f t="shared" si="6"/>
        <v>0</v>
      </c>
      <c r="S17" s="212">
        <f t="shared" si="6"/>
        <v>0</v>
      </c>
      <c r="T17" s="212">
        <f t="shared" si="6"/>
        <v>0</v>
      </c>
      <c r="U17" s="212">
        <f t="shared" si="6"/>
        <v>0</v>
      </c>
      <c r="V17" s="212">
        <f t="shared" si="6"/>
        <v>0</v>
      </c>
      <c r="W17" s="212">
        <f t="shared" si="6"/>
        <v>0</v>
      </c>
      <c r="X17" s="212">
        <f t="shared" si="6"/>
        <v>0</v>
      </c>
      <c r="Y17" s="212">
        <f t="shared" si="6"/>
        <v>0</v>
      </c>
      <c r="Z17" s="212">
        <f t="shared" si="6"/>
        <v>0</v>
      </c>
      <c r="AA17" s="212">
        <f t="shared" si="6"/>
        <v>0</v>
      </c>
      <c r="AB17" s="212">
        <f t="shared" si="6"/>
        <v>0</v>
      </c>
      <c r="AC17" s="212">
        <f t="shared" si="6"/>
        <v>0</v>
      </c>
      <c r="AD17" s="212">
        <f t="shared" si="6"/>
        <v>0</v>
      </c>
      <c r="AE17" s="212">
        <f t="shared" si="6"/>
        <v>0</v>
      </c>
      <c r="AF17" s="212">
        <f t="shared" si="6"/>
        <v>0</v>
      </c>
      <c r="AG17" s="212">
        <f t="shared" si="6"/>
        <v>0</v>
      </c>
      <c r="AH17" s="212">
        <f t="shared" si="6"/>
        <v>0</v>
      </c>
      <c r="AI17" s="212">
        <f t="shared" si="6"/>
        <v>0</v>
      </c>
      <c r="AJ17" s="212">
        <f t="shared" si="6"/>
        <v>0</v>
      </c>
      <c r="AK17" s="212">
        <f t="shared" si="6"/>
        <v>0</v>
      </c>
      <c r="AL17" s="212">
        <f t="shared" si="6"/>
        <v>0</v>
      </c>
      <c r="AM17" s="212">
        <f t="shared" si="6"/>
        <v>0</v>
      </c>
      <c r="AN17" s="212">
        <f t="shared" si="6"/>
        <v>0</v>
      </c>
      <c r="AO17" s="212">
        <f t="shared" si="6"/>
        <v>0</v>
      </c>
      <c r="AP17" s="212">
        <f t="shared" si="6"/>
        <v>0</v>
      </c>
      <c r="AQ17" s="212">
        <f t="shared" si="6"/>
        <v>0</v>
      </c>
      <c r="AR17" s="212">
        <f t="shared" si="6"/>
        <v>0</v>
      </c>
      <c r="AS17" s="212">
        <f t="shared" si="6"/>
        <v>0</v>
      </c>
      <c r="AT17" s="212">
        <f t="shared" si="6"/>
        <v>0</v>
      </c>
      <c r="AU17" s="212">
        <f t="shared" si="6"/>
        <v>0</v>
      </c>
      <c r="AV17" s="212">
        <f t="shared" si="6"/>
        <v>0</v>
      </c>
      <c r="AW17" s="99"/>
      <c r="AX17" s="318" t="s">
        <v>65</v>
      </c>
      <c r="AZ17" s="212">
        <f>IF($AX$17=$L$3,AZ12*AZ13,0)</f>
        <v>0</v>
      </c>
      <c r="BE17" s="313"/>
      <c r="BF17" s="313"/>
      <c r="BG17" s="313"/>
      <c r="BH17" s="313"/>
      <c r="BI17" s="313"/>
      <c r="BJ17" s="313"/>
    </row>
    <row r="18" spans="4:62" x14ac:dyDescent="0.25">
      <c r="F18" s="314"/>
      <c r="G18" s="315"/>
      <c r="H18" s="99"/>
      <c r="I18" s="99"/>
      <c r="J18" s="99"/>
      <c r="K18" s="99"/>
      <c r="L18" s="99"/>
      <c r="M18" s="99"/>
      <c r="N18" s="99"/>
      <c r="O18" s="99"/>
      <c r="P18" s="99"/>
      <c r="Q18" s="99"/>
      <c r="R18" s="99"/>
      <c r="S18" s="99"/>
      <c r="T18" s="99"/>
      <c r="U18" s="99"/>
      <c r="V18" s="99"/>
      <c r="W18" s="99"/>
      <c r="X18" s="99"/>
      <c r="Y18" s="99"/>
      <c r="Z18" s="99"/>
      <c r="AA18" s="99"/>
      <c r="AB18" s="99"/>
      <c r="AC18" s="99"/>
      <c r="AD18" s="99"/>
      <c r="AE18" s="99"/>
      <c r="AF18" s="99"/>
      <c r="AG18" s="99"/>
      <c r="AH18" s="99"/>
      <c r="AI18" s="99"/>
      <c r="AJ18" s="99"/>
      <c r="AK18" s="99"/>
      <c r="AL18" s="99"/>
      <c r="AM18" s="99"/>
      <c r="AN18" s="99"/>
      <c r="AO18" s="99"/>
      <c r="AP18" s="99"/>
      <c r="AQ18" s="99"/>
      <c r="AR18" s="99"/>
      <c r="AS18" s="99"/>
      <c r="AT18" s="99"/>
      <c r="AU18" s="99"/>
      <c r="AV18" s="99"/>
      <c r="AW18" s="99"/>
      <c r="AX18" s="99"/>
      <c r="AZ18" s="99"/>
      <c r="BE18" s="313"/>
      <c r="BF18" s="313"/>
      <c r="BG18" s="313"/>
      <c r="BH18" s="313"/>
      <c r="BI18" s="313"/>
      <c r="BJ18" s="313"/>
    </row>
    <row r="61" spans="6:50" ht="18.75" x14ac:dyDescent="0.3">
      <c r="F61" s="273" t="s">
        <v>629</v>
      </c>
      <c r="G61" s="273" t="s">
        <v>314</v>
      </c>
      <c r="H61" s="212">
        <f t="shared" ref="H61:AV61" si="7">IF(ABS(TAN(H11))&gt;10,0,TAN(H11))</f>
        <v>0</v>
      </c>
      <c r="I61" s="212">
        <f t="shared" si="7"/>
        <v>0.17632698070846498</v>
      </c>
      <c r="J61" s="212">
        <f t="shared" si="7"/>
        <v>0.36397023426620234</v>
      </c>
      <c r="K61" s="212">
        <f t="shared" si="7"/>
        <v>0.57735026918962573</v>
      </c>
      <c r="L61" s="212">
        <f t="shared" si="7"/>
        <v>0.83909963117727993</v>
      </c>
      <c r="M61" s="212">
        <f t="shared" si="7"/>
        <v>1.19175359259421</v>
      </c>
      <c r="N61" s="212">
        <f t="shared" si="7"/>
        <v>1.7320508075688767</v>
      </c>
      <c r="O61" s="212">
        <f t="shared" si="7"/>
        <v>2.7474774194546216</v>
      </c>
      <c r="P61" s="212">
        <f t="shared" si="7"/>
        <v>5.6712818196177066</v>
      </c>
      <c r="Q61" s="212">
        <f t="shared" si="7"/>
        <v>0</v>
      </c>
      <c r="R61" s="212">
        <f t="shared" si="7"/>
        <v>-5.6712818196177111</v>
      </c>
      <c r="S61" s="212">
        <f t="shared" si="7"/>
        <v>-2.7474774194546225</v>
      </c>
      <c r="T61" s="212">
        <f t="shared" si="7"/>
        <v>-1.7320508075688783</v>
      </c>
      <c r="U61" s="212">
        <f t="shared" si="7"/>
        <v>-1.19175359259421</v>
      </c>
      <c r="V61" s="212">
        <f t="shared" si="7"/>
        <v>-0.83909963117728037</v>
      </c>
      <c r="W61" s="212">
        <f t="shared" si="7"/>
        <v>-0.57735026918962573</v>
      </c>
      <c r="X61" s="212">
        <f t="shared" si="7"/>
        <v>-0.36397023426620256</v>
      </c>
      <c r="Y61" s="212">
        <f t="shared" si="7"/>
        <v>-0.17632698070846489</v>
      </c>
      <c r="Z61" s="212">
        <f t="shared" si="7"/>
        <v>-1.22514845490862E-16</v>
      </c>
      <c r="AA61" s="212">
        <f t="shared" si="7"/>
        <v>0.17632698070846509</v>
      </c>
      <c r="AB61" s="212">
        <f t="shared" si="7"/>
        <v>0.36397023426620229</v>
      </c>
      <c r="AC61" s="212">
        <f t="shared" si="7"/>
        <v>0.57735026918962595</v>
      </c>
      <c r="AD61" s="212">
        <f t="shared" si="7"/>
        <v>0.83909963117727993</v>
      </c>
      <c r="AE61" s="212">
        <f t="shared" si="7"/>
        <v>1.1917535925942093</v>
      </c>
      <c r="AF61" s="212">
        <f t="shared" si="7"/>
        <v>1.7320508075688754</v>
      </c>
      <c r="AG61" s="212">
        <f t="shared" si="7"/>
        <v>2.7474774194546168</v>
      </c>
      <c r="AH61" s="212">
        <f t="shared" si="7"/>
        <v>5.6712818196177102</v>
      </c>
      <c r="AI61" s="212">
        <f t="shared" si="7"/>
        <v>0</v>
      </c>
      <c r="AJ61" s="212">
        <f t="shared" si="7"/>
        <v>-5.6712818196177226</v>
      </c>
      <c r="AK61" s="212">
        <f t="shared" si="7"/>
        <v>-2.7474774194546274</v>
      </c>
      <c r="AL61" s="212">
        <f t="shared" si="7"/>
        <v>-1.732050807568877</v>
      </c>
      <c r="AM61" s="212">
        <f t="shared" si="7"/>
        <v>-1.1917535925942102</v>
      </c>
      <c r="AN61" s="212">
        <f t="shared" si="7"/>
        <v>-0.83909963117728059</v>
      </c>
      <c r="AO61" s="212">
        <f t="shared" si="7"/>
        <v>-0.57735026918962651</v>
      </c>
      <c r="AP61" s="212">
        <f t="shared" si="7"/>
        <v>-0.36397023426620218</v>
      </c>
      <c r="AQ61" s="212">
        <f t="shared" si="7"/>
        <v>-0.17632698070846592</v>
      </c>
      <c r="AR61" s="212">
        <f t="shared" si="7"/>
        <v>-2.45029690981724E-16</v>
      </c>
      <c r="AS61" s="212">
        <f t="shared" si="7"/>
        <v>0.1763269807084645</v>
      </c>
      <c r="AT61" s="212">
        <f t="shared" si="7"/>
        <v>0.36397023426620262</v>
      </c>
      <c r="AU61" s="212">
        <f t="shared" si="7"/>
        <v>0.57735026918962462</v>
      </c>
      <c r="AV61" s="212">
        <f t="shared" si="7"/>
        <v>0.8390996311772797</v>
      </c>
      <c r="AW61" s="312"/>
      <c r="AX61" s="312"/>
    </row>
    <row r="62" spans="6:50" ht="18.75" x14ac:dyDescent="0.3">
      <c r="F62" s="279" t="s">
        <v>630</v>
      </c>
      <c r="G62" s="279" t="s">
        <v>626</v>
      </c>
      <c r="H62" s="212">
        <f t="shared" ref="H62:AV62" si="8">SIN(H11)</f>
        <v>0</v>
      </c>
      <c r="I62" s="212">
        <f t="shared" si="8"/>
        <v>0.17364817766693033</v>
      </c>
      <c r="J62" s="212">
        <f t="shared" si="8"/>
        <v>0.34202014332566871</v>
      </c>
      <c r="K62" s="212">
        <f t="shared" si="8"/>
        <v>0.49999999999999994</v>
      </c>
      <c r="L62" s="212">
        <f t="shared" si="8"/>
        <v>0.64278760968653925</v>
      </c>
      <c r="M62" s="212">
        <f t="shared" si="8"/>
        <v>0.76604444311897801</v>
      </c>
      <c r="N62" s="212">
        <f t="shared" si="8"/>
        <v>0.8660254037844386</v>
      </c>
      <c r="O62" s="212">
        <f t="shared" si="8"/>
        <v>0.93969262078590832</v>
      </c>
      <c r="P62" s="212">
        <f t="shared" si="8"/>
        <v>0.98480775301220802</v>
      </c>
      <c r="Q62" s="212">
        <f t="shared" si="8"/>
        <v>1</v>
      </c>
      <c r="R62" s="212">
        <f t="shared" si="8"/>
        <v>0.98480775301220802</v>
      </c>
      <c r="S62" s="212">
        <f t="shared" si="8"/>
        <v>0.93969262078590843</v>
      </c>
      <c r="T62" s="212">
        <f t="shared" si="8"/>
        <v>0.86602540378443871</v>
      </c>
      <c r="U62" s="212">
        <f t="shared" si="8"/>
        <v>0.76604444311897801</v>
      </c>
      <c r="V62" s="212">
        <f t="shared" si="8"/>
        <v>0.64278760968653947</v>
      </c>
      <c r="W62" s="212">
        <f t="shared" si="8"/>
        <v>0.49999999999999994</v>
      </c>
      <c r="X62" s="212">
        <f t="shared" si="8"/>
        <v>0.34202014332566888</v>
      </c>
      <c r="Y62" s="212">
        <f t="shared" si="8"/>
        <v>0.17364817766693028</v>
      </c>
      <c r="Z62" s="212">
        <f t="shared" si="8"/>
        <v>1.22514845490862E-16</v>
      </c>
      <c r="AA62" s="212">
        <f t="shared" si="8"/>
        <v>-0.17364817766693047</v>
      </c>
      <c r="AB62" s="212">
        <f t="shared" si="8"/>
        <v>-0.34202014332566866</v>
      </c>
      <c r="AC62" s="212">
        <f t="shared" si="8"/>
        <v>-0.50000000000000011</v>
      </c>
      <c r="AD62" s="212">
        <f t="shared" si="8"/>
        <v>-0.64278760968653925</v>
      </c>
      <c r="AE62" s="212">
        <f t="shared" si="8"/>
        <v>-0.7660444431189779</v>
      </c>
      <c r="AF62" s="212">
        <f t="shared" si="8"/>
        <v>-0.86602540378443837</v>
      </c>
      <c r="AG62" s="212">
        <f t="shared" si="8"/>
        <v>-0.93969262078590821</v>
      </c>
      <c r="AH62" s="212">
        <f t="shared" si="8"/>
        <v>-0.98480775301220802</v>
      </c>
      <c r="AI62" s="212">
        <f t="shared" si="8"/>
        <v>-1</v>
      </c>
      <c r="AJ62" s="212">
        <f t="shared" si="8"/>
        <v>-0.98480775301220813</v>
      </c>
      <c r="AK62" s="212">
        <f t="shared" si="8"/>
        <v>-0.93969262078590854</v>
      </c>
      <c r="AL62" s="212">
        <f t="shared" si="8"/>
        <v>-0.8660254037844386</v>
      </c>
      <c r="AM62" s="212">
        <f t="shared" si="8"/>
        <v>-0.76604444311897812</v>
      </c>
      <c r="AN62" s="212">
        <f t="shared" si="8"/>
        <v>-0.64278760968653958</v>
      </c>
      <c r="AO62" s="212">
        <f t="shared" si="8"/>
        <v>-0.50000000000000044</v>
      </c>
      <c r="AP62" s="212">
        <f t="shared" si="8"/>
        <v>-0.3420201433256686</v>
      </c>
      <c r="AQ62" s="212">
        <f t="shared" si="8"/>
        <v>-0.17364817766693127</v>
      </c>
      <c r="AR62" s="212">
        <f t="shared" si="8"/>
        <v>-2.45029690981724E-16</v>
      </c>
      <c r="AS62" s="212">
        <f t="shared" si="8"/>
        <v>0.17364817766692991</v>
      </c>
      <c r="AT62" s="212">
        <f t="shared" si="8"/>
        <v>0.34202014332566893</v>
      </c>
      <c r="AU62" s="212">
        <f t="shared" si="8"/>
        <v>0.49999999999999928</v>
      </c>
      <c r="AV62" s="212">
        <f t="shared" si="8"/>
        <v>0.64278760968653914</v>
      </c>
      <c r="AW62" s="312"/>
      <c r="AX62" s="312"/>
    </row>
    <row r="91" spans="6:19" ht="15.75" thickBot="1" x14ac:dyDescent="0.3"/>
    <row r="92" spans="6:19" ht="27" customHeight="1" thickBot="1" x14ac:dyDescent="0.3">
      <c r="F92" s="378" t="s">
        <v>649</v>
      </c>
      <c r="G92" s="350" t="s">
        <v>648</v>
      </c>
      <c r="H92" s="350" t="s">
        <v>654</v>
      </c>
      <c r="I92" s="350" t="s">
        <v>650</v>
      </c>
      <c r="J92" s="350" t="s">
        <v>651</v>
      </c>
      <c r="K92" s="350" t="s">
        <v>652</v>
      </c>
      <c r="L92" s="350" t="s">
        <v>659</v>
      </c>
      <c r="M92" s="444" t="s">
        <v>655</v>
      </c>
      <c r="N92" s="444"/>
      <c r="O92" s="444"/>
      <c r="P92" s="445"/>
      <c r="Q92" s="446" t="s">
        <v>64</v>
      </c>
      <c r="R92" s="447"/>
      <c r="S92" s="448"/>
    </row>
    <row r="93" spans="6:19" s="61" customFormat="1" ht="33.950000000000003" customHeight="1" x14ac:dyDescent="0.25">
      <c r="F93" s="347">
        <v>45</v>
      </c>
      <c r="G93" s="379" t="s">
        <v>298</v>
      </c>
      <c r="H93" s="380">
        <f>IF($Q$92=$L$3,IF(G93=$M$3,RADIANS(F93),F93),"")</f>
        <v>0.78539816339744828</v>
      </c>
      <c r="I93" s="348">
        <f>IF($Q$92=$L$3,SIN(H93),"")</f>
        <v>0.70710678118654746</v>
      </c>
      <c r="J93" s="348">
        <f>IF($Q$92=$L$3,COS(H93),"")</f>
        <v>0.70710678118654757</v>
      </c>
      <c r="K93" s="348">
        <f>IF($Q$92=$L$3,TAN(H93),"")</f>
        <v>0.99999999999999989</v>
      </c>
      <c r="L93" s="381">
        <f>IF($Q$92=$L$3,IF(G93=$M$4,DEGREES(F93),F93),"")</f>
        <v>45</v>
      </c>
    </row>
    <row r="94" spans="6:19" s="61" customFormat="1" ht="33.950000000000003" customHeight="1" x14ac:dyDescent="0.25">
      <c r="F94" s="347" t="s">
        <v>653</v>
      </c>
      <c r="G94" s="379" t="s">
        <v>300</v>
      </c>
      <c r="H94" s="380">
        <f>IF($Q$92=$L$3,2*PI(),"")</f>
        <v>6.2831853071795862</v>
      </c>
      <c r="I94" s="348">
        <f t="shared" ref="I94:I96" si="9">IF($Q$92=$L$3,SIN(H94),"")</f>
        <v>-2.45029690981724E-16</v>
      </c>
      <c r="J94" s="348">
        <f t="shared" ref="J94:J96" si="10">IF($Q$92=$L$3,COS(H94),"")</f>
        <v>1</v>
      </c>
      <c r="K94" s="348">
        <f t="shared" ref="K94:K96" si="11">IF($Q$92=$L$3,TAN(H94),"")</f>
        <v>-2.45029690981724E-16</v>
      </c>
      <c r="L94" s="381">
        <f>IF($Q$92=$L$3,IF(G94=$M$4,DEGREES(2*PI()),2*PI()),"")</f>
        <v>360</v>
      </c>
    </row>
    <row r="95" spans="6:19" s="61" customFormat="1" ht="33.950000000000003" customHeight="1" x14ac:dyDescent="0.25">
      <c r="F95" s="347">
        <v>-3.14</v>
      </c>
      <c r="G95" s="379" t="s">
        <v>300</v>
      </c>
      <c r="H95" s="380">
        <f>IF($Q$92=$L$3,IF(G95=$M$3,RADIANS(F95),F95),"")</f>
        <v>-3.14</v>
      </c>
      <c r="I95" s="348">
        <f t="shared" si="9"/>
        <v>-1.5926529164868282E-3</v>
      </c>
      <c r="J95" s="348">
        <f t="shared" si="10"/>
        <v>-0.9999987317275395</v>
      </c>
      <c r="K95" s="348">
        <f t="shared" si="11"/>
        <v>1.592654936407223E-3</v>
      </c>
      <c r="L95" s="381">
        <f t="shared" ref="L95:L96" si="12">IF($Q$92=$L$3,IF(G95=$M$4,DEGREES(F95),F95),"")</f>
        <v>-179.90874767107849</v>
      </c>
    </row>
    <row r="96" spans="6:19" s="61" customFormat="1" ht="33.950000000000003" customHeight="1" x14ac:dyDescent="0.25">
      <c r="F96" s="347">
        <v>-30</v>
      </c>
      <c r="G96" s="379" t="s">
        <v>298</v>
      </c>
      <c r="H96" s="380">
        <f>IF($Q$92=$L$3,IF(G96=$M$3,RADIANS(F96),F96),"")</f>
        <v>-0.52359877559829882</v>
      </c>
      <c r="I96" s="348">
        <f t="shared" si="9"/>
        <v>-0.49999999999999994</v>
      </c>
      <c r="J96" s="348">
        <f t="shared" si="10"/>
        <v>0.86602540378443871</v>
      </c>
      <c r="K96" s="348">
        <f t="shared" si="11"/>
        <v>-0.57735026918962573</v>
      </c>
      <c r="L96" s="381">
        <f t="shared" si="12"/>
        <v>-30</v>
      </c>
    </row>
    <row r="100" spans="6:12" ht="30" customHeight="1" x14ac:dyDescent="0.25">
      <c r="F100" s="92"/>
      <c r="G100" s="92"/>
      <c r="H100" s="349" t="s">
        <v>659</v>
      </c>
      <c r="I100" s="349" t="s">
        <v>654</v>
      </c>
    </row>
    <row r="101" spans="6:12" ht="32.450000000000003" customHeight="1" x14ac:dyDescent="0.25">
      <c r="F101" s="350" t="s">
        <v>656</v>
      </c>
      <c r="G101" s="347">
        <v>0.25</v>
      </c>
      <c r="H101" s="352">
        <f>IF($Q$92=$L$3,DEGREES(ASIN(G101)),"")</f>
        <v>14.477512185929925</v>
      </c>
      <c r="I101" s="351">
        <f>IF($Q$92=$L$3,ASIN(G101),"")</f>
        <v>0.25268025514207865</v>
      </c>
    </row>
    <row r="102" spans="6:12" ht="32.450000000000003" customHeight="1" x14ac:dyDescent="0.25">
      <c r="F102" s="350" t="s">
        <v>656</v>
      </c>
      <c r="G102" s="347">
        <v>-0.5</v>
      </c>
      <c r="H102" s="352">
        <f>IF($Q$92=$L$3,DEGREES(ASIN(G102)),"")</f>
        <v>-30.000000000000004</v>
      </c>
      <c r="I102" s="351">
        <f>IF($Q$92=$L$3,ASIN(G102),"")</f>
        <v>-0.52359877559829893</v>
      </c>
    </row>
    <row r="103" spans="6:12" ht="32.450000000000003" customHeight="1" x14ac:dyDescent="0.25">
      <c r="F103" s="350" t="s">
        <v>657</v>
      </c>
      <c r="G103" s="347">
        <v>-0.5</v>
      </c>
      <c r="H103" s="352">
        <f>IF($Q$92=$L$3,DEGREES(ACOS(G103)),"")</f>
        <v>120.00000000000001</v>
      </c>
      <c r="I103" s="351">
        <f>IF($Q$92=$L$3,ACOS(G103),"")</f>
        <v>2.0943951023931957</v>
      </c>
    </row>
    <row r="104" spans="6:12" ht="32.450000000000003" customHeight="1" x14ac:dyDescent="0.25">
      <c r="F104" s="350" t="s">
        <v>657</v>
      </c>
      <c r="G104" s="347">
        <f>1/SQRT(2)</f>
        <v>0.70710678118654746</v>
      </c>
      <c r="H104" s="352">
        <f>IF($Q$92=$L$3,DEGREES(ACOS(G104)),"")</f>
        <v>45</v>
      </c>
      <c r="I104" s="351">
        <f>IF($Q$92=$L$3,ACOS(G104),"")</f>
        <v>0.78539816339744828</v>
      </c>
    </row>
    <row r="105" spans="6:12" ht="32.450000000000003" customHeight="1" x14ac:dyDescent="0.25">
      <c r="F105" s="350" t="s">
        <v>658</v>
      </c>
      <c r="G105" s="347">
        <v>50</v>
      </c>
      <c r="H105" s="352">
        <f>IF($Q$92=$L$3,DEGREES(ATAN(G105)),"")</f>
        <v>88.854237161824898</v>
      </c>
      <c r="I105" s="351">
        <f>IF($Q$92=$L$3,ATAN(G105),"")</f>
        <v>1.550798992821746</v>
      </c>
    </row>
    <row r="106" spans="6:12" ht="32.450000000000003" customHeight="1" x14ac:dyDescent="0.25">
      <c r="F106" s="350" t="s">
        <v>658</v>
      </c>
      <c r="G106" s="347">
        <v>0.25</v>
      </c>
      <c r="H106" s="352">
        <f>IF($Q$92=$L$3,DEGREES(ATAN(G106)),"")</f>
        <v>14.036243467926479</v>
      </c>
      <c r="I106" s="351">
        <f>IF($Q$92=$L$3,ATAN(G106),"")</f>
        <v>0.24497866312686414</v>
      </c>
    </row>
    <row r="110" spans="6:12" ht="27" thickBot="1" x14ac:dyDescent="0.45">
      <c r="F110" s="353" t="s">
        <v>660</v>
      </c>
      <c r="G110" s="353"/>
      <c r="I110" s="354" t="s">
        <v>817</v>
      </c>
    </row>
    <row r="111" spans="6:12" x14ac:dyDescent="0.25">
      <c r="F111" s="366" t="s">
        <v>661</v>
      </c>
      <c r="G111" s="10">
        <v>5</v>
      </c>
      <c r="H111" s="439" t="s">
        <v>709</v>
      </c>
      <c r="I111" s="10" t="s">
        <v>712</v>
      </c>
      <c r="J111" s="367">
        <f>G111*VLOOKUP(H111, CHOOSE({1,2,3,4}, Einheitenvorsätze!A:A, Einheitenvorsätze!B:B, Einheitenvorsätze!C:C, Einheitenvorsätze!D:D), 3, FALSE)</f>
        <v>0.05</v>
      </c>
      <c r="K111" s="367" t="str">
        <f>I111</f>
        <v>m</v>
      </c>
      <c r="L111" s="368" t="str">
        <f>_xlfn.CONCAT(G111," * ",VLOOKUP(H111, CHOOSE({1,2,3,4}, Einheitenvorsätze!A:A, Einheitenvorsätze!B:B, Einheitenvorsätze!C:C, Einheitenvorsätze!D:D), 4, FALSE),I111)</f>
        <v>5 * 10⁻²m</v>
      </c>
    </row>
    <row r="112" spans="6:12" x14ac:dyDescent="0.25">
      <c r="F112" s="264" t="s">
        <v>662</v>
      </c>
      <c r="G112" s="4">
        <v>0.6</v>
      </c>
      <c r="H112" s="225" t="s">
        <v>703</v>
      </c>
      <c r="I112" s="4" t="s">
        <v>744</v>
      </c>
      <c r="J112" s="77">
        <f>G112*VLOOKUP(H112, CHOOSE({1,2,3,4}, Einheitenvorsätze!A:A, Einheitenvorsätze!B:B, Einheitenvorsätze!C:C, Einheitenvorsätze!D:D), 3, FALSE)</f>
        <v>0.6</v>
      </c>
      <c r="K112" s="77" t="str">
        <f t="shared" ref="K112:K113" si="13">I112</f>
        <v>Hz</v>
      </c>
      <c r="L112" s="268" t="str">
        <f>_xlfn.CONCAT(G112," * ",VLOOKUP(H112, CHOOSE({1,2,3,4}, Einheitenvorsätze!A:A, Einheitenvorsätze!B:B, Einheitenvorsätze!C:C, Einheitenvorsätze!D:D), 4, FALSE),I112)</f>
        <v>0.6 * 10⁰Hz</v>
      </c>
    </row>
    <row r="113" spans="4:19" ht="15.75" thickBot="1" x14ac:dyDescent="0.3">
      <c r="F113" s="369" t="s">
        <v>663</v>
      </c>
      <c r="G113" s="11">
        <v>6.2</v>
      </c>
      <c r="H113" s="440" t="s">
        <v>703</v>
      </c>
      <c r="I113" s="11" t="s">
        <v>741</v>
      </c>
      <c r="J113" s="370">
        <f>G113*VLOOKUP(H113, CHOOSE({1,2,3,4}, Einheitenvorsätze!A:A, Einheitenvorsätze!B:B, Einheitenvorsätze!C:C, Einheitenvorsätze!D:D), 3, FALSE)</f>
        <v>6.2</v>
      </c>
      <c r="K113" s="370" t="str">
        <f t="shared" si="13"/>
        <v>s</v>
      </c>
      <c r="L113" s="371" t="str">
        <f>_xlfn.CONCAT(G113," * ",VLOOKUP(H113, CHOOSE({1,2,3,4}, Einheitenvorsätze!A:A, Einheitenvorsätze!B:B, Einheitenvorsätze!C:C, Einheitenvorsätze!D:D), 4, FALSE),I113)</f>
        <v>6.2 * 10⁰s</v>
      </c>
    </row>
    <row r="116" spans="4:19" ht="18.75" x14ac:dyDescent="0.3">
      <c r="D116" s="168"/>
      <c r="E116" s="168"/>
      <c r="F116" s="373" t="str">
        <f>_xlfn.CONCAT("y(",$L$113,") = ")</f>
        <v xml:space="preserve">y(6.2 * 10⁰s) = </v>
      </c>
      <c r="G116" s="374" t="str">
        <f>_xlfn.CONCAT(L111, " * sin(2",Einheitenvorsätze!$C$53," * ",L112," * ",L113,")")</f>
        <v>5 * 10⁻²m * sin(2π * 0.6 * 10⁰Hz * 6.2 * 10⁰s)</v>
      </c>
      <c r="H116" s="374"/>
      <c r="I116" s="168"/>
      <c r="J116" s="168"/>
    </row>
    <row r="117" spans="4:19" ht="18.75" x14ac:dyDescent="0.3">
      <c r="D117" s="168"/>
      <c r="E117" s="168"/>
      <c r="F117" s="373" t="str">
        <f t="shared" ref="F117:F118" si="14">_xlfn.CONCAT("y(",$L$113,") = ")</f>
        <v xml:space="preserve">y(6.2 * 10⁰s) = </v>
      </c>
      <c r="G117" s="374" t="str">
        <f>_xlfn.CONCAT(J111, " * sin(2",Einheitenvorsätze!$C$53," * ",J112," * ",J113,")",I111)</f>
        <v>0.05 * sin(2π * 0.6 * 6.2)m</v>
      </c>
      <c r="H117" s="168"/>
      <c r="I117" s="168"/>
      <c r="J117" s="168"/>
    </row>
    <row r="118" spans="4:19" ht="23.25" x14ac:dyDescent="0.35">
      <c r="D118" s="375"/>
      <c r="E118" s="375"/>
      <c r="F118" s="376" t="str">
        <f t="shared" si="14"/>
        <v xml:space="preserve">y(6.2 * 10⁰s) = </v>
      </c>
      <c r="G118" s="377">
        <f>J111*SIN(MOD(2*PI()*J112*J113,2*PI()))</f>
        <v>-4.9114362536434426E-2</v>
      </c>
      <c r="H118" s="375" t="str">
        <f>I111</f>
        <v>m</v>
      </c>
      <c r="I118" s="375"/>
      <c r="J118" s="168"/>
      <c r="K118" s="66"/>
    </row>
    <row r="121" spans="4:19" x14ac:dyDescent="0.25">
      <c r="F121" s="258"/>
    </row>
    <row r="122" spans="4:19" x14ac:dyDescent="0.25">
      <c r="F122" s="258"/>
    </row>
    <row r="124" spans="4:19" ht="18" x14ac:dyDescent="0.35">
      <c r="D124" s="5" t="s">
        <v>956</v>
      </c>
      <c r="E124" s="5"/>
      <c r="F124" s="8" t="s">
        <v>962</v>
      </c>
      <c r="G124" s="75">
        <v>230</v>
      </c>
      <c r="H124" s="225" t="s">
        <v>694</v>
      </c>
      <c r="I124" s="5" t="s">
        <v>316</v>
      </c>
      <c r="J124" s="77">
        <f>VLOOKUP(H124, CHOOSE({1,2,3,4,5}, Einheitenvorsätze!A:A, Einheitenvorsätze!B:B, Einheitenvorsätze!C:C, Einheitenvorsätze!D:D, Einheitenvorsätze!E:E), 5, FALSE)</f>
        <v>3</v>
      </c>
      <c r="K124" s="441">
        <f>G124*VLOOKUP(H124, CHOOSE({1,2,3,4}, Einheitenvorsätze!A:A, Einheitenvorsätze!B:B, Einheitenvorsätze!C:C, Einheitenvorsätze!D:D), 3, FALSE)</f>
        <v>230000</v>
      </c>
      <c r="L124" s="77"/>
      <c r="M124" s="77" t="str">
        <f>_xlfn.CONCAT(G124," * ",VLOOKUP(H124, CHOOSE({1,2,3,4}, Einheitenvorsätze!A:A, Einheitenvorsätze!B:B, Einheitenvorsätze!C:C, Einheitenvorsätze!D:D), 4, FALSE),I124)</f>
        <v>230 * 10³V</v>
      </c>
      <c r="N124" s="77"/>
      <c r="O124" s="77"/>
      <c r="P124" s="77"/>
      <c r="Q124" s="77"/>
      <c r="R124" s="77"/>
      <c r="S124" s="77"/>
    </row>
    <row r="125" spans="4:19" x14ac:dyDescent="0.25">
      <c r="D125" s="5"/>
      <c r="E125" s="5"/>
      <c r="F125" s="8" t="s">
        <v>961</v>
      </c>
      <c r="G125" s="75">
        <v>50</v>
      </c>
      <c r="H125" s="225" t="s">
        <v>703</v>
      </c>
      <c r="I125" s="5" t="s">
        <v>744</v>
      </c>
      <c r="J125" s="77">
        <f>VLOOKUP(H125, CHOOSE({1,2,3,4,5}, Einheitenvorsätze!A:A, Einheitenvorsätze!B:B, Einheitenvorsätze!C:C, Einheitenvorsätze!D:D, Einheitenvorsätze!E:E), 5, FALSE)</f>
        <v>0</v>
      </c>
      <c r="K125" s="441">
        <f>G125*VLOOKUP(H125, CHOOSE({1,2,3,4}, Einheitenvorsätze!A:A, Einheitenvorsätze!B:B, Einheitenvorsätze!C:C, Einheitenvorsätze!D:D), 3, FALSE)</f>
        <v>50</v>
      </c>
      <c r="L125" s="77"/>
      <c r="M125" s="77" t="str">
        <f>_xlfn.CONCAT(G125," * ",VLOOKUP(H125, CHOOSE({1,2,3,4}, Einheitenvorsätze!A:A, Einheitenvorsätze!B:B, Einheitenvorsätze!C:C, Einheitenvorsätze!D:D), 4, FALSE),I125)</f>
        <v>50 * 10⁰Hz</v>
      </c>
      <c r="N125" s="77"/>
      <c r="O125" s="77"/>
      <c r="P125" s="77"/>
      <c r="Q125" s="77"/>
      <c r="R125" s="77"/>
      <c r="S125" s="77"/>
    </row>
    <row r="126" spans="4:19" x14ac:dyDescent="0.25">
      <c r="D126" s="5"/>
      <c r="E126" s="5"/>
      <c r="F126" s="8" t="s">
        <v>960</v>
      </c>
      <c r="G126" s="211">
        <f>300*10^3</f>
        <v>300000</v>
      </c>
      <c r="H126" s="225" t="s">
        <v>694</v>
      </c>
      <c r="I126" s="438" t="s">
        <v>834</v>
      </c>
      <c r="J126" s="77">
        <f>VLOOKUP(H126, CHOOSE({1,2,3,4,5}, Einheitenvorsätze!A:A, Einheitenvorsätze!B:B, Einheitenvorsätze!C:C, Einheitenvorsätze!D:D, Einheitenvorsätze!E:E), 5, FALSE)</f>
        <v>3</v>
      </c>
      <c r="K126" s="441">
        <f>G126*VLOOKUP(H126, CHOOSE({1,2,3,4}, Einheitenvorsätze!A:A, Einheitenvorsätze!B:B, Einheitenvorsätze!C:C, Einheitenvorsätze!D:D), 3, FALSE)</f>
        <v>300000000</v>
      </c>
      <c r="L126" s="77"/>
      <c r="M126" s="77" t="str">
        <f>_xlfn.CONCAT(G126," * ",VLOOKUP(H126, CHOOSE({1,2,3,4}, Einheitenvorsätze!A:A, Einheitenvorsätze!B:B, Einheitenvorsätze!C:C, Einheitenvorsätze!D:D), 4, FALSE),I126)</f>
        <v>300000 * 10³m/s</v>
      </c>
      <c r="N126" s="77"/>
      <c r="O126" s="77"/>
      <c r="P126" s="77"/>
      <c r="Q126" s="77"/>
      <c r="R126" s="77"/>
      <c r="S126" s="77"/>
    </row>
    <row r="127" spans="4:19" x14ac:dyDescent="0.25">
      <c r="D127" s="5"/>
      <c r="E127" s="449" t="s">
        <v>963</v>
      </c>
      <c r="F127" s="449"/>
      <c r="G127" s="75">
        <v>20</v>
      </c>
      <c r="H127" s="225" t="s">
        <v>712</v>
      </c>
      <c r="I127" s="5" t="s">
        <v>741</v>
      </c>
      <c r="J127" s="77">
        <f>VLOOKUP(H127, CHOOSE({1,2,3,4,5}, Einheitenvorsätze!A:A, Einheitenvorsätze!B:B, Einheitenvorsätze!C:C, Einheitenvorsätze!D:D, Einheitenvorsätze!E:E), 5, FALSE)</f>
        <v>-3</v>
      </c>
      <c r="K127" s="441">
        <f>G127*VLOOKUP(H127, CHOOSE({1,2,3,4}, Einheitenvorsätze!A:A, Einheitenvorsätze!B:B, Einheitenvorsätze!C:C, Einheitenvorsätze!D:D), 3, FALSE)</f>
        <v>0.02</v>
      </c>
      <c r="L127" s="77"/>
      <c r="M127" s="77" t="str">
        <f>_xlfn.CONCAT(G127," * ",VLOOKUP(H127, CHOOSE({1,2,3,4}, Einheitenvorsätze!A:A, Einheitenvorsätze!B:B, Einheitenvorsätze!C:C, Einheitenvorsätze!D:D), 4, FALSE),I127)</f>
        <v>20 * 10⁻³s</v>
      </c>
      <c r="N127" s="77"/>
      <c r="O127" s="77"/>
      <c r="P127" s="77"/>
      <c r="Q127" s="77"/>
      <c r="R127" s="77"/>
      <c r="S127" s="77"/>
    </row>
    <row r="128" spans="4:19" ht="18" x14ac:dyDescent="0.35">
      <c r="D128" s="5" t="s">
        <v>955</v>
      </c>
      <c r="E128" s="449" t="s">
        <v>824</v>
      </c>
      <c r="F128" s="449"/>
      <c r="G128" s="212">
        <f>(G124*10^J124*SQRT(2))/10^J128</f>
        <v>325.26911934581187</v>
      </c>
      <c r="H128" s="225" t="s">
        <v>694</v>
      </c>
      <c r="I128" s="5" t="str">
        <f>I124</f>
        <v>V</v>
      </c>
      <c r="J128" s="77">
        <f>VLOOKUP(H128, CHOOSE({1,2,3,4,5}, Einheitenvorsätze!A:A, Einheitenvorsätze!B:B, Einheitenvorsätze!C:C, Einheitenvorsätze!D:D, Einheitenvorsätze!E:E), 5, FALSE)</f>
        <v>3</v>
      </c>
      <c r="K128" s="441">
        <f>G128*VLOOKUP(H128, CHOOSE({1,2,3,4}, Einheitenvorsätze!A:A, Einheitenvorsätze!B:B, Einheitenvorsätze!C:C, Einheitenvorsätze!D:D), 3, FALSE)</f>
        <v>325269.11934581189</v>
      </c>
      <c r="L128" s="77"/>
      <c r="M128" s="77" t="str">
        <f>_xlfn.CONCAT(G128," * ",VLOOKUP(H128, CHOOSE({1,2,3,4}, Einheitenvorsätze!A:A, Einheitenvorsätze!B:B, Einheitenvorsätze!C:C, Einheitenvorsätze!D:D), 4, FALSE),I128)</f>
        <v>325.269119345812 * 10³V</v>
      </c>
      <c r="N128" s="77"/>
      <c r="O128" s="77"/>
      <c r="P128" s="77"/>
      <c r="Q128" s="77"/>
      <c r="R128" s="77"/>
      <c r="S128" s="77"/>
    </row>
    <row r="129" spans="4:19" x14ac:dyDescent="0.25">
      <c r="D129" s="5" t="s">
        <v>957</v>
      </c>
      <c r="E129" s="449" t="s">
        <v>820</v>
      </c>
      <c r="F129" s="449"/>
      <c r="G129" s="212">
        <f>(1/(G125 * 10^J125))/10^J129</f>
        <v>0.02</v>
      </c>
      <c r="H129" s="225" t="s">
        <v>703</v>
      </c>
      <c r="I129" s="5" t="s">
        <v>741</v>
      </c>
      <c r="J129" s="77">
        <f>VLOOKUP(H129, CHOOSE({1,2,3,4,5}, Einheitenvorsätze!A:A, Einheitenvorsätze!B:B, Einheitenvorsätze!C:C, Einheitenvorsätze!D:D, Einheitenvorsätze!E:E), 5, FALSE)</f>
        <v>0</v>
      </c>
      <c r="K129" s="77"/>
      <c r="L129" s="77"/>
      <c r="M129" s="77"/>
      <c r="N129" s="77"/>
      <c r="O129" s="77"/>
      <c r="P129" s="77"/>
      <c r="Q129" s="77"/>
      <c r="R129" s="77"/>
      <c r="S129" s="77"/>
    </row>
    <row r="130" spans="4:19" x14ac:dyDescent="0.25">
      <c r="D130" s="5" t="s">
        <v>958</v>
      </c>
      <c r="E130" s="449" t="s">
        <v>821</v>
      </c>
      <c r="F130" s="449"/>
      <c r="G130" s="212">
        <f>(2*PI()*G125*10^J125)/10^J130</f>
        <v>314.15926535897933</v>
      </c>
      <c r="H130" s="225" t="s">
        <v>703</v>
      </c>
      <c r="I130" s="5" t="s">
        <v>825</v>
      </c>
      <c r="J130" s="77">
        <f>VLOOKUP(H130, CHOOSE({1,2,3,4,5}, Einheitenvorsätze!A:A, Einheitenvorsätze!B:B, Einheitenvorsätze!C:C, Einheitenvorsätze!D:D, Einheitenvorsätze!E:E), 5, FALSE)</f>
        <v>0</v>
      </c>
      <c r="K130" s="77"/>
      <c r="L130" s="77"/>
      <c r="M130" s="77"/>
      <c r="N130" s="77"/>
      <c r="O130" s="77"/>
      <c r="P130" s="77"/>
      <c r="Q130" s="77"/>
      <c r="R130" s="77"/>
      <c r="S130" s="77"/>
    </row>
    <row r="131" spans="4:19" x14ac:dyDescent="0.25">
      <c r="D131" s="5" t="s">
        <v>965</v>
      </c>
      <c r="E131" s="449" t="s">
        <v>822</v>
      </c>
      <c r="F131" s="449"/>
      <c r="G131" s="212">
        <f>G126*10^J126*G129*10^J129/10^J131</f>
        <v>6000</v>
      </c>
      <c r="H131" s="225" t="s">
        <v>694</v>
      </c>
      <c r="I131" s="5" t="s">
        <v>712</v>
      </c>
      <c r="J131" s="77">
        <f>VLOOKUP(H131, CHOOSE({1,2,3,4,5}, Einheitenvorsätze!A:A, Einheitenvorsätze!B:B, Einheitenvorsätze!C:C, Einheitenvorsätze!D:D, Einheitenvorsätze!E:E), 5, FALSE)</f>
        <v>3</v>
      </c>
      <c r="K131" s="77"/>
      <c r="L131" s="77"/>
      <c r="M131" s="77"/>
      <c r="N131" s="77"/>
      <c r="O131" s="77"/>
      <c r="P131" s="77"/>
      <c r="Q131" s="77"/>
      <c r="R131" s="77"/>
      <c r="S131" s="77"/>
    </row>
    <row r="132" spans="4:19" x14ac:dyDescent="0.25">
      <c r="D132" s="5" t="s">
        <v>964</v>
      </c>
      <c r="E132" s="449" t="s">
        <v>823</v>
      </c>
      <c r="F132" s="449"/>
      <c r="G132" s="212">
        <f>(G128*10^J128)*SIN(2 * PI()*G125*10^J125*G127*10^J127)/10^J132</f>
        <v>2.0919642059861284E-13</v>
      </c>
      <c r="H132" s="225" t="s">
        <v>694</v>
      </c>
      <c r="I132" s="5" t="str">
        <f>I124</f>
        <v>V</v>
      </c>
      <c r="J132" s="77">
        <f>VLOOKUP(H132, CHOOSE({1,2,3,4,5}, Einheitenvorsätze!A:A, Einheitenvorsätze!B:B, Einheitenvorsätze!C:C, Einheitenvorsätze!D:D, Einheitenvorsätze!E:E), 5, FALSE)</f>
        <v>3</v>
      </c>
      <c r="K132" s="77"/>
      <c r="L132" s="77"/>
      <c r="M132" s="77"/>
      <c r="N132" s="77"/>
      <c r="O132" s="77"/>
      <c r="P132" s="77"/>
      <c r="Q132" s="77"/>
      <c r="R132" s="77"/>
      <c r="S132" s="77"/>
    </row>
  </sheetData>
  <mergeCells count="8">
    <mergeCell ref="M92:P92"/>
    <mergeCell ref="Q92:S92"/>
    <mergeCell ref="E132:F132"/>
    <mergeCell ref="E127:F127"/>
    <mergeCell ref="E128:F128"/>
    <mergeCell ref="E129:F129"/>
    <mergeCell ref="E130:F130"/>
    <mergeCell ref="E131:F131"/>
  </mergeCells>
  <dataValidations count="4">
    <dataValidation type="list" allowBlank="1" showInputMessage="1" showErrorMessage="1" sqref="G10 G93:G96 BA10" xr:uid="{0301A70D-6277-4BB2-81B6-2BB5B814650B}">
      <formula1>$M$3:$M$4</formula1>
    </dataValidation>
    <dataValidation type="list" allowBlank="1" showInputMessage="1" showErrorMessage="1" sqref="AZ10" xr:uid="{0C1E6814-736D-4D2F-9025-618FBD23A267}">
      <formula1>$H$10:$AV$10</formula1>
    </dataValidation>
    <dataValidation type="list" allowBlank="1" showInputMessage="1" showErrorMessage="1" sqref="AX12:AX13 Q92:S92 AX16:AX17 D16:D17" xr:uid="{8FB8006F-A5AB-41B5-B544-F9B479F8D761}">
      <formula1>$L$3:$L$4</formula1>
    </dataValidation>
    <dataValidation type="list" allowBlank="1" showInputMessage="1" showErrorMessage="1" sqref="E12:E13 E16:E17" xr:uid="{DF0FFC0D-C82C-4ADF-A3F9-AE2CF1C358A0}">
      <formula1>$AC$4:$AC$5</formula1>
    </dataValidation>
  </dataValidations>
  <pageMargins left="0.7" right="0.7" top="0.78740157499999996" bottom="0.78740157499999996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CE62098-7221-491F-804F-527C532EF40B}">
          <x14:formula1>
            <xm:f>Einheitenvorsätze!$A$7:$A$31</xm:f>
          </x14:formula1>
          <xm:sqref>H111:H113 H124:H132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6FAFC-EF82-483B-B920-EE2B60307887}">
  <dimension ref="B2:AX32"/>
  <sheetViews>
    <sheetView workbookViewId="0"/>
  </sheetViews>
  <sheetFormatPr baseColWidth="10" defaultRowHeight="15" x14ac:dyDescent="0.25"/>
  <cols>
    <col min="2" max="2" width="12.140625" customWidth="1"/>
    <col min="5" max="7" width="16.5703125" customWidth="1"/>
    <col min="8" max="8" width="26.42578125" customWidth="1"/>
    <col min="9" max="9" width="7.85546875" style="55" customWidth="1"/>
  </cols>
  <sheetData>
    <row r="2" spans="2:50" ht="26.25" x14ac:dyDescent="0.4">
      <c r="C2" s="29" t="s">
        <v>913</v>
      </c>
    </row>
    <row r="3" spans="2:50" x14ac:dyDescent="0.25">
      <c r="L3" s="5" t="s">
        <v>64</v>
      </c>
      <c r="M3" s="5" t="s">
        <v>298</v>
      </c>
      <c r="N3" s="5" t="s">
        <v>63</v>
      </c>
    </row>
    <row r="4" spans="2:50" x14ac:dyDescent="0.25">
      <c r="L4" s="5" t="s">
        <v>65</v>
      </c>
      <c r="M4" s="5" t="s">
        <v>300</v>
      </c>
      <c r="N4" s="5" t="s">
        <v>260</v>
      </c>
    </row>
    <row r="8" spans="2:50" x14ac:dyDescent="0.25">
      <c r="H8" s="8" t="s">
        <v>1</v>
      </c>
      <c r="I8" s="95"/>
      <c r="J8" s="4">
        <v>10</v>
      </c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</row>
    <row r="9" spans="2:50" x14ac:dyDescent="0.25">
      <c r="H9" s="5" t="str">
        <f>_xlfn.CONCAT("Winkel ",Einheitenvorsätze!C38," [°]")</f>
        <v>Winkel α [°]</v>
      </c>
      <c r="I9" s="95"/>
      <c r="J9" s="4">
        <v>10</v>
      </c>
      <c r="K9" s="77">
        <f>J9+$J$8</f>
        <v>20</v>
      </c>
      <c r="L9" s="77">
        <f t="shared" ref="L9:M9" si="0">K9+$J$8</f>
        <v>30</v>
      </c>
      <c r="M9" s="77">
        <f t="shared" si="0"/>
        <v>40</v>
      </c>
      <c r="N9" s="77">
        <f t="shared" ref="N9:AX9" si="1">M9+$J$8</f>
        <v>50</v>
      </c>
      <c r="O9" s="77">
        <f t="shared" si="1"/>
        <v>60</v>
      </c>
      <c r="P9" s="77">
        <f t="shared" si="1"/>
        <v>70</v>
      </c>
      <c r="Q9" s="77">
        <f t="shared" si="1"/>
        <v>80</v>
      </c>
      <c r="R9" s="77">
        <f t="shared" si="1"/>
        <v>90</v>
      </c>
      <c r="S9" s="77">
        <f t="shared" si="1"/>
        <v>100</v>
      </c>
      <c r="T9" s="77">
        <f t="shared" si="1"/>
        <v>110</v>
      </c>
      <c r="U9" s="77">
        <f t="shared" si="1"/>
        <v>120</v>
      </c>
      <c r="V9" s="77">
        <f t="shared" si="1"/>
        <v>130</v>
      </c>
      <c r="W9" s="77">
        <f t="shared" si="1"/>
        <v>140</v>
      </c>
      <c r="X9" s="77">
        <f t="shared" si="1"/>
        <v>150</v>
      </c>
      <c r="Y9" s="77">
        <f t="shared" si="1"/>
        <v>160</v>
      </c>
      <c r="Z9" s="77">
        <f t="shared" si="1"/>
        <v>170</v>
      </c>
      <c r="AA9" s="77">
        <f t="shared" si="1"/>
        <v>180</v>
      </c>
      <c r="AB9" s="77">
        <f t="shared" si="1"/>
        <v>190</v>
      </c>
      <c r="AC9" s="77">
        <f t="shared" si="1"/>
        <v>200</v>
      </c>
      <c r="AD9" s="77">
        <f t="shared" si="1"/>
        <v>210</v>
      </c>
      <c r="AE9" s="77">
        <f t="shared" si="1"/>
        <v>220</v>
      </c>
      <c r="AF9" s="77">
        <f t="shared" si="1"/>
        <v>230</v>
      </c>
      <c r="AG9" s="77">
        <f t="shared" si="1"/>
        <v>240</v>
      </c>
      <c r="AH9" s="77">
        <f t="shared" si="1"/>
        <v>250</v>
      </c>
      <c r="AI9" s="77">
        <f t="shared" si="1"/>
        <v>260</v>
      </c>
      <c r="AJ9" s="77">
        <f t="shared" si="1"/>
        <v>270</v>
      </c>
      <c r="AK9" s="77">
        <f t="shared" si="1"/>
        <v>280</v>
      </c>
      <c r="AL9" s="77">
        <f t="shared" si="1"/>
        <v>290</v>
      </c>
      <c r="AM9" s="77">
        <f t="shared" si="1"/>
        <v>300</v>
      </c>
      <c r="AN9" s="77">
        <f t="shared" si="1"/>
        <v>310</v>
      </c>
      <c r="AO9" s="77">
        <f t="shared" si="1"/>
        <v>320</v>
      </c>
      <c r="AP9" s="77">
        <f t="shared" si="1"/>
        <v>330</v>
      </c>
      <c r="AQ9" s="77">
        <f t="shared" si="1"/>
        <v>340</v>
      </c>
      <c r="AR9" s="77">
        <f t="shared" si="1"/>
        <v>350</v>
      </c>
      <c r="AS9" s="77">
        <f t="shared" si="1"/>
        <v>360</v>
      </c>
      <c r="AT9" s="77">
        <f t="shared" si="1"/>
        <v>370</v>
      </c>
      <c r="AU9" s="77">
        <f t="shared" si="1"/>
        <v>380</v>
      </c>
      <c r="AV9" s="77">
        <f t="shared" si="1"/>
        <v>390</v>
      </c>
      <c r="AW9" s="77">
        <f t="shared" si="1"/>
        <v>400</v>
      </c>
      <c r="AX9" s="77">
        <f t="shared" si="1"/>
        <v>410</v>
      </c>
    </row>
    <row r="10" spans="2:50" x14ac:dyDescent="0.25">
      <c r="H10" s="5" t="str">
        <f>_xlfn.CONCAT("Winkel ",Einheitenvorsätze!C38," [rad]")</f>
        <v>Winkel α [rad]</v>
      </c>
      <c r="I10" s="95"/>
      <c r="J10" s="425">
        <f>PI()*J9/180</f>
        <v>0.17453292519943295</v>
      </c>
      <c r="K10" s="425">
        <f t="shared" ref="K10:AX10" si="2">PI()*K9/180</f>
        <v>0.3490658503988659</v>
      </c>
      <c r="L10" s="425">
        <f t="shared" si="2"/>
        <v>0.52359877559829882</v>
      </c>
      <c r="M10" s="425">
        <f t="shared" si="2"/>
        <v>0.69813170079773179</v>
      </c>
      <c r="N10" s="425">
        <f t="shared" si="2"/>
        <v>0.87266462599716477</v>
      </c>
      <c r="O10" s="425">
        <f>PI()*O9/180</f>
        <v>1.0471975511965976</v>
      </c>
      <c r="P10" s="425">
        <f t="shared" si="2"/>
        <v>1.2217304763960306</v>
      </c>
      <c r="Q10" s="425">
        <f t="shared" si="2"/>
        <v>1.3962634015954636</v>
      </c>
      <c r="R10" s="425">
        <f t="shared" si="2"/>
        <v>1.5707963267948966</v>
      </c>
      <c r="S10" s="425">
        <f t="shared" si="2"/>
        <v>1.7453292519943295</v>
      </c>
      <c r="T10" s="425">
        <f t="shared" si="2"/>
        <v>1.9198621771937625</v>
      </c>
      <c r="U10" s="425">
        <f t="shared" si="2"/>
        <v>2.0943951023931953</v>
      </c>
      <c r="V10" s="425">
        <f t="shared" si="2"/>
        <v>2.2689280275926285</v>
      </c>
      <c r="W10" s="425">
        <f t="shared" si="2"/>
        <v>2.4434609527920612</v>
      </c>
      <c r="X10" s="425">
        <f t="shared" si="2"/>
        <v>2.6179938779914944</v>
      </c>
      <c r="Y10" s="425">
        <f t="shared" si="2"/>
        <v>2.7925268031909272</v>
      </c>
      <c r="Z10" s="425">
        <f t="shared" si="2"/>
        <v>2.9670597283903604</v>
      </c>
      <c r="AA10" s="425">
        <f t="shared" si="2"/>
        <v>3.1415926535897931</v>
      </c>
      <c r="AB10" s="425">
        <f t="shared" si="2"/>
        <v>3.3161255787892263</v>
      </c>
      <c r="AC10" s="425">
        <f t="shared" si="2"/>
        <v>3.4906585039886591</v>
      </c>
      <c r="AD10" s="425">
        <f t="shared" si="2"/>
        <v>3.6651914291880923</v>
      </c>
      <c r="AE10" s="425">
        <f t="shared" si="2"/>
        <v>3.839724354387525</v>
      </c>
      <c r="AF10" s="425">
        <f t="shared" si="2"/>
        <v>4.0142572795869578</v>
      </c>
      <c r="AG10" s="425">
        <f t="shared" si="2"/>
        <v>4.1887902047863905</v>
      </c>
      <c r="AH10" s="425">
        <f t="shared" si="2"/>
        <v>4.3633231299858233</v>
      </c>
      <c r="AI10" s="425">
        <f t="shared" si="2"/>
        <v>4.5378560551852569</v>
      </c>
      <c r="AJ10" s="425">
        <f t="shared" si="2"/>
        <v>4.7123889803846897</v>
      </c>
      <c r="AK10" s="425">
        <f t="shared" si="2"/>
        <v>4.8869219055841224</v>
      </c>
      <c r="AL10" s="425">
        <f t="shared" si="2"/>
        <v>5.0614548307835552</v>
      </c>
      <c r="AM10" s="425">
        <f t="shared" si="2"/>
        <v>5.2359877559829888</v>
      </c>
      <c r="AN10" s="425">
        <f t="shared" si="2"/>
        <v>5.4105206811824216</v>
      </c>
      <c r="AO10" s="425">
        <f t="shared" si="2"/>
        <v>5.5850536063818543</v>
      </c>
      <c r="AP10" s="425">
        <f t="shared" si="2"/>
        <v>5.7595865315812871</v>
      </c>
      <c r="AQ10" s="425">
        <f t="shared" si="2"/>
        <v>5.9341194567807207</v>
      </c>
      <c r="AR10" s="425">
        <f t="shared" si="2"/>
        <v>6.1086523819801526</v>
      </c>
      <c r="AS10" s="425">
        <f t="shared" si="2"/>
        <v>6.2831853071795862</v>
      </c>
      <c r="AT10" s="425">
        <f t="shared" si="2"/>
        <v>6.457718232379019</v>
      </c>
      <c r="AU10" s="425">
        <f t="shared" si="2"/>
        <v>6.6322511575784526</v>
      </c>
      <c r="AV10" s="425">
        <f t="shared" si="2"/>
        <v>6.8067840827778845</v>
      </c>
      <c r="AW10" s="425">
        <f t="shared" si="2"/>
        <v>6.9813170079773181</v>
      </c>
      <c r="AX10" s="425">
        <f t="shared" si="2"/>
        <v>7.1558499331767509</v>
      </c>
    </row>
    <row r="11" spans="2:50" x14ac:dyDescent="0.25">
      <c r="H11" s="5" t="s">
        <v>914</v>
      </c>
      <c r="I11" s="95" t="s">
        <v>298</v>
      </c>
      <c r="J11" s="425">
        <f>IF($I$11=$M$3,J9,J10)</f>
        <v>10</v>
      </c>
      <c r="K11" s="425">
        <f t="shared" ref="K11:AX11" si="3">IF($I$11=$M$3,K9,K10)</f>
        <v>20</v>
      </c>
      <c r="L11" s="425">
        <f t="shared" si="3"/>
        <v>30</v>
      </c>
      <c r="M11" s="425">
        <f t="shared" si="3"/>
        <v>40</v>
      </c>
      <c r="N11" s="425">
        <f t="shared" si="3"/>
        <v>50</v>
      </c>
      <c r="O11" s="425">
        <f t="shared" si="3"/>
        <v>60</v>
      </c>
      <c r="P11" s="425">
        <f t="shared" si="3"/>
        <v>70</v>
      </c>
      <c r="Q11" s="425">
        <f t="shared" si="3"/>
        <v>80</v>
      </c>
      <c r="R11" s="425">
        <f t="shared" si="3"/>
        <v>90</v>
      </c>
      <c r="S11" s="425">
        <f t="shared" si="3"/>
        <v>100</v>
      </c>
      <c r="T11" s="425">
        <f t="shared" si="3"/>
        <v>110</v>
      </c>
      <c r="U11" s="425">
        <f t="shared" si="3"/>
        <v>120</v>
      </c>
      <c r="V11" s="425">
        <f t="shared" si="3"/>
        <v>130</v>
      </c>
      <c r="W11" s="425">
        <f t="shared" si="3"/>
        <v>140</v>
      </c>
      <c r="X11" s="425">
        <f t="shared" si="3"/>
        <v>150</v>
      </c>
      <c r="Y11" s="425">
        <f t="shared" si="3"/>
        <v>160</v>
      </c>
      <c r="Z11" s="425">
        <f t="shared" si="3"/>
        <v>170</v>
      </c>
      <c r="AA11" s="425">
        <f t="shared" si="3"/>
        <v>180</v>
      </c>
      <c r="AB11" s="425">
        <f t="shared" si="3"/>
        <v>190</v>
      </c>
      <c r="AC11" s="425">
        <f t="shared" si="3"/>
        <v>200</v>
      </c>
      <c r="AD11" s="425">
        <f t="shared" si="3"/>
        <v>210</v>
      </c>
      <c r="AE11" s="425">
        <f t="shared" si="3"/>
        <v>220</v>
      </c>
      <c r="AF11" s="425">
        <f t="shared" si="3"/>
        <v>230</v>
      </c>
      <c r="AG11" s="425">
        <f t="shared" si="3"/>
        <v>240</v>
      </c>
      <c r="AH11" s="425">
        <f t="shared" si="3"/>
        <v>250</v>
      </c>
      <c r="AI11" s="425">
        <f t="shared" si="3"/>
        <v>260</v>
      </c>
      <c r="AJ11" s="425">
        <f t="shared" si="3"/>
        <v>270</v>
      </c>
      <c r="AK11" s="425">
        <f t="shared" si="3"/>
        <v>280</v>
      </c>
      <c r="AL11" s="425">
        <f t="shared" si="3"/>
        <v>290</v>
      </c>
      <c r="AM11" s="425">
        <f t="shared" si="3"/>
        <v>300</v>
      </c>
      <c r="AN11" s="425">
        <f t="shared" si="3"/>
        <v>310</v>
      </c>
      <c r="AO11" s="425">
        <f t="shared" si="3"/>
        <v>320</v>
      </c>
      <c r="AP11" s="425">
        <f t="shared" si="3"/>
        <v>330</v>
      </c>
      <c r="AQ11" s="425">
        <f t="shared" si="3"/>
        <v>340</v>
      </c>
      <c r="AR11" s="425">
        <f t="shared" si="3"/>
        <v>350</v>
      </c>
      <c r="AS11" s="425">
        <f t="shared" si="3"/>
        <v>360</v>
      </c>
      <c r="AT11" s="425">
        <f t="shared" si="3"/>
        <v>370</v>
      </c>
      <c r="AU11" s="425">
        <f t="shared" si="3"/>
        <v>380</v>
      </c>
      <c r="AV11" s="425">
        <f t="shared" si="3"/>
        <v>390</v>
      </c>
      <c r="AW11" s="425">
        <f t="shared" si="3"/>
        <v>400</v>
      </c>
      <c r="AX11" s="425">
        <f t="shared" si="3"/>
        <v>410</v>
      </c>
    </row>
    <row r="12" spans="2:50" x14ac:dyDescent="0.25">
      <c r="B12" s="5" t="s">
        <v>614</v>
      </c>
      <c r="C12" s="5" t="str">
        <f>Einheitenvorsätze!C58</f>
        <v>φ</v>
      </c>
      <c r="D12" s="5" t="s">
        <v>410</v>
      </c>
      <c r="E12" s="5" t="s">
        <v>915</v>
      </c>
      <c r="F12" s="5" t="s">
        <v>917</v>
      </c>
      <c r="G12" s="423" t="s">
        <v>916</v>
      </c>
      <c r="H12" s="426" t="str">
        <f>_xlfn.CONCAT("y1 = sin(",Einheitenvorsätze!C38,")")</f>
        <v>y1 = sin(α)</v>
      </c>
      <c r="I12" s="427" t="s">
        <v>63</v>
      </c>
      <c r="J12" s="425">
        <f>IF($I$12=$N$3,SIN(J10),0)</f>
        <v>0.17364817766693033</v>
      </c>
      <c r="K12" s="425">
        <f t="shared" ref="K12:AX12" si="4">IF($I$12=$N$3,SIN(K10),0)</f>
        <v>0.34202014332566871</v>
      </c>
      <c r="L12" s="425">
        <f t="shared" si="4"/>
        <v>0.49999999999999994</v>
      </c>
      <c r="M12" s="425">
        <f t="shared" si="4"/>
        <v>0.64278760968653925</v>
      </c>
      <c r="N12" s="425">
        <f t="shared" si="4"/>
        <v>0.76604444311897801</v>
      </c>
      <c r="O12" s="425">
        <f t="shared" si="4"/>
        <v>0.8660254037844386</v>
      </c>
      <c r="P12" s="425">
        <f t="shared" si="4"/>
        <v>0.93969262078590832</v>
      </c>
      <c r="Q12" s="425">
        <f t="shared" si="4"/>
        <v>0.98480775301220802</v>
      </c>
      <c r="R12" s="425">
        <f t="shared" si="4"/>
        <v>1</v>
      </c>
      <c r="S12" s="425">
        <f t="shared" si="4"/>
        <v>0.98480775301220802</v>
      </c>
      <c r="T12" s="425">
        <f t="shared" si="4"/>
        <v>0.93969262078590843</v>
      </c>
      <c r="U12" s="425">
        <f t="shared" si="4"/>
        <v>0.86602540378443871</v>
      </c>
      <c r="V12" s="425">
        <f t="shared" si="4"/>
        <v>0.76604444311897801</v>
      </c>
      <c r="W12" s="425">
        <f t="shared" si="4"/>
        <v>0.64278760968653947</v>
      </c>
      <c r="X12" s="425">
        <f t="shared" si="4"/>
        <v>0.49999999999999994</v>
      </c>
      <c r="Y12" s="425">
        <f t="shared" si="4"/>
        <v>0.34202014332566888</v>
      </c>
      <c r="Z12" s="425">
        <f t="shared" si="4"/>
        <v>0.17364817766693028</v>
      </c>
      <c r="AA12" s="425">
        <f t="shared" si="4"/>
        <v>1.22514845490862E-16</v>
      </c>
      <c r="AB12" s="425">
        <f t="shared" si="4"/>
        <v>-0.17364817766693047</v>
      </c>
      <c r="AC12" s="425">
        <f t="shared" si="4"/>
        <v>-0.34202014332566866</v>
      </c>
      <c r="AD12" s="425">
        <f t="shared" si="4"/>
        <v>-0.50000000000000011</v>
      </c>
      <c r="AE12" s="425">
        <f t="shared" si="4"/>
        <v>-0.64278760968653925</v>
      </c>
      <c r="AF12" s="425">
        <f t="shared" si="4"/>
        <v>-0.7660444431189779</v>
      </c>
      <c r="AG12" s="425">
        <f t="shared" si="4"/>
        <v>-0.86602540378443837</v>
      </c>
      <c r="AH12" s="425">
        <f t="shared" si="4"/>
        <v>-0.93969262078590821</v>
      </c>
      <c r="AI12" s="425">
        <f t="shared" si="4"/>
        <v>-0.98480775301220802</v>
      </c>
      <c r="AJ12" s="425">
        <f t="shared" si="4"/>
        <v>-1</v>
      </c>
      <c r="AK12" s="425">
        <f t="shared" si="4"/>
        <v>-0.98480775301220813</v>
      </c>
      <c r="AL12" s="425">
        <f t="shared" si="4"/>
        <v>-0.93969262078590854</v>
      </c>
      <c r="AM12" s="425">
        <f t="shared" si="4"/>
        <v>-0.8660254037844386</v>
      </c>
      <c r="AN12" s="425">
        <f t="shared" si="4"/>
        <v>-0.76604444311897812</v>
      </c>
      <c r="AO12" s="425">
        <f t="shared" si="4"/>
        <v>-0.64278760968653958</v>
      </c>
      <c r="AP12" s="425">
        <f t="shared" si="4"/>
        <v>-0.50000000000000044</v>
      </c>
      <c r="AQ12" s="425">
        <f t="shared" si="4"/>
        <v>-0.3420201433256686</v>
      </c>
      <c r="AR12" s="425">
        <f t="shared" si="4"/>
        <v>-0.17364817766693127</v>
      </c>
      <c r="AS12" s="425">
        <f t="shared" si="4"/>
        <v>-2.45029690981724E-16</v>
      </c>
      <c r="AT12" s="425">
        <f t="shared" si="4"/>
        <v>0.17364817766692991</v>
      </c>
      <c r="AU12" s="425">
        <f t="shared" si="4"/>
        <v>0.34202014332566893</v>
      </c>
      <c r="AV12" s="425">
        <f t="shared" si="4"/>
        <v>0.49999999999999928</v>
      </c>
      <c r="AW12" s="425">
        <f t="shared" si="4"/>
        <v>0.64278760968653914</v>
      </c>
      <c r="AX12" s="425">
        <f t="shared" si="4"/>
        <v>0.76604444311897779</v>
      </c>
    </row>
    <row r="13" spans="2:50" x14ac:dyDescent="0.25">
      <c r="B13" s="104">
        <v>5</v>
      </c>
      <c r="C13" s="104">
        <v>90</v>
      </c>
      <c r="D13" s="104" t="s">
        <v>298</v>
      </c>
      <c r="E13" s="246">
        <f>IF($D$13=$M$4,C13,RADIANS(C13))</f>
        <v>1.5707963267948966</v>
      </c>
      <c r="F13" s="246">
        <f>DEGREES(E13)</f>
        <v>90</v>
      </c>
      <c r="G13" s="424">
        <v>3</v>
      </c>
      <c r="H13" s="428" t="str">
        <f>_xlfn.CONCAT("y2 = ",B13," * sin(",$G$13," * ",Einheitenvorsätze!C38," + ",_xlfn.CONCAT($C$13,MID($D$13,2,LEN($D$13)-2)),")")</f>
        <v>y2 = 5 * sin(3 * α + 90°)</v>
      </c>
      <c r="I13" s="429" t="s">
        <v>63</v>
      </c>
      <c r="J13" s="425">
        <f>IF($I$13=$N$3,$B$13*SIN($G$13*J10+$E$13),0)</f>
        <v>4.3301270189221936</v>
      </c>
      <c r="K13" s="425">
        <f>IF($I$13=$N$3,$B$13*SIN($G$13*K10+$E$13),0)</f>
        <v>2.5000000000000018</v>
      </c>
      <c r="L13" s="425">
        <f t="shared" ref="L13:AX13" si="5">IF($I$13=$N$3,$B$13*SIN($G$13*L10+$E$13),0)</f>
        <v>6.1257422745431001E-16</v>
      </c>
      <c r="M13" s="425">
        <f t="shared" si="5"/>
        <v>-2.4999999999999987</v>
      </c>
      <c r="N13" s="425">
        <f t="shared" si="5"/>
        <v>-4.3301270189221945</v>
      </c>
      <c r="O13" s="425">
        <f t="shared" si="5"/>
        <v>-5</v>
      </c>
      <c r="P13" s="425">
        <f t="shared" si="5"/>
        <v>-4.3301270189221954</v>
      </c>
      <c r="Q13" s="425">
        <f t="shared" si="5"/>
        <v>-2.5000000000000022</v>
      </c>
      <c r="R13" s="425">
        <f t="shared" si="5"/>
        <v>-1.22514845490862E-15</v>
      </c>
      <c r="S13" s="425">
        <f t="shared" si="5"/>
        <v>2.5</v>
      </c>
      <c r="T13" s="425">
        <f t="shared" si="5"/>
        <v>4.3301270189221945</v>
      </c>
      <c r="U13" s="425">
        <f t="shared" si="5"/>
        <v>5</v>
      </c>
      <c r="V13" s="425">
        <f t="shared" si="5"/>
        <v>4.330127018922191</v>
      </c>
      <c r="W13" s="425">
        <f t="shared" si="5"/>
        <v>2.4999999999999991</v>
      </c>
      <c r="X13" s="425">
        <f t="shared" si="5"/>
        <v>1.83772268236293E-15</v>
      </c>
      <c r="Y13" s="425">
        <f t="shared" si="5"/>
        <v>-2.499999999999996</v>
      </c>
      <c r="Z13" s="425">
        <f t="shared" si="5"/>
        <v>-4.3301270189221936</v>
      </c>
      <c r="AA13" s="425">
        <f t="shared" si="5"/>
        <v>-5</v>
      </c>
      <c r="AB13" s="425">
        <f t="shared" si="5"/>
        <v>-4.330127018922191</v>
      </c>
      <c r="AC13" s="425">
        <f t="shared" si="5"/>
        <v>-2.4999999999999996</v>
      </c>
      <c r="AD13" s="425">
        <f t="shared" si="5"/>
        <v>6.4314872871840123E-15</v>
      </c>
      <c r="AE13" s="425">
        <f t="shared" si="5"/>
        <v>2.5000000000000027</v>
      </c>
      <c r="AF13" s="425">
        <f t="shared" si="5"/>
        <v>4.3301270189221936</v>
      </c>
      <c r="AG13" s="425">
        <f t="shared" si="5"/>
        <v>5</v>
      </c>
      <c r="AH13" s="425">
        <f t="shared" si="5"/>
        <v>4.3301270189221963</v>
      </c>
      <c r="AI13" s="425">
        <f t="shared" si="5"/>
        <v>2.5</v>
      </c>
      <c r="AJ13" s="425">
        <f t="shared" si="5"/>
        <v>3.06287113727155E-15</v>
      </c>
      <c r="AK13" s="425">
        <f t="shared" si="5"/>
        <v>-2.4999999999999947</v>
      </c>
      <c r="AL13" s="425">
        <f t="shared" si="5"/>
        <v>-4.3301270189221883</v>
      </c>
      <c r="AM13" s="425">
        <f t="shared" si="5"/>
        <v>-5</v>
      </c>
      <c r="AN13" s="425">
        <f t="shared" si="5"/>
        <v>-4.3301270189221919</v>
      </c>
      <c r="AO13" s="425">
        <f t="shared" si="5"/>
        <v>-2.500000000000016</v>
      </c>
      <c r="AP13" s="425">
        <f t="shared" si="5"/>
        <v>-3.67544536472586E-15</v>
      </c>
      <c r="AQ13" s="425">
        <f t="shared" si="5"/>
        <v>2.5000000000000093</v>
      </c>
      <c r="AR13" s="425">
        <f t="shared" si="5"/>
        <v>4.3301270189221883</v>
      </c>
      <c r="AS13" s="425">
        <f t="shared" si="5"/>
        <v>5</v>
      </c>
      <c r="AT13" s="425">
        <f t="shared" si="5"/>
        <v>4.3301270189222016</v>
      </c>
      <c r="AU13" s="425">
        <f t="shared" si="5"/>
        <v>2.5000000000000009</v>
      </c>
      <c r="AV13" s="425">
        <f t="shared" si="5"/>
        <v>2.2051587986182675E-14</v>
      </c>
      <c r="AW13" s="425">
        <f t="shared" si="5"/>
        <v>-2.4999999999999938</v>
      </c>
      <c r="AX13" s="425">
        <f t="shared" si="5"/>
        <v>-4.3301270189221972</v>
      </c>
    </row>
    <row r="14" spans="2:50" x14ac:dyDescent="0.25">
      <c r="B14" s="1" t="s">
        <v>918</v>
      </c>
      <c r="C14" s="104">
        <v>80</v>
      </c>
      <c r="D14" s="104" t="s">
        <v>298</v>
      </c>
      <c r="E14" s="246">
        <f>IF($D$13=$M$4,C14,RADIANS(C14))</f>
        <v>1.3962634015954636</v>
      </c>
      <c r="F14" s="246">
        <f>DEGREES(E14)</f>
        <v>80</v>
      </c>
      <c r="G14" s="169">
        <f>IF($I$12=$N$3,SIN(E14),0)</f>
        <v>0.98480775301220802</v>
      </c>
    </row>
    <row r="15" spans="2:50" x14ac:dyDescent="0.25">
      <c r="G15" s="431">
        <f>IF($I$13=$N$3,$B$13*SIN($G$13*$E$14+$E$13),0)</f>
        <v>-2.5000000000000022</v>
      </c>
    </row>
    <row r="22" spans="4:10" x14ac:dyDescent="0.25">
      <c r="H22" t="s">
        <v>921</v>
      </c>
    </row>
    <row r="23" spans="4:10" x14ac:dyDescent="0.25">
      <c r="D23" t="str">
        <f>B14</f>
        <v>Messwert:</v>
      </c>
      <c r="E23" s="24">
        <f>$F$14</f>
        <v>80</v>
      </c>
      <c r="F23" s="24">
        <f>E23</f>
        <v>80</v>
      </c>
      <c r="H23" t="str">
        <f>H12</f>
        <v>y1 = sin(α)</v>
      </c>
      <c r="I23" s="55">
        <v>0</v>
      </c>
      <c r="J23" s="55">
        <f>IF($I$12=$N$3,G14*COS(E14),0)</f>
        <v>0.17101007166283441</v>
      </c>
    </row>
    <row r="24" spans="4:10" x14ac:dyDescent="0.25">
      <c r="E24" s="99">
        <f>MIN($G$14:$G$15)</f>
        <v>-2.5000000000000022</v>
      </c>
      <c r="F24">
        <f>MAX($G$14:$G$15)</f>
        <v>0.98480775301220802</v>
      </c>
      <c r="I24" s="55">
        <v>0</v>
      </c>
      <c r="J24">
        <f>IF($I$12=$N$3,G14*SIN(E14),0)</f>
        <v>0.9698463103929541</v>
      </c>
    </row>
    <row r="25" spans="4:10" x14ac:dyDescent="0.25">
      <c r="H25" t="str">
        <f>H13</f>
        <v>y2 = 5 * sin(3 * α + 90°)</v>
      </c>
      <c r="I25" s="55">
        <v>0</v>
      </c>
      <c r="J25">
        <f>IF($I$12=$N$3,G15*COS(E14),0)</f>
        <v>-0.43412044416732642</v>
      </c>
    </row>
    <row r="26" spans="4:10" x14ac:dyDescent="0.25">
      <c r="D26" t="s">
        <v>919</v>
      </c>
      <c r="E26" s="430">
        <f>$J$11</f>
        <v>10</v>
      </c>
      <c r="F26" s="430">
        <f>1.05*$AX$11</f>
        <v>430.5</v>
      </c>
      <c r="I26" s="55">
        <v>0</v>
      </c>
      <c r="J26">
        <f>IF($I$12=$N$3,G15*SIN(E14),0)</f>
        <v>-2.4620193825305221</v>
      </c>
    </row>
    <row r="27" spans="4:10" x14ac:dyDescent="0.25">
      <c r="E27">
        <v>0</v>
      </c>
      <c r="F27">
        <v>0</v>
      </c>
    </row>
    <row r="29" spans="4:10" x14ac:dyDescent="0.25">
      <c r="D29" t="s">
        <v>920</v>
      </c>
      <c r="E29" s="430">
        <f>$J$11</f>
        <v>10</v>
      </c>
      <c r="F29" s="430">
        <f>E29</f>
        <v>10</v>
      </c>
      <c r="H29" t="str">
        <f>D26</f>
        <v>X-Achse:</v>
      </c>
    </row>
    <row r="30" spans="4:10" x14ac:dyDescent="0.25">
      <c r="E30" s="430">
        <f>MIN($J$12:$AX$13)</f>
        <v>-5</v>
      </c>
      <c r="F30" s="430">
        <f>1.05*MAX($J$12:$AX$13)</f>
        <v>5.25</v>
      </c>
    </row>
    <row r="32" spans="4:10" x14ac:dyDescent="0.25">
      <c r="H32" t="str">
        <f>D29</f>
        <v>Y-Achse:</v>
      </c>
    </row>
  </sheetData>
  <dataValidations count="2">
    <dataValidation type="list" allowBlank="1" showInputMessage="1" showErrorMessage="1" sqref="I11 D13:D14" xr:uid="{CFDF1661-43C1-4DC2-8778-2BD9E5D986A2}">
      <formula1>$M$3:$M$4</formula1>
    </dataValidation>
    <dataValidation type="list" allowBlank="1" showInputMessage="1" showErrorMessage="1" sqref="I12:I13" xr:uid="{A5EA04D2-15E2-444F-A4AA-AB02657A1DFE}">
      <formula1>$N$3:$N$4</formula1>
    </dataValidation>
  </dataValidations>
  <pageMargins left="0.7" right="0.7" top="0.78740157499999996" bottom="0.78740157499999996" header="0.3" footer="0.3"/>
  <pageSetup paperSize="9" orientation="portrait" verticalDpi="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983CD-95BD-4046-A0B0-33D8FE19B550}">
  <dimension ref="C1:AC20"/>
  <sheetViews>
    <sheetView showGridLines="0" topLeftCell="A10" zoomScale="70" zoomScaleNormal="70" workbookViewId="0">
      <selection activeCell="H17" sqref="H17"/>
    </sheetView>
  </sheetViews>
  <sheetFormatPr baseColWidth="10" defaultRowHeight="15" x14ac:dyDescent="0.25"/>
  <cols>
    <col min="1" max="1" width="3.85546875" customWidth="1"/>
    <col min="2" max="2" width="11.85546875" customWidth="1"/>
    <col min="3" max="3" width="19.85546875" customWidth="1"/>
    <col min="4" max="4" width="12.42578125" customWidth="1"/>
    <col min="5" max="5" width="9.85546875" customWidth="1"/>
    <col min="6" max="6" width="12.42578125" customWidth="1"/>
    <col min="7" max="7" width="9.85546875" customWidth="1"/>
    <col min="8" max="8" width="11.42578125" customWidth="1"/>
    <col min="9" max="10" width="16" customWidth="1"/>
    <col min="11" max="11" width="15.5703125" customWidth="1"/>
    <col min="12" max="12" width="15" customWidth="1"/>
    <col min="13" max="13" width="17.85546875" customWidth="1"/>
    <col min="14" max="14" width="13" customWidth="1"/>
    <col min="19" max="19" width="16.42578125" customWidth="1"/>
    <col min="20" max="20" width="16.85546875" customWidth="1"/>
  </cols>
  <sheetData>
    <row r="1" spans="3:29" ht="39.950000000000003" customHeight="1" x14ac:dyDescent="0.25"/>
    <row r="2" spans="3:29" ht="26.25" x14ac:dyDescent="0.4">
      <c r="C2" s="29" t="s">
        <v>327</v>
      </c>
      <c r="D2" s="29"/>
      <c r="L2" s="26"/>
      <c r="M2" s="91"/>
      <c r="R2" s="73" t="s">
        <v>234</v>
      </c>
      <c r="S2" s="73" t="s">
        <v>203</v>
      </c>
      <c r="T2" s="73" t="s">
        <v>211</v>
      </c>
      <c r="V2" s="73" t="s">
        <v>231</v>
      </c>
      <c r="W2" s="73"/>
      <c r="Y2" s="73" t="s">
        <v>230</v>
      </c>
      <c r="Z2" s="73"/>
      <c r="AA2" s="73"/>
      <c r="AB2" s="73"/>
      <c r="AC2" s="73"/>
    </row>
    <row r="3" spans="3:29" x14ac:dyDescent="0.25">
      <c r="R3" s="109" t="s">
        <v>235</v>
      </c>
      <c r="S3" s="5" t="s">
        <v>201</v>
      </c>
      <c r="T3" s="5" t="s">
        <v>212</v>
      </c>
      <c r="V3" s="74">
        <f>MIN(K14:L20)</f>
        <v>-209.99999999999997</v>
      </c>
      <c r="W3" s="74">
        <f>MAX(K14:L20)</f>
        <v>363.73066958946424</v>
      </c>
      <c r="Y3" s="5" t="s">
        <v>232</v>
      </c>
      <c r="Z3" s="5">
        <v>0</v>
      </c>
      <c r="AA3" s="5">
        <f>W5</f>
        <v>400.10373654841072</v>
      </c>
      <c r="AB3" s="5">
        <v>0</v>
      </c>
      <c r="AC3" s="5">
        <v>0</v>
      </c>
    </row>
    <row r="4" spans="3:29" x14ac:dyDescent="0.25">
      <c r="R4" s="109" t="s">
        <v>236</v>
      </c>
      <c r="S4" s="5" t="s">
        <v>202</v>
      </c>
      <c r="T4" s="5" t="s">
        <v>213</v>
      </c>
      <c r="V4" s="5">
        <f>ABS(V3)</f>
        <v>209.99999999999997</v>
      </c>
      <c r="W4" s="5">
        <f>ABS(W3)</f>
        <v>363.73066958946424</v>
      </c>
      <c r="Y4" s="5" t="s">
        <v>233</v>
      </c>
      <c r="Z4" s="5">
        <v>0</v>
      </c>
      <c r="AA4" s="5">
        <v>0</v>
      </c>
      <c r="AB4" s="5">
        <v>0</v>
      </c>
      <c r="AC4" s="5">
        <f>AA3</f>
        <v>400.10373654841072</v>
      </c>
    </row>
    <row r="5" spans="3:29" x14ac:dyDescent="0.25">
      <c r="R5" s="109" t="s">
        <v>237</v>
      </c>
      <c r="S5" s="5" t="s">
        <v>205</v>
      </c>
      <c r="T5" s="5" t="s">
        <v>214</v>
      </c>
      <c r="V5" s="5">
        <f>MAX(V4:W4)</f>
        <v>363.73066958946424</v>
      </c>
      <c r="W5" s="5">
        <f>V5*1.1</f>
        <v>400.10373654841072</v>
      </c>
    </row>
    <row r="6" spans="3:29" x14ac:dyDescent="0.25">
      <c r="R6" s="5" t="s">
        <v>260</v>
      </c>
      <c r="S6" s="5"/>
      <c r="T6" s="5" t="s">
        <v>215</v>
      </c>
    </row>
    <row r="7" spans="3:29" x14ac:dyDescent="0.25">
      <c r="R7" s="5" t="s">
        <v>63</v>
      </c>
      <c r="S7" s="5"/>
      <c r="T7" s="5"/>
    </row>
    <row r="8" spans="3:29" x14ac:dyDescent="0.25">
      <c r="R8" s="5"/>
      <c r="S8" s="5"/>
      <c r="T8" s="5"/>
    </row>
    <row r="12" spans="3:29" x14ac:dyDescent="0.25">
      <c r="C12" s="451" t="s">
        <v>216</v>
      </c>
      <c r="D12" s="451"/>
      <c r="E12" s="451"/>
      <c r="F12" s="451"/>
      <c r="G12" s="451"/>
      <c r="H12" s="56"/>
      <c r="I12" s="451" t="s">
        <v>217</v>
      </c>
      <c r="J12" s="451"/>
      <c r="K12" s="451" t="s">
        <v>212</v>
      </c>
      <c r="L12" s="451"/>
      <c r="M12" s="451" t="s">
        <v>218</v>
      </c>
      <c r="N12" s="451"/>
      <c r="O12" s="451"/>
      <c r="P12" s="450" t="s">
        <v>229</v>
      </c>
      <c r="Q12" s="450"/>
      <c r="R12" s="450"/>
      <c r="S12" s="450"/>
      <c r="T12" s="450" t="s">
        <v>261</v>
      </c>
      <c r="U12" s="450"/>
      <c r="V12" s="450"/>
      <c r="W12" s="450"/>
    </row>
    <row r="13" spans="3:29" x14ac:dyDescent="0.25">
      <c r="C13" s="100" t="s">
        <v>196</v>
      </c>
      <c r="D13" s="100" t="s">
        <v>198</v>
      </c>
      <c r="E13" s="100" t="s">
        <v>197</v>
      </c>
      <c r="F13" s="100" t="s">
        <v>199</v>
      </c>
      <c r="G13" s="100" t="s">
        <v>200</v>
      </c>
      <c r="H13" s="100" t="s">
        <v>234</v>
      </c>
      <c r="I13" s="100" t="s">
        <v>211</v>
      </c>
      <c r="J13" s="100" t="s">
        <v>208</v>
      </c>
      <c r="K13" s="100" t="s">
        <v>209</v>
      </c>
      <c r="L13" s="100" t="s">
        <v>210</v>
      </c>
      <c r="M13" s="100" t="s">
        <v>206</v>
      </c>
      <c r="N13" s="100" t="s">
        <v>207</v>
      </c>
      <c r="O13" s="100" t="s">
        <v>208</v>
      </c>
      <c r="P13" s="100" t="s">
        <v>225</v>
      </c>
      <c r="Q13" s="100" t="s">
        <v>226</v>
      </c>
      <c r="R13" s="100" t="s">
        <v>227</v>
      </c>
      <c r="S13" s="100" t="s">
        <v>228</v>
      </c>
      <c r="T13" s="100" t="s">
        <v>225</v>
      </c>
      <c r="U13" s="100" t="s">
        <v>226</v>
      </c>
      <c r="V13" s="100" t="s">
        <v>227</v>
      </c>
      <c r="W13" s="100" t="s">
        <v>228</v>
      </c>
    </row>
    <row r="14" spans="3:29" x14ac:dyDescent="0.25">
      <c r="C14" s="4" t="s">
        <v>204</v>
      </c>
      <c r="D14" s="4">
        <v>420</v>
      </c>
      <c r="E14" s="92" t="s">
        <v>205</v>
      </c>
      <c r="F14" s="4">
        <v>-30</v>
      </c>
      <c r="G14" s="4" t="s">
        <v>201</v>
      </c>
      <c r="H14" s="103"/>
      <c r="I14" s="5" t="str">
        <f>IF(AND(E14=$S$5,G14=$S$5),$T$3,IF(AND(E14=$S$5,G14=$S$4),$T$4,IF(AND(E14=$S$5,G14=$S$3),$T$5,$T$6)))</f>
        <v>Polar [°]</v>
      </c>
      <c r="J14" s="74">
        <f>IF(I14=$T$5,F14*PI()/180,IF(I14=$T$4,F14,""))</f>
        <v>-0.52359877559829882</v>
      </c>
      <c r="K14" s="101">
        <f>IF(I14=$T$3,D14,D14*COS(J14))</f>
        <v>363.73066958946424</v>
      </c>
      <c r="L14" s="101">
        <f>IF(I14=$T$3,F14,D14*SIN(J14))</f>
        <v>-209.99999999999997</v>
      </c>
      <c r="M14" s="102">
        <f>SQRT(K14^2 + L14^2)</f>
        <v>420</v>
      </c>
      <c r="N14" s="102">
        <f>DEGREES(ATAN2(K14,L14))</f>
        <v>-29.999999999999996</v>
      </c>
      <c r="O14" s="102">
        <f>ATAN2(K14,L14)</f>
        <v>-0.52359877559829882</v>
      </c>
      <c r="P14" s="74">
        <v>0</v>
      </c>
      <c r="Q14" s="74">
        <f>K14</f>
        <v>363.73066958946424</v>
      </c>
      <c r="R14" s="74">
        <v>0</v>
      </c>
      <c r="S14" s="74">
        <f>L14</f>
        <v>-209.99999999999997</v>
      </c>
      <c r="T14" s="110"/>
      <c r="U14" s="110"/>
      <c r="V14" s="110"/>
      <c r="W14" s="110"/>
    </row>
    <row r="15" spans="3:29" x14ac:dyDescent="0.25">
      <c r="C15" s="4" t="s">
        <v>219</v>
      </c>
      <c r="D15" s="4">
        <v>150</v>
      </c>
      <c r="E15" s="92" t="s">
        <v>205</v>
      </c>
      <c r="F15" s="4">
        <v>4</v>
      </c>
      <c r="G15" s="4" t="s">
        <v>202</v>
      </c>
      <c r="H15" s="104" t="s">
        <v>235</v>
      </c>
      <c r="I15" s="5" t="str">
        <f t="shared" ref="I15:I20" si="0">IF(AND(E15=$S$5,G15=$S$5),$T$3,IF(AND(E15=$S$5,G15=$S$4),$T$4,IF(AND(E15=$S$5,G15=$S$3),$T$5,$T$6)))</f>
        <v>Polar [rad]</v>
      </c>
      <c r="J15" s="74">
        <f t="shared" ref="J15:J20" si="1">IF(I15=$T$5,F15*PI()/180,IF(I15=$T$4,F15,""))</f>
        <v>4</v>
      </c>
      <c r="K15" s="101">
        <f t="shared" ref="K15:K20" si="2">IF(I15=$T$3,D15,D15*COS(J15))</f>
        <v>-98.046543129541789</v>
      </c>
      <c r="L15" s="101">
        <f t="shared" ref="L15:L20" si="3">IF(I15=$T$3,F15,D15*SIN(J15))</f>
        <v>-113.52037429618923</v>
      </c>
      <c r="M15" s="102">
        <f t="shared" ref="M15:M20" si="4">SQRT(K15^2 + L15^2)</f>
        <v>150</v>
      </c>
      <c r="N15" s="102">
        <f t="shared" ref="N15:N20" si="5">DEGREES(ATAN2(K15,L15))</f>
        <v>-130.81688194767071</v>
      </c>
      <c r="O15" s="102">
        <f t="shared" ref="O15:O20" si="6">ATAN2(K15,L15)</f>
        <v>-2.2831853071795862</v>
      </c>
      <c r="P15" s="74">
        <f t="shared" ref="P15:P20" si="7">IF(H15=$R$6,0,IF(H15=$R$3,Q14,0))</f>
        <v>363.73066958946424</v>
      </c>
      <c r="Q15" s="74">
        <f t="shared" ref="Q15:Q20" si="8">IF(H15=$R$6,0,IF(H15=$R$3,K15+Q14,K15))</f>
        <v>265.68412645992248</v>
      </c>
      <c r="R15" s="74">
        <f t="shared" ref="R15:R20" si="9">IF(H15=$R$6,0,IF(H15=$R$3,S14,0))</f>
        <v>-209.99999999999997</v>
      </c>
      <c r="S15" s="74">
        <f t="shared" ref="S15:S20" si="10">IF(H15=$R$6,0,IF(H15=$R$3,S14+L15,L15))</f>
        <v>-323.52037429618917</v>
      </c>
      <c r="T15" s="74">
        <v>0</v>
      </c>
      <c r="U15" s="74">
        <v>0</v>
      </c>
      <c r="V15" s="74">
        <f t="shared" ref="V15:V20" si="11">IF(P15&lt;&gt;0,Q15,0)</f>
        <v>265.68412645992248</v>
      </c>
      <c r="W15" s="74">
        <f t="shared" ref="W15:W20" si="12">IF(R15&lt;&gt;0,S15,0)</f>
        <v>-323.52037429618917</v>
      </c>
    </row>
    <row r="16" spans="3:29" x14ac:dyDescent="0.25">
      <c r="C16" s="4" t="s">
        <v>220</v>
      </c>
      <c r="D16" s="4">
        <v>200</v>
      </c>
      <c r="E16" s="92" t="s">
        <v>205</v>
      </c>
      <c r="F16" s="4">
        <v>3.1415000000000002</v>
      </c>
      <c r="G16" s="4" t="s">
        <v>202</v>
      </c>
      <c r="H16" s="104" t="s">
        <v>235</v>
      </c>
      <c r="I16" s="5" t="str">
        <f t="shared" si="0"/>
        <v>Polar [rad]</v>
      </c>
      <c r="J16" s="74">
        <f t="shared" si="1"/>
        <v>3.1415000000000002</v>
      </c>
      <c r="K16" s="101">
        <f t="shared" si="2"/>
        <v>-199.99999914153125</v>
      </c>
      <c r="L16" s="101">
        <f t="shared" si="3"/>
        <v>1.8530717932098061E-2</v>
      </c>
      <c r="M16" s="102">
        <f t="shared" si="4"/>
        <v>200.00000000000003</v>
      </c>
      <c r="N16" s="102">
        <f t="shared" si="5"/>
        <v>179.99469134034814</v>
      </c>
      <c r="O16" s="102">
        <f t="shared" si="6"/>
        <v>3.1415000000000002</v>
      </c>
      <c r="P16" s="74">
        <f t="shared" si="7"/>
        <v>265.68412645992248</v>
      </c>
      <c r="Q16" s="74">
        <f t="shared" si="8"/>
        <v>65.684127318391234</v>
      </c>
      <c r="R16" s="74">
        <f t="shared" si="9"/>
        <v>-323.52037429618917</v>
      </c>
      <c r="S16" s="74">
        <f t="shared" si="10"/>
        <v>-323.50184357825708</v>
      </c>
      <c r="T16" s="74">
        <v>0</v>
      </c>
      <c r="U16" s="74">
        <v>0</v>
      </c>
      <c r="V16" s="74">
        <f t="shared" si="11"/>
        <v>65.684127318391234</v>
      </c>
      <c r="W16" s="74">
        <f t="shared" si="12"/>
        <v>-323.50184357825708</v>
      </c>
    </row>
    <row r="17" spans="3:23" x14ac:dyDescent="0.25">
      <c r="C17" s="4" t="s">
        <v>221</v>
      </c>
      <c r="D17" s="4">
        <v>0</v>
      </c>
      <c r="E17" s="92" t="s">
        <v>205</v>
      </c>
      <c r="F17" s="4">
        <v>100</v>
      </c>
      <c r="G17" s="4" t="s">
        <v>205</v>
      </c>
      <c r="H17" s="104" t="s">
        <v>235</v>
      </c>
      <c r="I17" s="5" t="str">
        <f t="shared" si="0"/>
        <v>Kartesisch</v>
      </c>
      <c r="J17" s="74" t="str">
        <f t="shared" si="1"/>
        <v/>
      </c>
      <c r="K17" s="101">
        <f t="shared" si="2"/>
        <v>0</v>
      </c>
      <c r="L17" s="101">
        <f t="shared" si="3"/>
        <v>100</v>
      </c>
      <c r="M17" s="102">
        <f t="shared" si="4"/>
        <v>100</v>
      </c>
      <c r="N17" s="102">
        <f t="shared" si="5"/>
        <v>90</v>
      </c>
      <c r="O17" s="102">
        <f t="shared" si="6"/>
        <v>1.5707963267948966</v>
      </c>
      <c r="P17" s="74">
        <f t="shared" si="7"/>
        <v>65.684127318391234</v>
      </c>
      <c r="Q17" s="74">
        <f t="shared" si="8"/>
        <v>65.684127318391234</v>
      </c>
      <c r="R17" s="74">
        <f t="shared" si="9"/>
        <v>-323.50184357825708</v>
      </c>
      <c r="S17" s="74">
        <f t="shared" si="10"/>
        <v>-223.50184357825708</v>
      </c>
      <c r="T17" s="74">
        <v>0</v>
      </c>
      <c r="U17" s="74">
        <v>0</v>
      </c>
      <c r="V17" s="74">
        <f t="shared" si="11"/>
        <v>65.684127318391234</v>
      </c>
      <c r="W17" s="74">
        <f t="shared" si="12"/>
        <v>-223.50184357825708</v>
      </c>
    </row>
    <row r="18" spans="3:23" x14ac:dyDescent="0.25">
      <c r="C18" s="4" t="s">
        <v>222</v>
      </c>
      <c r="D18" s="4">
        <v>20</v>
      </c>
      <c r="E18" s="92" t="s">
        <v>205</v>
      </c>
      <c r="F18" s="4">
        <v>100</v>
      </c>
      <c r="G18" s="4" t="s">
        <v>201</v>
      </c>
      <c r="H18" s="104" t="s">
        <v>260</v>
      </c>
      <c r="I18" s="5" t="str">
        <f t="shared" si="0"/>
        <v>Polar [°]</v>
      </c>
      <c r="J18" s="74">
        <f t="shared" si="1"/>
        <v>1.7453292519943295</v>
      </c>
      <c r="K18" s="101">
        <f t="shared" si="2"/>
        <v>-3.4729635533386061</v>
      </c>
      <c r="L18" s="101">
        <f t="shared" si="3"/>
        <v>19.696155060244159</v>
      </c>
      <c r="M18" s="102">
        <f t="shared" si="4"/>
        <v>19.999999999999996</v>
      </c>
      <c r="N18" s="102">
        <f t="shared" si="5"/>
        <v>100</v>
      </c>
      <c r="O18" s="102">
        <f t="shared" si="6"/>
        <v>1.7453292519943295</v>
      </c>
      <c r="P18" s="74">
        <f t="shared" si="7"/>
        <v>0</v>
      </c>
      <c r="Q18" s="74">
        <f t="shared" si="8"/>
        <v>0</v>
      </c>
      <c r="R18" s="74">
        <f t="shared" si="9"/>
        <v>0</v>
      </c>
      <c r="S18" s="74">
        <f t="shared" si="10"/>
        <v>0</v>
      </c>
      <c r="T18" s="74">
        <v>0</v>
      </c>
      <c r="U18" s="74">
        <v>0</v>
      </c>
      <c r="V18" s="74">
        <f t="shared" si="11"/>
        <v>0</v>
      </c>
      <c r="W18" s="74">
        <f t="shared" si="12"/>
        <v>0</v>
      </c>
    </row>
    <row r="19" spans="3:23" x14ac:dyDescent="0.25">
      <c r="C19" s="4" t="s">
        <v>223</v>
      </c>
      <c r="D19" s="4">
        <v>20</v>
      </c>
      <c r="E19" s="92" t="s">
        <v>205</v>
      </c>
      <c r="F19" s="4">
        <v>180</v>
      </c>
      <c r="G19" s="4" t="s">
        <v>201</v>
      </c>
      <c r="H19" s="104" t="s">
        <v>260</v>
      </c>
      <c r="I19" s="5" t="str">
        <f t="shared" si="0"/>
        <v>Polar [°]</v>
      </c>
      <c r="J19" s="74">
        <f t="shared" si="1"/>
        <v>3.1415926535897931</v>
      </c>
      <c r="K19" s="101">
        <f t="shared" si="2"/>
        <v>-20</v>
      </c>
      <c r="L19" s="101">
        <f t="shared" si="3"/>
        <v>2.45029690981724E-15</v>
      </c>
      <c r="M19" s="102">
        <f t="shared" si="4"/>
        <v>20</v>
      </c>
      <c r="N19" s="102">
        <f t="shared" si="5"/>
        <v>180</v>
      </c>
      <c r="O19" s="102">
        <f t="shared" si="6"/>
        <v>3.1415926535897931</v>
      </c>
      <c r="P19" s="74">
        <f t="shared" si="7"/>
        <v>0</v>
      </c>
      <c r="Q19" s="74">
        <f t="shared" si="8"/>
        <v>0</v>
      </c>
      <c r="R19" s="74">
        <f t="shared" si="9"/>
        <v>0</v>
      </c>
      <c r="S19" s="74">
        <f t="shared" si="10"/>
        <v>0</v>
      </c>
      <c r="T19" s="74">
        <v>0</v>
      </c>
      <c r="U19" s="74">
        <v>0</v>
      </c>
      <c r="V19" s="74">
        <f t="shared" si="11"/>
        <v>0</v>
      </c>
      <c r="W19" s="74">
        <f t="shared" si="12"/>
        <v>0</v>
      </c>
    </row>
    <row r="20" spans="3:23" x14ac:dyDescent="0.25">
      <c r="C20" s="4" t="s">
        <v>224</v>
      </c>
      <c r="D20" s="4">
        <v>20</v>
      </c>
      <c r="E20" s="92" t="s">
        <v>205</v>
      </c>
      <c r="F20" s="4">
        <v>6.5</v>
      </c>
      <c r="G20" s="4" t="s">
        <v>202</v>
      </c>
      <c r="H20" s="104" t="s">
        <v>260</v>
      </c>
      <c r="I20" s="5" t="str">
        <f t="shared" si="0"/>
        <v>Polar [rad]</v>
      </c>
      <c r="J20" s="74">
        <f t="shared" si="1"/>
        <v>6.5</v>
      </c>
      <c r="K20" s="101">
        <f t="shared" si="2"/>
        <v>19.53175251456047</v>
      </c>
      <c r="L20" s="101">
        <f t="shared" si="3"/>
        <v>4.3023997617563108</v>
      </c>
      <c r="M20" s="102">
        <f t="shared" si="4"/>
        <v>20</v>
      </c>
      <c r="N20" s="102">
        <f t="shared" si="5"/>
        <v>12.422566835035086</v>
      </c>
      <c r="O20" s="102">
        <f t="shared" si="6"/>
        <v>0.21681469282041352</v>
      </c>
      <c r="P20" s="74">
        <f t="shared" si="7"/>
        <v>0</v>
      </c>
      <c r="Q20" s="74">
        <f t="shared" si="8"/>
        <v>0</v>
      </c>
      <c r="R20" s="74">
        <f t="shared" si="9"/>
        <v>0</v>
      </c>
      <c r="S20" s="74">
        <f t="shared" si="10"/>
        <v>0</v>
      </c>
      <c r="T20" s="74">
        <v>0</v>
      </c>
      <c r="U20" s="74">
        <v>0</v>
      </c>
      <c r="V20" s="74">
        <f t="shared" si="11"/>
        <v>0</v>
      </c>
      <c r="W20" s="74">
        <f t="shared" si="12"/>
        <v>0</v>
      </c>
    </row>
  </sheetData>
  <mergeCells count="6">
    <mergeCell ref="T12:W12"/>
    <mergeCell ref="C12:G12"/>
    <mergeCell ref="K12:L12"/>
    <mergeCell ref="I12:J12"/>
    <mergeCell ref="M12:O12"/>
    <mergeCell ref="P12:S12"/>
  </mergeCells>
  <phoneticPr fontId="37" type="noConversion"/>
  <dataValidations count="2">
    <dataValidation type="list" allowBlank="1" showInputMessage="1" showErrorMessage="1" sqref="G14:G20" xr:uid="{9C4F05FB-CC72-4E7F-A544-E90FF225C3DB}">
      <formula1>$S$3:$S$5</formula1>
    </dataValidation>
    <dataValidation type="list" allowBlank="1" showInputMessage="1" showErrorMessage="1" sqref="H15:H20" xr:uid="{40622481-077B-49B4-B56E-6E260D8C4BBC}">
      <formula1>$R$3:$R$7</formula1>
    </dataValidation>
  </dataValidations>
  <pageMargins left="0.7" right="0.7" top="0.78740157499999996" bottom="0.78740157499999996" header="0.3" footer="0.3"/>
  <pageSetup paperSize="9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28866-E643-498C-AE8F-3008A8B56B76}">
  <dimension ref="B1:BB46"/>
  <sheetViews>
    <sheetView showGridLines="0" zoomScale="85" zoomScaleNormal="85" workbookViewId="0">
      <selection activeCell="D7" sqref="D7"/>
    </sheetView>
  </sheetViews>
  <sheetFormatPr baseColWidth="10" defaultRowHeight="15" x14ac:dyDescent="0.25"/>
  <cols>
    <col min="1" max="1" width="3.28515625" customWidth="1"/>
    <col min="2" max="2" width="9.85546875" customWidth="1"/>
    <col min="10" max="11" width="4.42578125" customWidth="1"/>
    <col min="12" max="15" width="8.85546875" style="218" customWidth="1"/>
    <col min="16" max="16" width="3.5703125" style="218" customWidth="1"/>
    <col min="17" max="21" width="5.5703125" style="218" customWidth="1"/>
  </cols>
  <sheetData>
    <row r="1" spans="2:21" ht="39.950000000000003" customHeight="1" x14ac:dyDescent="0.25"/>
    <row r="2" spans="2:21" ht="23.25" x14ac:dyDescent="0.35">
      <c r="C2" s="9" t="s">
        <v>841</v>
      </c>
      <c r="M2" s="217"/>
    </row>
    <row r="3" spans="2:21" ht="12" customHeight="1" x14ac:dyDescent="0.35">
      <c r="B3" s="9"/>
      <c r="M3" s="217"/>
    </row>
    <row r="4" spans="2:21" ht="12" customHeight="1" x14ac:dyDescent="0.35">
      <c r="B4" s="9"/>
      <c r="M4" s="217"/>
    </row>
    <row r="5" spans="2:21" x14ac:dyDescent="0.25">
      <c r="C5" s="210" t="s">
        <v>409</v>
      </c>
      <c r="D5" s="209"/>
      <c r="E5" s="209"/>
      <c r="F5" s="209"/>
      <c r="G5" s="209"/>
      <c r="M5" s="209" t="s">
        <v>254</v>
      </c>
    </row>
    <row r="6" spans="2:21" x14ac:dyDescent="0.25">
      <c r="C6" s="206">
        <v>180</v>
      </c>
      <c r="D6" s="5" t="str">
        <f>M6</f>
        <v>°</v>
      </c>
      <c r="E6" s="207" t="s">
        <v>326</v>
      </c>
      <c r="F6" s="212">
        <f>PI()*C6/180</f>
        <v>3.1415926535897931</v>
      </c>
      <c r="G6" s="5" t="str">
        <f>M7</f>
        <v>rad</v>
      </c>
      <c r="M6" s="208" t="s">
        <v>201</v>
      </c>
    </row>
    <row r="7" spans="2:21" x14ac:dyDescent="0.25">
      <c r="C7" s="75">
        <v>4</v>
      </c>
      <c r="D7" s="5" t="str">
        <f>M7</f>
        <v>rad</v>
      </c>
      <c r="E7" s="207" t="s">
        <v>326</v>
      </c>
      <c r="F7" s="212">
        <f>180*C7/PI()</f>
        <v>229.18311805232929</v>
      </c>
      <c r="G7" s="5" t="str">
        <f>M6</f>
        <v>°</v>
      </c>
      <c r="M7" s="208" t="s">
        <v>202</v>
      </c>
    </row>
    <row r="8" spans="2:21" x14ac:dyDescent="0.25">
      <c r="C8" s="75">
        <v>180</v>
      </c>
      <c r="D8" s="4" t="s">
        <v>201</v>
      </c>
      <c r="E8" s="207" t="s">
        <v>326</v>
      </c>
      <c r="F8" s="212">
        <f>IF(D8=M7,C8,IF(D8=M6,C8*PI()/180,"Unknown"))</f>
        <v>3.1415926535897931</v>
      </c>
      <c r="G8" s="5" t="str">
        <f>M7</f>
        <v>rad</v>
      </c>
    </row>
    <row r="9" spans="2:21" ht="4.5" customHeight="1" x14ac:dyDescent="0.25"/>
    <row r="10" spans="2:21" ht="4.5" customHeight="1" x14ac:dyDescent="0.25"/>
    <row r="11" spans="2:21" ht="4.5" customHeight="1" x14ac:dyDescent="0.25"/>
    <row r="12" spans="2:21" ht="4.5" customHeight="1" x14ac:dyDescent="0.25"/>
    <row r="13" spans="2:21" x14ac:dyDescent="0.25">
      <c r="B13" s="452" t="s">
        <v>413</v>
      </c>
      <c r="C13" s="454"/>
      <c r="D13" s="454"/>
      <c r="E13" s="454"/>
      <c r="F13" s="454"/>
      <c r="G13" s="454"/>
      <c r="H13" s="454"/>
      <c r="I13" s="454"/>
      <c r="L13" s="452" t="s">
        <v>414</v>
      </c>
      <c r="M13" s="453"/>
      <c r="N13" s="453"/>
      <c r="O13" s="453"/>
      <c r="Q13" s="452" t="s">
        <v>230</v>
      </c>
      <c r="R13" s="453"/>
      <c r="S13" s="453"/>
      <c r="T13" s="453"/>
      <c r="U13" s="453"/>
    </row>
    <row r="14" spans="2:21" x14ac:dyDescent="0.25">
      <c r="B14" s="214" t="s">
        <v>196</v>
      </c>
      <c r="C14" s="213" t="s">
        <v>206</v>
      </c>
      <c r="D14" s="213" t="s">
        <v>91</v>
      </c>
      <c r="E14" s="213" t="s">
        <v>410</v>
      </c>
      <c r="F14" s="213" t="s">
        <v>91</v>
      </c>
      <c r="G14" s="213" t="s">
        <v>410</v>
      </c>
      <c r="H14" s="213" t="s">
        <v>411</v>
      </c>
      <c r="I14" s="213" t="s">
        <v>412</v>
      </c>
      <c r="L14" s="219" t="s">
        <v>418</v>
      </c>
      <c r="M14" s="219" t="s">
        <v>419</v>
      </c>
      <c r="N14" s="219" t="s">
        <v>420</v>
      </c>
      <c r="O14" s="219" t="s">
        <v>421</v>
      </c>
      <c r="P14" s="217"/>
      <c r="Q14" s="223" t="s">
        <v>415</v>
      </c>
      <c r="R14" s="219"/>
      <c r="S14" s="219"/>
      <c r="T14" s="219"/>
      <c r="U14" s="219"/>
    </row>
    <row r="15" spans="2:21" x14ac:dyDescent="0.25">
      <c r="B15" s="215" t="s">
        <v>416</v>
      </c>
      <c r="C15" s="211">
        <v>3</v>
      </c>
      <c r="D15" s="75">
        <v>90</v>
      </c>
      <c r="E15" s="75" t="s">
        <v>201</v>
      </c>
      <c r="F15" s="212">
        <f>IF(E15=M7,D15,IF(D8=M6,D15*PI()/180,"Unknown"))</f>
        <v>1.5707963267948966</v>
      </c>
      <c r="G15" s="74" t="str">
        <f>M7</f>
        <v>rad</v>
      </c>
      <c r="H15" s="212">
        <f>C15*COS(F15)</f>
        <v>1.83772268236293E-16</v>
      </c>
      <c r="I15" s="212">
        <f>C15*SIN(F15)</f>
        <v>3</v>
      </c>
      <c r="L15" s="220">
        <v>0</v>
      </c>
      <c r="M15" s="220">
        <f>H15</f>
        <v>1.83772268236293E-16</v>
      </c>
      <c r="N15" s="220">
        <v>0</v>
      </c>
      <c r="O15" s="220">
        <f>I15</f>
        <v>3</v>
      </c>
      <c r="P15" s="221"/>
      <c r="Q15" s="222">
        <f>MAX(ABS(O15),ABS(M16),ABS(O16),ABS(M15),ABS(M17),ABS(O17))</f>
        <v>8</v>
      </c>
      <c r="R15" s="220">
        <f>Q16</f>
        <v>8.8000000000000007</v>
      </c>
      <c r="S15" s="220">
        <v>0</v>
      </c>
      <c r="T15" s="220">
        <f>-R15</f>
        <v>-8.8000000000000007</v>
      </c>
      <c r="U15" s="220">
        <v>0</v>
      </c>
    </row>
    <row r="16" spans="2:21" x14ac:dyDescent="0.25">
      <c r="B16" s="216" t="s">
        <v>417</v>
      </c>
      <c r="C16" s="212">
        <f>SQRT(H16^2+I16^2)</f>
        <v>6.4031242374328485</v>
      </c>
      <c r="D16" s="212">
        <f>F16*180/PI()</f>
        <v>128.65980825409008</v>
      </c>
      <c r="E16" s="74" t="str">
        <f>M6</f>
        <v>°</v>
      </c>
      <c r="F16" s="212">
        <f>ATAN2(H16,I16)</f>
        <v>2.245537269018449</v>
      </c>
      <c r="G16" s="74" t="str">
        <f>M7</f>
        <v>rad</v>
      </c>
      <c r="H16" s="75">
        <v>-4</v>
      </c>
      <c r="I16" s="75">
        <v>5</v>
      </c>
      <c r="L16" s="220">
        <v>0</v>
      </c>
      <c r="M16" s="220">
        <f>H16</f>
        <v>-4</v>
      </c>
      <c r="N16" s="220">
        <v>0</v>
      </c>
      <c r="O16" s="220">
        <f>I16</f>
        <v>5</v>
      </c>
      <c r="P16" s="221"/>
      <c r="Q16" s="222">
        <f>Q15*1.1</f>
        <v>8.8000000000000007</v>
      </c>
      <c r="R16" s="220">
        <v>0</v>
      </c>
      <c r="S16" s="220">
        <f>R15</f>
        <v>8.8000000000000007</v>
      </c>
      <c r="T16" s="220">
        <v>0</v>
      </c>
      <c r="U16" s="220">
        <f>T15</f>
        <v>-8.8000000000000007</v>
      </c>
    </row>
    <row r="17" spans="2:54" ht="18" x14ac:dyDescent="0.35">
      <c r="B17" s="224" t="s">
        <v>428</v>
      </c>
      <c r="C17" s="212">
        <f>SQRT(H17^2+I17^2)</f>
        <v>8.9442719099991592</v>
      </c>
      <c r="D17" s="212">
        <f>F17*180/PI()</f>
        <v>116.56505117707799</v>
      </c>
      <c r="E17" s="74" t="str">
        <f>E16</f>
        <v>°</v>
      </c>
      <c r="F17" s="212">
        <f>ATAN2(H17,I17)</f>
        <v>2.0344439357957027</v>
      </c>
      <c r="G17" s="74" t="str">
        <f>G16</f>
        <v>rad</v>
      </c>
      <c r="H17" s="212">
        <f>H16+H15</f>
        <v>-4</v>
      </c>
      <c r="I17" s="212">
        <f>I16+I15</f>
        <v>8</v>
      </c>
      <c r="L17" s="220">
        <v>0</v>
      </c>
      <c r="M17" s="220">
        <f>H17</f>
        <v>-4</v>
      </c>
      <c r="N17" s="220">
        <v>0</v>
      </c>
      <c r="O17" s="220">
        <f>I17</f>
        <v>8</v>
      </c>
    </row>
    <row r="18" spans="2:54" ht="18" x14ac:dyDescent="0.35">
      <c r="B18" s="8" t="s">
        <v>429</v>
      </c>
      <c r="C18" s="77">
        <f>C16*C15</f>
        <v>19.209372712298546</v>
      </c>
      <c r="D18" s="212">
        <f>D16+D15</f>
        <v>218.65980825409008</v>
      </c>
      <c r="E18" s="74" t="str">
        <f>E17</f>
        <v>°</v>
      </c>
      <c r="F18" s="212">
        <f>F15+F16</f>
        <v>3.8163335958133455</v>
      </c>
      <c r="G18" s="74" t="str">
        <f>G17</f>
        <v>rad</v>
      </c>
      <c r="H18" s="212">
        <f>C18*COS(F18)</f>
        <v>-15.000000000000005</v>
      </c>
      <c r="I18" s="212">
        <f>C18*SIN(F18)</f>
        <v>-11.999999999999995</v>
      </c>
    </row>
    <row r="21" spans="2:54" x14ac:dyDescent="0.25">
      <c r="L21" s="218" t="s">
        <v>207</v>
      </c>
      <c r="M21" s="218">
        <v>0</v>
      </c>
      <c r="N21" s="218">
        <f>M21+10</f>
        <v>10</v>
      </c>
      <c r="O21" s="218">
        <f t="shared" ref="O21:AW21" si="0">N21+10</f>
        <v>20</v>
      </c>
      <c r="P21" s="218">
        <f t="shared" si="0"/>
        <v>30</v>
      </c>
      <c r="Q21" s="218">
        <f t="shared" si="0"/>
        <v>40</v>
      </c>
      <c r="R21" s="218">
        <f t="shared" si="0"/>
        <v>50</v>
      </c>
      <c r="S21" s="218">
        <f t="shared" si="0"/>
        <v>60</v>
      </c>
      <c r="T21" s="218">
        <f t="shared" si="0"/>
        <v>70</v>
      </c>
      <c r="U21" s="218">
        <f t="shared" si="0"/>
        <v>80</v>
      </c>
      <c r="V21" s="218">
        <f t="shared" si="0"/>
        <v>90</v>
      </c>
      <c r="W21" s="218">
        <f t="shared" si="0"/>
        <v>100</v>
      </c>
      <c r="X21" s="218">
        <f t="shared" si="0"/>
        <v>110</v>
      </c>
      <c r="Y21" s="218">
        <f t="shared" si="0"/>
        <v>120</v>
      </c>
      <c r="Z21" s="218">
        <f t="shared" si="0"/>
        <v>130</v>
      </c>
      <c r="AA21" s="218">
        <f t="shared" si="0"/>
        <v>140</v>
      </c>
      <c r="AB21" s="218">
        <f t="shared" si="0"/>
        <v>150</v>
      </c>
      <c r="AC21" s="218">
        <f t="shared" si="0"/>
        <v>160</v>
      </c>
      <c r="AD21" s="218">
        <f t="shared" si="0"/>
        <v>170</v>
      </c>
      <c r="AE21" s="218">
        <f t="shared" si="0"/>
        <v>180</v>
      </c>
      <c r="AF21" s="218">
        <f t="shared" si="0"/>
        <v>190</v>
      </c>
      <c r="AG21" s="218">
        <f t="shared" si="0"/>
        <v>200</v>
      </c>
      <c r="AH21" s="218">
        <f t="shared" si="0"/>
        <v>210</v>
      </c>
      <c r="AI21" s="218">
        <f t="shared" si="0"/>
        <v>220</v>
      </c>
      <c r="AJ21" s="218">
        <f t="shared" si="0"/>
        <v>230</v>
      </c>
      <c r="AK21" s="218">
        <f t="shared" si="0"/>
        <v>240</v>
      </c>
      <c r="AL21" s="218">
        <f t="shared" si="0"/>
        <v>250</v>
      </c>
      <c r="AM21" s="218">
        <f t="shared" si="0"/>
        <v>260</v>
      </c>
      <c r="AN21" s="218">
        <f t="shared" si="0"/>
        <v>270</v>
      </c>
      <c r="AO21" s="218">
        <f t="shared" si="0"/>
        <v>280</v>
      </c>
      <c r="AP21" s="218">
        <f t="shared" si="0"/>
        <v>290</v>
      </c>
      <c r="AQ21" s="218">
        <f t="shared" si="0"/>
        <v>300</v>
      </c>
      <c r="AR21" s="218">
        <f t="shared" si="0"/>
        <v>310</v>
      </c>
      <c r="AS21" s="218">
        <f t="shared" si="0"/>
        <v>320</v>
      </c>
      <c r="AT21" s="218">
        <f t="shared" si="0"/>
        <v>330</v>
      </c>
      <c r="AU21" s="218">
        <f t="shared" si="0"/>
        <v>340</v>
      </c>
      <c r="AV21" s="218">
        <f t="shared" si="0"/>
        <v>350</v>
      </c>
      <c r="AW21" s="218">
        <f t="shared" si="0"/>
        <v>360</v>
      </c>
      <c r="AX21" s="218"/>
      <c r="AY21" s="218"/>
      <c r="AZ21" s="218"/>
      <c r="BA21" s="218"/>
      <c r="BB21" s="218"/>
    </row>
    <row r="22" spans="2:54" x14ac:dyDescent="0.25">
      <c r="L22" s="218" t="s">
        <v>208</v>
      </c>
      <c r="M22" s="218">
        <f>M21*PI()/180</f>
        <v>0</v>
      </c>
      <c r="N22" s="218">
        <f t="shared" ref="N22:AW22" si="1">N21*PI()/180</f>
        <v>0.17453292519943295</v>
      </c>
      <c r="O22" s="218">
        <f t="shared" si="1"/>
        <v>0.3490658503988659</v>
      </c>
      <c r="P22" s="218">
        <f t="shared" si="1"/>
        <v>0.52359877559829882</v>
      </c>
      <c r="Q22" s="218">
        <f t="shared" si="1"/>
        <v>0.69813170079773179</v>
      </c>
      <c r="R22" s="218">
        <f t="shared" si="1"/>
        <v>0.87266462599716477</v>
      </c>
      <c r="S22" s="218">
        <f t="shared" si="1"/>
        <v>1.0471975511965976</v>
      </c>
      <c r="T22" s="218">
        <f t="shared" si="1"/>
        <v>1.2217304763960306</v>
      </c>
      <c r="U22" s="218">
        <f t="shared" si="1"/>
        <v>1.3962634015954636</v>
      </c>
      <c r="V22" s="218">
        <f t="shared" si="1"/>
        <v>1.5707963267948966</v>
      </c>
      <c r="W22" s="218">
        <f t="shared" si="1"/>
        <v>1.7453292519943295</v>
      </c>
      <c r="X22" s="218">
        <f t="shared" si="1"/>
        <v>1.9198621771937625</v>
      </c>
      <c r="Y22" s="218">
        <f t="shared" si="1"/>
        <v>2.0943951023931953</v>
      </c>
      <c r="Z22" s="218">
        <f t="shared" si="1"/>
        <v>2.2689280275926285</v>
      </c>
      <c r="AA22" s="218">
        <f t="shared" si="1"/>
        <v>2.4434609527920612</v>
      </c>
      <c r="AB22" s="218">
        <f t="shared" si="1"/>
        <v>2.6179938779914944</v>
      </c>
      <c r="AC22" s="218">
        <f t="shared" si="1"/>
        <v>2.7925268031909272</v>
      </c>
      <c r="AD22" s="218">
        <f t="shared" si="1"/>
        <v>2.9670597283903604</v>
      </c>
      <c r="AE22" s="218">
        <f t="shared" si="1"/>
        <v>3.1415926535897931</v>
      </c>
      <c r="AF22" s="218">
        <f t="shared" si="1"/>
        <v>3.3161255787892263</v>
      </c>
      <c r="AG22" s="218">
        <f t="shared" si="1"/>
        <v>3.4906585039886591</v>
      </c>
      <c r="AH22" s="218">
        <f t="shared" si="1"/>
        <v>3.6651914291880923</v>
      </c>
      <c r="AI22" s="218">
        <f t="shared" si="1"/>
        <v>3.839724354387525</v>
      </c>
      <c r="AJ22" s="218">
        <f t="shared" si="1"/>
        <v>4.0142572795869578</v>
      </c>
      <c r="AK22" s="218">
        <f t="shared" si="1"/>
        <v>4.1887902047863905</v>
      </c>
      <c r="AL22" s="218">
        <f t="shared" si="1"/>
        <v>4.3633231299858233</v>
      </c>
      <c r="AM22" s="218">
        <f t="shared" si="1"/>
        <v>4.5378560551852569</v>
      </c>
      <c r="AN22" s="218">
        <f t="shared" si="1"/>
        <v>4.7123889803846897</v>
      </c>
      <c r="AO22" s="218">
        <f t="shared" si="1"/>
        <v>4.8869219055841224</v>
      </c>
      <c r="AP22" s="218">
        <f t="shared" si="1"/>
        <v>5.0614548307835552</v>
      </c>
      <c r="AQ22" s="218">
        <f t="shared" si="1"/>
        <v>5.2359877559829888</v>
      </c>
      <c r="AR22" s="218">
        <f t="shared" si="1"/>
        <v>5.4105206811824216</v>
      </c>
      <c r="AS22" s="218">
        <f t="shared" si="1"/>
        <v>5.5850536063818543</v>
      </c>
      <c r="AT22" s="218">
        <f t="shared" si="1"/>
        <v>5.7595865315812871</v>
      </c>
      <c r="AU22" s="218">
        <f t="shared" si="1"/>
        <v>5.9341194567807207</v>
      </c>
      <c r="AV22" s="218">
        <f t="shared" si="1"/>
        <v>6.1086523819801526</v>
      </c>
      <c r="AW22" s="218">
        <f t="shared" si="1"/>
        <v>6.2831853071795862</v>
      </c>
    </row>
    <row r="23" spans="2:54" x14ac:dyDescent="0.25">
      <c r="L23" s="215" t="s">
        <v>416</v>
      </c>
      <c r="M23" s="218">
        <f>$C$15*SIN(M22+$F$15)</f>
        <v>3</v>
      </c>
      <c r="N23" s="218">
        <f t="shared" ref="N23:AW23" si="2">$C$15*SIN(N22+$F$15)</f>
        <v>2.9544232590366239</v>
      </c>
      <c r="O23" s="218">
        <f t="shared" si="2"/>
        <v>2.8190778623577253</v>
      </c>
      <c r="P23" s="218">
        <f t="shared" si="2"/>
        <v>2.598076211353316</v>
      </c>
      <c r="Q23" s="218">
        <f t="shared" si="2"/>
        <v>2.2981333293569342</v>
      </c>
      <c r="R23" s="218">
        <f t="shared" si="2"/>
        <v>1.9283628290596184</v>
      </c>
      <c r="S23" s="218">
        <f t="shared" si="2"/>
        <v>1.5000000000000009</v>
      </c>
      <c r="T23" s="218">
        <f t="shared" si="2"/>
        <v>1.0260604299770066</v>
      </c>
      <c r="U23" s="218">
        <f t="shared" si="2"/>
        <v>0.5209445330007908</v>
      </c>
      <c r="V23" s="218">
        <f t="shared" si="2"/>
        <v>3.67544536472586E-16</v>
      </c>
      <c r="W23" s="218">
        <f t="shared" si="2"/>
        <v>-0.52094453300079002</v>
      </c>
      <c r="X23" s="218">
        <f t="shared" si="2"/>
        <v>-1.026060429977006</v>
      </c>
      <c r="Y23" s="218">
        <f t="shared" si="2"/>
        <v>-1.4999999999999991</v>
      </c>
      <c r="Z23" s="218">
        <f t="shared" si="2"/>
        <v>-1.9283628290596178</v>
      </c>
      <c r="AA23" s="218">
        <f t="shared" si="2"/>
        <v>-2.2981333293569337</v>
      </c>
      <c r="AB23" s="218">
        <f t="shared" si="2"/>
        <v>-2.5980762113533165</v>
      </c>
      <c r="AC23" s="218">
        <f t="shared" si="2"/>
        <v>-2.8190778623577253</v>
      </c>
      <c r="AD23" s="218">
        <f t="shared" si="2"/>
        <v>-2.9544232590366239</v>
      </c>
      <c r="AE23" s="218">
        <f t="shared" si="2"/>
        <v>-3</v>
      </c>
      <c r="AF23" s="218">
        <f t="shared" si="2"/>
        <v>-2.9544232590366244</v>
      </c>
      <c r="AG23" s="218">
        <f t="shared" si="2"/>
        <v>-2.8190778623577257</v>
      </c>
      <c r="AH23" s="218">
        <f t="shared" si="2"/>
        <v>-2.598076211353316</v>
      </c>
      <c r="AI23" s="218">
        <f t="shared" si="2"/>
        <v>-2.2981333293569346</v>
      </c>
      <c r="AJ23" s="218">
        <f t="shared" si="2"/>
        <v>-1.9283628290596186</v>
      </c>
      <c r="AK23" s="218">
        <f t="shared" si="2"/>
        <v>-1.5000000000000013</v>
      </c>
      <c r="AL23" s="218">
        <f t="shared" si="2"/>
        <v>-1.0260604299770084</v>
      </c>
      <c r="AM23" s="218">
        <f t="shared" si="2"/>
        <v>-0.52094453300079113</v>
      </c>
      <c r="AN23" s="218">
        <f t="shared" si="2"/>
        <v>-7.3508907294517201E-16</v>
      </c>
      <c r="AO23" s="218">
        <f t="shared" si="2"/>
        <v>0.5209445330007898</v>
      </c>
      <c r="AP23" s="218">
        <f t="shared" si="2"/>
        <v>1.0260604299770044</v>
      </c>
      <c r="AQ23" s="218">
        <f t="shared" si="2"/>
        <v>1.5</v>
      </c>
      <c r="AR23" s="218">
        <f t="shared" si="2"/>
        <v>1.9283628290596173</v>
      </c>
      <c r="AS23" s="218">
        <f t="shared" si="2"/>
        <v>2.2981333293569333</v>
      </c>
      <c r="AT23" s="218">
        <f t="shared" si="2"/>
        <v>2.5980762113533151</v>
      </c>
      <c r="AU23" s="218">
        <f t="shared" si="2"/>
        <v>2.8190778623577253</v>
      </c>
      <c r="AV23" s="218">
        <f t="shared" si="2"/>
        <v>2.9544232590366235</v>
      </c>
      <c r="AW23" s="218">
        <f t="shared" si="2"/>
        <v>3</v>
      </c>
    </row>
    <row r="24" spans="2:54" ht="15.95" customHeight="1" x14ac:dyDescent="0.25">
      <c r="L24" s="216" t="s">
        <v>417</v>
      </c>
      <c r="M24" s="218">
        <f>$C$16*SIN(M22+$F$16)</f>
        <v>5.0000000000000009</v>
      </c>
      <c r="N24" s="218">
        <f t="shared" ref="N24:AW24" si="3">$C$16*SIN(N22+$F$16)</f>
        <v>4.2294460543933212</v>
      </c>
      <c r="O24" s="218">
        <f t="shared" si="3"/>
        <v>3.330382530626868</v>
      </c>
      <c r="P24" s="218">
        <f t="shared" si="3"/>
        <v>2.3301270189221959</v>
      </c>
      <c r="Q24" s="218">
        <f t="shared" si="3"/>
        <v>1.2590717768487343</v>
      </c>
      <c r="R24" s="218">
        <f t="shared" si="3"/>
        <v>0.14976027595678734</v>
      </c>
      <c r="S24" s="218">
        <f t="shared" si="3"/>
        <v>-0.9641016151377505</v>
      </c>
      <c r="T24" s="218">
        <f t="shared" si="3"/>
        <v>-2.0486697665152875</v>
      </c>
      <c r="U24" s="218">
        <f t="shared" si="3"/>
        <v>-3.0709901237141795</v>
      </c>
      <c r="V24" s="218">
        <f t="shared" si="3"/>
        <v>-3.9999999999999978</v>
      </c>
      <c r="W24" s="218">
        <f t="shared" si="3"/>
        <v>-4.807471900383482</v>
      </c>
      <c r="X24" s="218">
        <f t="shared" si="3"/>
        <v>-5.4688711997719741</v>
      </c>
      <c r="Y24" s="218">
        <f t="shared" si="3"/>
        <v>-5.9641016151377517</v>
      </c>
      <c r="Z24" s="218">
        <f t="shared" si="3"/>
        <v>-6.2781158209086083</v>
      </c>
      <c r="AA24" s="218">
        <f t="shared" si="3"/>
        <v>-6.4013726543410474</v>
      </c>
      <c r="AB24" s="218">
        <f t="shared" si="3"/>
        <v>-6.3301270189221928</v>
      </c>
      <c r="AC24" s="218">
        <f t="shared" si="3"/>
        <v>-6.0665436772322172</v>
      </c>
      <c r="AD24" s="218">
        <f t="shared" si="3"/>
        <v>-5.6186314757287628</v>
      </c>
      <c r="AE24" s="218">
        <f t="shared" si="3"/>
        <v>-5.0000000000000018</v>
      </c>
      <c r="AF24" s="218">
        <f t="shared" si="3"/>
        <v>-4.2294460543933221</v>
      </c>
      <c r="AG24" s="218">
        <f t="shared" si="3"/>
        <v>-3.3303825306268715</v>
      </c>
      <c r="AH24" s="218">
        <f t="shared" si="3"/>
        <v>-2.3301270189221941</v>
      </c>
      <c r="AI24" s="218">
        <f t="shared" si="3"/>
        <v>-1.2590717768487352</v>
      </c>
      <c r="AJ24" s="218">
        <f t="shared" si="3"/>
        <v>-0.14976027595678815</v>
      </c>
      <c r="AK24" s="218">
        <f t="shared" si="3"/>
        <v>0.96410161513774961</v>
      </c>
      <c r="AL24" s="218">
        <f t="shared" si="3"/>
        <v>2.048669766515284</v>
      </c>
      <c r="AM24" s="218">
        <f t="shared" si="3"/>
        <v>3.070990123714179</v>
      </c>
      <c r="AN24" s="218">
        <f t="shared" si="3"/>
        <v>3.9999999999999973</v>
      </c>
      <c r="AO24" s="218">
        <f t="shared" si="3"/>
        <v>4.8074719003834812</v>
      </c>
      <c r="AP24" s="218">
        <f t="shared" si="3"/>
        <v>5.4688711997719741</v>
      </c>
      <c r="AQ24" s="218">
        <f t="shared" si="3"/>
        <v>5.9641016151377544</v>
      </c>
      <c r="AR24" s="218">
        <f t="shared" si="3"/>
        <v>6.2781158209086083</v>
      </c>
      <c r="AS24" s="218">
        <f t="shared" si="3"/>
        <v>6.4013726543410474</v>
      </c>
      <c r="AT24" s="218">
        <f t="shared" si="3"/>
        <v>6.3301270189221928</v>
      </c>
      <c r="AU24" s="218">
        <f t="shared" si="3"/>
        <v>6.0665436772322172</v>
      </c>
      <c r="AV24" s="218">
        <f t="shared" si="3"/>
        <v>5.6186314757287628</v>
      </c>
      <c r="AW24" s="218">
        <f t="shared" si="3"/>
        <v>5.0000000000000027</v>
      </c>
    </row>
    <row r="25" spans="2:54" ht="15.95" customHeight="1" x14ac:dyDescent="0.35">
      <c r="L25" s="224" t="s">
        <v>428</v>
      </c>
      <c r="M25" s="218">
        <f>M23+M24</f>
        <v>8</v>
      </c>
      <c r="N25" s="218">
        <f t="shared" ref="N25:AW25" si="4">N23+N24</f>
        <v>7.1838693134299447</v>
      </c>
      <c r="O25" s="218">
        <f t="shared" si="4"/>
        <v>6.1494603929845937</v>
      </c>
      <c r="P25" s="218">
        <f t="shared" si="4"/>
        <v>4.9282032302755123</v>
      </c>
      <c r="Q25" s="218">
        <f t="shared" si="4"/>
        <v>3.5572051062056684</v>
      </c>
      <c r="R25" s="218">
        <f t="shared" si="4"/>
        <v>2.078123105016406</v>
      </c>
      <c r="S25" s="218">
        <f t="shared" si="4"/>
        <v>0.53589838486225039</v>
      </c>
      <c r="T25" s="218">
        <f t="shared" si="4"/>
        <v>-1.0226093365382809</v>
      </c>
      <c r="U25" s="218">
        <f t="shared" si="4"/>
        <v>-2.5500455907133888</v>
      </c>
      <c r="V25" s="218">
        <f t="shared" si="4"/>
        <v>-3.9999999999999973</v>
      </c>
      <c r="W25" s="218">
        <f t="shared" si="4"/>
        <v>-5.3284164333842723</v>
      </c>
      <c r="X25" s="218">
        <f t="shared" si="4"/>
        <v>-6.4949316297489803</v>
      </c>
      <c r="Y25" s="218">
        <f t="shared" si="4"/>
        <v>-7.4641016151377508</v>
      </c>
      <c r="Z25" s="218">
        <f t="shared" si="4"/>
        <v>-8.2064786499682256</v>
      </c>
      <c r="AA25" s="218">
        <f t="shared" si="4"/>
        <v>-8.699505983697982</v>
      </c>
      <c r="AB25" s="218">
        <f t="shared" si="4"/>
        <v>-8.9282032302755088</v>
      </c>
      <c r="AC25" s="218">
        <f t="shared" si="4"/>
        <v>-8.8856215395899429</v>
      </c>
      <c r="AD25" s="218">
        <f t="shared" si="4"/>
        <v>-8.5730547347653872</v>
      </c>
      <c r="AE25" s="218">
        <f t="shared" si="4"/>
        <v>-8.0000000000000018</v>
      </c>
      <c r="AF25" s="218">
        <f t="shared" si="4"/>
        <v>-7.1838693134299465</v>
      </c>
      <c r="AG25" s="218">
        <f t="shared" si="4"/>
        <v>-6.1494603929845972</v>
      </c>
      <c r="AH25" s="218">
        <f t="shared" si="4"/>
        <v>-4.9282032302755105</v>
      </c>
      <c r="AI25" s="218">
        <f t="shared" si="4"/>
        <v>-3.5572051062056698</v>
      </c>
      <c r="AJ25" s="218">
        <f t="shared" si="4"/>
        <v>-2.0781231050164068</v>
      </c>
      <c r="AK25" s="218">
        <f t="shared" si="4"/>
        <v>-0.53589838486225172</v>
      </c>
      <c r="AL25" s="218">
        <f t="shared" si="4"/>
        <v>1.0226093365382756</v>
      </c>
      <c r="AM25" s="218">
        <f t="shared" si="4"/>
        <v>2.5500455907133879</v>
      </c>
      <c r="AN25" s="218">
        <f t="shared" si="4"/>
        <v>3.9999999999999964</v>
      </c>
      <c r="AO25" s="218">
        <f t="shared" si="4"/>
        <v>5.3284164333842714</v>
      </c>
      <c r="AP25" s="218">
        <f t="shared" si="4"/>
        <v>6.4949316297489785</v>
      </c>
      <c r="AQ25" s="218">
        <f t="shared" si="4"/>
        <v>7.4641016151377544</v>
      </c>
      <c r="AR25" s="218">
        <f t="shared" si="4"/>
        <v>8.2064786499682256</v>
      </c>
      <c r="AS25" s="218">
        <f t="shared" si="4"/>
        <v>8.6995059836979802</v>
      </c>
      <c r="AT25" s="218">
        <f t="shared" si="4"/>
        <v>8.928203230275507</v>
      </c>
      <c r="AU25" s="218">
        <f t="shared" si="4"/>
        <v>8.8856215395899429</v>
      </c>
      <c r="AV25" s="218">
        <f t="shared" si="4"/>
        <v>8.5730547347653854</v>
      </c>
      <c r="AW25" s="218">
        <f t="shared" si="4"/>
        <v>8.0000000000000036</v>
      </c>
    </row>
    <row r="26" spans="2:54" ht="15.95" customHeight="1" x14ac:dyDescent="0.25"/>
    <row r="44" spans="2:4" x14ac:dyDescent="0.25">
      <c r="B44" s="2" t="s">
        <v>422</v>
      </c>
      <c r="C44" s="2"/>
      <c r="D44" t="s">
        <v>423</v>
      </c>
    </row>
    <row r="45" spans="2:4" x14ac:dyDescent="0.25">
      <c r="B45" s="3" t="s">
        <v>424</v>
      </c>
      <c r="C45" s="3"/>
      <c r="D45" t="s">
        <v>427</v>
      </c>
    </row>
    <row r="46" spans="2:4" x14ac:dyDescent="0.25">
      <c r="B46" t="s">
        <v>425</v>
      </c>
      <c r="D46" t="s">
        <v>426</v>
      </c>
    </row>
  </sheetData>
  <mergeCells count="3">
    <mergeCell ref="L13:O13"/>
    <mergeCell ref="B13:I13"/>
    <mergeCell ref="Q13:U13"/>
  </mergeCells>
  <phoneticPr fontId="37" type="noConversion"/>
  <dataValidations count="1">
    <dataValidation type="list" allowBlank="1" showInputMessage="1" showErrorMessage="1" sqref="E15 D8" xr:uid="{3E8D84A8-7919-4823-9635-E5BE173BBAF1}">
      <formula1>$M$6:$M$7</formula1>
    </dataValidation>
  </dataValidations>
  <pageMargins left="0.7" right="0.7" top="0.78740157499999996" bottom="0.78740157499999996" header="0.3" footer="0.3"/>
  <pageSetup paperSize="9" scale="93" orientation="portrait" r:id="rId1"/>
  <colBreaks count="1" manualBreakCount="1">
    <brk id="10" max="1048575" man="1"/>
  </colBreaks>
  <drawing r:id="rId2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1BF1A-9A03-4CA3-9AB4-14BC2465827D}">
  <dimension ref="A1:K34"/>
  <sheetViews>
    <sheetView zoomScale="85" zoomScaleNormal="85" workbookViewId="0"/>
  </sheetViews>
  <sheetFormatPr baseColWidth="10" defaultRowHeight="15" x14ac:dyDescent="0.25"/>
  <cols>
    <col min="2" max="2" width="14.5703125" customWidth="1"/>
    <col min="3" max="3" width="19.85546875" customWidth="1"/>
    <col min="4" max="4" width="22.42578125" customWidth="1"/>
    <col min="5" max="6" width="13.85546875" customWidth="1"/>
    <col min="7" max="7" width="16" customWidth="1"/>
    <col min="8" max="8" width="12.42578125" customWidth="1"/>
    <col min="10" max="10" width="23.140625" customWidth="1"/>
    <col min="11" max="11" width="34.7109375" customWidth="1"/>
  </cols>
  <sheetData>
    <row r="1" spans="1:11" ht="39.950000000000003" customHeight="1" x14ac:dyDescent="0.25"/>
    <row r="2" spans="1:11" ht="26.25" x14ac:dyDescent="0.4">
      <c r="C2" s="29" t="str">
        <f ca="1">_xlfn.CONCAT("Geburtstagsliste für ",YEAR(J2))</f>
        <v>Geburtstagsliste für 2026</v>
      </c>
      <c r="D2" s="29"/>
      <c r="I2" s="26" t="s">
        <v>190</v>
      </c>
      <c r="J2" s="91">
        <f ca="1">NOW()</f>
        <v>46254.514969560187</v>
      </c>
    </row>
    <row r="3" spans="1:11" ht="26.25" x14ac:dyDescent="0.4">
      <c r="C3" s="29"/>
      <c r="D3" s="29"/>
      <c r="I3" s="26"/>
      <c r="J3" s="91"/>
    </row>
    <row r="4" spans="1:11" ht="28.5" customHeight="1" x14ac:dyDescent="0.25">
      <c r="A4" s="92" t="s">
        <v>191</v>
      </c>
      <c r="B4" s="92" t="s">
        <v>185</v>
      </c>
      <c r="C4" s="92" t="str">
        <f ca="1">_xlfn.CONCAT("Geburtstag im ",YEAR(J2))</f>
        <v>Geburtstag im 2026</v>
      </c>
      <c r="D4" s="92" t="s">
        <v>194</v>
      </c>
      <c r="E4" s="98" t="s">
        <v>192</v>
      </c>
      <c r="F4" s="98" t="s">
        <v>193</v>
      </c>
      <c r="G4" s="92" t="s">
        <v>185</v>
      </c>
      <c r="H4" s="92" t="s">
        <v>186</v>
      </c>
      <c r="I4" s="92" t="s">
        <v>187</v>
      </c>
      <c r="J4" s="92" t="s">
        <v>188</v>
      </c>
      <c r="K4" s="92" t="s">
        <v>189</v>
      </c>
    </row>
    <row r="5" spans="1:11" ht="14.45" customHeight="1" x14ac:dyDescent="0.25">
      <c r="A5" s="5" t="str">
        <f t="shared" ref="A5:A34" si="0">_xlfn.CONCAT(TEXT(MONTH(G5),"00"),"_",TEXT(DAY(G5),"00"))</f>
        <v>01_01</v>
      </c>
      <c r="B5" s="93" t="str">
        <f t="shared" ref="B5:B34" si="1">_xlfn.CONCAT(TEXT(DAY(G5),"00"),".",TEXT(G5,"MMMM"))</f>
        <v>01.Januar</v>
      </c>
      <c r="C5" s="97">
        <f t="shared" ref="C5:C34" ca="1" si="2">DATE(YEAR($J$2),MONTH(G5),DAY(G5))</f>
        <v>46023</v>
      </c>
      <c r="D5" s="97">
        <f t="shared" ref="D5:D34" ca="1" si="3">IF(C5&lt;$J$2,DATE(YEAR($J$2)+1,MONTH(G5),DAY(G5)),DATE(YEAR($J$2),MONTH(G5),DAY(G5)))</f>
        <v>46388</v>
      </c>
      <c r="E5" s="94">
        <f t="shared" ref="E5:E34" ca="1" si="4">YEAR($J$2) - YEAR(G5) - IF(C5&gt;$J$2,1,0)</f>
        <v>63</v>
      </c>
      <c r="F5" s="95">
        <f t="shared" ref="F5:F34" ca="1" si="5">YEAR($J$2) - YEAR(G5)</f>
        <v>63</v>
      </c>
      <c r="G5" s="96">
        <v>23012</v>
      </c>
      <c r="H5" s="5" t="s">
        <v>127</v>
      </c>
      <c r="I5" s="5" t="s">
        <v>128</v>
      </c>
      <c r="J5" s="5" t="s">
        <v>167</v>
      </c>
      <c r="K5" s="77" t="str">
        <f t="shared" ref="K5:K34" ca="1" si="6">IF($J$2&lt;C5,"Noch kein Geburtstag gehabt","Schon Geburtstag gehabt")</f>
        <v>Schon Geburtstag gehabt</v>
      </c>
    </row>
    <row r="6" spans="1:11" ht="14.45" customHeight="1" x14ac:dyDescent="0.25">
      <c r="A6" s="5" t="str">
        <f t="shared" si="0"/>
        <v>01_02</v>
      </c>
      <c r="B6" s="93" t="str">
        <f t="shared" si="1"/>
        <v>02.Januar</v>
      </c>
      <c r="C6" s="97">
        <f t="shared" ca="1" si="2"/>
        <v>46024</v>
      </c>
      <c r="D6" s="97">
        <f t="shared" ca="1" si="3"/>
        <v>46389</v>
      </c>
      <c r="E6" s="94">
        <f t="shared" ca="1" si="4"/>
        <v>39</v>
      </c>
      <c r="F6" s="95">
        <f t="shared" ca="1" si="5"/>
        <v>39</v>
      </c>
      <c r="G6" s="96" t="s">
        <v>132</v>
      </c>
      <c r="H6" s="5" t="s">
        <v>129</v>
      </c>
      <c r="I6" s="5" t="s">
        <v>133</v>
      </c>
      <c r="J6" s="5" t="s">
        <v>134</v>
      </c>
      <c r="K6" s="77" t="str">
        <f t="shared" ca="1" si="6"/>
        <v>Schon Geburtstag gehabt</v>
      </c>
    </row>
    <row r="7" spans="1:11" ht="14.45" customHeight="1" x14ac:dyDescent="0.25">
      <c r="A7" s="5" t="str">
        <f t="shared" si="0"/>
        <v>01_02</v>
      </c>
      <c r="B7" s="93" t="str">
        <f t="shared" si="1"/>
        <v>02.Januar</v>
      </c>
      <c r="C7" s="97">
        <f t="shared" ca="1" si="2"/>
        <v>46024</v>
      </c>
      <c r="D7" s="97">
        <f t="shared" ca="1" si="3"/>
        <v>46389</v>
      </c>
      <c r="E7" s="94">
        <f t="shared" ca="1" si="4"/>
        <v>34</v>
      </c>
      <c r="F7" s="95">
        <f t="shared" ca="1" si="5"/>
        <v>34</v>
      </c>
      <c r="G7" s="96" t="s">
        <v>137</v>
      </c>
      <c r="H7" s="5" t="s">
        <v>129</v>
      </c>
      <c r="I7" s="5" t="s">
        <v>138</v>
      </c>
      <c r="J7" s="5" t="s">
        <v>131</v>
      </c>
      <c r="K7" s="77" t="str">
        <f t="shared" ca="1" si="6"/>
        <v>Schon Geburtstag gehabt</v>
      </c>
    </row>
    <row r="8" spans="1:11" x14ac:dyDescent="0.25">
      <c r="A8" s="5" t="str">
        <f t="shared" si="0"/>
        <v>01_06</v>
      </c>
      <c r="B8" s="93" t="str">
        <f t="shared" si="1"/>
        <v>06.Januar</v>
      </c>
      <c r="C8" s="97">
        <f t="shared" ca="1" si="2"/>
        <v>46028</v>
      </c>
      <c r="D8" s="97">
        <f t="shared" ca="1" si="3"/>
        <v>46393</v>
      </c>
      <c r="E8" s="94">
        <f t="shared" ca="1" si="4"/>
        <v>38</v>
      </c>
      <c r="F8" s="95">
        <f t="shared" ca="1" si="5"/>
        <v>38</v>
      </c>
      <c r="G8" s="96" t="s">
        <v>139</v>
      </c>
      <c r="H8" s="5" t="s">
        <v>129</v>
      </c>
      <c r="I8" s="5" t="s">
        <v>140</v>
      </c>
      <c r="J8" s="5" t="s">
        <v>172</v>
      </c>
      <c r="K8" s="77" t="str">
        <f t="shared" ca="1" si="6"/>
        <v>Schon Geburtstag gehabt</v>
      </c>
    </row>
    <row r="9" spans="1:11" x14ac:dyDescent="0.25">
      <c r="A9" s="5" t="str">
        <f t="shared" si="0"/>
        <v>01_07</v>
      </c>
      <c r="B9" s="93" t="str">
        <f t="shared" si="1"/>
        <v>07.Januar</v>
      </c>
      <c r="C9" s="97">
        <f t="shared" ca="1" si="2"/>
        <v>46029</v>
      </c>
      <c r="D9" s="97">
        <f t="shared" ca="1" si="3"/>
        <v>46394</v>
      </c>
      <c r="E9" s="94">
        <f t="shared" ca="1" si="4"/>
        <v>50</v>
      </c>
      <c r="F9" s="95">
        <f t="shared" ca="1" si="5"/>
        <v>50</v>
      </c>
      <c r="G9" s="96" t="s">
        <v>142</v>
      </c>
      <c r="H9" s="5" t="s">
        <v>127</v>
      </c>
      <c r="I9" s="5" t="s">
        <v>143</v>
      </c>
      <c r="J9" s="5" t="s">
        <v>141</v>
      </c>
      <c r="K9" s="77" t="str">
        <f t="shared" ca="1" si="6"/>
        <v>Schon Geburtstag gehabt</v>
      </c>
    </row>
    <row r="10" spans="1:11" x14ac:dyDescent="0.25">
      <c r="A10" s="5" t="str">
        <f t="shared" si="0"/>
        <v>01_09</v>
      </c>
      <c r="B10" s="93" t="str">
        <f t="shared" si="1"/>
        <v>09.Januar</v>
      </c>
      <c r="C10" s="97">
        <f t="shared" ca="1" si="2"/>
        <v>46031</v>
      </c>
      <c r="D10" s="97">
        <f t="shared" ca="1" si="3"/>
        <v>46396</v>
      </c>
      <c r="E10" s="94">
        <f t="shared" ca="1" si="4"/>
        <v>61</v>
      </c>
      <c r="F10" s="95">
        <f t="shared" ca="1" si="5"/>
        <v>61</v>
      </c>
      <c r="G10" s="96" t="s">
        <v>144</v>
      </c>
      <c r="H10" s="5" t="s">
        <v>127</v>
      </c>
      <c r="I10" s="5" t="s">
        <v>145</v>
      </c>
      <c r="J10" s="5" t="s">
        <v>173</v>
      </c>
      <c r="K10" s="77" t="str">
        <f t="shared" ca="1" si="6"/>
        <v>Schon Geburtstag gehabt</v>
      </c>
    </row>
    <row r="11" spans="1:11" x14ac:dyDescent="0.25">
      <c r="A11" s="5" t="str">
        <f t="shared" si="0"/>
        <v>01_09</v>
      </c>
      <c r="B11" s="93" t="str">
        <f t="shared" si="1"/>
        <v>09.Januar</v>
      </c>
      <c r="C11" s="97">
        <f t="shared" ca="1" si="2"/>
        <v>46031</v>
      </c>
      <c r="D11" s="97">
        <f t="shared" ca="1" si="3"/>
        <v>46396</v>
      </c>
      <c r="E11" s="94">
        <f t="shared" ca="1" si="4"/>
        <v>68</v>
      </c>
      <c r="F11" s="95">
        <f t="shared" ca="1" si="5"/>
        <v>68</v>
      </c>
      <c r="G11" s="96" t="s">
        <v>147</v>
      </c>
      <c r="H11" s="5" t="s">
        <v>129</v>
      </c>
      <c r="I11" s="5" t="s">
        <v>148</v>
      </c>
      <c r="J11" s="5" t="s">
        <v>141</v>
      </c>
      <c r="K11" s="77" t="str">
        <f t="shared" ca="1" si="6"/>
        <v>Schon Geburtstag gehabt</v>
      </c>
    </row>
    <row r="12" spans="1:11" x14ac:dyDescent="0.25">
      <c r="A12" s="5" t="str">
        <f t="shared" si="0"/>
        <v>01_10</v>
      </c>
      <c r="B12" s="93" t="str">
        <f t="shared" si="1"/>
        <v>10.Januar</v>
      </c>
      <c r="C12" s="97">
        <f t="shared" ca="1" si="2"/>
        <v>46032</v>
      </c>
      <c r="D12" s="97">
        <f t="shared" ca="1" si="3"/>
        <v>46397</v>
      </c>
      <c r="E12" s="94">
        <f t="shared" ca="1" si="4"/>
        <v>29</v>
      </c>
      <c r="F12" s="95">
        <f t="shared" ca="1" si="5"/>
        <v>29</v>
      </c>
      <c r="G12" s="96" t="s">
        <v>149</v>
      </c>
      <c r="H12" s="5" t="s">
        <v>129</v>
      </c>
      <c r="I12" s="5" t="s">
        <v>140</v>
      </c>
      <c r="J12" s="5" t="s">
        <v>175</v>
      </c>
      <c r="K12" s="77" t="str">
        <f t="shared" ca="1" si="6"/>
        <v>Schon Geburtstag gehabt</v>
      </c>
    </row>
    <row r="13" spans="1:11" x14ac:dyDescent="0.25">
      <c r="A13" s="5" t="str">
        <f t="shared" si="0"/>
        <v>01_11</v>
      </c>
      <c r="B13" s="93" t="str">
        <f t="shared" si="1"/>
        <v>11.Januar</v>
      </c>
      <c r="C13" s="97">
        <f t="shared" ca="1" si="2"/>
        <v>46033</v>
      </c>
      <c r="D13" s="97">
        <f t="shared" ca="1" si="3"/>
        <v>46398</v>
      </c>
      <c r="E13" s="94">
        <f t="shared" ca="1" si="4"/>
        <v>62</v>
      </c>
      <c r="F13" s="95">
        <f t="shared" ca="1" si="5"/>
        <v>62</v>
      </c>
      <c r="G13" s="96" t="s">
        <v>153</v>
      </c>
      <c r="H13" s="5" t="s">
        <v>127</v>
      </c>
      <c r="I13" s="5" t="s">
        <v>154</v>
      </c>
      <c r="J13" s="5" t="s">
        <v>178</v>
      </c>
      <c r="K13" s="77" t="str">
        <f t="shared" ca="1" si="6"/>
        <v>Schon Geburtstag gehabt</v>
      </c>
    </row>
    <row r="14" spans="1:11" x14ac:dyDescent="0.25">
      <c r="A14" s="5" t="str">
        <f t="shared" si="0"/>
        <v>01_11</v>
      </c>
      <c r="B14" s="93" t="str">
        <f t="shared" si="1"/>
        <v>11.Januar</v>
      </c>
      <c r="C14" s="97">
        <f t="shared" ca="1" si="2"/>
        <v>46033</v>
      </c>
      <c r="D14" s="97">
        <f t="shared" ca="1" si="3"/>
        <v>46398</v>
      </c>
      <c r="E14" s="94">
        <f t="shared" ca="1" si="4"/>
        <v>43</v>
      </c>
      <c r="F14" s="95">
        <f t="shared" ca="1" si="5"/>
        <v>43</v>
      </c>
      <c r="G14" s="96" t="s">
        <v>156</v>
      </c>
      <c r="H14" s="5" t="s">
        <v>129</v>
      </c>
      <c r="I14" s="5" t="s">
        <v>157</v>
      </c>
      <c r="J14" s="5" t="s">
        <v>180</v>
      </c>
      <c r="K14" s="77" t="str">
        <f t="shared" ca="1" si="6"/>
        <v>Schon Geburtstag gehabt</v>
      </c>
    </row>
    <row r="15" spans="1:11" x14ac:dyDescent="0.25">
      <c r="A15" s="5" t="str">
        <f t="shared" si="0"/>
        <v>01_14</v>
      </c>
      <c r="B15" s="93" t="str">
        <f t="shared" si="1"/>
        <v>14.Januar</v>
      </c>
      <c r="C15" s="97">
        <f t="shared" ca="1" si="2"/>
        <v>46036</v>
      </c>
      <c r="D15" s="97">
        <f t="shared" ca="1" si="3"/>
        <v>46401</v>
      </c>
      <c r="E15" s="94">
        <f t="shared" ca="1" si="4"/>
        <v>66</v>
      </c>
      <c r="F15" s="95">
        <f t="shared" ca="1" si="5"/>
        <v>66</v>
      </c>
      <c r="G15" s="96" t="s">
        <v>162</v>
      </c>
      <c r="H15" s="5" t="s">
        <v>129</v>
      </c>
      <c r="I15" s="5" t="s">
        <v>163</v>
      </c>
      <c r="J15" s="5" t="s">
        <v>183</v>
      </c>
      <c r="K15" s="77" t="str">
        <f t="shared" ca="1" si="6"/>
        <v>Schon Geburtstag gehabt</v>
      </c>
    </row>
    <row r="16" spans="1:11" x14ac:dyDescent="0.25">
      <c r="A16" s="5" t="str">
        <f t="shared" si="0"/>
        <v>01_15</v>
      </c>
      <c r="B16" s="93" t="str">
        <f t="shared" si="1"/>
        <v>15.Januar</v>
      </c>
      <c r="C16" s="97">
        <f t="shared" ca="1" si="2"/>
        <v>46037</v>
      </c>
      <c r="D16" s="97">
        <f t="shared" ca="1" si="3"/>
        <v>46402</v>
      </c>
      <c r="E16" s="94">
        <f t="shared" ca="1" si="4"/>
        <v>46</v>
      </c>
      <c r="F16" s="95">
        <f t="shared" ca="1" si="5"/>
        <v>46</v>
      </c>
      <c r="G16" s="96" t="s">
        <v>165</v>
      </c>
      <c r="H16" s="5" t="s">
        <v>129</v>
      </c>
      <c r="I16" s="5" t="s">
        <v>166</v>
      </c>
      <c r="J16" s="5" t="s">
        <v>141</v>
      </c>
      <c r="K16" s="77" t="str">
        <f t="shared" ca="1" si="6"/>
        <v>Schon Geburtstag gehabt</v>
      </c>
    </row>
    <row r="17" spans="1:11" x14ac:dyDescent="0.25">
      <c r="A17" s="5" t="str">
        <f t="shared" si="0"/>
        <v>02_09</v>
      </c>
      <c r="B17" s="93" t="str">
        <f t="shared" si="1"/>
        <v>09.Februar</v>
      </c>
      <c r="C17" s="97">
        <f t="shared" ca="1" si="2"/>
        <v>46062</v>
      </c>
      <c r="D17" s="97">
        <f t="shared" ca="1" si="3"/>
        <v>46427</v>
      </c>
      <c r="E17" s="94">
        <f t="shared" ca="1" si="4"/>
        <v>81</v>
      </c>
      <c r="F17" s="95">
        <f t="shared" ca="1" si="5"/>
        <v>81</v>
      </c>
      <c r="G17" s="96">
        <v>16477</v>
      </c>
      <c r="H17" s="5" t="s">
        <v>127</v>
      </c>
      <c r="I17" s="5" t="s">
        <v>146</v>
      </c>
      <c r="J17" s="5" t="s">
        <v>174</v>
      </c>
      <c r="K17" s="77" t="str">
        <f t="shared" ca="1" si="6"/>
        <v>Schon Geburtstag gehabt</v>
      </c>
    </row>
    <row r="18" spans="1:11" x14ac:dyDescent="0.25">
      <c r="A18" s="5" t="str">
        <f t="shared" si="0"/>
        <v>02_14</v>
      </c>
      <c r="B18" s="93" t="str">
        <f t="shared" si="1"/>
        <v>14.Februar</v>
      </c>
      <c r="C18" s="97">
        <f t="shared" ca="1" si="2"/>
        <v>46067</v>
      </c>
      <c r="D18" s="97">
        <f t="shared" ca="1" si="3"/>
        <v>46432</v>
      </c>
      <c r="E18" s="94">
        <f t="shared" ca="1" si="4"/>
        <v>53</v>
      </c>
      <c r="F18" s="95">
        <f t="shared" ca="1" si="5"/>
        <v>53</v>
      </c>
      <c r="G18" s="96">
        <v>26709</v>
      </c>
      <c r="H18" s="5" t="s">
        <v>129</v>
      </c>
      <c r="I18" s="5" t="s">
        <v>161</v>
      </c>
      <c r="J18" s="5" t="s">
        <v>182</v>
      </c>
      <c r="K18" s="77" t="str">
        <f t="shared" ca="1" si="6"/>
        <v>Schon Geburtstag gehabt</v>
      </c>
    </row>
    <row r="19" spans="1:11" x14ac:dyDescent="0.25">
      <c r="A19" s="5" t="str">
        <f t="shared" si="0"/>
        <v>03_02</v>
      </c>
      <c r="B19" s="93" t="str">
        <f t="shared" si="1"/>
        <v>02.März</v>
      </c>
      <c r="C19" s="97">
        <f t="shared" ca="1" si="2"/>
        <v>46083</v>
      </c>
      <c r="D19" s="97">
        <f t="shared" ca="1" si="3"/>
        <v>46448</v>
      </c>
      <c r="E19" s="94">
        <f t="shared" ca="1" si="4"/>
        <v>67</v>
      </c>
      <c r="F19" s="95">
        <f t="shared" ca="1" si="5"/>
        <v>67</v>
      </c>
      <c r="G19" s="96">
        <v>21611</v>
      </c>
      <c r="H19" s="5" t="s">
        <v>129</v>
      </c>
      <c r="I19" s="5" t="s">
        <v>135</v>
      </c>
      <c r="J19" s="5" t="s">
        <v>131</v>
      </c>
      <c r="K19" s="77" t="str">
        <f t="shared" ca="1" si="6"/>
        <v>Schon Geburtstag gehabt</v>
      </c>
    </row>
    <row r="20" spans="1:11" x14ac:dyDescent="0.25">
      <c r="A20" s="5" t="str">
        <f t="shared" si="0"/>
        <v>03_02</v>
      </c>
      <c r="B20" s="93" t="str">
        <f t="shared" si="1"/>
        <v>02.März</v>
      </c>
      <c r="C20" s="97">
        <f t="shared" ca="1" si="2"/>
        <v>46083</v>
      </c>
      <c r="D20" s="97">
        <f t="shared" ca="1" si="3"/>
        <v>46448</v>
      </c>
      <c r="E20" s="94">
        <f t="shared" ca="1" si="4"/>
        <v>32</v>
      </c>
      <c r="F20" s="95">
        <f t="shared" ca="1" si="5"/>
        <v>32</v>
      </c>
      <c r="G20" s="96">
        <v>34395</v>
      </c>
      <c r="H20" s="5" t="s">
        <v>127</v>
      </c>
      <c r="I20" s="5" t="s">
        <v>136</v>
      </c>
      <c r="J20" s="5" t="s">
        <v>131</v>
      </c>
      <c r="K20" s="77" t="str">
        <f t="shared" ca="1" si="6"/>
        <v>Schon Geburtstag gehabt</v>
      </c>
    </row>
    <row r="21" spans="1:11" x14ac:dyDescent="0.25">
      <c r="A21" s="5" t="str">
        <f t="shared" si="0"/>
        <v>04_10</v>
      </c>
      <c r="B21" s="93" t="str">
        <f t="shared" si="1"/>
        <v>10.April</v>
      </c>
      <c r="C21" s="97">
        <f t="shared" ca="1" si="2"/>
        <v>46122</v>
      </c>
      <c r="D21" s="97">
        <f t="shared" ca="1" si="3"/>
        <v>46487</v>
      </c>
      <c r="E21" s="94">
        <f t="shared" ca="1" si="4"/>
        <v>26</v>
      </c>
      <c r="F21" s="95">
        <f t="shared" ca="1" si="5"/>
        <v>26</v>
      </c>
      <c r="G21" s="96">
        <v>36626</v>
      </c>
      <c r="H21" s="5" t="s">
        <v>129</v>
      </c>
      <c r="I21" s="5" t="s">
        <v>130</v>
      </c>
      <c r="J21" s="5" t="s">
        <v>171</v>
      </c>
      <c r="K21" s="77" t="str">
        <f t="shared" ca="1" si="6"/>
        <v>Schon Geburtstag gehabt</v>
      </c>
    </row>
    <row r="22" spans="1:11" x14ac:dyDescent="0.25">
      <c r="A22" s="5" t="str">
        <f t="shared" si="0"/>
        <v>07_12</v>
      </c>
      <c r="B22" s="93" t="str">
        <f t="shared" si="1"/>
        <v>12.Juli</v>
      </c>
      <c r="C22" s="97">
        <f t="shared" ca="1" si="2"/>
        <v>46215</v>
      </c>
      <c r="D22" s="97">
        <f t="shared" ca="1" si="3"/>
        <v>46580</v>
      </c>
      <c r="E22" s="94">
        <f t="shared" ca="1" si="4"/>
        <v>52</v>
      </c>
      <c r="F22" s="95">
        <f t="shared" ca="1" si="5"/>
        <v>52</v>
      </c>
      <c r="G22" s="96">
        <v>27222</v>
      </c>
      <c r="H22" s="5" t="s">
        <v>129</v>
      </c>
      <c r="I22" s="5" t="s">
        <v>140</v>
      </c>
      <c r="J22" s="5" t="s">
        <v>181</v>
      </c>
      <c r="K22" s="77" t="str">
        <f t="shared" ca="1" si="6"/>
        <v>Schon Geburtstag gehabt</v>
      </c>
    </row>
    <row r="23" spans="1:11" x14ac:dyDescent="0.25">
      <c r="A23" s="5" t="str">
        <f t="shared" si="0"/>
        <v>08_05</v>
      </c>
      <c r="B23" s="93" t="str">
        <f t="shared" si="1"/>
        <v>05.August</v>
      </c>
      <c r="C23" s="97">
        <f t="shared" ca="1" si="2"/>
        <v>46239</v>
      </c>
      <c r="D23" s="97">
        <f t="shared" ca="1" si="3"/>
        <v>46604</v>
      </c>
      <c r="E23" s="94">
        <f t="shared" ca="1" si="4"/>
        <v>66</v>
      </c>
      <c r="F23" s="95">
        <f t="shared" ca="1" si="5"/>
        <v>66</v>
      </c>
      <c r="G23" s="96">
        <v>22133</v>
      </c>
      <c r="H23" s="5" t="s">
        <v>127</v>
      </c>
      <c r="I23" s="5" t="s">
        <v>155</v>
      </c>
      <c r="J23" s="5" t="s">
        <v>179</v>
      </c>
      <c r="K23" s="77" t="str">
        <f t="shared" ca="1" si="6"/>
        <v>Schon Geburtstag gehabt</v>
      </c>
    </row>
    <row r="24" spans="1:11" x14ac:dyDescent="0.25">
      <c r="A24" s="5" t="str">
        <f t="shared" si="0"/>
        <v>08_12</v>
      </c>
      <c r="B24" s="93" t="str">
        <f t="shared" si="1"/>
        <v>12.August</v>
      </c>
      <c r="C24" s="97">
        <f t="shared" ca="1" si="2"/>
        <v>46246</v>
      </c>
      <c r="D24" s="97">
        <f t="shared" ca="1" si="3"/>
        <v>46611</v>
      </c>
      <c r="E24" s="94">
        <f t="shared" ca="1" si="4"/>
        <v>57</v>
      </c>
      <c r="F24" s="95">
        <f t="shared" ca="1" si="5"/>
        <v>57</v>
      </c>
      <c r="G24" s="96">
        <v>25427</v>
      </c>
      <c r="H24" s="5" t="s">
        <v>129</v>
      </c>
      <c r="I24" s="5" t="s">
        <v>159</v>
      </c>
      <c r="J24" s="5" t="s">
        <v>134</v>
      </c>
      <c r="K24" s="77" t="str">
        <f t="shared" ca="1" si="6"/>
        <v>Schon Geburtstag gehabt</v>
      </c>
    </row>
    <row r="25" spans="1:11" x14ac:dyDescent="0.25">
      <c r="A25" s="5" t="str">
        <f t="shared" si="0"/>
        <v>08_13</v>
      </c>
      <c r="B25" s="93" t="str">
        <f t="shared" si="1"/>
        <v>13.August</v>
      </c>
      <c r="C25" s="97">
        <f t="shared" ca="1" si="2"/>
        <v>46247</v>
      </c>
      <c r="D25" s="97">
        <f t="shared" ca="1" si="3"/>
        <v>46612</v>
      </c>
      <c r="E25" s="94">
        <f t="shared" ca="1" si="4"/>
        <v>84</v>
      </c>
      <c r="F25" s="95">
        <f t="shared" ca="1" si="5"/>
        <v>84</v>
      </c>
      <c r="G25" s="96">
        <v>15566</v>
      </c>
      <c r="H25" s="5" t="s">
        <v>129</v>
      </c>
      <c r="I25" s="5" t="s">
        <v>160</v>
      </c>
      <c r="J25" s="5" t="s">
        <v>167</v>
      </c>
      <c r="K25" s="77" t="str">
        <f t="shared" ca="1" si="6"/>
        <v>Schon Geburtstag gehabt</v>
      </c>
    </row>
    <row r="26" spans="1:11" x14ac:dyDescent="0.25">
      <c r="A26" s="5" t="str">
        <f t="shared" si="0"/>
        <v>09_12</v>
      </c>
      <c r="B26" s="93" t="str">
        <f t="shared" si="1"/>
        <v>12.September</v>
      </c>
      <c r="C26" s="97">
        <f t="shared" ca="1" si="2"/>
        <v>46277</v>
      </c>
      <c r="D26" s="97">
        <f t="shared" ca="1" si="3"/>
        <v>46277</v>
      </c>
      <c r="E26" s="94">
        <f t="shared" ca="1" si="4"/>
        <v>56</v>
      </c>
      <c r="F26" s="95">
        <f t="shared" ca="1" si="5"/>
        <v>57</v>
      </c>
      <c r="G26" s="96">
        <v>25458</v>
      </c>
      <c r="H26" s="5" t="s">
        <v>127</v>
      </c>
      <c r="I26" s="5" t="s">
        <v>158</v>
      </c>
      <c r="J26" s="5" t="s">
        <v>134</v>
      </c>
      <c r="K26" s="77" t="str">
        <f t="shared" ca="1" si="6"/>
        <v>Noch kein Geburtstag gehabt</v>
      </c>
    </row>
    <row r="27" spans="1:11" x14ac:dyDescent="0.25">
      <c r="A27" s="5" t="str">
        <f t="shared" si="0"/>
        <v>09_16</v>
      </c>
      <c r="B27" s="93" t="str">
        <f t="shared" si="1"/>
        <v>16.September</v>
      </c>
      <c r="C27" s="97">
        <f t="shared" ca="1" si="2"/>
        <v>46281</v>
      </c>
      <c r="D27" s="97">
        <f t="shared" ca="1" si="3"/>
        <v>46281</v>
      </c>
      <c r="E27" s="94">
        <f t="shared" ca="1" si="4"/>
        <v>64</v>
      </c>
      <c r="F27" s="95">
        <f t="shared" ca="1" si="5"/>
        <v>65</v>
      </c>
      <c r="G27" s="96">
        <v>22540</v>
      </c>
      <c r="H27" s="5" t="s">
        <v>127</v>
      </c>
      <c r="I27" s="5" t="s">
        <v>169</v>
      </c>
      <c r="J27" s="5" t="s">
        <v>134</v>
      </c>
      <c r="K27" s="77" t="str">
        <f t="shared" ca="1" si="6"/>
        <v>Noch kein Geburtstag gehabt</v>
      </c>
    </row>
    <row r="28" spans="1:11" x14ac:dyDescent="0.25">
      <c r="A28" s="5" t="str">
        <f t="shared" si="0"/>
        <v>10_10</v>
      </c>
      <c r="B28" s="93" t="str">
        <f t="shared" si="1"/>
        <v>10.Oktober</v>
      </c>
      <c r="C28" s="97">
        <f t="shared" ca="1" si="2"/>
        <v>46305</v>
      </c>
      <c r="D28" s="97">
        <f t="shared" ca="1" si="3"/>
        <v>46305</v>
      </c>
      <c r="E28" s="94">
        <f t="shared" ca="1" si="4"/>
        <v>85</v>
      </c>
      <c r="F28" s="95">
        <f t="shared" ca="1" si="5"/>
        <v>86</v>
      </c>
      <c r="G28" s="96">
        <v>14894</v>
      </c>
      <c r="H28" s="5" t="s">
        <v>129</v>
      </c>
      <c r="I28" s="5" t="s">
        <v>150</v>
      </c>
      <c r="J28" s="5" t="s">
        <v>176</v>
      </c>
      <c r="K28" s="77" t="str">
        <f t="shared" ca="1" si="6"/>
        <v>Noch kein Geburtstag gehabt</v>
      </c>
    </row>
    <row r="29" spans="1:11" x14ac:dyDescent="0.25">
      <c r="A29" s="5" t="str">
        <f t="shared" si="0"/>
        <v>10_12</v>
      </c>
      <c r="B29" s="93" t="str">
        <f t="shared" si="1"/>
        <v>12.Oktober</v>
      </c>
      <c r="C29" s="97">
        <f t="shared" ca="1" si="2"/>
        <v>46307</v>
      </c>
      <c r="D29" s="97">
        <f t="shared" ca="1" si="3"/>
        <v>46307</v>
      </c>
      <c r="E29" s="94">
        <f t="shared" ca="1" si="4"/>
        <v>83</v>
      </c>
      <c r="F29" s="95">
        <f t="shared" ca="1" si="5"/>
        <v>84</v>
      </c>
      <c r="G29" s="96">
        <v>15626</v>
      </c>
      <c r="H29" s="5" t="s">
        <v>129</v>
      </c>
      <c r="I29" s="5" t="s">
        <v>151</v>
      </c>
      <c r="J29" s="5" t="s">
        <v>167</v>
      </c>
      <c r="K29" s="77" t="str">
        <f t="shared" ca="1" si="6"/>
        <v>Noch kein Geburtstag gehabt</v>
      </c>
    </row>
    <row r="30" spans="1:11" x14ac:dyDescent="0.25">
      <c r="A30" s="5" t="str">
        <f t="shared" si="0"/>
        <v>10_14</v>
      </c>
      <c r="B30" s="93" t="str">
        <f t="shared" si="1"/>
        <v>14.Oktober</v>
      </c>
      <c r="C30" s="97">
        <f t="shared" ca="1" si="2"/>
        <v>46309</v>
      </c>
      <c r="D30" s="97">
        <f t="shared" ca="1" si="3"/>
        <v>46309</v>
      </c>
      <c r="E30" s="94">
        <f t="shared" ca="1" si="4"/>
        <v>41</v>
      </c>
      <c r="F30" s="95">
        <f t="shared" ca="1" si="5"/>
        <v>42</v>
      </c>
      <c r="G30" s="96">
        <v>30969</v>
      </c>
      <c r="H30" s="5" t="s">
        <v>127</v>
      </c>
      <c r="I30" s="5" t="s">
        <v>164</v>
      </c>
      <c r="J30" s="5" t="s">
        <v>134</v>
      </c>
      <c r="K30" s="77" t="str">
        <f t="shared" ca="1" si="6"/>
        <v>Noch kein Geburtstag gehabt</v>
      </c>
    </row>
    <row r="31" spans="1:11" x14ac:dyDescent="0.25">
      <c r="A31" s="5" t="str">
        <f t="shared" si="0"/>
        <v>10_15</v>
      </c>
      <c r="B31" s="93" t="str">
        <f t="shared" si="1"/>
        <v>15.Oktober</v>
      </c>
      <c r="C31" s="97">
        <f t="shared" ca="1" si="2"/>
        <v>46310</v>
      </c>
      <c r="D31" s="97">
        <f t="shared" ca="1" si="3"/>
        <v>46310</v>
      </c>
      <c r="E31" s="94">
        <f t="shared" ca="1" si="4"/>
        <v>64</v>
      </c>
      <c r="F31" s="95">
        <f t="shared" ca="1" si="5"/>
        <v>65</v>
      </c>
      <c r="G31" s="96">
        <v>22569</v>
      </c>
      <c r="H31" s="5" t="s">
        <v>129</v>
      </c>
      <c r="I31" s="5" t="s">
        <v>168</v>
      </c>
      <c r="J31" s="5" t="s">
        <v>184</v>
      </c>
      <c r="K31" s="77" t="str">
        <f t="shared" ca="1" si="6"/>
        <v>Noch kein Geburtstag gehabt</v>
      </c>
    </row>
    <row r="32" spans="1:11" x14ac:dyDescent="0.25">
      <c r="A32" s="5" t="str">
        <f t="shared" si="0"/>
        <v>11_10</v>
      </c>
      <c r="B32" s="93" t="str">
        <f t="shared" si="1"/>
        <v>10.November</v>
      </c>
      <c r="C32" s="97">
        <f t="shared" ca="1" si="2"/>
        <v>46336</v>
      </c>
      <c r="D32" s="97">
        <f t="shared" ca="1" si="3"/>
        <v>46336</v>
      </c>
      <c r="E32" s="94">
        <f t="shared" ca="1" si="4"/>
        <v>84</v>
      </c>
      <c r="F32" s="95">
        <f t="shared" ca="1" si="5"/>
        <v>85</v>
      </c>
      <c r="G32" s="96">
        <v>15290</v>
      </c>
      <c r="H32" s="5" t="s">
        <v>129</v>
      </c>
      <c r="I32" s="5" t="s">
        <v>151</v>
      </c>
      <c r="J32" s="5" t="s">
        <v>177</v>
      </c>
      <c r="K32" s="77" t="str">
        <f t="shared" ca="1" si="6"/>
        <v>Noch kein Geburtstag gehabt</v>
      </c>
    </row>
    <row r="33" spans="1:11" x14ac:dyDescent="0.25">
      <c r="A33" s="5" t="str">
        <f t="shared" si="0"/>
        <v>12_10</v>
      </c>
      <c r="B33" s="93" t="str">
        <f t="shared" si="1"/>
        <v>10.Dezember</v>
      </c>
      <c r="C33" s="97">
        <f t="shared" ca="1" si="2"/>
        <v>46366</v>
      </c>
      <c r="D33" s="97">
        <f t="shared" ca="1" si="3"/>
        <v>46366</v>
      </c>
      <c r="E33" s="94">
        <f t="shared" ca="1" si="4"/>
        <v>57</v>
      </c>
      <c r="F33" s="95">
        <f t="shared" ca="1" si="5"/>
        <v>58</v>
      </c>
      <c r="G33" s="96">
        <v>25182</v>
      </c>
      <c r="H33" s="5" t="s">
        <v>129</v>
      </c>
      <c r="I33" s="5" t="s">
        <v>152</v>
      </c>
      <c r="J33" s="5" t="s">
        <v>131</v>
      </c>
      <c r="K33" s="77" t="str">
        <f t="shared" ca="1" si="6"/>
        <v>Noch kein Geburtstag gehabt</v>
      </c>
    </row>
    <row r="34" spans="1:11" x14ac:dyDescent="0.25">
      <c r="A34" s="5" t="str">
        <f t="shared" si="0"/>
        <v>12_16</v>
      </c>
      <c r="B34" s="93" t="str">
        <f t="shared" si="1"/>
        <v>16.Dezember</v>
      </c>
      <c r="C34" s="97">
        <f t="shared" ca="1" si="2"/>
        <v>46372</v>
      </c>
      <c r="D34" s="97">
        <f t="shared" ca="1" si="3"/>
        <v>46372</v>
      </c>
      <c r="E34" s="94">
        <f t="shared" ca="1" si="4"/>
        <v>31</v>
      </c>
      <c r="F34" s="95">
        <f t="shared" ca="1" si="5"/>
        <v>32</v>
      </c>
      <c r="G34" s="96">
        <v>34684</v>
      </c>
      <c r="H34" s="5" t="s">
        <v>129</v>
      </c>
      <c r="I34" s="5" t="s">
        <v>170</v>
      </c>
      <c r="J34" s="5" t="s">
        <v>131</v>
      </c>
      <c r="K34" s="77" t="str">
        <f t="shared" ca="1" si="6"/>
        <v>Noch kein Geburtstag gehabt</v>
      </c>
    </row>
  </sheetData>
  <autoFilter ref="A4:K4" xr:uid="{1841BF1A-9A03-4CA3-9AB4-14BC2465827D}">
    <sortState xmlns:xlrd2="http://schemas.microsoft.com/office/spreadsheetml/2017/richdata2" ref="A5:K34">
      <sortCondition ref="A4"/>
    </sortState>
  </autoFilter>
  <sortState xmlns:xlrd2="http://schemas.microsoft.com/office/spreadsheetml/2017/richdata2" ref="A5:K34">
    <sortCondition ref="A5:A34"/>
  </sortState>
  <conditionalFormatting sqref="B5:B34">
    <cfRule type="expression" dxfId="0" priority="1">
      <formula>IF(K5="Noch kein Geburtstag gehabt",TRUE,FALSE)</formula>
    </cfRule>
  </conditionalFormatting>
  <pageMargins left="0.7" right="0.7" top="0.78740157499999996" bottom="0.78740157499999996" header="0.3" footer="0.3"/>
  <pageSetup paperSize="9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22FC2-F1DD-4976-B11D-F41AF79BE2D1}">
  <dimension ref="B1:C5"/>
  <sheetViews>
    <sheetView zoomScaleNormal="100" workbookViewId="0"/>
  </sheetViews>
  <sheetFormatPr baseColWidth="10" defaultRowHeight="15" x14ac:dyDescent="0.25"/>
  <cols>
    <col min="2" max="4" width="19.140625" customWidth="1"/>
    <col min="5" max="6" width="16.42578125" customWidth="1"/>
    <col min="7" max="7" width="18.85546875" customWidth="1"/>
    <col min="8" max="8" width="20.42578125" customWidth="1"/>
    <col min="9" max="11" width="16.42578125" customWidth="1"/>
  </cols>
  <sheetData>
    <row r="1" spans="2:3" ht="39.950000000000003" customHeight="1" x14ac:dyDescent="0.25"/>
    <row r="2" spans="2:3" ht="26.25" x14ac:dyDescent="0.4">
      <c r="B2" s="29" t="s">
        <v>125</v>
      </c>
      <c r="C2" s="29"/>
    </row>
    <row r="5" spans="2:3" x14ac:dyDescent="0.25">
      <c r="B5" s="90" t="s">
        <v>126</v>
      </c>
    </row>
  </sheetData>
  <pageMargins left="0.7" right="0.7" top="0.78740157499999996" bottom="0.78740157499999996" header="0.3" footer="0.3"/>
  <pageSetup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57830-AC00-4F43-A73A-16FD420D323A}">
  <dimension ref="B1:U45"/>
  <sheetViews>
    <sheetView showGridLines="0" zoomScale="55" zoomScaleNormal="55" workbookViewId="0"/>
  </sheetViews>
  <sheetFormatPr baseColWidth="10" defaultRowHeight="15" x14ac:dyDescent="0.25"/>
  <cols>
    <col min="2" max="4" width="19.140625" customWidth="1"/>
    <col min="5" max="6" width="16.42578125" customWidth="1"/>
    <col min="7" max="7" width="18.85546875" customWidth="1"/>
    <col min="8" max="8" width="20.42578125" customWidth="1"/>
    <col min="9" max="11" width="16.42578125" customWidth="1"/>
  </cols>
  <sheetData>
    <row r="1" spans="2:11" ht="39.950000000000003" customHeight="1" x14ac:dyDescent="0.25"/>
    <row r="2" spans="2:11" ht="26.25" x14ac:dyDescent="0.4">
      <c r="C2" s="29" t="s">
        <v>101</v>
      </c>
    </row>
    <row r="5" spans="2:11" ht="18.75" x14ac:dyDescent="0.3">
      <c r="B5" s="72" t="s">
        <v>102</v>
      </c>
      <c r="C5" s="72"/>
      <c r="G5" s="72" t="s">
        <v>103</v>
      </c>
      <c r="H5" s="72"/>
      <c r="I5" s="72"/>
    </row>
    <row r="6" spans="2:11" ht="17.25" x14ac:dyDescent="0.25">
      <c r="B6" s="73" t="s">
        <v>104</v>
      </c>
      <c r="C6" s="73" t="s">
        <v>105</v>
      </c>
      <c r="D6" s="73" t="s">
        <v>106</v>
      </c>
      <c r="E6" s="73" t="s">
        <v>107</v>
      </c>
      <c r="G6" s="73" t="s">
        <v>108</v>
      </c>
      <c r="H6" s="73" t="s">
        <v>109</v>
      </c>
      <c r="I6" s="73" t="s">
        <v>105</v>
      </c>
      <c r="J6" s="73" t="s">
        <v>106</v>
      </c>
      <c r="K6" s="73" t="s">
        <v>107</v>
      </c>
    </row>
    <row r="7" spans="2:11" x14ac:dyDescent="0.25">
      <c r="B7" s="75">
        <v>10</v>
      </c>
      <c r="C7" s="84">
        <f>SQRT(2) * B7</f>
        <v>14.142135623730951</v>
      </c>
      <c r="D7" s="74">
        <f>B7^2</f>
        <v>100</v>
      </c>
      <c r="E7" s="74">
        <f>4*B7</f>
        <v>40</v>
      </c>
      <c r="G7" s="75">
        <v>2</v>
      </c>
      <c r="H7" s="75">
        <v>3</v>
      </c>
      <c r="I7" s="76">
        <f>SQRT(G7^2 + H7^2)</f>
        <v>3.6055512754639891</v>
      </c>
      <c r="J7" s="74">
        <f>G7*H7</f>
        <v>6</v>
      </c>
      <c r="K7" s="74">
        <f>2*(G7+H7)</f>
        <v>10</v>
      </c>
    </row>
    <row r="8" spans="2:11" x14ac:dyDescent="0.25">
      <c r="B8" s="74">
        <f>C8/SQRT(2)</f>
        <v>10.000000000190246</v>
      </c>
      <c r="C8" s="75">
        <v>14.142135624</v>
      </c>
      <c r="D8" s="74">
        <f>C8^2 / 2</f>
        <v>100.00000000380493</v>
      </c>
      <c r="E8" s="74">
        <f>4*B8</f>
        <v>40.000000000760984</v>
      </c>
      <c r="G8" s="75">
        <v>2</v>
      </c>
      <c r="H8" s="74">
        <f>SQRT(I8^2-G8^2)</f>
        <v>3.0000000054516063</v>
      </c>
      <c r="I8" s="75">
        <v>3.6055512799999998</v>
      </c>
      <c r="J8" s="74">
        <f>G8*H8</f>
        <v>6.0000000109032126</v>
      </c>
      <c r="K8" s="74">
        <f>2*(G8+H8)</f>
        <v>10.000000010903213</v>
      </c>
    </row>
    <row r="9" spans="2:11" x14ac:dyDescent="0.25">
      <c r="B9" s="74">
        <f>SQRT(D9)</f>
        <v>10</v>
      </c>
      <c r="C9" s="74">
        <f>SQRT(2) * B9</f>
        <v>14.142135623730951</v>
      </c>
      <c r="D9" s="75">
        <v>100</v>
      </c>
      <c r="E9" s="74">
        <f>4*B9</f>
        <v>40</v>
      </c>
      <c r="G9" s="75">
        <v>2</v>
      </c>
      <c r="H9" s="74">
        <f>J9/G9</f>
        <v>3</v>
      </c>
      <c r="I9" s="74">
        <f>SQRT(G9^2 + H9^2)</f>
        <v>3.6055512754639891</v>
      </c>
      <c r="J9" s="75">
        <v>6</v>
      </c>
      <c r="K9" s="74">
        <f>2*(G9+H9)</f>
        <v>10</v>
      </c>
    </row>
    <row r="10" spans="2:11" x14ac:dyDescent="0.25">
      <c r="B10" s="74">
        <f>E10/4</f>
        <v>10</v>
      </c>
      <c r="C10" s="74">
        <f>SQRT(2) * B10</f>
        <v>14.142135623730951</v>
      </c>
      <c r="D10" s="74">
        <f>B10^2</f>
        <v>100</v>
      </c>
      <c r="E10" s="75">
        <v>40</v>
      </c>
      <c r="G10" s="75">
        <v>2</v>
      </c>
      <c r="H10" s="74">
        <f>(K10/2)-G10</f>
        <v>3</v>
      </c>
      <c r="I10" s="74">
        <f>SQRT(G10^2 + H10^2)</f>
        <v>3.6055512754639891</v>
      </c>
      <c r="J10" s="74">
        <f>G10*H10</f>
        <v>6</v>
      </c>
      <c r="K10" s="75">
        <v>10</v>
      </c>
    </row>
    <row r="11" spans="2:11" x14ac:dyDescent="0.25">
      <c r="G11" s="74">
        <f>SQRT((I11^2 - SQRT(I11^4 - 4*J11^2))/2)</f>
        <v>1.9936428724026451</v>
      </c>
      <c r="H11" s="74">
        <f>J11/G11</f>
        <v>3.0095660978483476</v>
      </c>
      <c r="I11" s="75">
        <v>3.61</v>
      </c>
      <c r="J11" s="75">
        <v>6</v>
      </c>
      <c r="K11" s="74">
        <f>2*(G11+H11)</f>
        <v>10.006417940501986</v>
      </c>
    </row>
    <row r="12" spans="2:11" x14ac:dyDescent="0.25">
      <c r="G12" s="74">
        <f>SQRT(I12^2 - H12^2)</f>
        <v>1.9841996510276481</v>
      </c>
      <c r="H12" s="74">
        <f>(K12+SQRT(8*I12^2 - K12^2))/4</f>
        <v>3.0158003489723519</v>
      </c>
      <c r="I12" s="75">
        <v>3.61</v>
      </c>
      <c r="J12" s="74">
        <f>G12*H12</f>
        <v>5.9839500000000001</v>
      </c>
      <c r="K12" s="75">
        <v>10</v>
      </c>
    </row>
    <row r="16" spans="2:11" ht="18.75" x14ac:dyDescent="0.3">
      <c r="B16" s="72" t="s">
        <v>110</v>
      </c>
    </row>
    <row r="17" spans="2:8" ht="18" x14ac:dyDescent="0.35">
      <c r="B17" s="73" t="s">
        <v>111</v>
      </c>
      <c r="C17" s="73" t="s">
        <v>112</v>
      </c>
      <c r="D17" s="73" t="s">
        <v>113</v>
      </c>
      <c r="E17" s="73" t="s">
        <v>115</v>
      </c>
      <c r="F17" s="73" t="s">
        <v>116</v>
      </c>
      <c r="G17" s="73" t="s">
        <v>117</v>
      </c>
      <c r="H17" s="73" t="s">
        <v>114</v>
      </c>
    </row>
    <row r="18" spans="2:8" x14ac:dyDescent="0.25">
      <c r="B18" s="75">
        <v>10</v>
      </c>
      <c r="C18" s="75">
        <v>180</v>
      </c>
      <c r="D18" s="74">
        <f>2*B18</f>
        <v>20</v>
      </c>
      <c r="E18" s="77">
        <f>B18^2*PI()</f>
        <v>314.15926535897933</v>
      </c>
      <c r="F18" s="77">
        <f>2*B18*PI()</f>
        <v>62.831853071795862</v>
      </c>
      <c r="G18" s="77">
        <f t="shared" ref="G18:G23" si="0">E18*C18/360</f>
        <v>157.07963267948966</v>
      </c>
      <c r="H18" s="77">
        <f>F18*C18/360</f>
        <v>31.415926535897931</v>
      </c>
    </row>
    <row r="19" spans="2:8" x14ac:dyDescent="0.25">
      <c r="B19" s="74">
        <f>D19/2</f>
        <v>10</v>
      </c>
      <c r="C19" s="75">
        <v>180</v>
      </c>
      <c r="D19" s="75">
        <v>20</v>
      </c>
      <c r="E19" s="74">
        <f>B19^2*PI()</f>
        <v>314.15926535897933</v>
      </c>
      <c r="F19" s="74">
        <f>2*B19*PI()</f>
        <v>62.831853071795862</v>
      </c>
      <c r="G19" s="74">
        <f t="shared" si="0"/>
        <v>157.07963267948966</v>
      </c>
      <c r="H19" s="74">
        <f>F19*C19/360</f>
        <v>31.415926535897931</v>
      </c>
    </row>
    <row r="20" spans="2:8" x14ac:dyDescent="0.25">
      <c r="B20" s="74">
        <f>SQRT(E20/PI())</f>
        <v>10.000000000652864</v>
      </c>
      <c r="C20" s="75">
        <v>180</v>
      </c>
      <c r="D20" s="74">
        <f>2*B20</f>
        <v>20.000000001305729</v>
      </c>
      <c r="E20" s="75">
        <v>314.15926539999998</v>
      </c>
      <c r="F20" s="74">
        <f>2*B20*PI()</f>
        <v>62.831853075897932</v>
      </c>
      <c r="G20" s="74">
        <f t="shared" si="0"/>
        <v>157.07963269999999</v>
      </c>
      <c r="H20" s="74">
        <f>F20*C20/360</f>
        <v>31.415926537948966</v>
      </c>
    </row>
    <row r="21" spans="2:8" x14ac:dyDescent="0.25">
      <c r="B21" s="74">
        <f>D21/2</f>
        <v>9.9999999997141806</v>
      </c>
      <c r="C21" s="75">
        <v>180</v>
      </c>
      <c r="D21" s="74">
        <f>F21/PI()</f>
        <v>19.999999999428361</v>
      </c>
      <c r="E21" s="74">
        <f>B21^2*PI()</f>
        <v>314.15926534102073</v>
      </c>
      <c r="F21" s="75">
        <v>62.831853070000001</v>
      </c>
      <c r="G21" s="74">
        <f t="shared" si="0"/>
        <v>157.07963267051036</v>
      </c>
      <c r="H21" s="74">
        <f>F21*C21/360</f>
        <v>31.415926535000001</v>
      </c>
    </row>
    <row r="22" spans="2:8" x14ac:dyDescent="0.25">
      <c r="B22" s="75">
        <v>10</v>
      </c>
      <c r="C22" s="74">
        <f>360/(F22/H22)</f>
        <v>179.99999999485524</v>
      </c>
      <c r="D22" s="74">
        <f>2*B22</f>
        <v>20</v>
      </c>
      <c r="E22" s="74">
        <f>B22^2*PI()</f>
        <v>314.15926535897933</v>
      </c>
      <c r="F22" s="74">
        <f>2*B22*PI()</f>
        <v>62.831853071795862</v>
      </c>
      <c r="G22" s="74">
        <f t="shared" si="0"/>
        <v>157.07963267500003</v>
      </c>
      <c r="H22" s="75">
        <v>31.415926535000001</v>
      </c>
    </row>
    <row r="23" spans="2:8" x14ac:dyDescent="0.25">
      <c r="B23" s="74">
        <f>D23/2</f>
        <v>10</v>
      </c>
      <c r="C23" s="74">
        <f>360/(F23/H23)</f>
        <v>179.99999999485524</v>
      </c>
      <c r="D23" s="75">
        <v>20</v>
      </c>
      <c r="E23" s="74">
        <f>B23^2*PI()</f>
        <v>314.15926535897933</v>
      </c>
      <c r="F23" s="74">
        <f>2*B23*PI()</f>
        <v>62.831853071795862</v>
      </c>
      <c r="G23" s="74">
        <f t="shared" si="0"/>
        <v>157.07963267500003</v>
      </c>
      <c r="H23" s="75">
        <v>31.415926535000001</v>
      </c>
    </row>
    <row r="24" spans="2:8" x14ac:dyDescent="0.25">
      <c r="B24" s="75">
        <v>10</v>
      </c>
      <c r="C24" s="74">
        <f>360/(E24/G24)</f>
        <v>179.99999999485527</v>
      </c>
      <c r="D24" s="74">
        <f>2*B24</f>
        <v>20</v>
      </c>
      <c r="E24" s="74">
        <f>B24^2*PI()</f>
        <v>314.15926535897933</v>
      </c>
      <c r="F24" s="74">
        <f>2*B24*PI()</f>
        <v>62.831853071795862</v>
      </c>
      <c r="G24" s="75">
        <v>157.07963267500003</v>
      </c>
      <c r="H24" s="74">
        <f>F24*C24/360</f>
        <v>31.415926535000008</v>
      </c>
    </row>
    <row r="25" spans="2:8" x14ac:dyDescent="0.25">
      <c r="B25" s="74">
        <f>D25/2</f>
        <v>10</v>
      </c>
      <c r="C25" s="74">
        <f>360/(E25/G25)</f>
        <v>179.99999999485527</v>
      </c>
      <c r="D25" s="75">
        <v>20</v>
      </c>
      <c r="E25" s="74">
        <f>B25^2*PI()</f>
        <v>314.15926535897933</v>
      </c>
      <c r="F25" s="74">
        <f>2*B25*PI()</f>
        <v>62.831853071795862</v>
      </c>
      <c r="G25" s="75">
        <v>157.07963267500003</v>
      </c>
      <c r="H25" s="74">
        <f>F25*C25/360</f>
        <v>31.415926535000008</v>
      </c>
    </row>
    <row r="29" spans="2:8" ht="18.75" x14ac:dyDescent="0.3">
      <c r="B29" s="72" t="s">
        <v>118</v>
      </c>
    </row>
    <row r="30" spans="2:8" x14ac:dyDescent="0.25">
      <c r="B30" s="73" t="s">
        <v>123</v>
      </c>
      <c r="C30" s="73" t="s">
        <v>122</v>
      </c>
      <c r="D30" s="73" t="s">
        <v>119</v>
      </c>
      <c r="E30" s="85" t="s">
        <v>120</v>
      </c>
      <c r="F30" s="86" t="s">
        <v>121</v>
      </c>
      <c r="G30" s="85" t="s">
        <v>124</v>
      </c>
    </row>
    <row r="31" spans="2:8" x14ac:dyDescent="0.25">
      <c r="B31" s="75"/>
      <c r="C31" s="75"/>
      <c r="D31" s="87"/>
      <c r="E31" s="87"/>
      <c r="F31" s="87"/>
      <c r="G31" s="87"/>
    </row>
    <row r="32" spans="2:8" x14ac:dyDescent="0.25">
      <c r="B32" s="75"/>
      <c r="C32" s="74"/>
      <c r="D32" s="75"/>
      <c r="E32" s="74"/>
      <c r="F32" s="74"/>
      <c r="G32" s="74"/>
    </row>
    <row r="33" spans="2:21" x14ac:dyDescent="0.25">
      <c r="B33" s="75"/>
      <c r="C33" s="74"/>
      <c r="D33" s="74"/>
      <c r="E33" s="75"/>
      <c r="F33" s="74"/>
      <c r="G33" s="74"/>
    </row>
    <row r="34" spans="2:21" x14ac:dyDescent="0.25">
      <c r="B34" s="75"/>
      <c r="C34" s="74"/>
      <c r="D34" s="74"/>
      <c r="E34" s="74"/>
      <c r="F34" s="75"/>
      <c r="G34" s="74"/>
    </row>
    <row r="35" spans="2:21" x14ac:dyDescent="0.25">
      <c r="B35" s="75"/>
      <c r="C35" s="74"/>
      <c r="D35" s="74"/>
      <c r="E35" s="74"/>
      <c r="F35" s="74"/>
      <c r="G35" s="75"/>
    </row>
    <row r="36" spans="2:21" x14ac:dyDescent="0.25">
      <c r="B36" s="74"/>
      <c r="C36" s="75"/>
      <c r="D36" s="75"/>
      <c r="E36" s="74"/>
      <c r="F36" s="74"/>
      <c r="G36" s="74"/>
    </row>
    <row r="37" spans="2:21" x14ac:dyDescent="0.25">
      <c r="B37" s="74"/>
      <c r="C37" s="75"/>
      <c r="D37" s="74"/>
      <c r="E37" s="75"/>
      <c r="F37" s="74"/>
      <c r="G37" s="74"/>
    </row>
    <row r="38" spans="2:21" x14ac:dyDescent="0.25">
      <c r="B38" s="74"/>
      <c r="C38" s="75"/>
      <c r="D38" s="74"/>
      <c r="E38" s="74"/>
      <c r="F38" s="75"/>
      <c r="G38" s="74"/>
    </row>
    <row r="39" spans="2:21" x14ac:dyDescent="0.25">
      <c r="B39" s="74"/>
      <c r="C39" s="75"/>
      <c r="D39" s="74"/>
      <c r="E39" s="74"/>
      <c r="F39" s="74"/>
      <c r="G39" s="75"/>
    </row>
    <row r="40" spans="2:21" x14ac:dyDescent="0.25">
      <c r="B40" s="74"/>
      <c r="C40" s="74"/>
      <c r="D40" s="75"/>
      <c r="E40" s="75"/>
      <c r="F40" s="74"/>
      <c r="G40" s="74"/>
    </row>
    <row r="41" spans="2:21" x14ac:dyDescent="0.25">
      <c r="B41" s="74"/>
      <c r="C41" s="74"/>
      <c r="D41" s="75"/>
      <c r="E41" s="74"/>
      <c r="F41" s="75"/>
      <c r="G41" s="74"/>
      <c r="U41" s="118"/>
    </row>
    <row r="42" spans="2:21" x14ac:dyDescent="0.25">
      <c r="B42" s="74"/>
      <c r="C42" s="74"/>
      <c r="D42" s="75"/>
      <c r="E42" s="74"/>
      <c r="F42" s="74"/>
      <c r="G42" s="75"/>
    </row>
    <row r="43" spans="2:21" x14ac:dyDescent="0.25">
      <c r="B43" s="88"/>
      <c r="C43" s="88"/>
      <c r="D43" s="88"/>
      <c r="E43" s="75"/>
      <c r="F43" s="75"/>
      <c r="G43" s="88"/>
    </row>
    <row r="44" spans="2:21" x14ac:dyDescent="0.25">
      <c r="B44" s="74"/>
      <c r="C44" s="74"/>
      <c r="D44" s="74"/>
      <c r="E44" s="75"/>
      <c r="F44" s="74"/>
      <c r="G44" s="75"/>
    </row>
    <row r="45" spans="2:21" x14ac:dyDescent="0.25">
      <c r="B45" s="74"/>
      <c r="C45" s="74"/>
      <c r="D45" s="74"/>
      <c r="E45" s="74"/>
      <c r="F45" s="75"/>
      <c r="G45" s="75"/>
    </row>
  </sheetData>
  <pageMargins left="0.7" right="0.7" top="0.78740157499999996" bottom="0.78740157499999996" header="0.3" footer="0.3"/>
  <pageSetup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15A17-1A1D-465A-AB11-E83075F9A2A8}">
  <dimension ref="B2:AO28"/>
  <sheetViews>
    <sheetView showGridLines="0" zoomScale="115" zoomScaleNormal="115" workbookViewId="0"/>
  </sheetViews>
  <sheetFormatPr baseColWidth="10" defaultRowHeight="15" x14ac:dyDescent="0.25"/>
  <cols>
    <col min="2" max="2" width="25.5703125" customWidth="1"/>
    <col min="8" max="8" width="13.140625" customWidth="1"/>
    <col min="9" max="9" width="17.5703125" customWidth="1"/>
  </cols>
  <sheetData>
    <row r="2" spans="2:14" ht="64.5" customHeight="1" x14ac:dyDescent="0.25">
      <c r="C2" s="386" t="s">
        <v>836</v>
      </c>
    </row>
    <row r="3" spans="2:14" x14ac:dyDescent="0.25">
      <c r="B3" s="344" t="s">
        <v>5</v>
      </c>
    </row>
    <row r="4" spans="2:14" x14ac:dyDescent="0.25">
      <c r="B4" s="5" t="s">
        <v>2</v>
      </c>
      <c r="C4" s="4">
        <v>1</v>
      </c>
      <c r="D4" s="4">
        <v>2</v>
      </c>
      <c r="E4" s="4">
        <v>3</v>
      </c>
      <c r="F4" s="4">
        <v>4</v>
      </c>
    </row>
    <row r="5" spans="2:14" x14ac:dyDescent="0.25">
      <c r="B5" s="5" t="s">
        <v>4</v>
      </c>
      <c r="C5" s="4">
        <v>10</v>
      </c>
      <c r="D5" s="4">
        <v>19.899999999999999</v>
      </c>
      <c r="E5" s="4">
        <v>30.05</v>
      </c>
      <c r="F5" s="4">
        <v>40.5</v>
      </c>
    </row>
    <row r="7" spans="2:14" x14ac:dyDescent="0.25">
      <c r="B7" s="5" t="s">
        <v>6</v>
      </c>
      <c r="C7" s="77">
        <f>C5/C4</f>
        <v>10</v>
      </c>
      <c r="D7" s="77">
        <f>D5/D4</f>
        <v>9.9499999999999993</v>
      </c>
      <c r="E7" s="77">
        <f>E5/E4</f>
        <v>10.016666666666667</v>
      </c>
      <c r="F7" s="77">
        <f>F5/F4</f>
        <v>10.125</v>
      </c>
      <c r="H7" s="5" t="s">
        <v>3</v>
      </c>
      <c r="I7" s="77">
        <f>AVERAGE(C7:F7)</f>
        <v>10.022916666666667</v>
      </c>
    </row>
    <row r="8" spans="2:14" x14ac:dyDescent="0.25">
      <c r="B8" s="5" t="s">
        <v>7</v>
      </c>
      <c r="C8" s="5">
        <f>$I$7*C4</f>
        <v>10.022916666666667</v>
      </c>
      <c r="D8" s="5">
        <f>$I$7*D4</f>
        <v>20.045833333333334</v>
      </c>
      <c r="E8" s="5">
        <f>$I$7*E4</f>
        <v>30.068750000000001</v>
      </c>
      <c r="F8" s="5">
        <f>$I$7*F4</f>
        <v>40.091666666666669</v>
      </c>
    </row>
    <row r="9" spans="2:14" ht="21.95" customHeight="1" x14ac:dyDescent="0.25"/>
    <row r="10" spans="2:14" ht="15.75" thickBot="1" x14ac:dyDescent="0.3"/>
    <row r="11" spans="2:14" ht="26.25" x14ac:dyDescent="0.4">
      <c r="I11" s="323"/>
      <c r="J11" s="324" t="s">
        <v>9</v>
      </c>
      <c r="K11" s="325"/>
      <c r="L11" s="325"/>
      <c r="M11" s="326" t="s">
        <v>12</v>
      </c>
      <c r="N11" s="327"/>
    </row>
    <row r="12" spans="2:14" x14ac:dyDescent="0.25">
      <c r="I12" s="328"/>
      <c r="J12" s="269"/>
      <c r="K12" s="269"/>
      <c r="L12" s="269"/>
      <c r="M12" s="269"/>
      <c r="N12" s="329"/>
    </row>
    <row r="13" spans="2:14" x14ac:dyDescent="0.25">
      <c r="I13" s="328"/>
      <c r="J13" s="330" t="s">
        <v>10</v>
      </c>
      <c r="K13" s="330" t="s">
        <v>13</v>
      </c>
      <c r="L13" s="2">
        <v>5</v>
      </c>
      <c r="M13" s="269"/>
      <c r="N13" s="329"/>
    </row>
    <row r="14" spans="2:14" ht="15.75" thickBot="1" x14ac:dyDescent="0.3">
      <c r="I14" s="331"/>
      <c r="J14" s="332" t="s">
        <v>11</v>
      </c>
      <c r="K14" s="332" t="s">
        <v>14</v>
      </c>
      <c r="L14" s="7">
        <v>10</v>
      </c>
      <c r="M14" s="333"/>
      <c r="N14" s="334"/>
    </row>
    <row r="16" spans="2:14" x14ac:dyDescent="0.25">
      <c r="I16" s="345" t="s">
        <v>16</v>
      </c>
      <c r="J16" s="346">
        <v>0.5</v>
      </c>
    </row>
    <row r="17" spans="2:41" x14ac:dyDescent="0.25">
      <c r="I17" s="8" t="s">
        <v>0</v>
      </c>
      <c r="J17" s="4">
        <v>0</v>
      </c>
      <c r="K17" s="77">
        <f>$J$16+J17</f>
        <v>0.5</v>
      </c>
      <c r="L17" s="77">
        <f t="shared" ref="L17:AO17" si="0">$J$16+K17</f>
        <v>1</v>
      </c>
      <c r="M17" s="77">
        <f t="shared" si="0"/>
        <v>1.5</v>
      </c>
      <c r="N17" s="77">
        <f t="shared" si="0"/>
        <v>2</v>
      </c>
      <c r="O17" s="77">
        <f t="shared" si="0"/>
        <v>2.5</v>
      </c>
      <c r="P17" s="77">
        <f t="shared" si="0"/>
        <v>3</v>
      </c>
      <c r="Q17" s="77">
        <f t="shared" si="0"/>
        <v>3.5</v>
      </c>
      <c r="R17" s="77">
        <f t="shared" si="0"/>
        <v>4</v>
      </c>
      <c r="S17" s="77">
        <f t="shared" si="0"/>
        <v>4.5</v>
      </c>
      <c r="T17" s="77">
        <f t="shared" si="0"/>
        <v>5</v>
      </c>
      <c r="U17" s="77">
        <f t="shared" si="0"/>
        <v>5.5</v>
      </c>
      <c r="V17" s="77">
        <f t="shared" si="0"/>
        <v>6</v>
      </c>
      <c r="W17" s="77">
        <f t="shared" si="0"/>
        <v>6.5</v>
      </c>
      <c r="X17" s="77">
        <f t="shared" si="0"/>
        <v>7</v>
      </c>
      <c r="Y17" s="77">
        <f t="shared" si="0"/>
        <v>7.5</v>
      </c>
      <c r="Z17" s="77">
        <f t="shared" si="0"/>
        <v>8</v>
      </c>
      <c r="AA17" s="77">
        <f t="shared" si="0"/>
        <v>8.5</v>
      </c>
      <c r="AB17" s="77">
        <f t="shared" si="0"/>
        <v>9</v>
      </c>
      <c r="AC17" s="77">
        <f t="shared" si="0"/>
        <v>9.5</v>
      </c>
      <c r="AD17" s="77">
        <f t="shared" si="0"/>
        <v>10</v>
      </c>
      <c r="AE17" s="77">
        <f t="shared" si="0"/>
        <v>10.5</v>
      </c>
      <c r="AF17" s="77">
        <f t="shared" si="0"/>
        <v>11</v>
      </c>
      <c r="AG17" s="77">
        <f t="shared" si="0"/>
        <v>11.5</v>
      </c>
      <c r="AH17" s="77">
        <f t="shared" si="0"/>
        <v>12</v>
      </c>
      <c r="AI17" s="77">
        <f t="shared" si="0"/>
        <v>12.5</v>
      </c>
      <c r="AJ17" s="77">
        <f t="shared" si="0"/>
        <v>13</v>
      </c>
      <c r="AK17" s="77">
        <f t="shared" si="0"/>
        <v>13.5</v>
      </c>
      <c r="AL17" s="77">
        <f t="shared" si="0"/>
        <v>14</v>
      </c>
      <c r="AM17" s="77">
        <f t="shared" si="0"/>
        <v>14.5</v>
      </c>
      <c r="AN17" s="77">
        <f t="shared" si="0"/>
        <v>15</v>
      </c>
      <c r="AO17" s="77">
        <f t="shared" si="0"/>
        <v>15.5</v>
      </c>
    </row>
    <row r="18" spans="2:41" ht="18.75" x14ac:dyDescent="0.3">
      <c r="I18" s="335" t="s">
        <v>15</v>
      </c>
      <c r="J18" s="77">
        <f>$L$13*J17+$L$14</f>
        <v>10</v>
      </c>
      <c r="K18" s="77">
        <f t="shared" ref="K18:AO18" si="1">$L$13*K17+$L$14</f>
        <v>12.5</v>
      </c>
      <c r="L18" s="77">
        <f t="shared" si="1"/>
        <v>15</v>
      </c>
      <c r="M18" s="77">
        <f t="shared" si="1"/>
        <v>17.5</v>
      </c>
      <c r="N18" s="77">
        <f t="shared" si="1"/>
        <v>20</v>
      </c>
      <c r="O18" s="77">
        <f t="shared" si="1"/>
        <v>22.5</v>
      </c>
      <c r="P18" s="77">
        <f t="shared" si="1"/>
        <v>25</v>
      </c>
      <c r="Q18" s="77">
        <f t="shared" si="1"/>
        <v>27.5</v>
      </c>
      <c r="R18" s="77">
        <f t="shared" si="1"/>
        <v>30</v>
      </c>
      <c r="S18" s="77">
        <f t="shared" si="1"/>
        <v>32.5</v>
      </c>
      <c r="T18" s="77">
        <f t="shared" si="1"/>
        <v>35</v>
      </c>
      <c r="U18" s="77">
        <f t="shared" si="1"/>
        <v>37.5</v>
      </c>
      <c r="V18" s="77">
        <f t="shared" si="1"/>
        <v>40</v>
      </c>
      <c r="W18" s="77">
        <f t="shared" si="1"/>
        <v>42.5</v>
      </c>
      <c r="X18" s="77">
        <f t="shared" si="1"/>
        <v>45</v>
      </c>
      <c r="Y18" s="77">
        <f t="shared" si="1"/>
        <v>47.5</v>
      </c>
      <c r="Z18" s="77">
        <f t="shared" si="1"/>
        <v>50</v>
      </c>
      <c r="AA18" s="77">
        <f t="shared" si="1"/>
        <v>52.5</v>
      </c>
      <c r="AB18" s="77">
        <f t="shared" si="1"/>
        <v>55</v>
      </c>
      <c r="AC18" s="77">
        <f t="shared" si="1"/>
        <v>57.5</v>
      </c>
      <c r="AD18" s="77">
        <f t="shared" si="1"/>
        <v>60</v>
      </c>
      <c r="AE18" s="77">
        <f t="shared" si="1"/>
        <v>62.5</v>
      </c>
      <c r="AF18" s="77">
        <f t="shared" si="1"/>
        <v>65</v>
      </c>
      <c r="AG18" s="77">
        <f t="shared" si="1"/>
        <v>67.5</v>
      </c>
      <c r="AH18" s="77">
        <f t="shared" si="1"/>
        <v>70</v>
      </c>
      <c r="AI18" s="77">
        <f t="shared" si="1"/>
        <v>72.5</v>
      </c>
      <c r="AJ18" s="77">
        <f t="shared" si="1"/>
        <v>75</v>
      </c>
      <c r="AK18" s="77">
        <f t="shared" si="1"/>
        <v>77.5</v>
      </c>
      <c r="AL18" s="77">
        <f t="shared" si="1"/>
        <v>80</v>
      </c>
      <c r="AM18" s="77">
        <f t="shared" si="1"/>
        <v>82.5</v>
      </c>
      <c r="AN18" s="77">
        <f t="shared" si="1"/>
        <v>85</v>
      </c>
      <c r="AO18" s="77">
        <f t="shared" si="1"/>
        <v>87.5</v>
      </c>
    </row>
    <row r="24" spans="2:41" ht="23.25" x14ac:dyDescent="0.35">
      <c r="H24" s="5"/>
      <c r="I24" s="382" t="s">
        <v>833</v>
      </c>
      <c r="J24" s="383" t="str">
        <f>IF($I$24=$R$24,"s [km]","s [m]")</f>
        <v>s [km]</v>
      </c>
      <c r="K24" s="383" t="str">
        <f>IF($I$24=$R$24,"v [km/h]","v [m/s]")</f>
        <v>v [km/h]</v>
      </c>
      <c r="L24" s="383" t="str">
        <f>IF($I$24=$R$24,"t [h]","t [s]")</f>
        <v>t [h]</v>
      </c>
      <c r="M24" s="383" t="str">
        <f>IF($I$24=$R$24,"s0 [km]","s0 [m]")</f>
        <v>s0 [km]</v>
      </c>
      <c r="R24" t="s">
        <v>833</v>
      </c>
    </row>
    <row r="25" spans="2:41" ht="21" x14ac:dyDescent="0.35">
      <c r="B25" s="245"/>
      <c r="H25" s="385" t="s">
        <v>830</v>
      </c>
      <c r="I25" s="384" t="s">
        <v>826</v>
      </c>
      <c r="J25" s="77">
        <f>K25*L25+M25</f>
        <v>250</v>
      </c>
      <c r="K25" s="4">
        <v>100</v>
      </c>
      <c r="L25" s="4">
        <v>2</v>
      </c>
      <c r="M25" s="4">
        <v>50</v>
      </c>
      <c r="R25" t="s">
        <v>834</v>
      </c>
    </row>
    <row r="26" spans="2:41" ht="21" x14ac:dyDescent="0.35">
      <c r="B26" s="245"/>
      <c r="H26" s="385" t="s">
        <v>831</v>
      </c>
      <c r="I26" s="384" t="s">
        <v>827</v>
      </c>
      <c r="J26" s="4">
        <v>250</v>
      </c>
      <c r="K26" s="77">
        <f>(J26-M26)/L26</f>
        <v>100</v>
      </c>
      <c r="L26" s="4">
        <v>2</v>
      </c>
      <c r="M26" s="4">
        <v>50</v>
      </c>
    </row>
    <row r="27" spans="2:41" ht="21" x14ac:dyDescent="0.35">
      <c r="B27" s="245"/>
      <c r="H27" s="385" t="s">
        <v>832</v>
      </c>
      <c r="I27" s="384" t="s">
        <v>828</v>
      </c>
      <c r="J27" s="4">
        <v>250</v>
      </c>
      <c r="K27" s="4">
        <v>100</v>
      </c>
      <c r="L27" s="77">
        <f>(J27-M27)/K27</f>
        <v>2</v>
      </c>
      <c r="M27" s="4">
        <v>50</v>
      </c>
    </row>
    <row r="28" spans="2:41" ht="21" x14ac:dyDescent="0.35">
      <c r="B28" s="245"/>
      <c r="H28" s="385" t="s">
        <v>835</v>
      </c>
      <c r="I28" s="384" t="s">
        <v>829</v>
      </c>
      <c r="J28" s="4">
        <v>250</v>
      </c>
      <c r="K28" s="4">
        <v>100</v>
      </c>
      <c r="L28" s="4">
        <v>2</v>
      </c>
      <c r="M28" s="77">
        <f>J28-K28*L28</f>
        <v>50</v>
      </c>
    </row>
  </sheetData>
  <dataValidations count="1">
    <dataValidation type="list" allowBlank="1" showInputMessage="1" showErrorMessage="1" sqref="I24" xr:uid="{F975B1A8-60F1-4CBD-972B-6627BD48CF40}">
      <formula1>$R$24:$R$25</formula1>
    </dataValidation>
  </dataValidations>
  <pageMargins left="0.7" right="0.7" top="0.78740157499999996" bottom="0.78740157499999996" header="0.3" footer="0.3"/>
  <pageSetup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2CF4D-D5EF-4055-81E3-75652AD13B4F}">
  <dimension ref="B2:Z43"/>
  <sheetViews>
    <sheetView showGridLines="0" topLeftCell="A13" zoomScale="85" zoomScaleNormal="85" workbookViewId="0">
      <selection activeCell="N18" sqref="N18"/>
    </sheetView>
  </sheetViews>
  <sheetFormatPr baseColWidth="10" defaultRowHeight="15" x14ac:dyDescent="0.25"/>
  <cols>
    <col min="2" max="2" width="52.5703125" customWidth="1"/>
    <col min="3" max="3" width="9.140625" customWidth="1"/>
    <col min="9" max="9" width="13.140625" customWidth="1"/>
    <col min="10" max="10" width="15.42578125" customWidth="1"/>
  </cols>
  <sheetData>
    <row r="2" spans="2:26" ht="64.5" customHeight="1" x14ac:dyDescent="0.25">
      <c r="C2" s="386" t="s">
        <v>843</v>
      </c>
      <c r="D2" s="386"/>
    </row>
    <row r="4" spans="2:26" x14ac:dyDescent="0.25">
      <c r="J4" t="s">
        <v>641</v>
      </c>
    </row>
    <row r="5" spans="2:26" x14ac:dyDescent="0.25">
      <c r="J5" t="s">
        <v>867</v>
      </c>
    </row>
    <row r="10" spans="2:26" x14ac:dyDescent="0.25">
      <c r="B10" s="5"/>
      <c r="C10" s="5"/>
      <c r="D10" s="5"/>
      <c r="E10" s="5"/>
      <c r="F10" s="4">
        <v>1</v>
      </c>
      <c r="G10" s="336"/>
      <c r="H10" s="336"/>
      <c r="I10" s="336"/>
      <c r="J10" s="336"/>
      <c r="K10" s="336"/>
      <c r="L10" s="336"/>
      <c r="M10" s="336"/>
      <c r="N10" s="336"/>
      <c r="O10" s="336"/>
      <c r="P10" s="336"/>
      <c r="Q10" s="336"/>
      <c r="R10" s="336"/>
      <c r="S10" s="336"/>
      <c r="T10" s="336"/>
      <c r="U10" s="336"/>
      <c r="V10" s="336"/>
      <c r="W10" s="336"/>
      <c r="X10" s="336"/>
      <c r="Y10" s="336"/>
      <c r="Z10" s="336"/>
    </row>
    <row r="11" spans="2:26" x14ac:dyDescent="0.25">
      <c r="B11" s="5"/>
      <c r="C11" s="5" t="s">
        <v>256</v>
      </c>
      <c r="D11" s="5" t="s">
        <v>867</v>
      </c>
      <c r="E11" s="5"/>
      <c r="F11" s="4">
        <v>0</v>
      </c>
      <c r="G11" s="77">
        <f>F11+$F$10</f>
        <v>1</v>
      </c>
      <c r="H11" s="77">
        <f t="shared" ref="H11:Z11" si="0">G11+$F$10</f>
        <v>2</v>
      </c>
      <c r="I11" s="77">
        <f t="shared" si="0"/>
        <v>3</v>
      </c>
      <c r="J11" s="77">
        <f t="shared" si="0"/>
        <v>4</v>
      </c>
      <c r="K11" s="77">
        <f t="shared" si="0"/>
        <v>5</v>
      </c>
      <c r="L11" s="77">
        <f t="shared" si="0"/>
        <v>6</v>
      </c>
      <c r="M11" s="77">
        <f t="shared" si="0"/>
        <v>7</v>
      </c>
      <c r="N11" s="77">
        <f t="shared" si="0"/>
        <v>8</v>
      </c>
      <c r="O11" s="77">
        <f t="shared" si="0"/>
        <v>9</v>
      </c>
      <c r="P11" s="77">
        <f t="shared" si="0"/>
        <v>10</v>
      </c>
      <c r="Q11" s="77">
        <f t="shared" si="0"/>
        <v>11</v>
      </c>
      <c r="R11" s="77">
        <f t="shared" si="0"/>
        <v>12</v>
      </c>
      <c r="S11" s="77">
        <f t="shared" si="0"/>
        <v>13</v>
      </c>
      <c r="T11" s="77">
        <f t="shared" si="0"/>
        <v>14</v>
      </c>
      <c r="U11" s="77">
        <f t="shared" si="0"/>
        <v>15</v>
      </c>
      <c r="V11" s="77">
        <f t="shared" si="0"/>
        <v>16</v>
      </c>
      <c r="W11" s="77">
        <f t="shared" si="0"/>
        <v>17</v>
      </c>
      <c r="X11" s="77">
        <f t="shared" si="0"/>
        <v>18</v>
      </c>
      <c r="Y11" s="77">
        <f t="shared" si="0"/>
        <v>19</v>
      </c>
      <c r="Z11" s="77">
        <f t="shared" si="0"/>
        <v>20</v>
      </c>
    </row>
    <row r="12" spans="2:26" ht="20.25" x14ac:dyDescent="0.35">
      <c r="B12" s="335" t="s">
        <v>639</v>
      </c>
      <c r="C12" s="337" t="s">
        <v>868</v>
      </c>
      <c r="D12" s="337" t="str">
        <f>IF($D$11=$J$4,"[km/h]","[m/s]")</f>
        <v>[m/s]</v>
      </c>
      <c r="E12" s="4">
        <v>10.4</v>
      </c>
      <c r="F12" s="5">
        <f>$E$12*F11 + $E$13</f>
        <v>0</v>
      </c>
      <c r="G12" s="5">
        <f t="shared" ref="G12:Z12" si="1">$E$12*G11 + $E$13</f>
        <v>10.4</v>
      </c>
      <c r="H12" s="5">
        <f t="shared" si="1"/>
        <v>20.8</v>
      </c>
      <c r="I12" s="5">
        <f t="shared" si="1"/>
        <v>31.200000000000003</v>
      </c>
      <c r="J12" s="5">
        <f t="shared" si="1"/>
        <v>41.6</v>
      </c>
      <c r="K12" s="5">
        <f t="shared" si="1"/>
        <v>52</v>
      </c>
      <c r="L12" s="5">
        <f t="shared" si="1"/>
        <v>62.400000000000006</v>
      </c>
      <c r="M12" s="5">
        <f t="shared" si="1"/>
        <v>72.8</v>
      </c>
      <c r="N12" s="5">
        <f t="shared" si="1"/>
        <v>83.2</v>
      </c>
      <c r="O12" s="5">
        <f t="shared" si="1"/>
        <v>93.600000000000009</v>
      </c>
      <c r="P12" s="5">
        <f t="shared" si="1"/>
        <v>104</v>
      </c>
      <c r="Q12" s="5">
        <f t="shared" si="1"/>
        <v>114.4</v>
      </c>
      <c r="R12" s="5">
        <f t="shared" si="1"/>
        <v>124.80000000000001</v>
      </c>
      <c r="S12" s="5">
        <f t="shared" si="1"/>
        <v>135.20000000000002</v>
      </c>
      <c r="T12" s="5">
        <f t="shared" si="1"/>
        <v>145.6</v>
      </c>
      <c r="U12" s="5">
        <f t="shared" si="1"/>
        <v>156</v>
      </c>
      <c r="V12" s="5">
        <f t="shared" si="1"/>
        <v>166.4</v>
      </c>
      <c r="W12" s="5">
        <f t="shared" si="1"/>
        <v>176.8</v>
      </c>
      <c r="X12" s="5">
        <f t="shared" si="1"/>
        <v>187.20000000000002</v>
      </c>
      <c r="Y12" s="5">
        <f t="shared" si="1"/>
        <v>197.6</v>
      </c>
      <c r="Z12" s="5">
        <f t="shared" si="1"/>
        <v>208</v>
      </c>
    </row>
    <row r="13" spans="2:26" ht="20.25" x14ac:dyDescent="0.35">
      <c r="B13" s="337"/>
      <c r="C13" s="337" t="s">
        <v>869</v>
      </c>
      <c r="D13" s="337" t="str">
        <f>IF($D$11=$J$4,"[km]","[m]")</f>
        <v>[m]</v>
      </c>
      <c r="E13" s="4">
        <v>0</v>
      </c>
      <c r="F13" s="336"/>
      <c r="G13" s="336"/>
      <c r="H13" s="336"/>
      <c r="I13" s="336"/>
      <c r="J13" s="336"/>
      <c r="K13" s="336"/>
      <c r="L13" s="336"/>
      <c r="M13" s="336"/>
      <c r="N13" s="336"/>
      <c r="O13" s="336"/>
      <c r="P13" s="336"/>
      <c r="Q13" s="336"/>
      <c r="R13" s="336"/>
      <c r="S13" s="336"/>
      <c r="T13" s="336"/>
      <c r="U13" s="336"/>
      <c r="V13" s="336"/>
      <c r="W13" s="336"/>
      <c r="X13" s="336"/>
      <c r="Y13" s="336"/>
      <c r="Z13" s="336"/>
    </row>
    <row r="14" spans="2:26" ht="20.25" x14ac:dyDescent="0.35">
      <c r="B14" s="338" t="s">
        <v>638</v>
      </c>
      <c r="C14" s="337" t="s">
        <v>870</v>
      </c>
      <c r="D14" s="337" t="str">
        <f t="shared" ref="D14" si="2">IF($D$11=$J$4,"[km/h]","[m/s]")</f>
        <v>[m/s]</v>
      </c>
      <c r="E14" s="4">
        <v>8.5470079999999999</v>
      </c>
      <c r="F14" s="5">
        <f>$E$14*F11+$E$15</f>
        <v>25.641024999999999</v>
      </c>
      <c r="G14" s="5">
        <f t="shared" ref="G14:Z14" si="3">$E$14*G11+$E$15</f>
        <v>34.188032999999997</v>
      </c>
      <c r="H14" s="5">
        <f t="shared" si="3"/>
        <v>42.735040999999995</v>
      </c>
      <c r="I14" s="5">
        <f t="shared" si="3"/>
        <v>51.282049000000001</v>
      </c>
      <c r="J14" s="5">
        <f t="shared" si="3"/>
        <v>59.829056999999999</v>
      </c>
      <c r="K14" s="5">
        <f t="shared" si="3"/>
        <v>68.376064999999997</v>
      </c>
      <c r="L14" s="5">
        <f t="shared" si="3"/>
        <v>76.923073000000002</v>
      </c>
      <c r="M14" s="5">
        <f t="shared" si="3"/>
        <v>85.470080999999993</v>
      </c>
      <c r="N14" s="5">
        <f t="shared" si="3"/>
        <v>94.017088999999999</v>
      </c>
      <c r="O14" s="5">
        <f t="shared" si="3"/>
        <v>102.564097</v>
      </c>
      <c r="P14" s="5">
        <f t="shared" si="3"/>
        <v>111.11110499999999</v>
      </c>
      <c r="Q14" s="5">
        <f t="shared" si="3"/>
        <v>119.658113</v>
      </c>
      <c r="R14" s="5">
        <f t="shared" si="3"/>
        <v>128.20512100000002</v>
      </c>
      <c r="S14" s="5">
        <f t="shared" si="3"/>
        <v>136.752129</v>
      </c>
      <c r="T14" s="5">
        <f t="shared" si="3"/>
        <v>145.299137</v>
      </c>
      <c r="U14" s="5">
        <f t="shared" si="3"/>
        <v>153.84614499999998</v>
      </c>
      <c r="V14" s="5">
        <f t="shared" si="3"/>
        <v>162.39315299999998</v>
      </c>
      <c r="W14" s="5">
        <f t="shared" si="3"/>
        <v>170.94016099999999</v>
      </c>
      <c r="X14" s="5">
        <f t="shared" si="3"/>
        <v>179.48716899999999</v>
      </c>
      <c r="Y14" s="5">
        <f t="shared" si="3"/>
        <v>188.034177</v>
      </c>
      <c r="Z14" s="5">
        <f t="shared" si="3"/>
        <v>196.581185</v>
      </c>
    </row>
    <row r="15" spans="2:26" ht="20.25" x14ac:dyDescent="0.35">
      <c r="B15" s="337"/>
      <c r="C15" s="337" t="s">
        <v>871</v>
      </c>
      <c r="D15" s="337" t="str">
        <f>IF($D$11=$J$4,"[km]","[m]")</f>
        <v>[m]</v>
      </c>
      <c r="E15" s="4">
        <v>25.641024999999999</v>
      </c>
      <c r="F15" s="336"/>
      <c r="G15" s="336"/>
      <c r="H15" s="336"/>
      <c r="I15" s="336"/>
      <c r="J15" s="336"/>
      <c r="K15" s="336"/>
      <c r="L15" s="336"/>
      <c r="M15" s="336"/>
      <c r="N15" s="336"/>
      <c r="O15" s="336"/>
      <c r="P15" s="336"/>
      <c r="Q15" s="336"/>
      <c r="R15" s="336"/>
      <c r="S15" s="336"/>
      <c r="T15" s="336"/>
      <c r="U15" s="336"/>
      <c r="V15" s="336"/>
      <c r="W15" s="336"/>
      <c r="X15" s="336"/>
      <c r="Y15" s="336"/>
      <c r="Z15" s="336"/>
    </row>
    <row r="17" spans="3:4" ht="18.75" x14ac:dyDescent="0.3">
      <c r="C17" s="339" t="str">
        <f>IF(E14*E12&lt;0,"Auf einander zufahren","Einander nachfahren")</f>
        <v>Einander nachfahren</v>
      </c>
      <c r="D17" s="339"/>
    </row>
    <row r="38" spans="2:9" ht="21" x14ac:dyDescent="0.35">
      <c r="B38" s="343" t="s">
        <v>644</v>
      </c>
      <c r="C38" s="92"/>
      <c r="D38" s="92"/>
      <c r="E38" s="92"/>
      <c r="G38" t="s">
        <v>645</v>
      </c>
    </row>
    <row r="39" spans="2:9" ht="18" x14ac:dyDescent="0.35">
      <c r="B39" s="8" t="s">
        <v>640</v>
      </c>
      <c r="C39" s="5">
        <f>(E15-E13)/(E12-E14)</f>
        <v>13.837633945532412</v>
      </c>
      <c r="D39" s="5"/>
      <c r="E39" s="5" t="s">
        <v>641</v>
      </c>
      <c r="F39" s="340"/>
      <c r="G39" t="s">
        <v>646</v>
      </c>
      <c r="H39">
        <v>0</v>
      </c>
      <c r="I39">
        <f>C39</f>
        <v>13.837633945532412</v>
      </c>
    </row>
    <row r="40" spans="2:9" x14ac:dyDescent="0.25">
      <c r="B40" s="8"/>
      <c r="C40" s="341">
        <f>C39/24</f>
        <v>0.57656808106385049</v>
      </c>
      <c r="D40" s="341"/>
      <c r="E40" s="5"/>
      <c r="H40">
        <f>C42</f>
        <v>143.91139303353708</v>
      </c>
      <c r="I40">
        <f>H40</f>
        <v>143.91139303353708</v>
      </c>
    </row>
    <row r="41" spans="2:9" x14ac:dyDescent="0.25">
      <c r="B41" s="342"/>
      <c r="C41" s="336"/>
      <c r="D41" s="336"/>
      <c r="E41" s="336"/>
    </row>
    <row r="42" spans="2:9" ht="18" x14ac:dyDescent="0.35">
      <c r="B42" s="8" t="s">
        <v>642</v>
      </c>
      <c r="C42" s="5">
        <f>E12*C39+E13</f>
        <v>143.91139303353708</v>
      </c>
      <c r="D42" s="5"/>
      <c r="E42" s="5" t="s">
        <v>643</v>
      </c>
      <c r="G42" t="s">
        <v>647</v>
      </c>
      <c r="H42">
        <f>I39</f>
        <v>13.837633945532412</v>
      </c>
      <c r="I42">
        <f>H42</f>
        <v>13.837633945532412</v>
      </c>
    </row>
    <row r="43" spans="2:9" ht="18" x14ac:dyDescent="0.35">
      <c r="B43" s="8" t="s">
        <v>642</v>
      </c>
      <c r="C43" s="5">
        <f>E14*C39+E15</f>
        <v>143.91139303353708</v>
      </c>
      <c r="D43" s="5"/>
      <c r="E43" s="5" t="s">
        <v>643</v>
      </c>
      <c r="H43">
        <v>0</v>
      </c>
      <c r="I43">
        <f>H40</f>
        <v>143.91139303353708</v>
      </c>
    </row>
  </sheetData>
  <dataValidations count="1">
    <dataValidation type="list" allowBlank="1" showInputMessage="1" showErrorMessage="1" sqref="D11" xr:uid="{46E8BB56-A695-4636-B66E-EA96A8B20BE3}">
      <formula1>$J$4:$J$5</formula1>
    </dataValidation>
  </dataValidations>
  <pageMargins left="0.7" right="0.7" top="0.78740157499999996" bottom="0.78740157499999996" header="0.3" footer="0.3"/>
  <pageSetup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44B65-9415-4C8E-AE7F-C0B8FA4247A3}">
  <dimension ref="B2:AB45"/>
  <sheetViews>
    <sheetView showGridLines="0" zoomScale="85" zoomScaleNormal="85" workbookViewId="0">
      <selection activeCell="E4" sqref="E4"/>
    </sheetView>
  </sheetViews>
  <sheetFormatPr baseColWidth="10" defaultRowHeight="15" x14ac:dyDescent="0.25"/>
  <cols>
    <col min="3" max="3" width="13" customWidth="1"/>
    <col min="4" max="4" width="17.5703125" customWidth="1"/>
    <col min="5" max="5" width="16.5703125" bestFit="1" customWidth="1"/>
    <col min="7" max="7" width="14" customWidth="1"/>
  </cols>
  <sheetData>
    <row r="2" spans="2:28" ht="23.25" x14ac:dyDescent="0.35">
      <c r="B2" s="9" t="s">
        <v>30</v>
      </c>
      <c r="N2" s="5" t="s">
        <v>27</v>
      </c>
      <c r="O2" s="5"/>
      <c r="Q2" s="5" t="s">
        <v>25</v>
      </c>
      <c r="R2" s="5"/>
      <c r="T2" s="5" t="s">
        <v>26</v>
      </c>
      <c r="U2" s="5"/>
      <c r="X2" s="5" t="s">
        <v>28</v>
      </c>
      <c r="Y2" s="5"/>
      <c r="AA2" s="5" t="s">
        <v>29</v>
      </c>
      <c r="AB2" s="5"/>
    </row>
    <row r="3" spans="2:28" ht="21" customHeight="1" x14ac:dyDescent="0.35">
      <c r="B3" s="9"/>
      <c r="C3" s="455" t="s">
        <v>886</v>
      </c>
      <c r="D3" s="455" t="s">
        <v>663</v>
      </c>
      <c r="E3" s="410">
        <v>4</v>
      </c>
      <c r="F3" s="410" t="s">
        <v>867</v>
      </c>
      <c r="G3" s="77">
        <f>IF(F3=H3,E3,IF(F3=P7,E3*60,IF(F3=P8,E3*3600)))</f>
        <v>4</v>
      </c>
      <c r="H3" s="5" t="str">
        <f>P6</f>
        <v>[s]</v>
      </c>
      <c r="J3" s="1"/>
      <c r="N3" s="5">
        <f>G3</f>
        <v>4</v>
      </c>
      <c r="O3" s="5">
        <f>N3</f>
        <v>4</v>
      </c>
      <c r="Q3" s="5">
        <v>0</v>
      </c>
      <c r="R3" s="5">
        <f>E3</f>
        <v>4</v>
      </c>
      <c r="T3" s="5">
        <v>0</v>
      </c>
      <c r="U3" s="5">
        <f>O3</f>
        <v>4</v>
      </c>
      <c r="X3" s="5">
        <f>R3</f>
        <v>4</v>
      </c>
      <c r="Y3" s="5">
        <f>X3</f>
        <v>4</v>
      </c>
      <c r="AA3" s="5">
        <v>0</v>
      </c>
      <c r="AB3" s="5">
        <f>Y3</f>
        <v>4</v>
      </c>
    </row>
    <row r="4" spans="2:28" ht="21" customHeight="1" x14ac:dyDescent="0.35">
      <c r="B4" s="9"/>
      <c r="C4" s="455" t="s">
        <v>21</v>
      </c>
      <c r="D4" s="455"/>
      <c r="E4" s="410">
        <v>4</v>
      </c>
      <c r="F4" s="310" t="s">
        <v>20</v>
      </c>
      <c r="G4" s="5"/>
      <c r="H4" s="5"/>
      <c r="N4" s="5">
        <v>0</v>
      </c>
      <c r="O4" s="5">
        <f>E4*G3+G5</f>
        <v>46</v>
      </c>
      <c r="Q4" s="5">
        <f>G5</f>
        <v>30</v>
      </c>
      <c r="R4" s="5">
        <f>Q4</f>
        <v>30</v>
      </c>
      <c r="T4" s="5">
        <f>O4</f>
        <v>46</v>
      </c>
      <c r="U4" s="5">
        <f>T4</f>
        <v>46</v>
      </c>
      <c r="X4" s="5">
        <v>0</v>
      </c>
      <c r="Y4" s="5">
        <f>$E$4/2 * $G$3^2 + G5* $G$3 + $G$6</f>
        <v>202</v>
      </c>
      <c r="AA4" s="5">
        <f>Y4</f>
        <v>202</v>
      </c>
      <c r="AB4" s="5">
        <f>AA4</f>
        <v>202</v>
      </c>
    </row>
    <row r="5" spans="2:28" ht="21" customHeight="1" x14ac:dyDescent="0.35">
      <c r="B5" s="9"/>
      <c r="C5" s="455" t="s">
        <v>22</v>
      </c>
      <c r="D5" s="455"/>
      <c r="E5" s="4">
        <v>30</v>
      </c>
      <c r="F5" s="4" t="s">
        <v>23</v>
      </c>
      <c r="G5" s="77">
        <f>IF(F5=H5,E5,E5/3.6)</f>
        <v>30</v>
      </c>
      <c r="H5" s="5" t="str">
        <f>N7</f>
        <v>[m/s]</v>
      </c>
    </row>
    <row r="6" spans="2:28" ht="21" customHeight="1" x14ac:dyDescent="0.25">
      <c r="C6" s="455" t="s">
        <v>872</v>
      </c>
      <c r="D6" s="455"/>
      <c r="E6" s="410">
        <v>50</v>
      </c>
      <c r="F6" s="410" t="s">
        <v>852</v>
      </c>
      <c r="G6" s="77">
        <f>IF(F6=H6,E6,E6*1000)</f>
        <v>50</v>
      </c>
      <c r="H6" s="5" t="str">
        <f>O6</f>
        <v>[m]</v>
      </c>
      <c r="N6" t="s">
        <v>887</v>
      </c>
      <c r="O6" t="s">
        <v>852</v>
      </c>
      <c r="P6" t="s">
        <v>867</v>
      </c>
    </row>
    <row r="7" spans="2:28" ht="15.6" customHeight="1" x14ac:dyDescent="0.25">
      <c r="N7" t="s">
        <v>23</v>
      </c>
      <c r="O7" t="s">
        <v>643</v>
      </c>
      <c r="P7" t="s">
        <v>888</v>
      </c>
    </row>
    <row r="8" spans="2:28" ht="15.6" customHeight="1" x14ac:dyDescent="0.25">
      <c r="P8" t="s">
        <v>641</v>
      </c>
    </row>
    <row r="9" spans="2:28" ht="15.6" customHeight="1" x14ac:dyDescent="0.25"/>
    <row r="10" spans="2:28" ht="15.6" customHeight="1" x14ac:dyDescent="0.25"/>
    <row r="11" spans="2:28" ht="22.5" customHeight="1" x14ac:dyDescent="0.45">
      <c r="C11" s="456" t="s">
        <v>884</v>
      </c>
      <c r="D11" s="449"/>
      <c r="E11" s="408">
        <f>$E$4*$G$3+G5</f>
        <v>46</v>
      </c>
      <c r="F11" s="5" t="str">
        <f>H5</f>
        <v>[m/s]</v>
      </c>
      <c r="G11" s="77">
        <f>IF(F11=H11,E11,E11*3.6)</f>
        <v>46</v>
      </c>
      <c r="H11" s="4" t="s">
        <v>23</v>
      </c>
      <c r="N11" t="s">
        <v>883</v>
      </c>
    </row>
    <row r="12" spans="2:28" ht="22.5" customHeight="1" x14ac:dyDescent="0.45">
      <c r="C12" s="456" t="s">
        <v>885</v>
      </c>
      <c r="D12" s="449"/>
      <c r="E12" s="408">
        <f>$E$4*$G$3^2/2 + G5* $G$3 + $G$6</f>
        <v>202</v>
      </c>
      <c r="F12" s="5" t="str">
        <f>F6</f>
        <v>[m]</v>
      </c>
      <c r="G12" s="77">
        <f>IF(F12=H12,E12,E12/1000)</f>
        <v>0.20200000000000001</v>
      </c>
      <c r="H12" s="4" t="s">
        <v>643</v>
      </c>
      <c r="N12" t="s">
        <v>882</v>
      </c>
    </row>
    <row r="13" spans="2:28" ht="15.6" customHeight="1" x14ac:dyDescent="0.25"/>
    <row r="14" spans="2:28" ht="15.6" customHeight="1" x14ac:dyDescent="0.25"/>
    <row r="15" spans="2:28" ht="15.6" customHeight="1" x14ac:dyDescent="0.25"/>
    <row r="16" spans="2:28" ht="15.6" customHeight="1" x14ac:dyDescent="0.25"/>
    <row r="17" spans="3:27" ht="15.6" customHeight="1" x14ac:dyDescent="0.25">
      <c r="F17" s="409"/>
    </row>
    <row r="18" spans="3:27" ht="15.6" customHeight="1" x14ac:dyDescent="0.25">
      <c r="C18" s="458" t="s">
        <v>1</v>
      </c>
      <c r="D18" s="459"/>
      <c r="E18" s="4">
        <v>0.5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 spans="3:27" x14ac:dyDescent="0.25">
      <c r="C19" s="457" t="s">
        <v>19</v>
      </c>
      <c r="D19" s="457"/>
      <c r="E19" s="4">
        <v>0</v>
      </c>
      <c r="F19" s="12">
        <f t="shared" ref="F19:AA19" si="0">E19+$E$18</f>
        <v>0.5</v>
      </c>
      <c r="G19" s="12">
        <f t="shared" si="0"/>
        <v>1</v>
      </c>
      <c r="H19" s="12">
        <f t="shared" si="0"/>
        <v>1.5</v>
      </c>
      <c r="I19" s="12">
        <f t="shared" si="0"/>
        <v>2</v>
      </c>
      <c r="J19" s="12">
        <f t="shared" si="0"/>
        <v>2.5</v>
      </c>
      <c r="K19" s="12">
        <f t="shared" si="0"/>
        <v>3</v>
      </c>
      <c r="L19" s="12">
        <f t="shared" si="0"/>
        <v>3.5</v>
      </c>
      <c r="M19" s="12">
        <f t="shared" si="0"/>
        <v>4</v>
      </c>
      <c r="N19" s="12">
        <f t="shared" si="0"/>
        <v>4.5</v>
      </c>
      <c r="O19" s="12">
        <f t="shared" si="0"/>
        <v>5</v>
      </c>
      <c r="P19" s="12">
        <f t="shared" si="0"/>
        <v>5.5</v>
      </c>
      <c r="Q19" s="12">
        <f t="shared" si="0"/>
        <v>6</v>
      </c>
      <c r="R19" s="12">
        <f t="shared" si="0"/>
        <v>6.5</v>
      </c>
      <c r="S19" s="12">
        <f t="shared" si="0"/>
        <v>7</v>
      </c>
      <c r="T19" s="12">
        <f t="shared" si="0"/>
        <v>7.5</v>
      </c>
      <c r="U19" s="12">
        <f t="shared" si="0"/>
        <v>8</v>
      </c>
      <c r="V19" s="12">
        <f t="shared" si="0"/>
        <v>8.5</v>
      </c>
      <c r="W19" s="12">
        <f t="shared" si="0"/>
        <v>9</v>
      </c>
      <c r="X19" s="12">
        <f t="shared" si="0"/>
        <v>9.5</v>
      </c>
      <c r="Y19" s="12">
        <f t="shared" si="0"/>
        <v>10</v>
      </c>
      <c r="Z19" s="12">
        <f t="shared" si="0"/>
        <v>10.5</v>
      </c>
      <c r="AA19" s="12">
        <f t="shared" si="0"/>
        <v>11</v>
      </c>
    </row>
    <row r="20" spans="3:27" x14ac:dyDescent="0.25">
      <c r="C20" s="449" t="s">
        <v>24</v>
      </c>
      <c r="D20" s="449"/>
      <c r="E20" s="5">
        <f>$E$4*E19+$G$5</f>
        <v>30</v>
      </c>
      <c r="F20" s="5">
        <f t="shared" ref="F20:AA20" si="1">$E$4*F19+$G$5</f>
        <v>32</v>
      </c>
      <c r="G20" s="5">
        <f t="shared" si="1"/>
        <v>34</v>
      </c>
      <c r="H20" s="5">
        <f t="shared" si="1"/>
        <v>36</v>
      </c>
      <c r="I20" s="5">
        <f t="shared" si="1"/>
        <v>38</v>
      </c>
      <c r="J20" s="5">
        <f t="shared" si="1"/>
        <v>40</v>
      </c>
      <c r="K20" s="5">
        <f t="shared" si="1"/>
        <v>42</v>
      </c>
      <c r="L20" s="5">
        <f t="shared" si="1"/>
        <v>44</v>
      </c>
      <c r="M20" s="5">
        <f t="shared" si="1"/>
        <v>46</v>
      </c>
      <c r="N20" s="5">
        <f t="shared" si="1"/>
        <v>48</v>
      </c>
      <c r="O20" s="5">
        <f t="shared" si="1"/>
        <v>50</v>
      </c>
      <c r="P20" s="5">
        <f t="shared" si="1"/>
        <v>52</v>
      </c>
      <c r="Q20" s="5">
        <f t="shared" si="1"/>
        <v>54</v>
      </c>
      <c r="R20" s="5">
        <f t="shared" si="1"/>
        <v>56</v>
      </c>
      <c r="S20" s="5">
        <f t="shared" si="1"/>
        <v>58</v>
      </c>
      <c r="T20" s="5">
        <f t="shared" si="1"/>
        <v>60</v>
      </c>
      <c r="U20" s="5">
        <f t="shared" si="1"/>
        <v>62</v>
      </c>
      <c r="V20" s="5">
        <f t="shared" si="1"/>
        <v>64</v>
      </c>
      <c r="W20" s="5">
        <f t="shared" si="1"/>
        <v>66</v>
      </c>
      <c r="X20" s="5">
        <f t="shared" si="1"/>
        <v>68</v>
      </c>
      <c r="Y20" s="5">
        <f t="shared" si="1"/>
        <v>70</v>
      </c>
      <c r="Z20" s="5">
        <f t="shared" si="1"/>
        <v>72</v>
      </c>
      <c r="AA20" s="5">
        <f t="shared" si="1"/>
        <v>74</v>
      </c>
    </row>
    <row r="21" spans="3:27" ht="17.25" x14ac:dyDescent="0.25">
      <c r="C21" s="449" t="s">
        <v>873</v>
      </c>
      <c r="D21" s="449"/>
      <c r="E21" s="5">
        <f>$E$4/2 * E19^2 + $G$5 * E19 + $E$6</f>
        <v>50</v>
      </c>
      <c r="F21" s="5">
        <f t="shared" ref="F21:AA21" si="2">$E$4/2 * F19^2 + $G$5 * F19 + $E$6</f>
        <v>65.5</v>
      </c>
      <c r="G21" s="5">
        <f t="shared" si="2"/>
        <v>82</v>
      </c>
      <c r="H21" s="5">
        <f t="shared" si="2"/>
        <v>99.5</v>
      </c>
      <c r="I21" s="5">
        <f t="shared" si="2"/>
        <v>118</v>
      </c>
      <c r="J21" s="5">
        <f t="shared" si="2"/>
        <v>137.5</v>
      </c>
      <c r="K21" s="5">
        <f t="shared" si="2"/>
        <v>158</v>
      </c>
      <c r="L21" s="5">
        <f t="shared" si="2"/>
        <v>179.5</v>
      </c>
      <c r="M21" s="5">
        <f t="shared" si="2"/>
        <v>202</v>
      </c>
      <c r="N21" s="5">
        <f t="shared" si="2"/>
        <v>225.5</v>
      </c>
      <c r="O21" s="5">
        <f t="shared" si="2"/>
        <v>250</v>
      </c>
      <c r="P21" s="5">
        <f t="shared" si="2"/>
        <v>275.5</v>
      </c>
      <c r="Q21" s="5">
        <f t="shared" si="2"/>
        <v>302</v>
      </c>
      <c r="R21" s="5">
        <f t="shared" si="2"/>
        <v>329.5</v>
      </c>
      <c r="S21" s="5">
        <f t="shared" si="2"/>
        <v>358</v>
      </c>
      <c r="T21" s="5">
        <f t="shared" si="2"/>
        <v>387.5</v>
      </c>
      <c r="U21" s="5">
        <f t="shared" si="2"/>
        <v>418</v>
      </c>
      <c r="V21" s="5">
        <f t="shared" si="2"/>
        <v>449.5</v>
      </c>
      <c r="W21" s="5">
        <f t="shared" si="2"/>
        <v>482</v>
      </c>
      <c r="X21" s="5">
        <f t="shared" si="2"/>
        <v>515.5</v>
      </c>
      <c r="Y21" s="5">
        <f t="shared" si="2"/>
        <v>550</v>
      </c>
      <c r="Z21" s="5">
        <f t="shared" si="2"/>
        <v>585.5</v>
      </c>
      <c r="AA21" s="5">
        <f t="shared" si="2"/>
        <v>622</v>
      </c>
    </row>
    <row r="43" spans="3:3" ht="21" x14ac:dyDescent="0.35">
      <c r="C43" s="245"/>
    </row>
    <row r="44" spans="3:3" ht="21" x14ac:dyDescent="0.35">
      <c r="C44" s="245"/>
    </row>
    <row r="45" spans="3:3" ht="21" x14ac:dyDescent="0.35">
      <c r="C45" s="245"/>
    </row>
  </sheetData>
  <mergeCells count="10">
    <mergeCell ref="C21:D21"/>
    <mergeCell ref="C18:D18"/>
    <mergeCell ref="C4:D4"/>
    <mergeCell ref="C5:D5"/>
    <mergeCell ref="C6:D6"/>
    <mergeCell ref="C3:D3"/>
    <mergeCell ref="C11:D11"/>
    <mergeCell ref="C12:D12"/>
    <mergeCell ref="C19:D19"/>
    <mergeCell ref="C20:D20"/>
  </mergeCells>
  <dataValidations count="3">
    <dataValidation type="list" allowBlank="1" showInputMessage="1" showErrorMessage="1" sqref="F5 H11" xr:uid="{C0FBCAB5-3C31-43E9-A71D-9732DD1FD05B}">
      <formula1>$N$6:$N$7</formula1>
    </dataValidation>
    <dataValidation type="list" allowBlank="1" showInputMessage="1" showErrorMessage="1" sqref="F3" xr:uid="{19040F01-BA7D-46D7-8320-17BBDED78D3A}">
      <formula1>$P$6:$P$8</formula1>
    </dataValidation>
    <dataValidation type="list" allowBlank="1" showInputMessage="1" showErrorMessage="1" sqref="F6 H12" xr:uid="{B8D076D6-0C67-4EFF-8EB1-027AA6CC600C}">
      <formula1>$O$6:$O$7</formula1>
    </dataValidation>
  </dataValidations>
  <pageMargins left="0.7" right="0.7" top="0.78740157499999996" bottom="0.78740157499999996" header="0.3" footer="0.3"/>
  <pageSetup orientation="portrait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67A4D-486D-4722-8BC0-28E89D3D0FE7}">
  <sheetPr>
    <pageSetUpPr fitToPage="1"/>
  </sheetPr>
  <dimension ref="A2:S19"/>
  <sheetViews>
    <sheetView topLeftCell="A5" zoomScale="115" zoomScaleNormal="115" workbookViewId="0">
      <selection activeCell="A15" sqref="A15:XFD15"/>
    </sheetView>
  </sheetViews>
  <sheetFormatPr baseColWidth="10" defaultRowHeight="15" x14ac:dyDescent="0.25"/>
  <cols>
    <col min="3" max="3" width="23" customWidth="1"/>
    <col min="4" max="4" width="13" customWidth="1"/>
    <col min="5" max="5" width="23" customWidth="1"/>
    <col min="6" max="6" width="13" customWidth="1"/>
    <col min="7" max="7" width="23" customWidth="1"/>
    <col min="8" max="8" width="13" customWidth="1"/>
    <col min="9" max="9" width="26.140625" customWidth="1"/>
    <col min="10" max="10" width="13" customWidth="1"/>
    <col min="11" max="11" width="23" customWidth="1"/>
    <col min="12" max="12" width="13" customWidth="1"/>
    <col min="14" max="14" width="15.5703125" customWidth="1"/>
    <col min="15" max="15" width="35.140625" customWidth="1"/>
    <col min="18" max="18" width="5.5703125" customWidth="1"/>
  </cols>
  <sheetData>
    <row r="2" spans="1:19" ht="23.25" x14ac:dyDescent="0.35">
      <c r="B2" s="9" t="s">
        <v>18</v>
      </c>
    </row>
    <row r="3" spans="1:19" x14ac:dyDescent="0.25">
      <c r="Q3" t="s">
        <v>96</v>
      </c>
    </row>
    <row r="4" spans="1:19" x14ac:dyDescent="0.25">
      <c r="J4" t="s">
        <v>49</v>
      </c>
      <c r="K4" t="s">
        <v>48</v>
      </c>
      <c r="Q4" s="66" t="s">
        <v>97</v>
      </c>
    </row>
    <row r="5" spans="1:19" ht="15.75" thickBot="1" x14ac:dyDescent="0.3"/>
    <row r="6" spans="1:19" ht="29.1" customHeight="1" thickBot="1" x14ac:dyDescent="0.3">
      <c r="C6" s="471" t="str">
        <f>$O$8</f>
        <v>Anfangs-Geschwindigkeit</v>
      </c>
      <c r="D6" s="472"/>
      <c r="E6" s="475" t="str">
        <f>$O$9</f>
        <v>Geschwindigkeit</v>
      </c>
      <c r="F6" s="472"/>
      <c r="G6" s="475" t="str">
        <f>$O$10</f>
        <v>Strecke</v>
      </c>
      <c r="H6" s="472"/>
      <c r="I6" s="475" t="str">
        <f>$O$11</f>
        <v>Zeit</v>
      </c>
      <c r="J6" s="472"/>
      <c r="K6" s="475" t="str">
        <f>$O$12</f>
        <v>Beschleunigung</v>
      </c>
      <c r="L6" s="476"/>
    </row>
    <row r="7" spans="1:19" ht="15.75" thickBot="1" x14ac:dyDescent="0.3">
      <c r="B7" s="13" t="s">
        <v>37</v>
      </c>
      <c r="C7" s="473" t="str">
        <f>$P$8</f>
        <v>v0 [m/s]</v>
      </c>
      <c r="D7" s="474"/>
      <c r="E7" s="477" t="str">
        <f>$P$9</f>
        <v>v [m/s]</v>
      </c>
      <c r="F7" s="474"/>
      <c r="G7" s="477" t="str">
        <f>$P$10</f>
        <v>s [m]</v>
      </c>
      <c r="H7" s="474"/>
      <c r="I7" s="477" t="str">
        <f>$P$11</f>
        <v>t [s]</v>
      </c>
      <c r="J7" s="474"/>
      <c r="K7" s="477" t="str">
        <f>$P$12</f>
        <v>a [m/s2]</v>
      </c>
      <c r="L7" s="478"/>
      <c r="O7" s="61"/>
      <c r="S7" s="45"/>
    </row>
    <row r="8" spans="1:19" s="19" customFormat="1" ht="38.1" customHeight="1" x14ac:dyDescent="0.25">
      <c r="A8" s="19">
        <v>28</v>
      </c>
      <c r="B8" s="21" t="s">
        <v>38</v>
      </c>
      <c r="C8" s="20" t="s">
        <v>57</v>
      </c>
      <c r="D8" s="14">
        <f>(G8-(K8/2)*I8^2)/I8</f>
        <v>10</v>
      </c>
      <c r="E8" s="14" t="s">
        <v>74</v>
      </c>
      <c r="F8" s="14">
        <f xml:space="preserve"> G8/I8 + K8*I8/2</f>
        <v>24</v>
      </c>
      <c r="G8" s="465">
        <v>119</v>
      </c>
      <c r="H8" s="466"/>
      <c r="I8" s="465">
        <v>7</v>
      </c>
      <c r="J8" s="466"/>
      <c r="K8" s="465">
        <v>2</v>
      </c>
      <c r="L8" s="470"/>
      <c r="N8" s="67" t="s">
        <v>96</v>
      </c>
      <c r="O8" s="61" t="s">
        <v>86</v>
      </c>
      <c r="P8" s="61" t="s">
        <v>87</v>
      </c>
      <c r="Q8" s="37">
        <f>IF(N8=$Q$3,1,0)</f>
        <v>1</v>
      </c>
      <c r="R8" s="37"/>
      <c r="S8" s="37"/>
    </row>
    <row r="9" spans="1:19" ht="38.1" customHeight="1" x14ac:dyDescent="0.25">
      <c r="A9">
        <v>26</v>
      </c>
      <c r="B9" s="15" t="s">
        <v>39</v>
      </c>
      <c r="C9" s="57" t="s">
        <v>50</v>
      </c>
      <c r="D9" s="16">
        <f>E9-K9*I9</f>
        <v>10</v>
      </c>
      <c r="E9" s="462">
        <v>24</v>
      </c>
      <c r="F9" s="463"/>
      <c r="G9" s="16" t="s">
        <v>75</v>
      </c>
      <c r="H9" s="16">
        <f>E9*I9 - K9*I9^2/2</f>
        <v>119</v>
      </c>
      <c r="I9" s="462">
        <v>7</v>
      </c>
      <c r="J9" s="463"/>
      <c r="K9" s="462">
        <v>2</v>
      </c>
      <c r="L9" s="468"/>
      <c r="N9" s="67" t="s">
        <v>96</v>
      </c>
      <c r="O9" s="61" t="s">
        <v>31</v>
      </c>
      <c r="P9" s="61" t="s">
        <v>35</v>
      </c>
      <c r="Q9" s="37">
        <f>IF(N9=$Q$3,2,0)</f>
        <v>2</v>
      </c>
      <c r="R9" s="37"/>
      <c r="S9" s="55"/>
    </row>
    <row r="10" spans="1:19" ht="38.1" customHeight="1" x14ac:dyDescent="0.25">
      <c r="A10">
        <v>22</v>
      </c>
      <c r="B10" s="15" t="s">
        <v>40</v>
      </c>
      <c r="C10" s="58" t="s">
        <v>78</v>
      </c>
      <c r="D10" s="16">
        <f>SQRT(E10^2 - 2*K10*G10)</f>
        <v>10</v>
      </c>
      <c r="E10" s="462">
        <v>24</v>
      </c>
      <c r="F10" s="463"/>
      <c r="G10" s="462">
        <v>119</v>
      </c>
      <c r="H10" s="463"/>
      <c r="I10" s="16" t="s">
        <v>76</v>
      </c>
      <c r="J10" s="16">
        <f>(E10 - SQRT(E10^2 - 2*K10*G10))/K10</f>
        <v>7</v>
      </c>
      <c r="K10" s="462">
        <v>2</v>
      </c>
      <c r="L10" s="468"/>
      <c r="N10" s="67" t="s">
        <v>96</v>
      </c>
      <c r="O10" s="61" t="s">
        <v>32</v>
      </c>
      <c r="P10" s="61" t="s">
        <v>36</v>
      </c>
      <c r="Q10" s="37">
        <f>IF(N10=$Q$3,4,0)</f>
        <v>4</v>
      </c>
      <c r="R10" s="55"/>
      <c r="S10" s="55"/>
    </row>
    <row r="11" spans="1:19" ht="38.1" customHeight="1" x14ac:dyDescent="0.25">
      <c r="A11">
        <v>14</v>
      </c>
      <c r="B11" s="15" t="s">
        <v>41</v>
      </c>
      <c r="C11" s="58" t="s">
        <v>79</v>
      </c>
      <c r="D11" s="16">
        <f>2*G11/I11 - E11</f>
        <v>10</v>
      </c>
      <c r="E11" s="462">
        <v>24</v>
      </c>
      <c r="F11" s="463"/>
      <c r="G11" s="462">
        <v>119</v>
      </c>
      <c r="H11" s="463"/>
      <c r="I11" s="462">
        <v>7</v>
      </c>
      <c r="J11" s="463"/>
      <c r="K11" s="16" t="s">
        <v>77</v>
      </c>
      <c r="L11" s="30">
        <f xml:space="preserve"> 2/I11 * (E11 - G11/I11)</f>
        <v>2</v>
      </c>
      <c r="N11" s="67" t="s">
        <v>97</v>
      </c>
      <c r="O11" s="61" t="s">
        <v>33</v>
      </c>
      <c r="P11" s="61" t="s">
        <v>19</v>
      </c>
      <c r="Q11" s="37">
        <f>IF(N11=$Q$3,8,0)</f>
        <v>0</v>
      </c>
      <c r="R11" s="55"/>
      <c r="S11" s="55"/>
    </row>
    <row r="12" spans="1:19" s="19" customFormat="1" ht="38.1" customHeight="1" x14ac:dyDescent="0.25">
      <c r="A12" s="19">
        <v>25</v>
      </c>
      <c r="B12" s="15" t="s">
        <v>42</v>
      </c>
      <c r="C12" s="467">
        <v>10</v>
      </c>
      <c r="D12" s="463"/>
      <c r="E12" s="17" t="s">
        <v>53</v>
      </c>
      <c r="F12" s="16">
        <f>K12*I12+C12</f>
        <v>24</v>
      </c>
      <c r="G12" s="18" t="s">
        <v>56</v>
      </c>
      <c r="H12" s="16">
        <f>K12/2 * I12^2 + C12*I12</f>
        <v>119</v>
      </c>
      <c r="I12" s="462">
        <v>7</v>
      </c>
      <c r="J12" s="463"/>
      <c r="K12" s="462">
        <v>2</v>
      </c>
      <c r="L12" s="468"/>
      <c r="N12" s="67" t="s">
        <v>97</v>
      </c>
      <c r="O12" s="61" t="s">
        <v>34</v>
      </c>
      <c r="P12" s="61" t="s">
        <v>58</v>
      </c>
      <c r="Q12" s="37">
        <f>IF(N12=$Q$3,16,0)</f>
        <v>0</v>
      </c>
      <c r="R12" s="55"/>
      <c r="S12" s="37">
        <f>SUM(Q8:Q12)</f>
        <v>7</v>
      </c>
    </row>
    <row r="13" spans="1:19" ht="38.1" customHeight="1" x14ac:dyDescent="0.25">
      <c r="A13">
        <v>21</v>
      </c>
      <c r="B13" s="15" t="s">
        <v>44</v>
      </c>
      <c r="C13" s="467">
        <v>10</v>
      </c>
      <c r="D13" s="463"/>
      <c r="E13" s="16" t="s">
        <v>80</v>
      </c>
      <c r="F13" s="16">
        <f>SQRT(C13^2 + 2*K13*G13)</f>
        <v>24</v>
      </c>
      <c r="G13" s="462">
        <v>119</v>
      </c>
      <c r="H13" s="463"/>
      <c r="I13" s="22" t="s">
        <v>55</v>
      </c>
      <c r="J13" s="16">
        <f xml:space="preserve"> (-C13 + SQRT(C13^2 + 2*K13*G13))/K13</f>
        <v>7</v>
      </c>
      <c r="K13" s="460">
        <v>2</v>
      </c>
      <c r="L13" s="468"/>
      <c r="O13" s="61" t="s">
        <v>89</v>
      </c>
      <c r="P13" s="62" t="s">
        <v>95</v>
      </c>
    </row>
    <row r="14" spans="1:19" ht="38.1" customHeight="1" x14ac:dyDescent="0.25">
      <c r="A14">
        <v>13</v>
      </c>
      <c r="B14" s="15" t="s">
        <v>43</v>
      </c>
      <c r="C14" s="467">
        <v>10</v>
      </c>
      <c r="D14" s="463"/>
      <c r="E14" s="16" t="s">
        <v>81</v>
      </c>
      <c r="F14" s="16">
        <f>2*G14/I14 - C14</f>
        <v>24</v>
      </c>
      <c r="G14" s="462">
        <v>119</v>
      </c>
      <c r="H14" s="463"/>
      <c r="I14" s="462">
        <v>7</v>
      </c>
      <c r="J14" s="469"/>
      <c r="K14" s="68" t="s">
        <v>54</v>
      </c>
      <c r="L14" s="30">
        <f>2*((G14-C14*I14)/I14^2)</f>
        <v>2</v>
      </c>
      <c r="O14" s="61" t="s">
        <v>90</v>
      </c>
      <c r="P14" s="62" t="s">
        <v>94</v>
      </c>
    </row>
    <row r="15" spans="1:19" ht="38.1" customHeight="1" x14ac:dyDescent="0.25">
      <c r="A15">
        <v>19</v>
      </c>
      <c r="B15" s="15" t="s">
        <v>45</v>
      </c>
      <c r="C15" s="467">
        <v>10</v>
      </c>
      <c r="D15" s="463"/>
      <c r="E15" s="462">
        <v>24</v>
      </c>
      <c r="F15" s="463"/>
      <c r="G15" s="16" t="s">
        <v>82</v>
      </c>
      <c r="H15" s="16">
        <f>(E15^2 - C15^2)/(2*K15)</f>
        <v>119</v>
      </c>
      <c r="I15" s="59" t="s">
        <v>52</v>
      </c>
      <c r="J15" s="16">
        <f>(E15-C15)/K15</f>
        <v>7</v>
      </c>
      <c r="K15" s="462">
        <v>2</v>
      </c>
      <c r="L15" s="468"/>
      <c r="O15" s="61" t="s">
        <v>91</v>
      </c>
      <c r="P15" s="62" t="s">
        <v>92</v>
      </c>
    </row>
    <row r="16" spans="1:19" ht="38.1" customHeight="1" x14ac:dyDescent="0.25">
      <c r="A16">
        <v>11</v>
      </c>
      <c r="B16" s="15" t="s">
        <v>46</v>
      </c>
      <c r="C16" s="467">
        <v>10</v>
      </c>
      <c r="D16" s="463"/>
      <c r="E16" s="462">
        <v>24</v>
      </c>
      <c r="F16" s="463"/>
      <c r="G16" s="16" t="s">
        <v>83</v>
      </c>
      <c r="H16" s="16">
        <f>(C16+E16)*I16/2</f>
        <v>119</v>
      </c>
      <c r="I16" s="462">
        <v>7</v>
      </c>
      <c r="J16" s="463"/>
      <c r="K16" s="59" t="s">
        <v>51</v>
      </c>
      <c r="L16" s="30">
        <f>(E16-C16)/I16</f>
        <v>2</v>
      </c>
      <c r="O16" s="61" t="s">
        <v>33</v>
      </c>
      <c r="P16" s="62" t="s">
        <v>19</v>
      </c>
    </row>
    <row r="17" spans="1:16" ht="38.1" customHeight="1" thickBot="1" x14ac:dyDescent="0.3">
      <c r="A17">
        <v>7</v>
      </c>
      <c r="B17" s="60" t="s">
        <v>47</v>
      </c>
      <c r="C17" s="464">
        <v>10</v>
      </c>
      <c r="D17" s="461"/>
      <c r="E17" s="460">
        <v>24</v>
      </c>
      <c r="F17" s="461"/>
      <c r="G17" s="460">
        <v>119</v>
      </c>
      <c r="H17" s="461"/>
      <c r="I17" s="64" t="s">
        <v>84</v>
      </c>
      <c r="J17" s="64">
        <f>2*G17/(C17+E17)</f>
        <v>7</v>
      </c>
      <c r="K17" s="64" t="s">
        <v>85</v>
      </c>
      <c r="L17" s="65">
        <f>(E17^2 - C17^2)/(2*G17)</f>
        <v>2</v>
      </c>
      <c r="O17" s="61" t="s">
        <v>88</v>
      </c>
      <c r="P17" s="62" t="s">
        <v>93</v>
      </c>
    </row>
    <row r="18" spans="1:16" ht="15.75" thickBot="1" x14ac:dyDescent="0.3">
      <c r="B18" s="63" t="s">
        <v>37</v>
      </c>
      <c r="C18" s="479" t="str">
        <f>P13</f>
        <v>ω0 [rad/s]</v>
      </c>
      <c r="D18" s="480"/>
      <c r="E18" s="481" t="str">
        <f>P14</f>
        <v>ω [rad/s]</v>
      </c>
      <c r="F18" s="480"/>
      <c r="G18" s="481" t="str">
        <f>P15</f>
        <v>φ [rad]</v>
      </c>
      <c r="H18" s="480"/>
      <c r="I18" s="481" t="str">
        <f>P16</f>
        <v>t [s]</v>
      </c>
      <c r="J18" s="480"/>
      <c r="K18" s="481" t="str">
        <f>P17</f>
        <v>α [rad/s2]</v>
      </c>
      <c r="L18" s="482"/>
    </row>
    <row r="19" spans="1:16" ht="29.1" customHeight="1" thickBot="1" x14ac:dyDescent="0.3">
      <c r="C19" s="483" t="str">
        <f>O13</f>
        <v>Anfangs-Winkelgeschwindigkeit</v>
      </c>
      <c r="D19" s="484"/>
      <c r="E19" s="485" t="str">
        <f>O14</f>
        <v>Winkelgeschwindigkeit</v>
      </c>
      <c r="F19" s="484"/>
      <c r="G19" s="485" t="str">
        <f>O15</f>
        <v>Winkel</v>
      </c>
      <c r="H19" s="484"/>
      <c r="I19" s="485" t="str">
        <f>O16</f>
        <v>Zeit</v>
      </c>
      <c r="J19" s="484"/>
      <c r="K19" s="485" t="str">
        <f>O17</f>
        <v>Winkelbeschleunigung</v>
      </c>
      <c r="L19" s="486"/>
    </row>
  </sheetData>
  <mergeCells count="50">
    <mergeCell ref="C19:D19"/>
    <mergeCell ref="E19:F19"/>
    <mergeCell ref="G19:H19"/>
    <mergeCell ref="I19:J19"/>
    <mergeCell ref="K19:L19"/>
    <mergeCell ref="C18:D18"/>
    <mergeCell ref="E18:F18"/>
    <mergeCell ref="G18:H18"/>
    <mergeCell ref="I18:J18"/>
    <mergeCell ref="K18:L18"/>
    <mergeCell ref="C6:D6"/>
    <mergeCell ref="C7:D7"/>
    <mergeCell ref="K6:L6"/>
    <mergeCell ref="K7:L7"/>
    <mergeCell ref="I6:J6"/>
    <mergeCell ref="I7:J7"/>
    <mergeCell ref="G6:H6"/>
    <mergeCell ref="G7:H7"/>
    <mergeCell ref="E6:F6"/>
    <mergeCell ref="E7:F7"/>
    <mergeCell ref="K8:L8"/>
    <mergeCell ref="K9:L9"/>
    <mergeCell ref="K10:L10"/>
    <mergeCell ref="K12:L12"/>
    <mergeCell ref="K13:L13"/>
    <mergeCell ref="I8:J8"/>
    <mergeCell ref="I9:J9"/>
    <mergeCell ref="I11:J11"/>
    <mergeCell ref="I12:J12"/>
    <mergeCell ref="I14:J14"/>
    <mergeCell ref="E9:F9"/>
    <mergeCell ref="E10:F10"/>
    <mergeCell ref="E11:F11"/>
    <mergeCell ref="E15:F15"/>
    <mergeCell ref="K15:L15"/>
    <mergeCell ref="C12:D12"/>
    <mergeCell ref="C13:D13"/>
    <mergeCell ref="C14:D14"/>
    <mergeCell ref="C15:D15"/>
    <mergeCell ref="C16:D16"/>
    <mergeCell ref="G8:H8"/>
    <mergeCell ref="G10:H10"/>
    <mergeCell ref="G11:H11"/>
    <mergeCell ref="G13:H13"/>
    <mergeCell ref="G14:H14"/>
    <mergeCell ref="G17:H17"/>
    <mergeCell ref="E16:F16"/>
    <mergeCell ref="E17:F17"/>
    <mergeCell ref="C17:D17"/>
    <mergeCell ref="I16:J16"/>
  </mergeCells>
  <dataValidations count="2">
    <dataValidation type="list" allowBlank="1" showInputMessage="1" showErrorMessage="1" sqref="E24" xr:uid="{F0227B52-6C3F-4B29-A45C-B261C0C0E4F1}">
      <formula1>$C$7:$L$7</formula1>
    </dataValidation>
    <dataValidation type="list" allowBlank="1" showInputMessage="1" showErrorMessage="1" sqref="N8:N12" xr:uid="{DCF60D17-7633-456A-A407-CB000447DE9C}">
      <formula1>$Q$3:$Q$4</formula1>
    </dataValidation>
  </dataValidations>
  <pageMargins left="0.7" right="0.7" top="0.78740157499999996" bottom="0.78740157499999996" header="0.3" footer="0.3"/>
  <pageSetup scale="40" orientation="landscape" r:id="rId1"/>
  <drawing r:id="rId2"/>
  <legacyDrawing r:id="rId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E385A-774A-4F74-BEB8-908DD8C1FAA2}">
  <dimension ref="B2:AA49"/>
  <sheetViews>
    <sheetView showGridLines="0" topLeftCell="A28" zoomScale="70" zoomScaleNormal="70" workbookViewId="0">
      <selection activeCell="C23" sqref="C23"/>
    </sheetView>
  </sheetViews>
  <sheetFormatPr baseColWidth="10" defaultRowHeight="15" x14ac:dyDescent="0.25"/>
  <cols>
    <col min="2" max="2" width="52.5703125" customWidth="1"/>
    <col min="3" max="3" width="13.5703125" customWidth="1"/>
    <col min="4" max="4" width="12.5703125" customWidth="1"/>
    <col min="10" max="10" width="13.140625" customWidth="1"/>
    <col min="11" max="11" width="15.42578125" customWidth="1"/>
  </cols>
  <sheetData>
    <row r="2" spans="2:27" ht="64.5" customHeight="1" x14ac:dyDescent="0.25">
      <c r="C2" s="386" t="s">
        <v>844</v>
      </c>
    </row>
    <row r="10" spans="2:27" x14ac:dyDescent="0.25">
      <c r="B10" s="5"/>
      <c r="C10" s="5"/>
      <c r="D10" s="5"/>
      <c r="E10" s="5"/>
      <c r="F10" s="5"/>
      <c r="G10" s="4">
        <v>0.5</v>
      </c>
      <c r="H10" s="387"/>
      <c r="I10" s="387"/>
      <c r="J10" s="387"/>
      <c r="K10" s="387"/>
      <c r="L10" s="387"/>
      <c r="M10" s="387"/>
      <c r="N10" s="387"/>
      <c r="O10" s="387"/>
      <c r="P10" s="387"/>
      <c r="Q10" s="387"/>
      <c r="R10" s="387"/>
      <c r="S10" s="387"/>
      <c r="T10" s="387"/>
      <c r="U10" s="387"/>
      <c r="V10" s="387"/>
      <c r="W10" s="387"/>
      <c r="X10" s="387"/>
      <c r="Y10" s="387"/>
      <c r="Z10" s="387"/>
      <c r="AA10" s="387"/>
    </row>
    <row r="11" spans="2:27" x14ac:dyDescent="0.25">
      <c r="B11" s="5"/>
      <c r="C11" s="5" t="s">
        <v>17</v>
      </c>
      <c r="D11" s="5"/>
      <c r="E11" s="5"/>
      <c r="F11" s="5"/>
      <c r="G11" s="4">
        <v>0</v>
      </c>
      <c r="H11" s="77">
        <f>G11+$G$10</f>
        <v>0.5</v>
      </c>
      <c r="I11" s="77">
        <f t="shared" ref="I11:AA11" si="0">H11+$G$10</f>
        <v>1</v>
      </c>
      <c r="J11" s="77">
        <f t="shared" si="0"/>
        <v>1.5</v>
      </c>
      <c r="K11" s="77">
        <f t="shared" si="0"/>
        <v>2</v>
      </c>
      <c r="L11" s="77">
        <f t="shared" si="0"/>
        <v>2.5</v>
      </c>
      <c r="M11" s="77">
        <f t="shared" si="0"/>
        <v>3</v>
      </c>
      <c r="N11" s="77">
        <f t="shared" si="0"/>
        <v>3.5</v>
      </c>
      <c r="O11" s="77">
        <f t="shared" si="0"/>
        <v>4</v>
      </c>
      <c r="P11" s="77">
        <f t="shared" si="0"/>
        <v>4.5</v>
      </c>
      <c r="Q11" s="77">
        <f t="shared" si="0"/>
        <v>5</v>
      </c>
      <c r="R11" s="77">
        <f t="shared" si="0"/>
        <v>5.5</v>
      </c>
      <c r="S11" s="77">
        <f t="shared" si="0"/>
        <v>6</v>
      </c>
      <c r="T11" s="77">
        <f t="shared" si="0"/>
        <v>6.5</v>
      </c>
      <c r="U11" s="77">
        <f t="shared" si="0"/>
        <v>7</v>
      </c>
      <c r="V11" s="77">
        <f t="shared" si="0"/>
        <v>7.5</v>
      </c>
      <c r="W11" s="77">
        <f t="shared" si="0"/>
        <v>8</v>
      </c>
      <c r="X11" s="77">
        <f t="shared" si="0"/>
        <v>8.5</v>
      </c>
      <c r="Y11" s="77">
        <f t="shared" si="0"/>
        <v>9</v>
      </c>
      <c r="Z11" s="77">
        <f t="shared" si="0"/>
        <v>9.5</v>
      </c>
      <c r="AA11" s="77">
        <f t="shared" si="0"/>
        <v>10</v>
      </c>
    </row>
    <row r="12" spans="2:27" ht="31.5" x14ac:dyDescent="0.55000000000000004">
      <c r="B12" s="389" t="s">
        <v>853</v>
      </c>
      <c r="C12" s="5"/>
      <c r="D12" s="337" t="s">
        <v>850</v>
      </c>
      <c r="E12" s="337"/>
      <c r="F12" s="337"/>
      <c r="G12" s="5">
        <f>(($E$16/2)*G11^2 + $E$15*G11 + $E$14)/1000</f>
        <v>36.6</v>
      </c>
      <c r="H12" s="5">
        <f t="shared" ref="H12:AA12" si="1">(($E$16/2)*H11^2 + $E$15*H11 + $E$14)/1000</f>
        <v>36.604416666666665</v>
      </c>
      <c r="I12" s="5">
        <f t="shared" si="1"/>
        <v>36.609333333333339</v>
      </c>
      <c r="J12" s="5">
        <f t="shared" si="1"/>
        <v>36.614750000000001</v>
      </c>
      <c r="K12" s="5">
        <f t="shared" si="1"/>
        <v>36.620666666666665</v>
      </c>
      <c r="L12" s="5">
        <f t="shared" si="1"/>
        <v>36.627083333333339</v>
      </c>
      <c r="M12" s="5">
        <f t="shared" si="1"/>
        <v>36.634</v>
      </c>
      <c r="N12" s="5">
        <f t="shared" si="1"/>
        <v>36.641416666666665</v>
      </c>
      <c r="O12" s="5">
        <f t="shared" si="1"/>
        <v>36.649333333333338</v>
      </c>
      <c r="P12" s="5">
        <f t="shared" si="1"/>
        <v>36.65775</v>
      </c>
      <c r="Q12" s="5">
        <f t="shared" si="1"/>
        <v>36.666666666666664</v>
      </c>
      <c r="R12" s="5">
        <f t="shared" si="1"/>
        <v>36.676083333333338</v>
      </c>
      <c r="S12" s="5">
        <f t="shared" si="1"/>
        <v>36.686</v>
      </c>
      <c r="T12" s="5">
        <f t="shared" si="1"/>
        <v>36.696416666666664</v>
      </c>
      <c r="U12" s="5">
        <f t="shared" si="1"/>
        <v>36.707333333333338</v>
      </c>
      <c r="V12" s="5">
        <f t="shared" si="1"/>
        <v>36.71875</v>
      </c>
      <c r="W12" s="5">
        <f t="shared" si="1"/>
        <v>36.730666666666664</v>
      </c>
      <c r="X12" s="5">
        <f t="shared" si="1"/>
        <v>36.743083333333338</v>
      </c>
      <c r="Y12" s="5">
        <f t="shared" si="1"/>
        <v>36.756</v>
      </c>
      <c r="Z12" s="5">
        <f t="shared" si="1"/>
        <v>36.769416666666665</v>
      </c>
      <c r="AA12" s="5">
        <f t="shared" si="1"/>
        <v>36.783333333333339</v>
      </c>
    </row>
    <row r="13" spans="2:27" ht="30.75" x14ac:dyDescent="0.55000000000000004">
      <c r="B13" s="389" t="s">
        <v>854</v>
      </c>
      <c r="C13" s="5"/>
      <c r="D13" s="337" t="s">
        <v>851</v>
      </c>
      <c r="E13" s="337"/>
      <c r="F13" s="337"/>
      <c r="G13" s="5">
        <f>($E$16*G11+$E$15)*3.6</f>
        <v>30.000000000000004</v>
      </c>
      <c r="H13" s="5">
        <f t="shared" ref="H13:AA13" si="2">($E$16*H11+$E$15)*3.6</f>
        <v>33.6</v>
      </c>
      <c r="I13" s="5">
        <f t="shared" si="2"/>
        <v>37.200000000000003</v>
      </c>
      <c r="J13" s="5">
        <f t="shared" si="2"/>
        <v>40.800000000000004</v>
      </c>
      <c r="K13" s="5">
        <f t="shared" si="2"/>
        <v>44.400000000000006</v>
      </c>
      <c r="L13" s="5">
        <f t="shared" si="2"/>
        <v>48</v>
      </c>
      <c r="M13" s="5">
        <f t="shared" si="2"/>
        <v>51.6</v>
      </c>
      <c r="N13" s="5">
        <f t="shared" si="2"/>
        <v>55.2</v>
      </c>
      <c r="O13" s="5">
        <f t="shared" si="2"/>
        <v>58.800000000000011</v>
      </c>
      <c r="P13" s="5">
        <f t="shared" si="2"/>
        <v>62.400000000000013</v>
      </c>
      <c r="Q13" s="5">
        <f t="shared" si="2"/>
        <v>66.000000000000014</v>
      </c>
      <c r="R13" s="5">
        <f t="shared" si="2"/>
        <v>69.600000000000009</v>
      </c>
      <c r="S13" s="5">
        <f t="shared" si="2"/>
        <v>73.200000000000017</v>
      </c>
      <c r="T13" s="5">
        <f t="shared" si="2"/>
        <v>76.800000000000011</v>
      </c>
      <c r="U13" s="5">
        <f t="shared" si="2"/>
        <v>80.400000000000006</v>
      </c>
      <c r="V13" s="5">
        <f t="shared" si="2"/>
        <v>84.000000000000014</v>
      </c>
      <c r="W13" s="5">
        <f t="shared" si="2"/>
        <v>87.600000000000009</v>
      </c>
      <c r="X13" s="5">
        <f t="shared" si="2"/>
        <v>91.200000000000017</v>
      </c>
      <c r="Y13" s="5">
        <f t="shared" si="2"/>
        <v>94.800000000000011</v>
      </c>
      <c r="Z13" s="5">
        <f t="shared" si="2"/>
        <v>98.4</v>
      </c>
      <c r="AA13" s="5">
        <f t="shared" si="2"/>
        <v>102.00000000000001</v>
      </c>
    </row>
    <row r="14" spans="2:27" ht="20.25" x14ac:dyDescent="0.35">
      <c r="B14" s="337"/>
      <c r="C14" s="337" t="s">
        <v>635</v>
      </c>
      <c r="D14" s="4">
        <v>36.6</v>
      </c>
      <c r="E14" s="77">
        <f>D14*1000</f>
        <v>36600</v>
      </c>
      <c r="F14" s="77" t="s">
        <v>852</v>
      </c>
      <c r="G14" s="387"/>
      <c r="H14" s="387"/>
      <c r="I14" s="387"/>
      <c r="J14" s="387"/>
      <c r="K14" s="387"/>
      <c r="L14" s="387"/>
      <c r="M14" s="387"/>
      <c r="N14" s="387"/>
      <c r="O14" s="387"/>
      <c r="P14" s="387"/>
      <c r="Q14" s="387"/>
      <c r="R14" s="387"/>
      <c r="S14" s="387"/>
      <c r="T14" s="387"/>
      <c r="U14" s="387"/>
      <c r="V14" s="387"/>
      <c r="W14" s="387"/>
      <c r="X14" s="387"/>
      <c r="Y14" s="387"/>
      <c r="Z14" s="387"/>
      <c r="AA14" s="387"/>
    </row>
    <row r="15" spans="2:27" ht="20.25" x14ac:dyDescent="0.35">
      <c r="B15" s="337"/>
      <c r="C15" s="337" t="s">
        <v>846</v>
      </c>
      <c r="D15" s="4">
        <v>30</v>
      </c>
      <c r="E15" s="77">
        <f>D15/3.6</f>
        <v>8.3333333333333339</v>
      </c>
      <c r="F15" s="77" t="s">
        <v>23</v>
      </c>
      <c r="G15" s="387"/>
      <c r="H15" s="387"/>
      <c r="I15" s="387"/>
      <c r="J15" s="387"/>
      <c r="K15" s="387"/>
      <c r="L15" s="387"/>
      <c r="M15" s="387"/>
      <c r="N15" s="387"/>
      <c r="O15" s="387"/>
      <c r="P15" s="387"/>
      <c r="Q15" s="387"/>
      <c r="R15" s="387"/>
      <c r="S15" s="387"/>
      <c r="T15" s="387"/>
      <c r="U15" s="387"/>
      <c r="V15" s="387"/>
      <c r="W15" s="387"/>
      <c r="X15" s="387"/>
      <c r="Y15" s="387"/>
      <c r="Z15" s="387"/>
      <c r="AA15" s="387"/>
    </row>
    <row r="16" spans="2:27" ht="21.75" x14ac:dyDescent="0.35">
      <c r="B16" s="337"/>
      <c r="C16" s="337" t="s">
        <v>845</v>
      </c>
      <c r="D16" s="4">
        <v>2</v>
      </c>
      <c r="E16" s="77">
        <f>D16</f>
        <v>2</v>
      </c>
      <c r="F16" s="77" t="s">
        <v>20</v>
      </c>
      <c r="G16" s="387"/>
      <c r="H16" s="387"/>
      <c r="I16" s="387"/>
      <c r="J16" s="387"/>
      <c r="K16" s="387"/>
      <c r="L16" s="387"/>
      <c r="M16" s="387"/>
      <c r="N16" s="387"/>
      <c r="O16" s="387"/>
      <c r="P16" s="387"/>
      <c r="Q16" s="387"/>
      <c r="R16" s="387"/>
      <c r="S16" s="387"/>
      <c r="T16" s="387"/>
      <c r="U16" s="387"/>
      <c r="V16" s="387"/>
      <c r="W16" s="387"/>
      <c r="X16" s="387"/>
      <c r="Y16" s="387"/>
      <c r="Z16" s="387"/>
      <c r="AA16" s="387"/>
    </row>
    <row r="17" spans="2:27" ht="18.75" x14ac:dyDescent="0.3">
      <c r="B17" s="390"/>
      <c r="C17" s="390"/>
      <c r="D17" s="387"/>
      <c r="E17" s="387"/>
      <c r="F17" s="387"/>
      <c r="G17" s="387"/>
      <c r="H17" s="387"/>
      <c r="I17" s="387"/>
      <c r="J17" s="387"/>
      <c r="K17" s="387"/>
      <c r="L17" s="387"/>
      <c r="M17" s="387"/>
      <c r="N17" s="387"/>
      <c r="O17" s="387"/>
      <c r="P17" s="387"/>
      <c r="Q17" s="387"/>
      <c r="R17" s="387"/>
      <c r="S17" s="387"/>
      <c r="T17" s="387"/>
      <c r="U17" s="387"/>
      <c r="V17" s="387"/>
      <c r="W17" s="387"/>
      <c r="X17" s="387"/>
      <c r="Y17" s="387"/>
      <c r="Z17" s="387"/>
      <c r="AA17" s="387"/>
    </row>
    <row r="18" spans="2:27" ht="30.75" x14ac:dyDescent="0.55000000000000004">
      <c r="B18" s="388" t="s">
        <v>847</v>
      </c>
      <c r="C18" s="337" t="s">
        <v>636</v>
      </c>
      <c r="D18" s="4">
        <v>120</v>
      </c>
      <c r="E18" s="4"/>
      <c r="F18" s="4"/>
      <c r="G18" s="5">
        <f>$D$18*G11+$D$21</f>
        <v>0</v>
      </c>
      <c r="H18" s="5">
        <f t="shared" ref="H18:AA18" si="3">$D$18*H11+$D$21</f>
        <v>60</v>
      </c>
      <c r="I18" s="5">
        <f t="shared" si="3"/>
        <v>120</v>
      </c>
      <c r="J18" s="5">
        <f t="shared" si="3"/>
        <v>180</v>
      </c>
      <c r="K18" s="5">
        <f t="shared" si="3"/>
        <v>240</v>
      </c>
      <c r="L18" s="5">
        <f t="shared" si="3"/>
        <v>300</v>
      </c>
      <c r="M18" s="5">
        <f t="shared" si="3"/>
        <v>360</v>
      </c>
      <c r="N18" s="5">
        <f t="shared" si="3"/>
        <v>420</v>
      </c>
      <c r="O18" s="5">
        <f t="shared" si="3"/>
        <v>480</v>
      </c>
      <c r="P18" s="5">
        <f t="shared" si="3"/>
        <v>540</v>
      </c>
      <c r="Q18" s="5">
        <f t="shared" si="3"/>
        <v>600</v>
      </c>
      <c r="R18" s="5">
        <f t="shared" si="3"/>
        <v>660</v>
      </c>
      <c r="S18" s="5">
        <f t="shared" si="3"/>
        <v>720</v>
      </c>
      <c r="T18" s="5">
        <f t="shared" si="3"/>
        <v>780</v>
      </c>
      <c r="U18" s="5">
        <f t="shared" si="3"/>
        <v>840</v>
      </c>
      <c r="V18" s="5">
        <f t="shared" si="3"/>
        <v>900</v>
      </c>
      <c r="W18" s="5">
        <f t="shared" si="3"/>
        <v>960</v>
      </c>
      <c r="X18" s="5">
        <f t="shared" si="3"/>
        <v>1020</v>
      </c>
      <c r="Y18" s="5">
        <f t="shared" si="3"/>
        <v>1080</v>
      </c>
      <c r="Z18" s="5">
        <f t="shared" si="3"/>
        <v>1140</v>
      </c>
      <c r="AA18" s="5">
        <f t="shared" si="3"/>
        <v>1200</v>
      </c>
    </row>
    <row r="19" spans="2:27" ht="20.25" x14ac:dyDescent="0.35">
      <c r="B19" s="338"/>
      <c r="C19" s="337" t="s">
        <v>637</v>
      </c>
      <c r="D19" s="4">
        <v>0</v>
      </c>
      <c r="E19" s="4"/>
      <c r="F19" s="4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 spans="2:27" ht="21.75" x14ac:dyDescent="0.35">
      <c r="B20" s="337"/>
      <c r="C20" s="337" t="s">
        <v>848</v>
      </c>
      <c r="D20" s="4"/>
      <c r="E20" s="4"/>
      <c r="F20" s="4"/>
      <c r="G20" s="387"/>
      <c r="H20" s="387"/>
      <c r="I20" s="387"/>
      <c r="J20" s="387"/>
      <c r="K20" s="387"/>
      <c r="L20" s="387"/>
      <c r="M20" s="387"/>
      <c r="N20" s="387"/>
      <c r="O20" s="387"/>
      <c r="P20" s="387"/>
      <c r="Q20" s="387"/>
      <c r="R20" s="387"/>
      <c r="S20" s="387"/>
      <c r="T20" s="387"/>
      <c r="U20" s="387"/>
      <c r="V20" s="387"/>
      <c r="W20" s="387"/>
      <c r="X20" s="387"/>
      <c r="Y20" s="387"/>
      <c r="Z20" s="387"/>
      <c r="AA20" s="387"/>
    </row>
    <row r="21" spans="2:27" ht="20.25" x14ac:dyDescent="0.35">
      <c r="B21" s="337"/>
      <c r="C21" s="337" t="s">
        <v>849</v>
      </c>
      <c r="D21" s="4"/>
      <c r="E21" s="4"/>
      <c r="F21" s="4"/>
      <c r="G21" s="387"/>
      <c r="H21" s="387"/>
      <c r="I21" s="387"/>
      <c r="J21" s="387"/>
      <c r="K21" s="387"/>
      <c r="L21" s="387"/>
      <c r="M21" s="387"/>
      <c r="N21" s="387"/>
      <c r="O21" s="387"/>
      <c r="P21" s="387"/>
      <c r="Q21" s="387"/>
      <c r="R21" s="387"/>
      <c r="S21" s="387"/>
      <c r="T21" s="387"/>
      <c r="U21" s="387"/>
      <c r="V21" s="387"/>
      <c r="W21" s="387"/>
      <c r="X21" s="387"/>
      <c r="Y21" s="387"/>
      <c r="Z21" s="387"/>
      <c r="AA21" s="387"/>
    </row>
    <row r="23" spans="2:27" ht="18.75" x14ac:dyDescent="0.3">
      <c r="C23" s="339" t="e">
        <f>IF(D18*#REF!&lt;0,"Auf einander zufahren","Einander nachfahren")</f>
        <v>#REF!</v>
      </c>
    </row>
    <row r="44" spans="2:10" ht="21" x14ac:dyDescent="0.35">
      <c r="B44" s="343" t="s">
        <v>644</v>
      </c>
      <c r="C44" s="92"/>
      <c r="D44" s="92"/>
      <c r="E44" s="391"/>
      <c r="F44" s="391"/>
      <c r="H44" t="s">
        <v>645</v>
      </c>
    </row>
    <row r="45" spans="2:10" ht="18" x14ac:dyDescent="0.35">
      <c r="B45" s="8" t="s">
        <v>640</v>
      </c>
      <c r="C45" s="5" t="e">
        <f>(D21-D14)/(#REF!-D18)</f>
        <v>#REF!</v>
      </c>
      <c r="D45" s="5" t="s">
        <v>641</v>
      </c>
      <c r="G45" s="340"/>
      <c r="H45" t="s">
        <v>646</v>
      </c>
      <c r="I45">
        <v>0</v>
      </c>
      <c r="J45" t="e">
        <f>C45</f>
        <v>#REF!</v>
      </c>
    </row>
    <row r="46" spans="2:10" x14ac:dyDescent="0.25">
      <c r="B46" s="8"/>
      <c r="C46" s="341" t="e">
        <f>C45/24</f>
        <v>#REF!</v>
      </c>
      <c r="D46" s="5"/>
      <c r="I46" t="e">
        <f>C48</f>
        <v>#REF!</v>
      </c>
      <c r="J46" t="e">
        <f>I46</f>
        <v>#REF!</v>
      </c>
    </row>
    <row r="47" spans="2:10" x14ac:dyDescent="0.25">
      <c r="B47" s="342"/>
      <c r="C47" s="336"/>
      <c r="D47" s="336"/>
      <c r="E47" s="392"/>
      <c r="F47" s="392"/>
    </row>
    <row r="48" spans="2:10" ht="18" x14ac:dyDescent="0.35">
      <c r="B48" s="8" t="s">
        <v>642</v>
      </c>
      <c r="C48" s="5" t="e">
        <f>#REF!*C45+D14</f>
        <v>#REF!</v>
      </c>
      <c r="D48" s="5" t="s">
        <v>643</v>
      </c>
      <c r="H48" t="s">
        <v>647</v>
      </c>
      <c r="I48" t="e">
        <f>J45</f>
        <v>#REF!</v>
      </c>
      <c r="J48" t="e">
        <f>I48</f>
        <v>#REF!</v>
      </c>
    </row>
    <row r="49" spans="2:10" ht="18" x14ac:dyDescent="0.35">
      <c r="B49" s="8" t="s">
        <v>642</v>
      </c>
      <c r="C49" s="5" t="e">
        <f>D18*C45+D21</f>
        <v>#REF!</v>
      </c>
      <c r="D49" s="5" t="s">
        <v>643</v>
      </c>
      <c r="I49">
        <v>0</v>
      </c>
      <c r="J49" t="e">
        <f>I46</f>
        <v>#REF!</v>
      </c>
    </row>
  </sheetData>
  <pageMargins left="0.7" right="0.7" top="0.78740157499999996" bottom="0.78740157499999996" header="0.3" footer="0.3"/>
  <pageSetup orientation="portrait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B38E5-43C1-41D2-ADA5-A29109FD68B0}">
  <sheetPr codeName="Tabelle15">
    <pageSetUpPr fitToPage="1"/>
  </sheetPr>
  <dimension ref="C1:BB20"/>
  <sheetViews>
    <sheetView showGridLines="0" zoomScale="70" zoomScaleNormal="70" workbookViewId="0"/>
  </sheetViews>
  <sheetFormatPr baseColWidth="10" defaultColWidth="10.85546875" defaultRowHeight="15" x14ac:dyDescent="0.25"/>
  <cols>
    <col min="3" max="9" width="13.85546875" customWidth="1"/>
    <col min="10" max="12" width="3.28515625" customWidth="1"/>
    <col min="13" max="13" width="31" customWidth="1"/>
    <col min="14" max="14" width="19.85546875" customWidth="1"/>
    <col min="15" max="15" width="9.7109375" customWidth="1"/>
    <col min="16" max="16" width="6.42578125" customWidth="1"/>
    <col min="17" max="18" width="10" customWidth="1"/>
    <col min="19" max="54" width="6.42578125" customWidth="1"/>
  </cols>
  <sheetData>
    <row r="1" spans="3:54" ht="21.75" customHeight="1" x14ac:dyDescent="0.25"/>
    <row r="2" spans="3:54" ht="26.25" x14ac:dyDescent="0.4">
      <c r="C2" s="29" t="s">
        <v>60</v>
      </c>
    </row>
    <row r="4" spans="3:54" x14ac:dyDescent="0.25">
      <c r="U4" s="5"/>
      <c r="V4" s="5" t="s">
        <v>68</v>
      </c>
      <c r="W4" s="5"/>
      <c r="X4" s="5"/>
      <c r="Y4" s="5"/>
      <c r="Z4" s="5"/>
      <c r="AA4" s="5"/>
    </row>
    <row r="5" spans="3:54" x14ac:dyDescent="0.25">
      <c r="U5" s="5"/>
      <c r="V5" s="8" t="s">
        <v>72</v>
      </c>
      <c r="W5" s="243">
        <f>MAX(N15:N19)</f>
        <v>0.76604444311897812</v>
      </c>
      <c r="X5" s="5"/>
      <c r="Y5" s="5"/>
      <c r="Z5" s="5">
        <f>N12</f>
        <v>50</v>
      </c>
      <c r="AA5" s="5">
        <f>Z5</f>
        <v>50</v>
      </c>
    </row>
    <row r="6" spans="3:54" x14ac:dyDescent="0.25">
      <c r="U6" s="5"/>
      <c r="V6" s="8" t="s">
        <v>71</v>
      </c>
      <c r="W6" s="243">
        <f>MIN(N15:N19)</f>
        <v>-0.18793852415718165</v>
      </c>
      <c r="X6" s="5"/>
      <c r="Y6" s="5"/>
      <c r="Z6" s="5">
        <v>0</v>
      </c>
      <c r="AA6" s="5">
        <f>W7</f>
        <v>0.76604444311897812</v>
      </c>
    </row>
    <row r="7" spans="3:54" x14ac:dyDescent="0.25">
      <c r="M7" t="s">
        <v>303</v>
      </c>
      <c r="N7" t="s">
        <v>305</v>
      </c>
      <c r="U7" s="449" t="s">
        <v>73</v>
      </c>
      <c r="V7" s="449"/>
      <c r="W7" s="243">
        <f>IF(ABS(W5)&gt;ABS(W6),W5,W6)</f>
        <v>0.76604444311897812</v>
      </c>
      <c r="X7" s="5"/>
      <c r="Y7" s="5"/>
      <c r="Z7" s="5"/>
      <c r="AA7" s="5"/>
      <c r="AL7" s="5" t="s">
        <v>64</v>
      </c>
    </row>
    <row r="8" spans="3:54" ht="15.95" customHeight="1" x14ac:dyDescent="0.25">
      <c r="M8" s="118" t="s">
        <v>303</v>
      </c>
      <c r="N8" t="s">
        <v>304</v>
      </c>
      <c r="U8" s="1"/>
      <c r="V8" s="24"/>
      <c r="AL8" s="5" t="s">
        <v>65</v>
      </c>
    </row>
    <row r="9" spans="3:54" x14ac:dyDescent="0.25">
      <c r="M9" s="118" t="s">
        <v>307</v>
      </c>
      <c r="N9" t="s">
        <v>306</v>
      </c>
    </row>
    <row r="11" spans="3:54" ht="21" x14ac:dyDescent="0.25">
      <c r="C11" s="487"/>
      <c r="D11" s="487"/>
      <c r="E11" s="487"/>
      <c r="F11" s="487"/>
      <c r="G11" s="487"/>
      <c r="H11" s="487"/>
      <c r="I11" s="487"/>
      <c r="J11" s="32"/>
      <c r="K11" s="32"/>
      <c r="O11" s="28" t="s">
        <v>8</v>
      </c>
      <c r="P11" s="31">
        <v>10</v>
      </c>
      <c r="Q11" s="55"/>
      <c r="R11" s="55"/>
      <c r="S11" s="55"/>
      <c r="T11" s="55"/>
      <c r="U11" s="55"/>
      <c r="V11" s="55"/>
      <c r="W11" s="55"/>
      <c r="X11" s="55"/>
      <c r="Y11" s="55"/>
      <c r="Z11" s="55"/>
      <c r="AA11" s="55"/>
      <c r="AB11" s="55"/>
      <c r="AC11" s="55"/>
      <c r="AD11" s="55"/>
      <c r="AE11" s="55"/>
      <c r="AF11" s="55"/>
      <c r="AG11" s="55"/>
      <c r="AH11" s="55"/>
      <c r="AI11" s="55"/>
      <c r="AJ11" s="55"/>
      <c r="AK11" s="55"/>
      <c r="AL11" s="55"/>
      <c r="AM11" s="55"/>
      <c r="AN11" s="55"/>
      <c r="AO11" s="55"/>
      <c r="AP11" s="55"/>
      <c r="AQ11" s="55"/>
      <c r="AR11" s="55"/>
      <c r="AS11" s="55"/>
      <c r="AT11" s="55"/>
      <c r="AU11" s="55"/>
      <c r="AV11" s="55"/>
      <c r="AW11" s="55"/>
      <c r="AX11" s="55"/>
      <c r="AY11" s="55"/>
      <c r="AZ11" s="55"/>
      <c r="BA11" s="55"/>
      <c r="BB11" s="55"/>
    </row>
    <row r="12" spans="3:54" s="19" customFormat="1" ht="21" x14ac:dyDescent="0.25">
      <c r="C12" s="488" t="s">
        <v>437</v>
      </c>
      <c r="D12" s="488"/>
      <c r="E12" s="488"/>
      <c r="F12" s="488"/>
      <c r="G12" s="488"/>
      <c r="H12" s="488"/>
      <c r="I12" s="488"/>
      <c r="J12" s="32"/>
      <c r="K12" s="32"/>
      <c r="M12" s="42" t="s">
        <v>431</v>
      </c>
      <c r="N12" s="23">
        <v>50</v>
      </c>
      <c r="O12" s="489" t="s">
        <v>63</v>
      </c>
      <c r="P12" s="23">
        <v>0</v>
      </c>
      <c r="Q12" s="56">
        <f>P12+$P$11</f>
        <v>10</v>
      </c>
      <c r="R12" s="56">
        <f t="shared" ref="R12:BB12" si="0">Q12+$P$11</f>
        <v>20</v>
      </c>
      <c r="S12" s="56">
        <f t="shared" si="0"/>
        <v>30</v>
      </c>
      <c r="T12" s="56">
        <f t="shared" si="0"/>
        <v>40</v>
      </c>
      <c r="U12" s="56">
        <f t="shared" si="0"/>
        <v>50</v>
      </c>
      <c r="V12" s="56">
        <f t="shared" si="0"/>
        <v>60</v>
      </c>
      <c r="W12" s="56">
        <f t="shared" si="0"/>
        <v>70</v>
      </c>
      <c r="X12" s="56">
        <f t="shared" si="0"/>
        <v>80</v>
      </c>
      <c r="Y12" s="56">
        <f t="shared" si="0"/>
        <v>90</v>
      </c>
      <c r="Z12" s="56">
        <f t="shared" si="0"/>
        <v>100</v>
      </c>
      <c r="AA12" s="56">
        <f t="shared" si="0"/>
        <v>110</v>
      </c>
      <c r="AB12" s="56">
        <f t="shared" si="0"/>
        <v>120</v>
      </c>
      <c r="AC12" s="56">
        <f t="shared" si="0"/>
        <v>130</v>
      </c>
      <c r="AD12" s="56">
        <f t="shared" si="0"/>
        <v>140</v>
      </c>
      <c r="AE12" s="56">
        <f t="shared" si="0"/>
        <v>150</v>
      </c>
      <c r="AF12" s="56">
        <f t="shared" si="0"/>
        <v>160</v>
      </c>
      <c r="AG12" s="56">
        <f t="shared" si="0"/>
        <v>170</v>
      </c>
      <c r="AH12" s="56">
        <f t="shared" si="0"/>
        <v>180</v>
      </c>
      <c r="AI12" s="56">
        <f t="shared" si="0"/>
        <v>190</v>
      </c>
      <c r="AJ12" s="56">
        <f t="shared" si="0"/>
        <v>200</v>
      </c>
      <c r="AK12" s="56">
        <f t="shared" si="0"/>
        <v>210</v>
      </c>
      <c r="AL12" s="56">
        <f t="shared" si="0"/>
        <v>220</v>
      </c>
      <c r="AM12" s="56">
        <f t="shared" si="0"/>
        <v>230</v>
      </c>
      <c r="AN12" s="56">
        <f t="shared" si="0"/>
        <v>240</v>
      </c>
      <c r="AO12" s="56">
        <f t="shared" si="0"/>
        <v>250</v>
      </c>
      <c r="AP12" s="56">
        <f t="shared" si="0"/>
        <v>260</v>
      </c>
      <c r="AQ12" s="56">
        <f t="shared" si="0"/>
        <v>270</v>
      </c>
      <c r="AR12" s="56">
        <f t="shared" si="0"/>
        <v>280</v>
      </c>
      <c r="AS12" s="56">
        <f t="shared" si="0"/>
        <v>290</v>
      </c>
      <c r="AT12" s="56">
        <f t="shared" si="0"/>
        <v>300</v>
      </c>
      <c r="AU12" s="56">
        <f t="shared" si="0"/>
        <v>310</v>
      </c>
      <c r="AV12" s="56">
        <f t="shared" si="0"/>
        <v>320</v>
      </c>
      <c r="AW12" s="56">
        <f t="shared" si="0"/>
        <v>330</v>
      </c>
      <c r="AX12" s="56">
        <f t="shared" si="0"/>
        <v>340</v>
      </c>
      <c r="AY12" s="56">
        <f t="shared" si="0"/>
        <v>350</v>
      </c>
      <c r="AZ12" s="56">
        <f t="shared" si="0"/>
        <v>360</v>
      </c>
      <c r="BA12" s="56">
        <f t="shared" si="0"/>
        <v>370</v>
      </c>
      <c r="BB12" s="56">
        <f t="shared" si="0"/>
        <v>380</v>
      </c>
    </row>
    <row r="13" spans="3:54" s="19" customFormat="1" ht="60" x14ac:dyDescent="0.25">
      <c r="C13" s="44" t="s">
        <v>66</v>
      </c>
      <c r="D13" s="44" t="s">
        <v>308</v>
      </c>
      <c r="E13" s="44" t="s">
        <v>435</v>
      </c>
      <c r="F13" s="44" t="s">
        <v>430</v>
      </c>
      <c r="G13" s="44" t="s">
        <v>433</v>
      </c>
      <c r="H13" s="44" t="s">
        <v>309</v>
      </c>
      <c r="I13" s="44" t="s">
        <v>310</v>
      </c>
      <c r="J13" s="45"/>
      <c r="K13" s="45"/>
      <c r="M13" s="53" t="s">
        <v>432</v>
      </c>
      <c r="N13" s="47">
        <f>PI()*N12/180</f>
        <v>0.87266462599716477</v>
      </c>
      <c r="O13" s="490"/>
      <c r="P13" s="46">
        <f>PI()*P12/180</f>
        <v>0</v>
      </c>
      <c r="Q13" s="46">
        <f t="shared" ref="Q13:BB13" si="1">PI()*Q12/180</f>
        <v>0.17453292519943295</v>
      </c>
      <c r="R13" s="46">
        <f t="shared" si="1"/>
        <v>0.3490658503988659</v>
      </c>
      <c r="S13" s="46">
        <f t="shared" si="1"/>
        <v>0.52359877559829882</v>
      </c>
      <c r="T13" s="46">
        <f t="shared" si="1"/>
        <v>0.69813170079773179</v>
      </c>
      <c r="U13" s="46">
        <f t="shared" si="1"/>
        <v>0.87266462599716477</v>
      </c>
      <c r="V13" s="46">
        <f t="shared" si="1"/>
        <v>1.0471975511965976</v>
      </c>
      <c r="W13" s="46">
        <f t="shared" si="1"/>
        <v>1.2217304763960306</v>
      </c>
      <c r="X13" s="46">
        <f t="shared" si="1"/>
        <v>1.3962634015954636</v>
      </c>
      <c r="Y13" s="46">
        <f t="shared" si="1"/>
        <v>1.5707963267948966</v>
      </c>
      <c r="Z13" s="46">
        <f t="shared" si="1"/>
        <v>1.7453292519943295</v>
      </c>
      <c r="AA13" s="46">
        <f t="shared" si="1"/>
        <v>1.9198621771937625</v>
      </c>
      <c r="AB13" s="46">
        <f t="shared" si="1"/>
        <v>2.0943951023931953</v>
      </c>
      <c r="AC13" s="46">
        <f t="shared" si="1"/>
        <v>2.2689280275926285</v>
      </c>
      <c r="AD13" s="46">
        <f t="shared" si="1"/>
        <v>2.4434609527920612</v>
      </c>
      <c r="AE13" s="46">
        <f t="shared" si="1"/>
        <v>2.6179938779914944</v>
      </c>
      <c r="AF13" s="46">
        <f t="shared" si="1"/>
        <v>2.7925268031909272</v>
      </c>
      <c r="AG13" s="46">
        <f t="shared" si="1"/>
        <v>2.9670597283903604</v>
      </c>
      <c r="AH13" s="46">
        <f t="shared" si="1"/>
        <v>3.1415926535897931</v>
      </c>
      <c r="AI13" s="46">
        <f t="shared" si="1"/>
        <v>3.3161255787892263</v>
      </c>
      <c r="AJ13" s="46">
        <f t="shared" si="1"/>
        <v>3.4906585039886591</v>
      </c>
      <c r="AK13" s="46">
        <f t="shared" si="1"/>
        <v>3.6651914291880923</v>
      </c>
      <c r="AL13" s="46">
        <f t="shared" si="1"/>
        <v>3.839724354387525</v>
      </c>
      <c r="AM13" s="46">
        <f t="shared" si="1"/>
        <v>4.0142572795869578</v>
      </c>
      <c r="AN13" s="46">
        <f t="shared" si="1"/>
        <v>4.1887902047863905</v>
      </c>
      <c r="AO13" s="46">
        <f t="shared" si="1"/>
        <v>4.3633231299858233</v>
      </c>
      <c r="AP13" s="46">
        <f t="shared" si="1"/>
        <v>4.5378560551852569</v>
      </c>
      <c r="AQ13" s="46">
        <f t="shared" si="1"/>
        <v>4.7123889803846897</v>
      </c>
      <c r="AR13" s="46">
        <f t="shared" si="1"/>
        <v>4.8869219055841224</v>
      </c>
      <c r="AS13" s="46">
        <f t="shared" si="1"/>
        <v>5.0614548307835552</v>
      </c>
      <c r="AT13" s="46">
        <f t="shared" si="1"/>
        <v>5.2359877559829888</v>
      </c>
      <c r="AU13" s="46">
        <f t="shared" si="1"/>
        <v>5.4105206811824216</v>
      </c>
      <c r="AV13" s="46">
        <f t="shared" si="1"/>
        <v>5.5850536063818543</v>
      </c>
      <c r="AW13" s="46">
        <f t="shared" si="1"/>
        <v>5.7595865315812871</v>
      </c>
      <c r="AX13" s="46">
        <f t="shared" si="1"/>
        <v>5.9341194567807207</v>
      </c>
      <c r="AY13" s="46">
        <f t="shared" si="1"/>
        <v>6.1086523819801526</v>
      </c>
      <c r="AZ13" s="46">
        <f t="shared" si="1"/>
        <v>6.2831853071795862</v>
      </c>
      <c r="BA13" s="46">
        <f t="shared" si="1"/>
        <v>6.457718232379019</v>
      </c>
      <c r="BB13" s="46">
        <f t="shared" si="1"/>
        <v>6.6322511575784526</v>
      </c>
    </row>
    <row r="14" spans="3:54" s="19" customFormat="1" x14ac:dyDescent="0.25">
      <c r="C14" s="44"/>
      <c r="D14" s="44"/>
      <c r="E14" s="44"/>
      <c r="F14" s="44"/>
      <c r="G14" s="44"/>
      <c r="H14" s="44"/>
      <c r="I14" s="44"/>
      <c r="J14" s="45"/>
      <c r="K14" s="45"/>
      <c r="M14" s="53" t="s">
        <v>436</v>
      </c>
      <c r="N14" s="232">
        <f>$F$19 * N12 / 360</f>
        <v>2.7777777777777779E-3</v>
      </c>
      <c r="O14" s="491"/>
      <c r="P14" s="231">
        <f>$F$19 * P12 / 360</f>
        <v>0</v>
      </c>
      <c r="Q14" s="231">
        <f t="shared" ref="Q14:BB14" si="2">$F$19 * Q12 / 360</f>
        <v>5.5555555555555556E-4</v>
      </c>
      <c r="R14" s="231">
        <f t="shared" si="2"/>
        <v>1.1111111111111111E-3</v>
      </c>
      <c r="S14" s="231">
        <f t="shared" si="2"/>
        <v>1.6666666666666666E-3</v>
      </c>
      <c r="T14" s="231">
        <f t="shared" si="2"/>
        <v>2.2222222222222222E-3</v>
      </c>
      <c r="U14" s="231">
        <f t="shared" si="2"/>
        <v>2.7777777777777779E-3</v>
      </c>
      <c r="V14" s="231">
        <f t="shared" si="2"/>
        <v>3.3333333333333331E-3</v>
      </c>
      <c r="W14" s="231">
        <f t="shared" si="2"/>
        <v>3.8888888888888892E-3</v>
      </c>
      <c r="X14" s="231">
        <f t="shared" si="2"/>
        <v>4.4444444444444444E-3</v>
      </c>
      <c r="Y14" s="231">
        <f t="shared" si="2"/>
        <v>5.0000000000000001E-3</v>
      </c>
      <c r="Z14" s="231">
        <f t="shared" si="2"/>
        <v>5.5555555555555558E-3</v>
      </c>
      <c r="AA14" s="231">
        <f t="shared" si="2"/>
        <v>6.1111111111111114E-3</v>
      </c>
      <c r="AB14" s="231">
        <f t="shared" si="2"/>
        <v>6.6666666666666662E-3</v>
      </c>
      <c r="AC14" s="231">
        <f t="shared" si="2"/>
        <v>7.2222222222222228E-3</v>
      </c>
      <c r="AD14" s="231">
        <f t="shared" si="2"/>
        <v>7.7777777777777784E-3</v>
      </c>
      <c r="AE14" s="231">
        <f t="shared" si="2"/>
        <v>8.3333333333333332E-3</v>
      </c>
      <c r="AF14" s="231">
        <f t="shared" si="2"/>
        <v>8.8888888888888889E-3</v>
      </c>
      <c r="AG14" s="231">
        <f t="shared" si="2"/>
        <v>9.4444444444444445E-3</v>
      </c>
      <c r="AH14" s="231">
        <f t="shared" si="2"/>
        <v>0.01</v>
      </c>
      <c r="AI14" s="231">
        <f t="shared" si="2"/>
        <v>1.0555555555555556E-2</v>
      </c>
      <c r="AJ14" s="231">
        <f t="shared" si="2"/>
        <v>1.1111111111111112E-2</v>
      </c>
      <c r="AK14" s="231">
        <f t="shared" si="2"/>
        <v>1.1666666666666667E-2</v>
      </c>
      <c r="AL14" s="231">
        <f t="shared" si="2"/>
        <v>1.2222222222222223E-2</v>
      </c>
      <c r="AM14" s="231">
        <f t="shared" si="2"/>
        <v>1.2777777777777779E-2</v>
      </c>
      <c r="AN14" s="231">
        <f t="shared" si="2"/>
        <v>1.3333333333333332E-2</v>
      </c>
      <c r="AO14" s="231">
        <f t="shared" si="2"/>
        <v>1.3888888888888888E-2</v>
      </c>
      <c r="AP14" s="231">
        <f t="shared" si="2"/>
        <v>1.4444444444444446E-2</v>
      </c>
      <c r="AQ14" s="231">
        <f t="shared" si="2"/>
        <v>1.5000000000000001E-2</v>
      </c>
      <c r="AR14" s="231">
        <f t="shared" si="2"/>
        <v>1.5555555555555557E-2</v>
      </c>
      <c r="AS14" s="231">
        <f t="shared" si="2"/>
        <v>1.6111111111111111E-2</v>
      </c>
      <c r="AT14" s="231">
        <f t="shared" si="2"/>
        <v>1.6666666666666666E-2</v>
      </c>
      <c r="AU14" s="231">
        <f t="shared" si="2"/>
        <v>1.7222222222222222E-2</v>
      </c>
      <c r="AV14" s="231">
        <f t="shared" si="2"/>
        <v>1.7777777777777778E-2</v>
      </c>
      <c r="AW14" s="231">
        <f t="shared" si="2"/>
        <v>1.8333333333333333E-2</v>
      </c>
      <c r="AX14" s="231">
        <f t="shared" si="2"/>
        <v>1.8888888888888889E-2</v>
      </c>
      <c r="AY14" s="231">
        <f t="shared" si="2"/>
        <v>1.9444444444444445E-2</v>
      </c>
      <c r="AZ14" s="231">
        <f t="shared" si="2"/>
        <v>0.02</v>
      </c>
      <c r="BA14" s="231">
        <f t="shared" si="2"/>
        <v>2.0555555555555556E-2</v>
      </c>
      <c r="BB14" s="231">
        <f t="shared" si="2"/>
        <v>2.1111111111111112E-2</v>
      </c>
    </row>
    <row r="15" spans="3:54" x14ac:dyDescent="0.25">
      <c r="C15" s="27">
        <v>1</v>
      </c>
      <c r="D15" s="27">
        <v>50</v>
      </c>
      <c r="E15" s="233">
        <f>D15/$D$19</f>
        <v>1</v>
      </c>
      <c r="F15" s="233">
        <f>1/D15</f>
        <v>0.02</v>
      </c>
      <c r="G15" s="233">
        <f>2*PI()*D15</f>
        <v>314.15926535897933</v>
      </c>
      <c r="H15" s="27">
        <v>0</v>
      </c>
      <c r="I15" s="236">
        <f>PI()*H15/180</f>
        <v>0</v>
      </c>
      <c r="J15" s="41"/>
      <c r="K15" s="41"/>
      <c r="M15" s="48" t="str">
        <f>_xlfn.CONCAT("y0 = ",IF(C15&lt;&gt;1,_xlfn.CONCAT(ROUND(C15,2)," *"),"")," sin(2*pi * ",IF(D15&lt;&gt;1,_xlfn.CONCAT(ROUND(D15,2),"Hz"),"")," * t ",IF(H15&lt;&gt;0,_xlfn.CONCAT(" + ",ROUND(H15,2),"°"),""),") = ")</f>
        <v xml:space="preserve">y0 =  sin(2*pi * 50Hz * t ) = </v>
      </c>
      <c r="N15" s="238">
        <f>IF($O$15=$AL$7,$C$15*SIN($G$15*N14 + $E$15*$I$15),"")</f>
        <v>0.76604444311897812</v>
      </c>
      <c r="O15" s="33" t="s">
        <v>64</v>
      </c>
      <c r="P15" s="39">
        <f>IF($O$15=$AL$7,$C$15*SIN($G$15*P14 + $E$15*$I$15),"")</f>
        <v>0</v>
      </c>
      <c r="Q15" s="39">
        <f t="shared" ref="Q15:BB15" si="3">IF($O$15=$AL$7,$C$15*SIN($G$15*Q14 + $E$15*$I$15),"")</f>
        <v>0.17364817766693033</v>
      </c>
      <c r="R15" s="39">
        <f t="shared" si="3"/>
        <v>0.34202014332566871</v>
      </c>
      <c r="S15" s="39">
        <f t="shared" si="3"/>
        <v>0.49999999999999994</v>
      </c>
      <c r="T15" s="39">
        <f t="shared" si="3"/>
        <v>0.64278760968653925</v>
      </c>
      <c r="U15" s="39">
        <f t="shared" si="3"/>
        <v>0.76604444311897812</v>
      </c>
      <c r="V15" s="39">
        <f t="shared" si="3"/>
        <v>0.8660254037844386</v>
      </c>
      <c r="W15" s="39">
        <f t="shared" si="3"/>
        <v>0.93969262078590843</v>
      </c>
      <c r="X15" s="39">
        <f t="shared" si="3"/>
        <v>0.98480775301220802</v>
      </c>
      <c r="Y15" s="39">
        <f t="shared" si="3"/>
        <v>1</v>
      </c>
      <c r="Z15" s="39">
        <f t="shared" si="3"/>
        <v>0.98480775301220802</v>
      </c>
      <c r="AA15" s="39">
        <f t="shared" si="3"/>
        <v>0.93969262078590832</v>
      </c>
      <c r="AB15" s="39">
        <f t="shared" si="3"/>
        <v>0.86602540378443871</v>
      </c>
      <c r="AC15" s="39">
        <f t="shared" si="3"/>
        <v>0.76604444311897801</v>
      </c>
      <c r="AD15" s="39">
        <f t="shared" si="3"/>
        <v>0.64278760968653914</v>
      </c>
      <c r="AE15" s="39">
        <f t="shared" si="3"/>
        <v>0.49999999999999994</v>
      </c>
      <c r="AF15" s="39">
        <f t="shared" si="3"/>
        <v>0.34202014332566888</v>
      </c>
      <c r="AG15" s="39">
        <f t="shared" si="3"/>
        <v>0.17364817766693028</v>
      </c>
      <c r="AH15" s="39">
        <f t="shared" si="3"/>
        <v>1.22514845490862E-16</v>
      </c>
      <c r="AI15" s="39">
        <f t="shared" si="3"/>
        <v>-0.17364817766693047</v>
      </c>
      <c r="AJ15" s="39">
        <f t="shared" si="3"/>
        <v>-0.34202014332566905</v>
      </c>
      <c r="AK15" s="39">
        <f t="shared" si="3"/>
        <v>-0.50000000000000011</v>
      </c>
      <c r="AL15" s="39">
        <f t="shared" si="3"/>
        <v>-0.64278760968653958</v>
      </c>
      <c r="AM15" s="39">
        <f t="shared" si="3"/>
        <v>-0.76604444311897846</v>
      </c>
      <c r="AN15" s="39">
        <f t="shared" si="3"/>
        <v>-0.86602540378443837</v>
      </c>
      <c r="AO15" s="39">
        <f t="shared" si="3"/>
        <v>-0.93969262078590843</v>
      </c>
      <c r="AP15" s="39">
        <f t="shared" si="3"/>
        <v>-0.98480775301220802</v>
      </c>
      <c r="AQ15" s="39">
        <f t="shared" si="3"/>
        <v>-1</v>
      </c>
      <c r="AR15" s="39">
        <f t="shared" si="3"/>
        <v>-0.98480775301220802</v>
      </c>
      <c r="AS15" s="39">
        <f t="shared" si="3"/>
        <v>-0.93969262078590832</v>
      </c>
      <c r="AT15" s="39">
        <f t="shared" si="3"/>
        <v>-0.8660254037844386</v>
      </c>
      <c r="AU15" s="39">
        <f t="shared" si="3"/>
        <v>-0.76604444311897812</v>
      </c>
      <c r="AV15" s="39">
        <f t="shared" si="3"/>
        <v>-0.64278760968653958</v>
      </c>
      <c r="AW15" s="39">
        <f t="shared" si="3"/>
        <v>-0.49999999999999967</v>
      </c>
      <c r="AX15" s="39">
        <f t="shared" si="3"/>
        <v>-0.3420201433256686</v>
      </c>
      <c r="AY15" s="39">
        <f t="shared" si="3"/>
        <v>-0.17364817766693039</v>
      </c>
      <c r="AZ15" s="39">
        <f t="shared" si="3"/>
        <v>-2.45029690981724E-16</v>
      </c>
      <c r="BA15" s="39">
        <f t="shared" si="3"/>
        <v>0.17364817766693078</v>
      </c>
      <c r="BB15" s="39">
        <f t="shared" si="3"/>
        <v>0.34202014332566893</v>
      </c>
    </row>
    <row r="16" spans="3:54" x14ac:dyDescent="0.25">
      <c r="C16" s="27">
        <f>1/3</f>
        <v>0.33333333333333331</v>
      </c>
      <c r="D16" s="27">
        <f>3*D15</f>
        <v>150</v>
      </c>
      <c r="E16" s="233">
        <f>D16/$D$19</f>
        <v>3</v>
      </c>
      <c r="F16" s="233">
        <f>1/D16</f>
        <v>6.6666666666666671E-3</v>
      </c>
      <c r="G16" s="233">
        <f>2*PI()*D16</f>
        <v>942.47779607693792</v>
      </c>
      <c r="H16" s="27">
        <v>0</v>
      </c>
      <c r="I16" s="236">
        <f>PI()*H16/180</f>
        <v>0</v>
      </c>
      <c r="J16" s="41"/>
      <c r="K16" s="41"/>
      <c r="M16" s="49" t="str">
        <f>_xlfn.CONCAT("y1 = ",IF(C16&lt;&gt;1,_xlfn.CONCAT(ROUND(C16,2)," *"),"")," sin(2*pi * ",IF(D16&lt;&gt;1,_xlfn.CONCAT(ROUND(D16,2),"Hz"),"")," * t ",IF(H16&lt;&gt;0,_xlfn.CONCAT(" + ",ROUND(H16,2),"°"),""),") = ")</f>
        <v xml:space="preserve">y1 = 0.33 * sin(2*pi * 150Hz * t ) = </v>
      </c>
      <c r="N16" s="239">
        <f>IF($O$16=$AL$7,$C$16*SIN($G$16*N14 + $E$16*$I$16),"")</f>
        <v>0.16666666666666663</v>
      </c>
      <c r="O16" s="34" t="s">
        <v>64</v>
      </c>
      <c r="P16" s="39">
        <f>IF($O$16=$AL$7,$C$16*SIN($G$16*P14 + $E$16*$I$16),"")</f>
        <v>0</v>
      </c>
      <c r="Q16" s="39">
        <f t="shared" ref="Q16:BB16" si="4">IF($O$16=$AL$7,$C$16*SIN($G$16*Q14 + $E$16*$I$16),"")</f>
        <v>0.16666666666666663</v>
      </c>
      <c r="R16" s="39">
        <f t="shared" si="4"/>
        <v>0.28867513459481287</v>
      </c>
      <c r="S16" s="39">
        <f t="shared" si="4"/>
        <v>0.33333333333333331</v>
      </c>
      <c r="T16" s="39">
        <f t="shared" si="4"/>
        <v>0.28867513459481287</v>
      </c>
      <c r="U16" s="39">
        <f t="shared" si="4"/>
        <v>0.16666666666666663</v>
      </c>
      <c r="V16" s="39">
        <f t="shared" si="4"/>
        <v>1.8886801844697487E-16</v>
      </c>
      <c r="W16" s="39">
        <f t="shared" si="4"/>
        <v>-0.16666666666666669</v>
      </c>
      <c r="X16" s="39">
        <f t="shared" si="4"/>
        <v>-0.28867513459481275</v>
      </c>
      <c r="Y16" s="39">
        <f t="shared" si="4"/>
        <v>-0.33333333333333331</v>
      </c>
      <c r="Z16" s="39">
        <f t="shared" si="4"/>
        <v>-0.28867513459481287</v>
      </c>
      <c r="AA16" s="39">
        <f t="shared" si="4"/>
        <v>-0.16666666666666655</v>
      </c>
      <c r="AB16" s="39">
        <f t="shared" si="4"/>
        <v>-3.7773603689394974E-16</v>
      </c>
      <c r="AC16" s="39">
        <f t="shared" si="4"/>
        <v>0.16666666666666666</v>
      </c>
      <c r="AD16" s="39">
        <f t="shared" si="4"/>
        <v>0.28867513459481292</v>
      </c>
      <c r="AE16" s="39">
        <f t="shared" si="4"/>
        <v>0.33333333333333331</v>
      </c>
      <c r="AF16" s="39">
        <f t="shared" si="4"/>
        <v>0.28867513459481303</v>
      </c>
      <c r="AG16" s="39">
        <f t="shared" si="4"/>
        <v>0.16666666666666657</v>
      </c>
      <c r="AH16" s="39">
        <f t="shared" si="4"/>
        <v>1.22514845490862E-16</v>
      </c>
      <c r="AI16" s="39">
        <f t="shared" si="4"/>
        <v>-0.16666666666666638</v>
      </c>
      <c r="AJ16" s="39">
        <f t="shared" si="4"/>
        <v>-0.28867513459481287</v>
      </c>
      <c r="AK16" s="39">
        <f t="shared" si="4"/>
        <v>-0.33333333333333331</v>
      </c>
      <c r="AL16" s="39">
        <f t="shared" si="4"/>
        <v>-0.28867513459481275</v>
      </c>
      <c r="AM16" s="39">
        <f t="shared" si="4"/>
        <v>-0.16666666666666663</v>
      </c>
      <c r="AN16" s="39">
        <f t="shared" si="4"/>
        <v>-7.5547207378789949E-16</v>
      </c>
      <c r="AO16" s="39">
        <f t="shared" si="4"/>
        <v>0.16666666666666635</v>
      </c>
      <c r="AP16" s="39">
        <f t="shared" si="4"/>
        <v>0.28867513459481287</v>
      </c>
      <c r="AQ16" s="39">
        <f t="shared" si="4"/>
        <v>0.33333333333333331</v>
      </c>
      <c r="AR16" s="39">
        <f t="shared" si="4"/>
        <v>0.28867513459481275</v>
      </c>
      <c r="AS16" s="39">
        <f t="shared" si="4"/>
        <v>0.16666666666666718</v>
      </c>
      <c r="AT16" s="39">
        <f t="shared" si="4"/>
        <v>2.0419140915143666E-16</v>
      </c>
      <c r="AU16" s="39">
        <f t="shared" si="4"/>
        <v>-0.1666666666666663</v>
      </c>
      <c r="AV16" s="39">
        <f t="shared" si="4"/>
        <v>-0.28867513459481253</v>
      </c>
      <c r="AW16" s="39">
        <f t="shared" si="4"/>
        <v>-0.33333333333333331</v>
      </c>
      <c r="AX16" s="39">
        <f t="shared" si="4"/>
        <v>-0.28867513459481275</v>
      </c>
      <c r="AY16" s="39">
        <f t="shared" si="4"/>
        <v>-0.16666666666666669</v>
      </c>
      <c r="AZ16" s="39">
        <f t="shared" si="4"/>
        <v>-2.45029690981724E-16</v>
      </c>
      <c r="BA16" s="39">
        <f t="shared" si="4"/>
        <v>0.16666666666666627</v>
      </c>
      <c r="BB16" s="39">
        <f t="shared" si="4"/>
        <v>0.28867513459481253</v>
      </c>
    </row>
    <row r="17" spans="3:54" x14ac:dyDescent="0.25">
      <c r="C17" s="27">
        <f>1/5</f>
        <v>0.2</v>
      </c>
      <c r="D17" s="27">
        <f>5*D15</f>
        <v>250</v>
      </c>
      <c r="E17" s="233">
        <f>D17/$D$19</f>
        <v>5</v>
      </c>
      <c r="F17" s="233">
        <f>1/D17</f>
        <v>4.0000000000000001E-3</v>
      </c>
      <c r="G17" s="233">
        <f>2*PI()*D17</f>
        <v>1570.7963267948965</v>
      </c>
      <c r="H17" s="27">
        <v>0</v>
      </c>
      <c r="I17" s="236">
        <f>PI()*H17/180</f>
        <v>0</v>
      </c>
      <c r="J17" s="41"/>
      <c r="K17" s="41"/>
      <c r="M17" s="50" t="str">
        <f>_xlfn.CONCAT("y2 = ",IF(C17&lt;&gt;1,_xlfn.CONCAT(ROUND(C17,2)," *"),"")," sin(2*pi * ",IF(D17&lt;&gt;1,_xlfn.CONCAT(ROUND(D17,2),"Hz"),"")," * t ",IF(H17&lt;&gt;0,_xlfn.CONCAT(" + ",ROUND(H17,2),"°"),""),") = ")</f>
        <v xml:space="preserve">y2 = 0.2 * sin(2*pi * 250Hz * t ) = </v>
      </c>
      <c r="N17" s="240">
        <f>IF($O$17=$AL$7,$C$17*SIN($G$17*N14 + $E$17*$I$17),"")</f>
        <v>-0.18793852415718165</v>
      </c>
      <c r="O17" s="35" t="s">
        <v>64</v>
      </c>
      <c r="P17" s="39">
        <f>IF($O$17=$AL$7,$C$17*SIN($G$17*P14 + $E$17*$I$17),"")</f>
        <v>0</v>
      </c>
      <c r="Q17" s="39">
        <f>IF($O$17=$AL$7,$C$17*SIN($G$17*Q14 + $E$17*$I$17),"")</f>
        <v>0.15320888862379559</v>
      </c>
      <c r="R17" s="39">
        <f t="shared" ref="R17:BB17" si="5">IF($O$17=$AL$7,$C$17*SIN($G$17*R14 + $E$17*$I$17),"")</f>
        <v>0.19696155060244164</v>
      </c>
      <c r="S17" s="39">
        <f t="shared" si="5"/>
        <v>0.10000000000000007</v>
      </c>
      <c r="T17" s="39">
        <f t="shared" si="5"/>
        <v>-6.8404028665133648E-2</v>
      </c>
      <c r="U17" s="39">
        <f t="shared" si="5"/>
        <v>-0.18793852415718165</v>
      </c>
      <c r="V17" s="39">
        <f t="shared" si="5"/>
        <v>-0.17320508075688781</v>
      </c>
      <c r="W17" s="39">
        <f t="shared" si="5"/>
        <v>-3.472963553338608E-2</v>
      </c>
      <c r="X17" s="39">
        <f t="shared" si="5"/>
        <v>0.12855752193730771</v>
      </c>
      <c r="Y17" s="39">
        <f t="shared" si="5"/>
        <v>0.2</v>
      </c>
      <c r="Z17" s="39">
        <f t="shared" si="5"/>
        <v>0.12855752193730807</v>
      </c>
      <c r="AA17" s="39">
        <f t="shared" si="5"/>
        <v>-3.4729635533385955E-2</v>
      </c>
      <c r="AB17" s="39">
        <f t="shared" si="5"/>
        <v>-0.17320508075688756</v>
      </c>
      <c r="AC17" s="39">
        <f t="shared" si="5"/>
        <v>-0.18793852415718174</v>
      </c>
      <c r="AD17" s="39">
        <f t="shared" si="5"/>
        <v>-6.8404028665133773E-2</v>
      </c>
      <c r="AE17" s="39">
        <f t="shared" si="5"/>
        <v>9.9999999999999811E-2</v>
      </c>
      <c r="AF17" s="39">
        <f t="shared" si="5"/>
        <v>0.19696155060244155</v>
      </c>
      <c r="AG17" s="39">
        <f t="shared" si="5"/>
        <v>0.15320888862379578</v>
      </c>
      <c r="AH17" s="39">
        <f t="shared" si="5"/>
        <v>1.22514845490862E-16</v>
      </c>
      <c r="AI17" s="39">
        <f t="shared" si="5"/>
        <v>-0.15320888862379542</v>
      </c>
      <c r="AJ17" s="39">
        <f t="shared" si="5"/>
        <v>-0.19696155060244172</v>
      </c>
      <c r="AK17" s="39">
        <f t="shared" si="5"/>
        <v>-0.10000000000000003</v>
      </c>
      <c r="AL17" s="39">
        <f t="shared" si="5"/>
        <v>6.8404028665133537E-2</v>
      </c>
      <c r="AM17" s="39">
        <f t="shared" si="5"/>
        <v>0.18793852415718154</v>
      </c>
      <c r="AN17" s="39">
        <f t="shared" si="5"/>
        <v>0.17320508075688806</v>
      </c>
      <c r="AO17" s="39">
        <f t="shared" si="5"/>
        <v>3.4729635533386899E-2</v>
      </c>
      <c r="AP17" s="39">
        <f t="shared" si="5"/>
        <v>-0.1285575219373076</v>
      </c>
      <c r="AQ17" s="39">
        <f t="shared" si="5"/>
        <v>-0.2</v>
      </c>
      <c r="AR17" s="39">
        <f t="shared" si="5"/>
        <v>-0.12855752193730791</v>
      </c>
      <c r="AS17" s="39">
        <f t="shared" si="5"/>
        <v>3.4729635533385143E-2</v>
      </c>
      <c r="AT17" s="39">
        <f t="shared" si="5"/>
        <v>0.17320508075688754</v>
      </c>
      <c r="AU17" s="39">
        <f t="shared" si="5"/>
        <v>0.18793852415718193</v>
      </c>
      <c r="AV17" s="39">
        <f t="shared" si="5"/>
        <v>6.840402866513455E-2</v>
      </c>
      <c r="AW17" s="39">
        <f t="shared" si="5"/>
        <v>-9.99999999999997E-2</v>
      </c>
      <c r="AX17" s="39">
        <f t="shared" si="5"/>
        <v>-0.19696155060244153</v>
      </c>
      <c r="AY17" s="39">
        <f t="shared" si="5"/>
        <v>-0.15320888862379611</v>
      </c>
      <c r="AZ17" s="39">
        <f t="shared" si="5"/>
        <v>-2.45029690981724E-16</v>
      </c>
      <c r="BA17" s="39">
        <f t="shared" si="5"/>
        <v>0.15320888862379489</v>
      </c>
      <c r="BB17" s="39">
        <f t="shared" si="5"/>
        <v>0.19696155060244172</v>
      </c>
    </row>
    <row r="18" spans="3:54" ht="15.75" thickBot="1" x14ac:dyDescent="0.3">
      <c r="C18" s="226">
        <f>1/7</f>
        <v>0.14285714285714285</v>
      </c>
      <c r="D18" s="226">
        <f>7*D15</f>
        <v>350</v>
      </c>
      <c r="E18" s="234">
        <f>D18/$D$19</f>
        <v>7</v>
      </c>
      <c r="F18" s="234">
        <f>1/D18</f>
        <v>2.8571428571428571E-3</v>
      </c>
      <c r="G18" s="234">
        <f>2*PI()*D18</f>
        <v>2199.114857512855</v>
      </c>
      <c r="H18" s="226">
        <v>0</v>
      </c>
      <c r="I18" s="237">
        <f>PI()*H18/180</f>
        <v>0</v>
      </c>
      <c r="J18" s="41"/>
      <c r="K18" s="41"/>
      <c r="M18" s="51" t="str">
        <f>_xlfn.CONCAT("y3 = ",IF(C18&lt;&gt;1,_xlfn.CONCAT(ROUND(C18,2)," *"),"")," sin(2*pi * ",IF(D18&lt;&gt;1,_xlfn.CONCAT(ROUND(D18,2),"Hz"),"")," * t ",IF(H18&lt;&gt;0,_xlfn.CONCAT(" + ",ROUND(H18,2),"°"),""),") = ")</f>
        <v xml:space="preserve">y3 = 0.14 * sin(2*pi * 350Hz * t ) = </v>
      </c>
      <c r="N18" s="241">
        <f>IF($O$18=$AL$7,$C$18*SIN($G$18*N14 + $E$18*$I$18),"")</f>
        <v>-2.4806882523847322E-2</v>
      </c>
      <c r="O18" s="36" t="s">
        <v>64</v>
      </c>
      <c r="P18" s="39">
        <f>IF($O$18=$AL$7,$C$18*SIN($G$18*P14 + $E$18*$I$18),"")</f>
        <v>0</v>
      </c>
      <c r="Q18" s="39">
        <f t="shared" ref="Q18:BB18" si="6">IF($O$18=$AL$7,$C$18*SIN($G$18*Q14 + $E$18*$I$18),"")</f>
        <v>0.13424180296941546</v>
      </c>
      <c r="R18" s="39">
        <f t="shared" si="6"/>
        <v>9.1826801383791345E-2</v>
      </c>
      <c r="S18" s="39">
        <f t="shared" si="6"/>
        <v>-7.1428571428571341E-2</v>
      </c>
      <c r="T18" s="39">
        <f t="shared" si="6"/>
        <v>-0.14068682185888687</v>
      </c>
      <c r="U18" s="39">
        <f t="shared" si="6"/>
        <v>-2.4806882523847322E-2</v>
      </c>
      <c r="V18" s="39">
        <f t="shared" si="6"/>
        <v>0.12371791482634827</v>
      </c>
      <c r="W18" s="39">
        <f t="shared" si="6"/>
        <v>0.10943492044556839</v>
      </c>
      <c r="X18" s="39">
        <f t="shared" si="6"/>
        <v>-4.8860020475095425E-2</v>
      </c>
      <c r="Y18" s="39">
        <f t="shared" si="6"/>
        <v>-0.14285714285714285</v>
      </c>
      <c r="Z18" s="39">
        <f t="shared" si="6"/>
        <v>-4.8860020475095779E-2</v>
      </c>
      <c r="AA18" s="39">
        <f t="shared" si="6"/>
        <v>0.10943492044556814</v>
      </c>
      <c r="AB18" s="39">
        <f t="shared" si="6"/>
        <v>0.12371791482634859</v>
      </c>
      <c r="AC18" s="39">
        <f t="shared" si="6"/>
        <v>-2.4806882523847079E-2</v>
      </c>
      <c r="AD18" s="39">
        <f t="shared" si="6"/>
        <v>-0.14068682185888681</v>
      </c>
      <c r="AE18" s="39">
        <f t="shared" si="6"/>
        <v>-7.1428571428571883E-2</v>
      </c>
      <c r="AF18" s="39">
        <f t="shared" si="6"/>
        <v>9.1826801383791151E-2</v>
      </c>
      <c r="AG18" s="39">
        <f t="shared" si="6"/>
        <v>0.13424180296941562</v>
      </c>
      <c r="AH18" s="39">
        <f t="shared" si="6"/>
        <v>1.22514845490862E-16</v>
      </c>
      <c r="AI18" s="39">
        <f t="shared" si="6"/>
        <v>-0.13424180296941537</v>
      </c>
      <c r="AJ18" s="39">
        <f t="shared" si="6"/>
        <v>-9.1826801383791734E-2</v>
      </c>
      <c r="AK18" s="39">
        <f t="shared" si="6"/>
        <v>7.142857142857123E-2</v>
      </c>
      <c r="AL18" s="39">
        <f t="shared" si="6"/>
        <v>0.14068682185888692</v>
      </c>
      <c r="AM18" s="39">
        <f t="shared" si="6"/>
        <v>2.4806882523847319E-2</v>
      </c>
      <c r="AN18" s="39">
        <f t="shared" si="6"/>
        <v>-0.12371791482634795</v>
      </c>
      <c r="AO18" s="39">
        <f t="shared" si="6"/>
        <v>-0.10943492044556863</v>
      </c>
      <c r="AP18" s="39">
        <f t="shared" si="6"/>
        <v>4.8860020475095314E-2</v>
      </c>
      <c r="AQ18" s="39">
        <f t="shared" si="6"/>
        <v>0.14285714285714285</v>
      </c>
      <c r="AR18" s="39">
        <f t="shared" si="6"/>
        <v>4.8860020475096133E-2</v>
      </c>
      <c r="AS18" s="39">
        <f t="shared" si="6"/>
        <v>-0.10943492044556806</v>
      </c>
      <c r="AT18" s="39">
        <f t="shared" si="6"/>
        <v>-0.1237179148263489</v>
      </c>
      <c r="AU18" s="39">
        <f t="shared" si="6"/>
        <v>2.4806882523846455E-2</v>
      </c>
      <c r="AV18" s="39">
        <f t="shared" si="6"/>
        <v>0.14068682185888678</v>
      </c>
      <c r="AW18" s="39">
        <f t="shared" si="6"/>
        <v>7.1428571428572424E-2</v>
      </c>
      <c r="AX18" s="39">
        <f t="shared" si="6"/>
        <v>-9.1826801383790679E-2</v>
      </c>
      <c r="AY18" s="39">
        <f t="shared" si="6"/>
        <v>-0.13424180296941565</v>
      </c>
      <c r="AZ18" s="39">
        <f t="shared" si="6"/>
        <v>-2.45029690981724E-16</v>
      </c>
      <c r="BA18" s="39">
        <f t="shared" si="6"/>
        <v>0.13424180296941515</v>
      </c>
      <c r="BB18" s="39">
        <f t="shared" si="6"/>
        <v>9.1826801383791817E-2</v>
      </c>
    </row>
    <row r="19" spans="3:54" ht="15.95" customHeight="1" thickBot="1" x14ac:dyDescent="0.3">
      <c r="C19" s="227" t="s">
        <v>434</v>
      </c>
      <c r="D19" s="228">
        <f>MIN(D15:D18)</f>
        <v>50</v>
      </c>
      <c r="E19" s="228"/>
      <c r="F19" s="235">
        <f>1/D19</f>
        <v>0.02</v>
      </c>
      <c r="G19" s="235">
        <f>2*PI()*D19</f>
        <v>314.15926535897933</v>
      </c>
      <c r="H19" s="229"/>
      <c r="I19" s="230"/>
      <c r="M19" s="25" t="s">
        <v>59</v>
      </c>
      <c r="N19" s="242">
        <f>IF($O$19=$AL$7,SUM(N15:N18),"")</f>
        <v>0.71996570310461572</v>
      </c>
      <c r="O19" s="38" t="s">
        <v>64</v>
      </c>
      <c r="P19" s="40">
        <f t="shared" ref="P19:BB19" si="7">IF($O$19=$AL$7,SUM(P15:P18),"")</f>
        <v>0</v>
      </c>
      <c r="Q19" s="40">
        <f t="shared" si="7"/>
        <v>0.62776553592680795</v>
      </c>
      <c r="R19" s="40">
        <f t="shared" si="7"/>
        <v>0.91948362990671439</v>
      </c>
      <c r="S19" s="40">
        <f t="shared" si="7"/>
        <v>0.86190476190476195</v>
      </c>
      <c r="T19" s="40">
        <f t="shared" si="7"/>
        <v>0.72237189375733157</v>
      </c>
      <c r="U19" s="40">
        <f t="shared" si="7"/>
        <v>0.71996570310461572</v>
      </c>
      <c r="V19" s="40">
        <f t="shared" si="7"/>
        <v>0.81653823785389934</v>
      </c>
      <c r="W19" s="40">
        <f t="shared" si="7"/>
        <v>0.847731239031424</v>
      </c>
      <c r="X19" s="40">
        <f t="shared" si="7"/>
        <v>0.77583011987960759</v>
      </c>
      <c r="Y19" s="40">
        <f t="shared" si="7"/>
        <v>0.7238095238095239</v>
      </c>
      <c r="Z19" s="40">
        <f t="shared" si="7"/>
        <v>0.77583011987960748</v>
      </c>
      <c r="AA19" s="40">
        <f t="shared" si="7"/>
        <v>0.847731239031424</v>
      </c>
      <c r="AB19" s="40">
        <f t="shared" si="7"/>
        <v>0.81653823785389945</v>
      </c>
      <c r="AC19" s="40">
        <f t="shared" si="7"/>
        <v>0.71996570310461583</v>
      </c>
      <c r="AD19" s="40">
        <f t="shared" si="7"/>
        <v>0.72237189375733157</v>
      </c>
      <c r="AE19" s="40">
        <f t="shared" si="7"/>
        <v>0.86190476190476129</v>
      </c>
      <c r="AF19" s="40">
        <f t="shared" si="7"/>
        <v>0.91948362990671473</v>
      </c>
      <c r="AG19" s="40">
        <f t="shared" si="7"/>
        <v>0.62776553592680817</v>
      </c>
      <c r="AH19" s="40">
        <f t="shared" si="7"/>
        <v>4.90059381963448E-16</v>
      </c>
      <c r="AI19" s="40">
        <f t="shared" si="7"/>
        <v>-0.62776553592680762</v>
      </c>
      <c r="AJ19" s="40">
        <f t="shared" si="7"/>
        <v>-0.91948362990671539</v>
      </c>
      <c r="AK19" s="40">
        <f t="shared" si="7"/>
        <v>-0.8619047619047624</v>
      </c>
      <c r="AL19" s="40">
        <f t="shared" si="7"/>
        <v>-0.72237189375733191</v>
      </c>
      <c r="AM19" s="40">
        <f t="shared" si="7"/>
        <v>-0.71996570310461616</v>
      </c>
      <c r="AN19" s="40">
        <f t="shared" si="7"/>
        <v>-0.81653823785389912</v>
      </c>
      <c r="AO19" s="40">
        <f t="shared" si="7"/>
        <v>-0.84773123903142378</v>
      </c>
      <c r="AP19" s="40">
        <f t="shared" si="7"/>
        <v>-0.77583011987960748</v>
      </c>
      <c r="AQ19" s="40">
        <f t="shared" si="7"/>
        <v>-0.7238095238095239</v>
      </c>
      <c r="AR19" s="40">
        <f t="shared" si="7"/>
        <v>-0.77583011987960693</v>
      </c>
      <c r="AS19" s="40">
        <f t="shared" si="7"/>
        <v>-0.847731239031424</v>
      </c>
      <c r="AT19" s="40">
        <f t="shared" si="7"/>
        <v>-0.81653823785389967</v>
      </c>
      <c r="AU19" s="40">
        <f t="shared" si="7"/>
        <v>-0.71996570310461605</v>
      </c>
      <c r="AV19" s="40">
        <f t="shared" si="7"/>
        <v>-0.7223718937573308</v>
      </c>
      <c r="AW19" s="40">
        <f t="shared" si="7"/>
        <v>-0.86190476190476029</v>
      </c>
      <c r="AX19" s="40">
        <f t="shared" si="7"/>
        <v>-0.91948362990671351</v>
      </c>
      <c r="AY19" s="40">
        <f t="shared" si="7"/>
        <v>-0.62776553592680884</v>
      </c>
      <c r="AZ19" s="40">
        <f t="shared" si="7"/>
        <v>-9.8011876392689601E-16</v>
      </c>
      <c r="BA19" s="40">
        <f t="shared" si="7"/>
        <v>0.62776553592680706</v>
      </c>
      <c r="BB19" s="40">
        <f t="shared" si="7"/>
        <v>0.91948362990671506</v>
      </c>
    </row>
    <row r="20" spans="3:54" ht="8.4499999999999993" customHeight="1" x14ac:dyDescent="0.25">
      <c r="M20" s="24"/>
      <c r="N20" s="24"/>
      <c r="O20" s="24"/>
    </row>
  </sheetData>
  <mergeCells count="4">
    <mergeCell ref="C11:I11"/>
    <mergeCell ref="C12:I12"/>
    <mergeCell ref="U7:V7"/>
    <mergeCell ref="O12:O14"/>
  </mergeCells>
  <dataValidations count="1">
    <dataValidation type="list" allowBlank="1" showInputMessage="1" showErrorMessage="1" sqref="O15:O18 O19" xr:uid="{14030FAE-C205-4F99-A125-F98CBE2B09BD}">
      <formula1>$AL$7:$AL$8</formula1>
    </dataValidation>
  </dataValidations>
  <pageMargins left="0.7" right="0.7" top="0.78740157499999996" bottom="0.78740157499999996" header="0.3" footer="0.3"/>
  <pageSetup paperSize="9" scale="34" orientation="landscape" verticalDpi="1200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F7D5C-D0F8-40D0-BDC5-363CB671BB60}">
  <sheetPr>
    <pageSetUpPr fitToPage="1"/>
  </sheetPr>
  <dimension ref="B1:AY74"/>
  <sheetViews>
    <sheetView showGridLines="0" topLeftCell="A12" zoomScale="85" zoomScaleNormal="85" workbookViewId="0">
      <selection activeCell="A56" sqref="A56"/>
    </sheetView>
  </sheetViews>
  <sheetFormatPr baseColWidth="10" defaultColWidth="10.85546875" defaultRowHeight="15" x14ac:dyDescent="0.25"/>
  <cols>
    <col min="2" max="2" width="16.28515625" customWidth="1"/>
    <col min="3" max="6" width="13.85546875" customWidth="1"/>
    <col min="7" max="9" width="3.28515625" customWidth="1"/>
    <col min="10" max="10" width="25.5703125" customWidth="1"/>
    <col min="11" max="11" width="19.85546875" customWidth="1"/>
    <col min="12" max="12" width="9.7109375" customWidth="1"/>
    <col min="13" max="51" width="6.42578125" customWidth="1"/>
  </cols>
  <sheetData>
    <row r="1" spans="2:51" ht="21.75" customHeight="1" x14ac:dyDescent="0.25"/>
    <row r="2" spans="2:51" ht="26.25" x14ac:dyDescent="0.4">
      <c r="C2" s="29" t="s">
        <v>463</v>
      </c>
    </row>
    <row r="4" spans="2:51" x14ac:dyDescent="0.25">
      <c r="R4" s="5"/>
      <c r="S4" s="5" t="s">
        <v>68</v>
      </c>
      <c r="T4" s="5"/>
      <c r="U4" s="5"/>
      <c r="V4" s="5"/>
      <c r="W4" s="5"/>
      <c r="X4" s="5"/>
      <c r="Z4" s="5" t="s">
        <v>470</v>
      </c>
      <c r="AA4" s="5"/>
      <c r="AC4" s="5" t="s">
        <v>471</v>
      </c>
      <c r="AD4" s="5"/>
    </row>
    <row r="5" spans="2:51" x14ac:dyDescent="0.25">
      <c r="R5" s="5"/>
      <c r="S5" s="8" t="s">
        <v>72</v>
      </c>
      <c r="T5" s="40">
        <f>MAX(K14:K23)</f>
        <v>0.8660254037844386</v>
      </c>
      <c r="U5" s="5"/>
      <c r="V5" s="5"/>
      <c r="W5" s="5">
        <f>K12</f>
        <v>60</v>
      </c>
      <c r="X5" s="5">
        <f>W5</f>
        <v>60</v>
      </c>
      <c r="Z5" s="5">
        <v>0</v>
      </c>
      <c r="AA5" s="5">
        <f>AY12</f>
        <v>570</v>
      </c>
      <c r="AC5" s="5">
        <v>0</v>
      </c>
      <c r="AD5" s="5">
        <v>0</v>
      </c>
    </row>
    <row r="6" spans="2:51" x14ac:dyDescent="0.25">
      <c r="E6" t="s">
        <v>460</v>
      </c>
      <c r="R6" s="5"/>
      <c r="S6" s="8" t="s">
        <v>71</v>
      </c>
      <c r="T6" s="40">
        <f>MIN(K14:K23)</f>
        <v>-0.43301270189221958</v>
      </c>
      <c r="U6" s="5"/>
      <c r="V6" s="5"/>
      <c r="W6" s="40">
        <f>IF(T6&gt;0,0,T6)</f>
        <v>-0.43301270189221958</v>
      </c>
      <c r="X6" s="40">
        <f>IF(T5&lt;0,0,T5)</f>
        <v>0.8660254037844386</v>
      </c>
      <c r="Z6" s="5">
        <v>0</v>
      </c>
      <c r="AA6" s="5">
        <v>0</v>
      </c>
      <c r="AC6" s="40">
        <f>MIN(M14:AY23)</f>
        <v>-1</v>
      </c>
      <c r="AD6" s="40">
        <f>MAX(M14:AY23)</f>
        <v>1</v>
      </c>
    </row>
    <row r="7" spans="2:51" ht="15.75" thickBot="1" x14ac:dyDescent="0.3">
      <c r="E7" t="s">
        <v>461</v>
      </c>
      <c r="R7" s="449" t="s">
        <v>73</v>
      </c>
      <c r="S7" s="449"/>
      <c r="T7" s="5">
        <f>IF(ABS(T5)&gt;ABS(T6),T5,T6)</f>
        <v>0.8660254037844386</v>
      </c>
      <c r="U7" s="5"/>
      <c r="V7" s="5"/>
      <c r="W7" s="5"/>
      <c r="X7" s="5"/>
      <c r="AI7" s="5" t="s">
        <v>64</v>
      </c>
    </row>
    <row r="8" spans="2:51" ht="15.95" customHeight="1" thickBot="1" x14ac:dyDescent="0.35">
      <c r="E8" s="247" t="str">
        <f>IF(E15&gt;0,"Kapazitiv (Strom voreilend)",IF(E15&lt;0,"Induktiv (Strom nacheilend)","Ohmsch (Gleichphasig)"))</f>
        <v>Induktiv (Strom nacheilend)</v>
      </c>
      <c r="F8" s="248"/>
      <c r="G8" s="248"/>
      <c r="H8" s="249"/>
      <c r="R8" s="1"/>
      <c r="S8" s="24"/>
      <c r="AI8" s="5" t="s">
        <v>65</v>
      </c>
    </row>
    <row r="11" spans="2:51" ht="21" x14ac:dyDescent="0.25">
      <c r="C11" s="487"/>
      <c r="D11" s="487"/>
      <c r="E11" s="487"/>
      <c r="F11" s="487"/>
      <c r="G11" s="32"/>
      <c r="H11" s="32"/>
      <c r="L11" s="28" t="s">
        <v>8</v>
      </c>
      <c r="M11" s="31">
        <v>15</v>
      </c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  <c r="AA11" s="55"/>
      <c r="AB11" s="55"/>
      <c r="AC11" s="55"/>
      <c r="AD11" s="55"/>
      <c r="AE11" s="55"/>
      <c r="AF11" s="55"/>
      <c r="AG11" s="55"/>
      <c r="AH11" s="55"/>
      <c r="AI11" s="55"/>
      <c r="AJ11" s="55"/>
      <c r="AK11" s="55"/>
      <c r="AL11" s="55"/>
      <c r="AM11" s="55"/>
      <c r="AN11" s="55"/>
      <c r="AO11" s="55"/>
      <c r="AP11" s="55"/>
      <c r="AQ11" s="55"/>
      <c r="AR11" s="55"/>
      <c r="AS11" s="55"/>
      <c r="AT11" s="55"/>
      <c r="AU11" s="55"/>
      <c r="AV11" s="55"/>
      <c r="AW11" s="55"/>
      <c r="AX11" s="55"/>
      <c r="AY11" s="55"/>
    </row>
    <row r="12" spans="2:51" s="19" customFormat="1" ht="21" x14ac:dyDescent="0.25">
      <c r="C12" s="488" t="s">
        <v>472</v>
      </c>
      <c r="D12" s="488"/>
      <c r="E12" s="488"/>
      <c r="F12" s="488"/>
      <c r="G12" s="32"/>
      <c r="H12" s="32"/>
      <c r="J12" s="42" t="s">
        <v>62</v>
      </c>
      <c r="K12" s="23">
        <v>60</v>
      </c>
      <c r="L12" s="489" t="s">
        <v>63</v>
      </c>
      <c r="M12" s="23">
        <v>0</v>
      </c>
      <c r="N12" s="56">
        <f>M12+$M$11</f>
        <v>15</v>
      </c>
      <c r="O12" s="56">
        <f t="shared" ref="O12:AY12" si="0">N12+$M$11</f>
        <v>30</v>
      </c>
      <c r="P12" s="56">
        <f t="shared" si="0"/>
        <v>45</v>
      </c>
      <c r="Q12" s="56">
        <f t="shared" si="0"/>
        <v>60</v>
      </c>
      <c r="R12" s="56">
        <f t="shared" si="0"/>
        <v>75</v>
      </c>
      <c r="S12" s="56">
        <f t="shared" si="0"/>
        <v>90</v>
      </c>
      <c r="T12" s="56">
        <f t="shared" si="0"/>
        <v>105</v>
      </c>
      <c r="U12" s="56">
        <f t="shared" si="0"/>
        <v>120</v>
      </c>
      <c r="V12" s="56">
        <f t="shared" si="0"/>
        <v>135</v>
      </c>
      <c r="W12" s="56">
        <f t="shared" si="0"/>
        <v>150</v>
      </c>
      <c r="X12" s="56">
        <f t="shared" si="0"/>
        <v>165</v>
      </c>
      <c r="Y12" s="56">
        <f t="shared" si="0"/>
        <v>180</v>
      </c>
      <c r="Z12" s="56">
        <f t="shared" si="0"/>
        <v>195</v>
      </c>
      <c r="AA12" s="56">
        <f t="shared" si="0"/>
        <v>210</v>
      </c>
      <c r="AB12" s="56">
        <f t="shared" si="0"/>
        <v>225</v>
      </c>
      <c r="AC12" s="56">
        <f t="shared" si="0"/>
        <v>240</v>
      </c>
      <c r="AD12" s="56">
        <f t="shared" si="0"/>
        <v>255</v>
      </c>
      <c r="AE12" s="56">
        <f t="shared" si="0"/>
        <v>270</v>
      </c>
      <c r="AF12" s="56">
        <f t="shared" si="0"/>
        <v>285</v>
      </c>
      <c r="AG12" s="56">
        <f t="shared" si="0"/>
        <v>300</v>
      </c>
      <c r="AH12" s="56">
        <f t="shared" si="0"/>
        <v>315</v>
      </c>
      <c r="AI12" s="56">
        <f t="shared" si="0"/>
        <v>330</v>
      </c>
      <c r="AJ12" s="56">
        <f t="shared" si="0"/>
        <v>345</v>
      </c>
      <c r="AK12" s="56">
        <f t="shared" si="0"/>
        <v>360</v>
      </c>
      <c r="AL12" s="56">
        <f t="shared" si="0"/>
        <v>375</v>
      </c>
      <c r="AM12" s="56">
        <f t="shared" si="0"/>
        <v>390</v>
      </c>
      <c r="AN12" s="56">
        <f t="shared" si="0"/>
        <v>405</v>
      </c>
      <c r="AO12" s="56">
        <f t="shared" si="0"/>
        <v>420</v>
      </c>
      <c r="AP12" s="56">
        <f t="shared" si="0"/>
        <v>435</v>
      </c>
      <c r="AQ12" s="56">
        <f t="shared" si="0"/>
        <v>450</v>
      </c>
      <c r="AR12" s="56">
        <f t="shared" si="0"/>
        <v>465</v>
      </c>
      <c r="AS12" s="56">
        <f t="shared" si="0"/>
        <v>480</v>
      </c>
      <c r="AT12" s="56">
        <f t="shared" si="0"/>
        <v>495</v>
      </c>
      <c r="AU12" s="56">
        <f t="shared" si="0"/>
        <v>510</v>
      </c>
      <c r="AV12" s="56">
        <f t="shared" si="0"/>
        <v>525</v>
      </c>
      <c r="AW12" s="56">
        <f t="shared" si="0"/>
        <v>540</v>
      </c>
      <c r="AX12" s="56">
        <f t="shared" si="0"/>
        <v>555</v>
      </c>
      <c r="AY12" s="56">
        <f t="shared" si="0"/>
        <v>570</v>
      </c>
    </row>
    <row r="13" spans="2:51" s="19" customFormat="1" ht="45" x14ac:dyDescent="0.25">
      <c r="B13" s="44" t="s">
        <v>205</v>
      </c>
      <c r="C13" s="44" t="s">
        <v>66</v>
      </c>
      <c r="D13" s="44" t="s">
        <v>67</v>
      </c>
      <c r="E13" s="44" t="s">
        <v>70</v>
      </c>
      <c r="F13" s="44" t="s">
        <v>69</v>
      </c>
      <c r="G13" s="45"/>
      <c r="H13" s="45"/>
      <c r="J13" s="53" t="s">
        <v>61</v>
      </c>
      <c r="K13" s="47">
        <f>PI()*K12/180</f>
        <v>1.0471975511965976</v>
      </c>
      <c r="L13" s="491"/>
      <c r="M13" s="46">
        <f>PI()*M12/180</f>
        <v>0</v>
      </c>
      <c r="N13" s="46">
        <f>PI()*N12/180</f>
        <v>0.26179938779914941</v>
      </c>
      <c r="O13" s="46">
        <f t="shared" ref="O13:AY13" si="1">PI()*O12/180</f>
        <v>0.52359877559829882</v>
      </c>
      <c r="P13" s="46">
        <f t="shared" si="1"/>
        <v>0.78539816339744828</v>
      </c>
      <c r="Q13" s="46">
        <f t="shared" si="1"/>
        <v>1.0471975511965976</v>
      </c>
      <c r="R13" s="46">
        <f t="shared" si="1"/>
        <v>1.3089969389957472</v>
      </c>
      <c r="S13" s="46">
        <f t="shared" si="1"/>
        <v>1.5707963267948966</v>
      </c>
      <c r="T13" s="46">
        <f t="shared" si="1"/>
        <v>1.8325957145940461</v>
      </c>
      <c r="U13" s="46">
        <f t="shared" si="1"/>
        <v>2.0943951023931953</v>
      </c>
      <c r="V13" s="46">
        <f t="shared" si="1"/>
        <v>2.3561944901923448</v>
      </c>
      <c r="W13" s="46">
        <f t="shared" si="1"/>
        <v>2.6179938779914944</v>
      </c>
      <c r="X13" s="46">
        <f t="shared" si="1"/>
        <v>2.8797932657906435</v>
      </c>
      <c r="Y13" s="46">
        <f t="shared" si="1"/>
        <v>3.1415926535897931</v>
      </c>
      <c r="Z13" s="46">
        <f t="shared" si="1"/>
        <v>3.4033920413889422</v>
      </c>
      <c r="AA13" s="46">
        <f t="shared" si="1"/>
        <v>3.6651914291880923</v>
      </c>
      <c r="AB13" s="46">
        <f t="shared" si="1"/>
        <v>3.9269908169872414</v>
      </c>
      <c r="AC13" s="46">
        <f t="shared" si="1"/>
        <v>4.1887902047863905</v>
      </c>
      <c r="AD13" s="46">
        <f t="shared" si="1"/>
        <v>4.4505895925855405</v>
      </c>
      <c r="AE13" s="46">
        <f t="shared" si="1"/>
        <v>4.7123889803846897</v>
      </c>
      <c r="AF13" s="46">
        <f t="shared" si="1"/>
        <v>4.9741883681838397</v>
      </c>
      <c r="AG13" s="46">
        <f t="shared" si="1"/>
        <v>5.2359877559829888</v>
      </c>
      <c r="AH13" s="46">
        <f t="shared" si="1"/>
        <v>5.497787143782138</v>
      </c>
      <c r="AI13" s="46">
        <f t="shared" si="1"/>
        <v>5.7595865315812871</v>
      </c>
      <c r="AJ13" s="46">
        <f t="shared" si="1"/>
        <v>6.0213859193804371</v>
      </c>
      <c r="AK13" s="46">
        <f t="shared" si="1"/>
        <v>6.2831853071795862</v>
      </c>
      <c r="AL13" s="46">
        <f t="shared" si="1"/>
        <v>6.5449846949787354</v>
      </c>
      <c r="AM13" s="46">
        <f t="shared" si="1"/>
        <v>6.8067840827778845</v>
      </c>
      <c r="AN13" s="46">
        <f t="shared" si="1"/>
        <v>7.0685834705770336</v>
      </c>
      <c r="AO13" s="46">
        <f t="shared" si="1"/>
        <v>7.3303828583761845</v>
      </c>
      <c r="AP13" s="46">
        <f t="shared" si="1"/>
        <v>7.5921822461753337</v>
      </c>
      <c r="AQ13" s="46">
        <f t="shared" si="1"/>
        <v>7.8539816339744828</v>
      </c>
      <c r="AR13" s="46">
        <f t="shared" si="1"/>
        <v>8.1157810217736319</v>
      </c>
      <c r="AS13" s="46">
        <f t="shared" si="1"/>
        <v>8.3775804095727811</v>
      </c>
      <c r="AT13" s="46">
        <f t="shared" si="1"/>
        <v>8.639379797371932</v>
      </c>
      <c r="AU13" s="46">
        <f t="shared" si="1"/>
        <v>8.9011791851710811</v>
      </c>
      <c r="AV13" s="46">
        <f t="shared" si="1"/>
        <v>9.1629785729702302</v>
      </c>
      <c r="AW13" s="46">
        <f t="shared" si="1"/>
        <v>9.4247779607693793</v>
      </c>
      <c r="AX13" s="46">
        <f t="shared" si="1"/>
        <v>9.6865773485685303</v>
      </c>
      <c r="AY13" s="46">
        <f t="shared" si="1"/>
        <v>9.9483767363676794</v>
      </c>
    </row>
    <row r="14" spans="2:51" ht="17.45" customHeight="1" x14ac:dyDescent="0.25">
      <c r="B14" s="44" t="s">
        <v>462</v>
      </c>
      <c r="C14" s="27">
        <v>1</v>
      </c>
      <c r="D14" s="27">
        <v>50</v>
      </c>
      <c r="E14" s="54">
        <v>0</v>
      </c>
      <c r="F14" s="246">
        <f>PI()*E14/180</f>
        <v>0</v>
      </c>
      <c r="G14" s="41"/>
      <c r="H14" s="41"/>
      <c r="J14" s="43" t="str">
        <f>_xlfn.CONCAT(B14," = ",IF(C14&lt;&gt;1,_xlfn.CONCAT(ROUND(C14,2)," *"),"")," sin(","x ",IF(F14&lt;&gt;0,_xlfn.CONCAT(" + ",ROUND(F14,2),"°"),""),") = ")</f>
        <v xml:space="preserve">U =  sin(x ) = </v>
      </c>
      <c r="K14" s="48">
        <f>IF($L$14=$AI$7,$C$14*SIN(K13 + $F$14),0)</f>
        <v>0.8660254037844386</v>
      </c>
      <c r="L14" s="33" t="s">
        <v>64</v>
      </c>
      <c r="M14" s="39">
        <f>IF($L$14=$AI$7,$C$14*SIN(M13 + $F$14),0)</f>
        <v>0</v>
      </c>
      <c r="N14" s="39">
        <f t="shared" ref="N14:AY14" si="2">IF($L$14=$AI$7,$C$14*SIN(N13 + $F$14),0)</f>
        <v>0.25881904510252074</v>
      </c>
      <c r="O14" s="39">
        <f t="shared" si="2"/>
        <v>0.49999999999999994</v>
      </c>
      <c r="P14" s="39">
        <f t="shared" si="2"/>
        <v>0.70710678118654746</v>
      </c>
      <c r="Q14" s="39">
        <f t="shared" si="2"/>
        <v>0.8660254037844386</v>
      </c>
      <c r="R14" s="39">
        <f t="shared" si="2"/>
        <v>0.96592582628906831</v>
      </c>
      <c r="S14" s="39">
        <f t="shared" si="2"/>
        <v>1</v>
      </c>
      <c r="T14" s="39">
        <f t="shared" si="2"/>
        <v>0.96592582628906831</v>
      </c>
      <c r="U14" s="39">
        <f t="shared" si="2"/>
        <v>0.86602540378443871</v>
      </c>
      <c r="V14" s="39">
        <f t="shared" si="2"/>
        <v>0.70710678118654757</v>
      </c>
      <c r="W14" s="39">
        <f t="shared" si="2"/>
        <v>0.49999999999999994</v>
      </c>
      <c r="X14" s="39">
        <f t="shared" si="2"/>
        <v>0.25881904510252102</v>
      </c>
      <c r="Y14" s="39">
        <f t="shared" si="2"/>
        <v>1.22514845490862E-16</v>
      </c>
      <c r="Z14" s="39">
        <f t="shared" si="2"/>
        <v>-0.25881904510252035</v>
      </c>
      <c r="AA14" s="39">
        <f t="shared" si="2"/>
        <v>-0.50000000000000011</v>
      </c>
      <c r="AB14" s="39">
        <f t="shared" si="2"/>
        <v>-0.70710678118654746</v>
      </c>
      <c r="AC14" s="39">
        <f t="shared" si="2"/>
        <v>-0.86602540378443837</v>
      </c>
      <c r="AD14" s="39">
        <f t="shared" si="2"/>
        <v>-0.96592582628906831</v>
      </c>
      <c r="AE14" s="39">
        <f t="shared" si="2"/>
        <v>-1</v>
      </c>
      <c r="AF14" s="39">
        <f t="shared" si="2"/>
        <v>-0.9659258262890682</v>
      </c>
      <c r="AG14" s="39">
        <f t="shared" si="2"/>
        <v>-0.8660254037844386</v>
      </c>
      <c r="AH14" s="39">
        <f t="shared" si="2"/>
        <v>-0.70710678118654768</v>
      </c>
      <c r="AI14" s="39">
        <f t="shared" si="2"/>
        <v>-0.50000000000000044</v>
      </c>
      <c r="AJ14" s="39">
        <f t="shared" si="2"/>
        <v>-0.25881904510252068</v>
      </c>
      <c r="AK14" s="39">
        <f t="shared" si="2"/>
        <v>-2.45029690981724E-16</v>
      </c>
      <c r="AL14" s="39">
        <f t="shared" si="2"/>
        <v>0.25881904510252024</v>
      </c>
      <c r="AM14" s="39">
        <f t="shared" si="2"/>
        <v>0.49999999999999928</v>
      </c>
      <c r="AN14" s="39">
        <f t="shared" si="2"/>
        <v>0.70710678118654668</v>
      </c>
      <c r="AO14" s="39">
        <f t="shared" si="2"/>
        <v>0.86602540378443882</v>
      </c>
      <c r="AP14" s="39">
        <f t="shared" si="2"/>
        <v>0.96592582628906831</v>
      </c>
      <c r="AQ14" s="39">
        <f t="shared" si="2"/>
        <v>1</v>
      </c>
      <c r="AR14" s="39">
        <f t="shared" si="2"/>
        <v>0.96592582628906842</v>
      </c>
      <c r="AS14" s="39">
        <f t="shared" si="2"/>
        <v>0.86602540378443915</v>
      </c>
      <c r="AT14" s="39">
        <f t="shared" si="2"/>
        <v>0.70710678118654713</v>
      </c>
      <c r="AU14" s="39">
        <f t="shared" si="2"/>
        <v>0.49999999999999978</v>
      </c>
      <c r="AV14" s="39">
        <f t="shared" si="2"/>
        <v>0.25881904510252079</v>
      </c>
      <c r="AW14" s="39">
        <f t="shared" si="2"/>
        <v>3.67544536472586E-16</v>
      </c>
      <c r="AX14" s="39">
        <f t="shared" si="2"/>
        <v>-0.25881904510252185</v>
      </c>
      <c r="AY14" s="39">
        <f t="shared" si="2"/>
        <v>-0.50000000000000067</v>
      </c>
    </row>
    <row r="15" spans="2:51" ht="17.45" customHeight="1" x14ac:dyDescent="0.25">
      <c r="B15" s="44" t="s">
        <v>46</v>
      </c>
      <c r="C15" s="27">
        <v>1</v>
      </c>
      <c r="D15" s="246">
        <f>D14</f>
        <v>50</v>
      </c>
      <c r="E15" s="27">
        <v>-60</v>
      </c>
      <c r="F15" s="246">
        <f>PI()*E15/180</f>
        <v>-1.0471975511965976</v>
      </c>
      <c r="G15" s="41"/>
      <c r="H15" s="41"/>
      <c r="J15" s="78" t="str">
        <f>_xlfn.CONCAT(B15," = ",IF(C15&lt;&gt;1,_xlfn.CONCAT(ROUND(C15,2)," *"),"")," sin(x ",IF(E15&lt;&gt;0,_xlfn.CONCAT(" + ",ROUND(E15,2),"°"),""),") = ")</f>
        <v xml:space="preserve">I =  sin(x  + -60°) = </v>
      </c>
      <c r="K15" s="79">
        <f>IF($L$15=$AI$7,$C$15*SIN(K13 + $F$15),"")</f>
        <v>0</v>
      </c>
      <c r="L15" s="80" t="s">
        <v>64</v>
      </c>
      <c r="M15" s="40">
        <f>IF($L$15=$AI$7,$C$15*SIN(M13 + $F$15),0)</f>
        <v>-0.8660254037844386</v>
      </c>
      <c r="N15" s="40">
        <f t="shared" ref="N15:AY15" si="3">IF($L$15=$AI$7,$C$15*SIN(N13 + $F$15),0)</f>
        <v>-0.70710678118654746</v>
      </c>
      <c r="O15" s="40">
        <f t="shared" si="3"/>
        <v>-0.49999999999999994</v>
      </c>
      <c r="P15" s="40">
        <f t="shared" si="3"/>
        <v>-0.25881904510252068</v>
      </c>
      <c r="Q15" s="40">
        <f t="shared" si="3"/>
        <v>0</v>
      </c>
      <c r="R15" s="40">
        <f t="shared" si="3"/>
        <v>0.25881904510252091</v>
      </c>
      <c r="S15" s="40">
        <f t="shared" si="3"/>
        <v>0.5</v>
      </c>
      <c r="T15" s="40">
        <f t="shared" si="3"/>
        <v>0.70710678118654768</v>
      </c>
      <c r="U15" s="40">
        <f t="shared" si="3"/>
        <v>0.8660254037844386</v>
      </c>
      <c r="V15" s="40">
        <f t="shared" si="3"/>
        <v>0.96592582628906831</v>
      </c>
      <c r="W15" s="40">
        <f t="shared" si="3"/>
        <v>1</v>
      </c>
      <c r="X15" s="40">
        <f t="shared" si="3"/>
        <v>0.96592582628906831</v>
      </c>
      <c r="Y15" s="40">
        <f t="shared" si="3"/>
        <v>0.86602540378443849</v>
      </c>
      <c r="Z15" s="40">
        <f t="shared" si="3"/>
        <v>0.70710678118654757</v>
      </c>
      <c r="AA15" s="40">
        <f t="shared" si="3"/>
        <v>0.49999999999999956</v>
      </c>
      <c r="AB15" s="40">
        <f t="shared" si="3"/>
        <v>0.25881904510252057</v>
      </c>
      <c r="AC15" s="40">
        <f t="shared" si="3"/>
        <v>1.22514845490862E-16</v>
      </c>
      <c r="AD15" s="40">
        <f t="shared" si="3"/>
        <v>-0.25881904510252118</v>
      </c>
      <c r="AE15" s="40">
        <f t="shared" si="3"/>
        <v>-0.50000000000000011</v>
      </c>
      <c r="AF15" s="40">
        <f t="shared" si="3"/>
        <v>-0.70710678118654802</v>
      </c>
      <c r="AG15" s="40">
        <f t="shared" si="3"/>
        <v>-0.86602540378443882</v>
      </c>
      <c r="AH15" s="40">
        <f t="shared" si="3"/>
        <v>-0.96592582628906831</v>
      </c>
      <c r="AI15" s="40">
        <f t="shared" si="3"/>
        <v>-1</v>
      </c>
      <c r="AJ15" s="40">
        <f t="shared" si="3"/>
        <v>-0.9659258262890682</v>
      </c>
      <c r="AK15" s="40">
        <f t="shared" si="3"/>
        <v>-0.8660254037844386</v>
      </c>
      <c r="AL15" s="40">
        <f t="shared" si="3"/>
        <v>-0.70710678118654768</v>
      </c>
      <c r="AM15" s="40">
        <f t="shared" si="3"/>
        <v>-0.50000000000000044</v>
      </c>
      <c r="AN15" s="40">
        <f t="shared" si="3"/>
        <v>-0.25881904510252157</v>
      </c>
      <c r="AO15" s="40">
        <f t="shared" si="3"/>
        <v>6.4314872871840123E-16</v>
      </c>
      <c r="AP15" s="40">
        <f t="shared" si="3"/>
        <v>0.25881904510252107</v>
      </c>
      <c r="AQ15" s="40">
        <f t="shared" si="3"/>
        <v>0.5</v>
      </c>
      <c r="AR15" s="40">
        <f t="shared" si="3"/>
        <v>0.70710678118654735</v>
      </c>
      <c r="AS15" s="40">
        <f t="shared" si="3"/>
        <v>0.86602540378443837</v>
      </c>
      <c r="AT15" s="40">
        <f t="shared" si="3"/>
        <v>0.96592582628906853</v>
      </c>
      <c r="AU15" s="40">
        <f t="shared" si="3"/>
        <v>1</v>
      </c>
      <c r="AV15" s="40">
        <f t="shared" si="3"/>
        <v>0.96592582628906842</v>
      </c>
      <c r="AW15" s="40">
        <f t="shared" si="3"/>
        <v>0.86602540378443915</v>
      </c>
      <c r="AX15" s="40">
        <f t="shared" si="3"/>
        <v>0.70710678118654713</v>
      </c>
      <c r="AY15" s="40">
        <f t="shared" si="3"/>
        <v>0.49999999999999978</v>
      </c>
    </row>
    <row r="16" spans="2:51" ht="17.45" customHeight="1" x14ac:dyDescent="0.25">
      <c r="B16" s="44" t="s">
        <v>464</v>
      </c>
      <c r="C16" s="246">
        <f>C15*COS(F15)</f>
        <v>0.50000000000000011</v>
      </c>
      <c r="D16" s="246">
        <f>D15</f>
        <v>50</v>
      </c>
      <c r="E16" s="246">
        <f>E14</f>
        <v>0</v>
      </c>
      <c r="F16" s="246">
        <f>F14</f>
        <v>0</v>
      </c>
      <c r="J16" s="250" t="str">
        <f>_xlfn.CONCAT("IP = ",IF(C16&lt;&gt;1,_xlfn.CONCAT(ROUND(C16,2)," *"),"")," sin(x ",IF(E16&lt;&gt;0,_xlfn.CONCAT(" + ",ROUND(E16,2),"°"),""),") = ")</f>
        <v xml:space="preserve">IP = 0.5 * sin(x ) = </v>
      </c>
      <c r="K16" s="251">
        <f>IF($L$16=$AI$7,$C$16*SIN(K14 + $F$16),"")</f>
        <v>0.38087999070814471</v>
      </c>
      <c r="L16" s="252" t="s">
        <v>64</v>
      </c>
      <c r="M16" s="40">
        <f>IF($L$16=$AI$7,$C$16*SIN(M13 + $F$16),0)</f>
        <v>0</v>
      </c>
      <c r="N16" s="40">
        <f t="shared" ref="N16:AY16" si="4">IF($L$16=$AI$7,$C$16*SIN(N13 + $F$16),0)</f>
        <v>0.1294095225512604</v>
      </c>
      <c r="O16" s="40">
        <f t="shared" si="4"/>
        <v>0.25</v>
      </c>
      <c r="P16" s="40">
        <f t="shared" si="4"/>
        <v>0.35355339059327379</v>
      </c>
      <c r="Q16" s="40">
        <f t="shared" si="4"/>
        <v>0.43301270189221941</v>
      </c>
      <c r="R16" s="40">
        <f t="shared" si="4"/>
        <v>0.48296291314453427</v>
      </c>
      <c r="S16" s="40">
        <f t="shared" si="4"/>
        <v>0.50000000000000011</v>
      </c>
      <c r="T16" s="40">
        <f t="shared" si="4"/>
        <v>0.48296291314453427</v>
      </c>
      <c r="U16" s="40">
        <f t="shared" si="4"/>
        <v>0.43301270189221946</v>
      </c>
      <c r="V16" s="40">
        <f t="shared" si="4"/>
        <v>0.35355339059327384</v>
      </c>
      <c r="W16" s="40">
        <f t="shared" si="4"/>
        <v>0.25</v>
      </c>
      <c r="X16" s="40">
        <f t="shared" si="4"/>
        <v>0.12940952255126054</v>
      </c>
      <c r="Y16" s="40">
        <f t="shared" si="4"/>
        <v>6.1257422745431013E-17</v>
      </c>
      <c r="Z16" s="40">
        <f t="shared" si="4"/>
        <v>-0.1294095225512602</v>
      </c>
      <c r="AA16" s="40">
        <f t="shared" si="4"/>
        <v>-0.25000000000000011</v>
      </c>
      <c r="AB16" s="40">
        <f t="shared" si="4"/>
        <v>-0.35355339059327379</v>
      </c>
      <c r="AC16" s="40">
        <f t="shared" si="4"/>
        <v>-0.4330127018922193</v>
      </c>
      <c r="AD16" s="40">
        <f t="shared" si="4"/>
        <v>-0.48296291314453427</v>
      </c>
      <c r="AE16" s="40">
        <f t="shared" si="4"/>
        <v>-0.50000000000000011</v>
      </c>
      <c r="AF16" s="40">
        <f t="shared" si="4"/>
        <v>-0.48296291314453421</v>
      </c>
      <c r="AG16" s="40">
        <f t="shared" si="4"/>
        <v>-0.43301270189221941</v>
      </c>
      <c r="AH16" s="40">
        <f t="shared" si="4"/>
        <v>-0.3535533905932739</v>
      </c>
      <c r="AI16" s="40">
        <f t="shared" si="4"/>
        <v>-0.25000000000000028</v>
      </c>
      <c r="AJ16" s="40">
        <f t="shared" si="4"/>
        <v>-0.12940952255126037</v>
      </c>
      <c r="AK16" s="40">
        <f t="shared" si="4"/>
        <v>-1.2251484549086203E-16</v>
      </c>
      <c r="AL16" s="40">
        <f t="shared" si="4"/>
        <v>0.12940952255126015</v>
      </c>
      <c r="AM16" s="40">
        <f t="shared" si="4"/>
        <v>0.24999999999999969</v>
      </c>
      <c r="AN16" s="40">
        <f t="shared" si="4"/>
        <v>0.3535533905932734</v>
      </c>
      <c r="AO16" s="40">
        <f t="shared" si="4"/>
        <v>0.43301270189221952</v>
      </c>
      <c r="AP16" s="40">
        <f t="shared" si="4"/>
        <v>0.48296291314453427</v>
      </c>
      <c r="AQ16" s="40">
        <f t="shared" si="4"/>
        <v>0.50000000000000011</v>
      </c>
      <c r="AR16" s="40">
        <f t="shared" si="4"/>
        <v>0.48296291314453432</v>
      </c>
      <c r="AS16" s="40">
        <f t="shared" si="4"/>
        <v>0.43301270189221969</v>
      </c>
      <c r="AT16" s="40">
        <f t="shared" si="4"/>
        <v>0.35355339059327362</v>
      </c>
      <c r="AU16" s="40">
        <f t="shared" si="4"/>
        <v>0.24999999999999994</v>
      </c>
      <c r="AV16" s="40">
        <f t="shared" si="4"/>
        <v>0.12940952255126043</v>
      </c>
      <c r="AW16" s="40">
        <f t="shared" si="4"/>
        <v>1.8377226823629305E-16</v>
      </c>
      <c r="AX16" s="40">
        <f t="shared" si="4"/>
        <v>-0.12940952255126095</v>
      </c>
      <c r="AY16" s="40">
        <f t="shared" si="4"/>
        <v>-0.25000000000000039</v>
      </c>
    </row>
    <row r="17" spans="2:51" ht="17.45" customHeight="1" x14ac:dyDescent="0.25">
      <c r="B17" s="44" t="s">
        <v>465</v>
      </c>
      <c r="C17" s="246">
        <f>C15*SIN(F15)</f>
        <v>-0.8660254037844386</v>
      </c>
      <c r="D17" s="246">
        <f>D16</f>
        <v>50</v>
      </c>
      <c r="E17" s="246">
        <v>90</v>
      </c>
      <c r="F17" s="246">
        <f>PI()*E17/180</f>
        <v>1.5707963267948966</v>
      </c>
      <c r="J17" s="250" t="str">
        <f>_xlfn.CONCAT("IQ = ",IF(C17&lt;&gt;1,_xlfn.CONCAT(ROUND(C17,2)," *"),"")," sin(x ",IF(E17&lt;&gt;0,_xlfn.CONCAT(" + ",ROUND(E17,2),"°"),""),") = ")</f>
        <v xml:space="preserve">IQ = -0.87 * sin(x  + 90°) = </v>
      </c>
      <c r="K17" s="251">
        <f>IF($L$17=$AI$7,$C$17*SIN(K13 + $F$17),"")</f>
        <v>-0.43301270189221958</v>
      </c>
      <c r="L17" s="252" t="s">
        <v>64</v>
      </c>
      <c r="M17" s="40">
        <f>IF($L$17=$AI$7,$C$17*SIN(M13 + $F$17),0)</f>
        <v>-0.8660254037844386</v>
      </c>
      <c r="N17" s="40">
        <f t="shared" ref="N17:AY17" si="5">IF($L$17=$AI$7,$C$17*SIN(N13 + $F$17),0)</f>
        <v>-0.83651630373780783</v>
      </c>
      <c r="O17" s="40">
        <f t="shared" si="5"/>
        <v>-0.75</v>
      </c>
      <c r="P17" s="40">
        <f t="shared" si="5"/>
        <v>-0.61237243569579458</v>
      </c>
      <c r="Q17" s="40">
        <f t="shared" si="5"/>
        <v>-0.43301270189221958</v>
      </c>
      <c r="R17" s="40">
        <f t="shared" si="5"/>
        <v>-0.22414386804201319</v>
      </c>
      <c r="S17" s="40">
        <f t="shared" si="5"/>
        <v>-1.0610096853581188E-16</v>
      </c>
      <c r="T17" s="40">
        <f t="shared" si="5"/>
        <v>0.22414386804201339</v>
      </c>
      <c r="U17" s="40">
        <f t="shared" si="5"/>
        <v>0.43301270189221908</v>
      </c>
      <c r="V17" s="40">
        <f t="shared" si="5"/>
        <v>0.61237243569579447</v>
      </c>
      <c r="W17" s="40">
        <f t="shared" si="5"/>
        <v>0.75000000000000011</v>
      </c>
      <c r="X17" s="40">
        <f t="shared" si="5"/>
        <v>0.83651630373780783</v>
      </c>
      <c r="Y17" s="40">
        <f t="shared" si="5"/>
        <v>0.8660254037844386</v>
      </c>
      <c r="Z17" s="40">
        <f t="shared" si="5"/>
        <v>0.83651630373780794</v>
      </c>
      <c r="AA17" s="40">
        <f t="shared" si="5"/>
        <v>0.74999999999999989</v>
      </c>
      <c r="AB17" s="40">
        <f t="shared" si="5"/>
        <v>0.61237243569579458</v>
      </c>
      <c r="AC17" s="40">
        <f t="shared" si="5"/>
        <v>0.43301270189221969</v>
      </c>
      <c r="AD17" s="40">
        <f t="shared" si="5"/>
        <v>0.22414386804201331</v>
      </c>
      <c r="AE17" s="40">
        <f t="shared" si="5"/>
        <v>2.1220193707162375E-16</v>
      </c>
      <c r="AF17" s="40">
        <f t="shared" si="5"/>
        <v>-0.22414386804201364</v>
      </c>
      <c r="AG17" s="40">
        <f t="shared" si="5"/>
        <v>-0.4330127018922193</v>
      </c>
      <c r="AH17" s="40">
        <f t="shared" si="5"/>
        <v>-0.61237243569579436</v>
      </c>
      <c r="AI17" s="40">
        <f t="shared" si="5"/>
        <v>-0.74999999999999967</v>
      </c>
      <c r="AJ17" s="40">
        <f t="shared" si="5"/>
        <v>-0.83651630373780783</v>
      </c>
      <c r="AK17" s="40">
        <f t="shared" si="5"/>
        <v>-0.8660254037844386</v>
      </c>
      <c r="AL17" s="40">
        <f t="shared" si="5"/>
        <v>-0.83651630373780794</v>
      </c>
      <c r="AM17" s="40">
        <f t="shared" si="5"/>
        <v>-0.75000000000000044</v>
      </c>
      <c r="AN17" s="40">
        <f t="shared" si="5"/>
        <v>-0.61237243569579525</v>
      </c>
      <c r="AO17" s="40">
        <f t="shared" si="5"/>
        <v>-0.43301270189221913</v>
      </c>
      <c r="AP17" s="40">
        <f t="shared" si="5"/>
        <v>-0.22414386804201339</v>
      </c>
      <c r="AQ17" s="40">
        <f t="shared" si="5"/>
        <v>-3.183029056074356E-16</v>
      </c>
      <c r="AR17" s="40">
        <f t="shared" si="5"/>
        <v>0.22414386804201281</v>
      </c>
      <c r="AS17" s="40">
        <f t="shared" si="5"/>
        <v>0.43301270189221858</v>
      </c>
      <c r="AT17" s="40">
        <f t="shared" si="5"/>
        <v>0.6123724356957948</v>
      </c>
      <c r="AU17" s="40">
        <f t="shared" si="5"/>
        <v>0.75</v>
      </c>
      <c r="AV17" s="40">
        <f t="shared" si="5"/>
        <v>0.83651630373780783</v>
      </c>
      <c r="AW17" s="40">
        <f t="shared" si="5"/>
        <v>0.8660254037844386</v>
      </c>
      <c r="AX17" s="40">
        <f t="shared" si="5"/>
        <v>0.83651630373780761</v>
      </c>
      <c r="AY17" s="40">
        <f t="shared" si="5"/>
        <v>0.74999999999999967</v>
      </c>
    </row>
    <row r="18" spans="2:51" ht="17.45" customHeight="1" x14ac:dyDescent="0.25">
      <c r="B18" s="95" t="str">
        <f>IF(AND(C15=C18,E15=E18,F15=F18),"Kontrolle ok","Fehler")</f>
        <v>Kontrolle ok</v>
      </c>
      <c r="C18" s="246">
        <f>SQRT(C16^2+C17^2)</f>
        <v>1</v>
      </c>
      <c r="D18" s="5"/>
      <c r="E18" s="246">
        <f>DEGREES(F18)</f>
        <v>-59.999999999999993</v>
      </c>
      <c r="F18" s="246">
        <f>ATAN2(C16,C17)</f>
        <v>-1.0471975511965976</v>
      </c>
      <c r="J18" s="253" t="s">
        <v>466</v>
      </c>
      <c r="K18" s="254" t="str">
        <f>IF($L$18=$AI$7,K16+K17,"")</f>
        <v/>
      </c>
      <c r="L18" s="255" t="s">
        <v>65</v>
      </c>
      <c r="M18" s="40">
        <f>IF($L$18=$AI$7,M16+M17,0)</f>
        <v>0</v>
      </c>
      <c r="N18" s="40">
        <f t="shared" ref="N18:AY18" si="6">IF($L$18=$AI$7,N16+N17,0)</f>
        <v>0</v>
      </c>
      <c r="O18" s="40">
        <f t="shared" si="6"/>
        <v>0</v>
      </c>
      <c r="P18" s="40">
        <f t="shared" si="6"/>
        <v>0</v>
      </c>
      <c r="Q18" s="40">
        <f t="shared" si="6"/>
        <v>0</v>
      </c>
      <c r="R18" s="40">
        <f t="shared" si="6"/>
        <v>0</v>
      </c>
      <c r="S18" s="40">
        <f t="shared" si="6"/>
        <v>0</v>
      </c>
      <c r="T18" s="40">
        <f t="shared" si="6"/>
        <v>0</v>
      </c>
      <c r="U18" s="40">
        <f t="shared" si="6"/>
        <v>0</v>
      </c>
      <c r="V18" s="40">
        <f t="shared" si="6"/>
        <v>0</v>
      </c>
      <c r="W18" s="40">
        <f t="shared" si="6"/>
        <v>0</v>
      </c>
      <c r="X18" s="40">
        <f t="shared" si="6"/>
        <v>0</v>
      </c>
      <c r="Y18" s="40">
        <f t="shared" si="6"/>
        <v>0</v>
      </c>
      <c r="Z18" s="40">
        <f t="shared" si="6"/>
        <v>0</v>
      </c>
      <c r="AA18" s="40">
        <f t="shared" si="6"/>
        <v>0</v>
      </c>
      <c r="AB18" s="40">
        <f t="shared" si="6"/>
        <v>0</v>
      </c>
      <c r="AC18" s="40">
        <f t="shared" si="6"/>
        <v>0</v>
      </c>
      <c r="AD18" s="40">
        <f t="shared" si="6"/>
        <v>0</v>
      </c>
      <c r="AE18" s="40">
        <f t="shared" si="6"/>
        <v>0</v>
      </c>
      <c r="AF18" s="40">
        <f t="shared" si="6"/>
        <v>0</v>
      </c>
      <c r="AG18" s="40">
        <f t="shared" si="6"/>
        <v>0</v>
      </c>
      <c r="AH18" s="40">
        <f t="shared" si="6"/>
        <v>0</v>
      </c>
      <c r="AI18" s="40">
        <f t="shared" si="6"/>
        <v>0</v>
      </c>
      <c r="AJ18" s="40">
        <f t="shared" si="6"/>
        <v>0</v>
      </c>
      <c r="AK18" s="40">
        <f t="shared" si="6"/>
        <v>0</v>
      </c>
      <c r="AL18" s="40">
        <f t="shared" si="6"/>
        <v>0</v>
      </c>
      <c r="AM18" s="40">
        <f t="shared" si="6"/>
        <v>0</v>
      </c>
      <c r="AN18" s="40">
        <f t="shared" si="6"/>
        <v>0</v>
      </c>
      <c r="AO18" s="40">
        <f t="shared" si="6"/>
        <v>0</v>
      </c>
      <c r="AP18" s="40">
        <f t="shared" si="6"/>
        <v>0</v>
      </c>
      <c r="AQ18" s="40">
        <f t="shared" si="6"/>
        <v>0</v>
      </c>
      <c r="AR18" s="40">
        <f t="shared" si="6"/>
        <v>0</v>
      </c>
      <c r="AS18" s="40">
        <f t="shared" si="6"/>
        <v>0</v>
      </c>
      <c r="AT18" s="40">
        <f t="shared" si="6"/>
        <v>0</v>
      </c>
      <c r="AU18" s="40">
        <f t="shared" si="6"/>
        <v>0</v>
      </c>
      <c r="AV18" s="40">
        <f t="shared" si="6"/>
        <v>0</v>
      </c>
      <c r="AW18" s="40">
        <f t="shared" si="6"/>
        <v>0</v>
      </c>
      <c r="AX18" s="40">
        <f t="shared" si="6"/>
        <v>0</v>
      </c>
      <c r="AY18" s="40">
        <f t="shared" si="6"/>
        <v>0</v>
      </c>
    </row>
    <row r="19" spans="2:51" ht="8.4499999999999993" customHeight="1" x14ac:dyDescent="0.25">
      <c r="J19" s="26"/>
      <c r="K19" s="52"/>
      <c r="L19" s="37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</row>
    <row r="20" spans="2:51" ht="8.4499999999999993" customHeight="1" x14ac:dyDescent="0.25">
      <c r="J20" s="26"/>
      <c r="K20" s="52"/>
      <c r="L20" s="37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</row>
    <row r="21" spans="2:51" x14ac:dyDescent="0.25">
      <c r="J21" s="81" t="s">
        <v>467</v>
      </c>
      <c r="K21" s="82">
        <f>IF($L$21=$AI$7,K14*K15,"")</f>
        <v>0</v>
      </c>
      <c r="L21" s="83" t="s">
        <v>64</v>
      </c>
      <c r="M21" s="40">
        <f>IF($L$21=$AI$7,M14*M15,0)</f>
        <v>0</v>
      </c>
      <c r="N21" s="40">
        <f t="shared" ref="N21:AY21" si="7">IF($L$21=$AI$7,N14*N15,0)</f>
        <v>-0.1830127018922193</v>
      </c>
      <c r="O21" s="40">
        <f t="shared" si="7"/>
        <v>-0.24999999999999994</v>
      </c>
      <c r="P21" s="40">
        <f t="shared" si="7"/>
        <v>-0.18301270189221924</v>
      </c>
      <c r="Q21" s="40">
        <f t="shared" si="7"/>
        <v>0</v>
      </c>
      <c r="R21" s="40">
        <f t="shared" si="7"/>
        <v>0.25000000000000017</v>
      </c>
      <c r="S21" s="40">
        <f t="shared" si="7"/>
        <v>0.5</v>
      </c>
      <c r="T21" s="40">
        <f t="shared" si="7"/>
        <v>0.68301270189221952</v>
      </c>
      <c r="U21" s="40">
        <f t="shared" si="7"/>
        <v>0.75</v>
      </c>
      <c r="V21" s="40">
        <f t="shared" si="7"/>
        <v>0.68301270189221941</v>
      </c>
      <c r="W21" s="40">
        <f t="shared" si="7"/>
        <v>0.49999999999999994</v>
      </c>
      <c r="X21" s="40">
        <f t="shared" si="7"/>
        <v>0.25000000000000028</v>
      </c>
      <c r="Y21" s="40">
        <f t="shared" si="7"/>
        <v>1.0610096853581185E-16</v>
      </c>
      <c r="Z21" s="40">
        <f t="shared" si="7"/>
        <v>-0.18301270189221905</v>
      </c>
      <c r="AA21" s="40">
        <f t="shared" si="7"/>
        <v>-0.24999999999999983</v>
      </c>
      <c r="AB21" s="40">
        <f t="shared" si="7"/>
        <v>-0.18301270189221916</v>
      </c>
      <c r="AC21" s="40">
        <f t="shared" si="7"/>
        <v>-1.0610096853581184E-16</v>
      </c>
      <c r="AD21" s="40">
        <f t="shared" si="7"/>
        <v>0.25000000000000039</v>
      </c>
      <c r="AE21" s="40">
        <f t="shared" si="7"/>
        <v>0.50000000000000011</v>
      </c>
      <c r="AF21" s="40">
        <f t="shared" si="7"/>
        <v>0.68301270189221974</v>
      </c>
      <c r="AG21" s="40">
        <f t="shared" si="7"/>
        <v>0.75000000000000011</v>
      </c>
      <c r="AH21" s="40">
        <f t="shared" si="7"/>
        <v>0.68301270189221952</v>
      </c>
      <c r="AI21" s="40">
        <f t="shared" si="7"/>
        <v>0.50000000000000044</v>
      </c>
      <c r="AJ21" s="40">
        <f t="shared" si="7"/>
        <v>0.24999999999999989</v>
      </c>
      <c r="AK21" s="40">
        <f t="shared" si="7"/>
        <v>2.1220193707162375E-16</v>
      </c>
      <c r="AL21" s="40">
        <f t="shared" si="7"/>
        <v>-0.18301270189221899</v>
      </c>
      <c r="AM21" s="40">
        <f t="shared" si="7"/>
        <v>-0.24999999999999986</v>
      </c>
      <c r="AN21" s="40">
        <f t="shared" si="7"/>
        <v>-0.18301270189221969</v>
      </c>
      <c r="AO21" s="40">
        <f t="shared" si="7"/>
        <v>5.5698313748180192E-16</v>
      </c>
      <c r="AP21" s="40">
        <f t="shared" si="7"/>
        <v>0.25000000000000033</v>
      </c>
      <c r="AQ21" s="40">
        <f t="shared" si="7"/>
        <v>0.5</v>
      </c>
      <c r="AR21" s="40">
        <f t="shared" si="7"/>
        <v>0.6830127018922193</v>
      </c>
      <c r="AS21" s="40">
        <f t="shared" si="7"/>
        <v>0.75000000000000022</v>
      </c>
      <c r="AT21" s="40">
        <f t="shared" si="7"/>
        <v>0.68301270189221908</v>
      </c>
      <c r="AU21" s="40">
        <f t="shared" si="7"/>
        <v>0.49999999999999978</v>
      </c>
      <c r="AV21" s="40">
        <f t="shared" si="7"/>
        <v>0.25000000000000006</v>
      </c>
      <c r="AW21" s="40">
        <f t="shared" si="7"/>
        <v>3.183029056074358E-16</v>
      </c>
      <c r="AX21" s="40">
        <f t="shared" si="7"/>
        <v>-0.18301270189221999</v>
      </c>
      <c r="AY21" s="40">
        <f t="shared" si="7"/>
        <v>-0.25000000000000022</v>
      </c>
    </row>
    <row r="22" spans="2:51" ht="18" x14ac:dyDescent="0.25">
      <c r="J22" s="81" t="s">
        <v>469</v>
      </c>
      <c r="K22" s="82">
        <f>IF($L$21=$AI$7,K15*K16,"")</f>
        <v>0</v>
      </c>
      <c r="L22" s="83" t="s">
        <v>64</v>
      </c>
      <c r="M22" s="40">
        <f>IF($L$22=$AI$7,M14*M16,0)</f>
        <v>0</v>
      </c>
      <c r="N22" s="40">
        <f t="shared" ref="N22:AY22" si="8">IF($L$22=$AI$7,N14*N16,0)</f>
        <v>3.3493649053890337E-2</v>
      </c>
      <c r="O22" s="40">
        <f t="shared" si="8"/>
        <v>0.12499999999999999</v>
      </c>
      <c r="P22" s="40">
        <f t="shared" si="8"/>
        <v>0.25</v>
      </c>
      <c r="Q22" s="40">
        <f t="shared" si="8"/>
        <v>0.37500000000000006</v>
      </c>
      <c r="R22" s="40">
        <f t="shared" si="8"/>
        <v>0.46650635094610982</v>
      </c>
      <c r="S22" s="40">
        <f t="shared" si="8"/>
        <v>0.50000000000000011</v>
      </c>
      <c r="T22" s="40">
        <f t="shared" si="8"/>
        <v>0.46650635094610982</v>
      </c>
      <c r="U22" s="40">
        <f t="shared" si="8"/>
        <v>0.37500000000000017</v>
      </c>
      <c r="V22" s="40">
        <f t="shared" si="8"/>
        <v>0.25000000000000006</v>
      </c>
      <c r="W22" s="40">
        <f t="shared" si="8"/>
        <v>0.12499999999999999</v>
      </c>
      <c r="X22" s="40">
        <f t="shared" si="8"/>
        <v>3.3493649053890413E-2</v>
      </c>
      <c r="Y22" s="40">
        <f t="shared" si="8"/>
        <v>7.504943682824896E-33</v>
      </c>
      <c r="Z22" s="40">
        <f t="shared" si="8"/>
        <v>3.349364905389024E-2</v>
      </c>
      <c r="AA22" s="40">
        <f t="shared" si="8"/>
        <v>0.12500000000000008</v>
      </c>
      <c r="AB22" s="40">
        <f t="shared" si="8"/>
        <v>0.25</v>
      </c>
      <c r="AC22" s="40">
        <f t="shared" si="8"/>
        <v>0.37499999999999983</v>
      </c>
      <c r="AD22" s="40">
        <f t="shared" si="8"/>
        <v>0.46650635094610982</v>
      </c>
      <c r="AE22" s="40">
        <f t="shared" si="8"/>
        <v>0.50000000000000011</v>
      </c>
      <c r="AF22" s="40">
        <f t="shared" si="8"/>
        <v>0.4665063509461097</v>
      </c>
      <c r="AG22" s="40">
        <f t="shared" si="8"/>
        <v>0.37500000000000006</v>
      </c>
      <c r="AH22" s="40">
        <f t="shared" si="8"/>
        <v>0.25000000000000017</v>
      </c>
      <c r="AI22" s="40">
        <f t="shared" si="8"/>
        <v>0.12500000000000025</v>
      </c>
      <c r="AJ22" s="40">
        <f t="shared" si="8"/>
        <v>3.3493649053890323E-2</v>
      </c>
      <c r="AK22" s="40">
        <f t="shared" si="8"/>
        <v>3.0019774731299584E-32</v>
      </c>
      <c r="AL22" s="40">
        <f t="shared" si="8"/>
        <v>3.3493649053890212E-2</v>
      </c>
      <c r="AM22" s="40">
        <f t="shared" si="8"/>
        <v>0.12499999999999967</v>
      </c>
      <c r="AN22" s="40">
        <f t="shared" si="8"/>
        <v>0.24999999999999944</v>
      </c>
      <c r="AO22" s="40">
        <f t="shared" si="8"/>
        <v>0.37500000000000022</v>
      </c>
      <c r="AP22" s="40">
        <f t="shared" si="8"/>
        <v>0.46650635094610982</v>
      </c>
      <c r="AQ22" s="40">
        <f t="shared" si="8"/>
        <v>0.50000000000000011</v>
      </c>
      <c r="AR22" s="40">
        <f t="shared" si="8"/>
        <v>0.46650635094610993</v>
      </c>
      <c r="AS22" s="40">
        <f t="shared" si="8"/>
        <v>0.37500000000000056</v>
      </c>
      <c r="AT22" s="40">
        <f t="shared" si="8"/>
        <v>0.24999999999999975</v>
      </c>
      <c r="AU22" s="40">
        <f t="shared" si="8"/>
        <v>0.12499999999999992</v>
      </c>
      <c r="AV22" s="40">
        <f t="shared" si="8"/>
        <v>3.3493649053890351E-2</v>
      </c>
      <c r="AW22" s="40">
        <f t="shared" si="8"/>
        <v>6.7544493145424073E-32</v>
      </c>
      <c r="AX22" s="40">
        <f t="shared" si="8"/>
        <v>3.3493649053890628E-2</v>
      </c>
      <c r="AY22" s="40">
        <f t="shared" si="8"/>
        <v>0.12500000000000036</v>
      </c>
    </row>
    <row r="23" spans="2:51" ht="18" x14ac:dyDescent="0.25">
      <c r="J23" s="81" t="s">
        <v>468</v>
      </c>
      <c r="K23" s="82">
        <f>IF($L$21=$AI$7,K16*K17,"")</f>
        <v>-0.16492587387321722</v>
      </c>
      <c r="L23" s="83" t="s">
        <v>64</v>
      </c>
      <c r="M23" s="40">
        <f>IF($L$23=$AI$7,M14*M17,0)</f>
        <v>0</v>
      </c>
      <c r="N23" s="40">
        <f t="shared" ref="N23:AY23" si="9">IF($L$23=$AI$7,N14*N17,0)</f>
        <v>-0.21650635094610962</v>
      </c>
      <c r="O23" s="40">
        <f t="shared" si="9"/>
        <v>-0.37499999999999994</v>
      </c>
      <c r="P23" s="40">
        <f t="shared" si="9"/>
        <v>-0.4330127018922193</v>
      </c>
      <c r="Q23" s="40">
        <f t="shared" si="9"/>
        <v>-0.37500000000000022</v>
      </c>
      <c r="R23" s="40">
        <f t="shared" si="9"/>
        <v>-0.21650635094610948</v>
      </c>
      <c r="S23" s="40">
        <f t="shared" si="9"/>
        <v>-1.0610096853581188E-16</v>
      </c>
      <c r="T23" s="40">
        <f t="shared" si="9"/>
        <v>0.21650635094610968</v>
      </c>
      <c r="U23" s="40">
        <f t="shared" si="9"/>
        <v>0.37499999999999983</v>
      </c>
      <c r="V23" s="40">
        <f t="shared" si="9"/>
        <v>0.4330127018922193</v>
      </c>
      <c r="W23" s="40">
        <f t="shared" si="9"/>
        <v>0.375</v>
      </c>
      <c r="X23" s="40">
        <f t="shared" si="9"/>
        <v>0.21650635094610984</v>
      </c>
      <c r="Y23" s="40">
        <f t="shared" si="9"/>
        <v>1.0610096853581188E-16</v>
      </c>
      <c r="Z23" s="40">
        <f t="shared" si="9"/>
        <v>-0.21650635094610932</v>
      </c>
      <c r="AA23" s="40">
        <f t="shared" si="9"/>
        <v>-0.375</v>
      </c>
      <c r="AB23" s="40">
        <f t="shared" si="9"/>
        <v>-0.4330127018922193</v>
      </c>
      <c r="AC23" s="40">
        <f t="shared" si="9"/>
        <v>-0.37500000000000022</v>
      </c>
      <c r="AD23" s="40">
        <f t="shared" si="9"/>
        <v>-0.21650635094610959</v>
      </c>
      <c r="AE23" s="40">
        <f t="shared" si="9"/>
        <v>-2.1220193707162375E-16</v>
      </c>
      <c r="AF23" s="40">
        <f t="shared" si="9"/>
        <v>0.2165063509461099</v>
      </c>
      <c r="AG23" s="40">
        <f t="shared" si="9"/>
        <v>0.37499999999999994</v>
      </c>
      <c r="AH23" s="40">
        <f t="shared" si="9"/>
        <v>0.4330127018922193</v>
      </c>
      <c r="AI23" s="40">
        <f t="shared" si="9"/>
        <v>0.37500000000000017</v>
      </c>
      <c r="AJ23" s="40">
        <f t="shared" si="9"/>
        <v>0.21650635094610957</v>
      </c>
      <c r="AK23" s="40">
        <f t="shared" si="9"/>
        <v>2.1220193707162375E-16</v>
      </c>
      <c r="AL23" s="40">
        <f t="shared" si="9"/>
        <v>-0.21650635094610923</v>
      </c>
      <c r="AM23" s="40">
        <f t="shared" si="9"/>
        <v>-0.37499999999999967</v>
      </c>
      <c r="AN23" s="40">
        <f t="shared" si="9"/>
        <v>-0.4330127018922193</v>
      </c>
      <c r="AO23" s="40">
        <f t="shared" si="9"/>
        <v>-0.37499999999999989</v>
      </c>
      <c r="AP23" s="40">
        <f t="shared" si="9"/>
        <v>-0.21650635094610968</v>
      </c>
      <c r="AQ23" s="40">
        <f t="shared" si="9"/>
        <v>-3.183029056074356E-16</v>
      </c>
      <c r="AR23" s="40">
        <f t="shared" si="9"/>
        <v>0.21650635094610915</v>
      </c>
      <c r="AS23" s="40">
        <f t="shared" si="9"/>
        <v>0.37499999999999956</v>
      </c>
      <c r="AT23" s="40">
        <f t="shared" si="9"/>
        <v>0.4330127018922193</v>
      </c>
      <c r="AU23" s="40">
        <f t="shared" si="9"/>
        <v>0.37499999999999983</v>
      </c>
      <c r="AV23" s="40">
        <f t="shared" si="9"/>
        <v>0.21650635094610968</v>
      </c>
      <c r="AW23" s="40">
        <f t="shared" si="9"/>
        <v>3.183029056074356E-16</v>
      </c>
      <c r="AX23" s="40">
        <f t="shared" si="9"/>
        <v>-0.21650635094611048</v>
      </c>
      <c r="AY23" s="40">
        <f t="shared" si="9"/>
        <v>-0.37500000000000033</v>
      </c>
    </row>
    <row r="59" spans="3:10" ht="18" x14ac:dyDescent="0.35">
      <c r="C59" t="s">
        <v>444</v>
      </c>
      <c r="E59" t="s">
        <v>447</v>
      </c>
      <c r="G59" t="s">
        <v>454</v>
      </c>
    </row>
    <row r="60" spans="3:10" ht="18" x14ac:dyDescent="0.35">
      <c r="C60" t="s">
        <v>445</v>
      </c>
      <c r="E60" t="s">
        <v>448</v>
      </c>
      <c r="G60" t="s">
        <v>455</v>
      </c>
    </row>
    <row r="61" spans="3:10" x14ac:dyDescent="0.25">
      <c r="C61" s="244" t="s">
        <v>446</v>
      </c>
      <c r="E61" t="s">
        <v>449</v>
      </c>
    </row>
    <row r="63" spans="3:10" x14ac:dyDescent="0.25">
      <c r="C63" t="s">
        <v>451</v>
      </c>
      <c r="E63" t="s">
        <v>450</v>
      </c>
      <c r="J63" t="s">
        <v>453</v>
      </c>
    </row>
    <row r="64" spans="3:10" ht="18.75" x14ac:dyDescent="0.3">
      <c r="C64" t="s">
        <v>452</v>
      </c>
      <c r="E64" t="s">
        <v>459</v>
      </c>
    </row>
    <row r="66" spans="3:5" ht="24" x14ac:dyDescent="0.45">
      <c r="E66" s="245" t="s">
        <v>457</v>
      </c>
    </row>
    <row r="68" spans="3:5" x14ac:dyDescent="0.25">
      <c r="C68" t="s">
        <v>456</v>
      </c>
    </row>
    <row r="74" spans="3:5" x14ac:dyDescent="0.25">
      <c r="C74" t="s">
        <v>458</v>
      </c>
    </row>
  </sheetData>
  <mergeCells count="4">
    <mergeCell ref="R7:S7"/>
    <mergeCell ref="C11:F11"/>
    <mergeCell ref="C12:F12"/>
    <mergeCell ref="L12:L13"/>
  </mergeCells>
  <dataValidations count="1">
    <dataValidation type="list" allowBlank="1" showInputMessage="1" showErrorMessage="1" sqref="L14:L18 AP7 L21:L23" xr:uid="{C8E29193-96AE-404C-87B8-B84194F32E1C}">
      <formula1>$AI$7:$AI$8</formula1>
    </dataValidation>
  </dataValidations>
  <pageMargins left="0.7" right="0.7" top="0.78740157499999996" bottom="0.78740157499999996" header="0.3" footer="0.3"/>
  <pageSetup paperSize="9" scale="34" orientation="landscape" verticalDpi="1200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F91CB-F0FB-46C8-A99F-379ED0B1A00D}">
  <dimension ref="B1:BG126"/>
  <sheetViews>
    <sheetView showGridLines="0" zoomScaleNormal="100" workbookViewId="0"/>
  </sheetViews>
  <sheetFormatPr baseColWidth="10" defaultRowHeight="15" x14ac:dyDescent="0.25"/>
  <cols>
    <col min="1" max="1" width="3.28515625" customWidth="1"/>
    <col min="2" max="2" width="9.85546875" customWidth="1"/>
    <col min="13" max="13" width="15.140625" customWidth="1"/>
    <col min="15" max="15" width="9.85546875" customWidth="1"/>
    <col min="16" max="16" width="4.42578125" customWidth="1"/>
    <col min="17" max="17" width="8.85546875" style="218" customWidth="1"/>
    <col min="18" max="18" width="11.28515625" style="218" customWidth="1"/>
    <col min="19" max="20" width="8.85546875" style="218" customWidth="1"/>
    <col min="21" max="21" width="5.7109375" style="218" customWidth="1"/>
    <col min="22" max="24" width="5.5703125" style="218" customWidth="1"/>
    <col min="25" max="25" width="10.140625" style="218" customWidth="1"/>
    <col min="26" max="26" width="5.5703125" style="218" customWidth="1"/>
  </cols>
  <sheetData>
    <row r="1" spans="2:43" ht="15" customHeight="1" x14ac:dyDescent="0.25"/>
    <row r="2" spans="2:43" ht="23.25" x14ac:dyDescent="0.35">
      <c r="C2" s="9" t="s">
        <v>441</v>
      </c>
      <c r="D2" s="9"/>
      <c r="R2" s="217"/>
      <c r="AD2" s="1"/>
      <c r="AG2" s="1"/>
      <c r="AQ2" t="s">
        <v>64</v>
      </c>
    </row>
    <row r="3" spans="2:43" ht="12" customHeight="1" x14ac:dyDescent="0.35">
      <c r="B3" s="9"/>
      <c r="R3" s="217"/>
      <c r="AA3" s="256" t="s">
        <v>474</v>
      </c>
      <c r="AB3" s="257">
        <f>SQRT(3)/2</f>
        <v>0.8660254037844386</v>
      </c>
      <c r="AD3" s="1"/>
      <c r="AE3" s="258"/>
      <c r="AG3" s="256" t="s">
        <v>478</v>
      </c>
      <c r="AH3" s="257">
        <f>1/SQRT(2)</f>
        <v>0.70710678118654746</v>
      </c>
      <c r="AQ3" t="s">
        <v>65</v>
      </c>
    </row>
    <row r="4" spans="2:43" ht="14.45" customHeight="1" x14ac:dyDescent="0.35">
      <c r="B4" s="9"/>
      <c r="R4" s="217"/>
      <c r="AA4" s="256" t="s">
        <v>473</v>
      </c>
      <c r="AB4" s="257">
        <f>COS(RADIANS(30))</f>
        <v>0.86602540378443871</v>
      </c>
      <c r="AD4" s="256" t="s">
        <v>476</v>
      </c>
      <c r="AE4" s="257">
        <f>COS(RADIANS(60))</f>
        <v>0.50000000000000011</v>
      </c>
      <c r="AG4" s="256" t="s">
        <v>477</v>
      </c>
      <c r="AH4" s="257">
        <f>COS(RADIANS(45))</f>
        <v>0.70710678118654757</v>
      </c>
    </row>
    <row r="5" spans="2:43" ht="14.45" customHeight="1" x14ac:dyDescent="0.25">
      <c r="AA5" s="256" t="s">
        <v>475</v>
      </c>
      <c r="AB5" s="257">
        <f>SIN(RADIANS(60))</f>
        <v>0.8660254037844386</v>
      </c>
      <c r="AD5" s="256" t="s">
        <v>473</v>
      </c>
      <c r="AE5" s="257">
        <f>SIN(RADIANS(30))</f>
        <v>0.49999999999999994</v>
      </c>
      <c r="AG5" s="256" t="s">
        <v>477</v>
      </c>
      <c r="AH5" s="257">
        <f>SIN(RADIANS(45))</f>
        <v>0.70710678118654746</v>
      </c>
    </row>
    <row r="6" spans="2:43" ht="14.45" customHeight="1" x14ac:dyDescent="0.25"/>
    <row r="7" spans="2:43" ht="4.5" customHeight="1" x14ac:dyDescent="0.25"/>
    <row r="8" spans="2:43" ht="4.5" customHeight="1" x14ac:dyDescent="0.25"/>
    <row r="9" spans="2:43" ht="18" x14ac:dyDescent="0.35">
      <c r="B9" s="210" t="s">
        <v>413</v>
      </c>
      <c r="C9" s="5"/>
      <c r="D9" s="5"/>
      <c r="E9" s="5"/>
      <c r="F9" s="5"/>
      <c r="G9" s="5"/>
      <c r="H9" s="5"/>
      <c r="I9" s="5"/>
      <c r="J9" s="5"/>
      <c r="M9" s="452" t="s">
        <v>414</v>
      </c>
      <c r="N9" s="453"/>
      <c r="O9" s="453"/>
      <c r="P9" s="453"/>
      <c r="R9" s="452" t="s">
        <v>230</v>
      </c>
      <c r="S9" s="453"/>
      <c r="T9" s="453"/>
      <c r="U9" s="453"/>
      <c r="V9" s="453"/>
      <c r="W9"/>
      <c r="X9" s="5" t="s">
        <v>480</v>
      </c>
      <c r="Y9" s="5"/>
      <c r="Z9"/>
      <c r="AA9" s="5" t="s">
        <v>479</v>
      </c>
      <c r="AB9" s="5"/>
    </row>
    <row r="10" spans="2:43" ht="18" x14ac:dyDescent="0.35">
      <c r="B10" s="214" t="s">
        <v>196</v>
      </c>
      <c r="C10" s="213" t="s">
        <v>608</v>
      </c>
      <c r="D10" s="213" t="s">
        <v>609</v>
      </c>
      <c r="E10" s="213" t="s">
        <v>91</v>
      </c>
      <c r="F10" s="213" t="s">
        <v>410</v>
      </c>
      <c r="G10" s="213" t="s">
        <v>91</v>
      </c>
      <c r="H10" s="213" t="s">
        <v>410</v>
      </c>
      <c r="I10" s="213" t="s">
        <v>411</v>
      </c>
      <c r="J10" s="213" t="s">
        <v>412</v>
      </c>
      <c r="M10" s="219" t="s">
        <v>418</v>
      </c>
      <c r="N10" s="219" t="s">
        <v>419</v>
      </c>
      <c r="O10" s="219" t="s">
        <v>420</v>
      </c>
      <c r="P10" s="219" t="s">
        <v>421</v>
      </c>
      <c r="Q10" s="217"/>
      <c r="R10" s="223" t="s">
        <v>415</v>
      </c>
      <c r="S10" s="219"/>
      <c r="T10" s="219"/>
      <c r="U10" s="219"/>
      <c r="V10" s="219"/>
      <c r="W10"/>
      <c r="X10" s="5">
        <v>0</v>
      </c>
      <c r="Y10" s="77">
        <f>C12*COS(G12)</f>
        <v>-162.63455967290585</v>
      </c>
      <c r="Z10"/>
      <c r="AA10" s="77">
        <f>Y10</f>
        <v>-162.63455967290585</v>
      </c>
      <c r="AB10" s="77">
        <f>Y10</f>
        <v>-162.63455967290585</v>
      </c>
    </row>
    <row r="11" spans="2:43" x14ac:dyDescent="0.25">
      <c r="B11" s="285" t="s">
        <v>438</v>
      </c>
      <c r="C11" s="211">
        <f>D11 * SQRT(2)</f>
        <v>325.26911934581187</v>
      </c>
      <c r="D11" s="211">
        <v>230</v>
      </c>
      <c r="E11" s="75">
        <v>0</v>
      </c>
      <c r="F11" s="74" t="s">
        <v>201</v>
      </c>
      <c r="G11" s="212">
        <f>E11*PI()/180</f>
        <v>0</v>
      </c>
      <c r="H11" s="74" t="s">
        <v>202</v>
      </c>
      <c r="I11" s="212">
        <f>C11*COS(G11)</f>
        <v>325.26911934581187</v>
      </c>
      <c r="J11" s="212">
        <f>C11*SIN(G11)</f>
        <v>0</v>
      </c>
      <c r="M11" s="220">
        <v>0</v>
      </c>
      <c r="N11" s="220">
        <f>I11</f>
        <v>325.26911934581187</v>
      </c>
      <c r="O11" s="220">
        <v>0</v>
      </c>
      <c r="P11" s="220">
        <f>J11</f>
        <v>0</v>
      </c>
      <c r="Q11" s="221"/>
      <c r="R11" s="222">
        <f>MAX(ABS(P11),ABS(N12),ABS(P12),ABS(N11),ABS(N14),ABS(P14))</f>
        <v>325.26911934581187</v>
      </c>
      <c r="S11" s="220">
        <f>R12</f>
        <v>357.79603128039309</v>
      </c>
      <c r="T11" s="220">
        <v>0</v>
      </c>
      <c r="U11" s="220">
        <f>-S11</f>
        <v>-357.79603128039309</v>
      </c>
      <c r="V11" s="220">
        <v>0</v>
      </c>
      <c r="W11"/>
      <c r="X11" s="5">
        <v>0</v>
      </c>
      <c r="Y11" s="5">
        <v>0</v>
      </c>
      <c r="Z11"/>
      <c r="AA11" s="5">
        <v>0</v>
      </c>
      <c r="AB11" s="77">
        <f>C12*SIN(G12)</f>
        <v>281.69132042006549</v>
      </c>
    </row>
    <row r="12" spans="2:43" x14ac:dyDescent="0.25">
      <c r="B12" s="286" t="s">
        <v>439</v>
      </c>
      <c r="C12" s="211">
        <f>D12 * SQRT(2)</f>
        <v>325.26911934581187</v>
      </c>
      <c r="D12" s="211">
        <v>230</v>
      </c>
      <c r="E12" s="75">
        <v>120</v>
      </c>
      <c r="F12" s="74" t="str">
        <f>F11</f>
        <v>°</v>
      </c>
      <c r="G12" s="212">
        <f>E12*PI()/180</f>
        <v>2.0943951023931953</v>
      </c>
      <c r="H12" s="74" t="s">
        <v>202</v>
      </c>
      <c r="I12" s="212">
        <f>C12*COS(G12)</f>
        <v>-162.63455967290585</v>
      </c>
      <c r="J12" s="212">
        <f>C12*SIN(G12)</f>
        <v>281.69132042006549</v>
      </c>
      <c r="M12" s="220">
        <v>0</v>
      </c>
      <c r="N12" s="220">
        <f>I12</f>
        <v>-162.63455967290585</v>
      </c>
      <c r="O12" s="220">
        <v>0</v>
      </c>
      <c r="P12" s="220">
        <f>J12</f>
        <v>281.69132042006549</v>
      </c>
      <c r="Q12" s="221"/>
      <c r="R12" s="222">
        <f>R11*1.1</f>
        <v>357.79603128039309</v>
      </c>
      <c r="S12" s="220">
        <v>0</v>
      </c>
      <c r="T12" s="220">
        <f>S11</f>
        <v>357.79603128039309</v>
      </c>
      <c r="U12" s="220">
        <v>0</v>
      </c>
      <c r="V12" s="220">
        <f>U11</f>
        <v>-357.79603128039309</v>
      </c>
      <c r="W12"/>
      <c r="X12"/>
      <c r="Y12"/>
      <c r="Z12"/>
    </row>
    <row r="13" spans="2:43" x14ac:dyDescent="0.25">
      <c r="B13" s="287" t="s">
        <v>559</v>
      </c>
      <c r="C13" s="211">
        <f>D13 * SQRT(2)</f>
        <v>325.26911934581187</v>
      </c>
      <c r="D13" s="211">
        <v>230</v>
      </c>
      <c r="E13" s="75">
        <v>240</v>
      </c>
      <c r="F13" s="74" t="str">
        <f>F12</f>
        <v>°</v>
      </c>
      <c r="G13" s="212">
        <f>E13*PI()/180</f>
        <v>4.1887902047863905</v>
      </c>
      <c r="H13" s="74" t="s">
        <v>202</v>
      </c>
      <c r="I13" s="212">
        <f>C13*COS(G13)</f>
        <v>-162.63455967290608</v>
      </c>
      <c r="J13" s="212">
        <f>C13*SIN(G13)</f>
        <v>-281.69132042006538</v>
      </c>
      <c r="M13" s="220">
        <v>0</v>
      </c>
      <c r="N13" s="220">
        <f>I13</f>
        <v>-162.63455967290608</v>
      </c>
      <c r="O13" s="220">
        <v>0</v>
      </c>
      <c r="P13" s="220">
        <f>J13</f>
        <v>-281.69132042006538</v>
      </c>
      <c r="Q13" s="221"/>
      <c r="R13" s="222">
        <f>R12*1.1</f>
        <v>393.57563440843245</v>
      </c>
      <c r="S13" s="220">
        <v>0</v>
      </c>
      <c r="T13" s="220">
        <f>S12</f>
        <v>0</v>
      </c>
      <c r="U13" s="220">
        <v>0</v>
      </c>
      <c r="V13" s="220">
        <f>U12</f>
        <v>0</v>
      </c>
      <c r="W13"/>
      <c r="X13"/>
      <c r="Y13"/>
      <c r="Z13"/>
    </row>
    <row r="14" spans="2:43" ht="18" x14ac:dyDescent="0.35">
      <c r="B14" s="224" t="s">
        <v>440</v>
      </c>
      <c r="C14" s="212">
        <f>SQRT(I14^2+J14^2)</f>
        <v>563.38264084013099</v>
      </c>
      <c r="D14" s="212"/>
      <c r="E14" s="212">
        <f>G14*180/PI()</f>
        <v>149.99999999999997</v>
      </c>
      <c r="F14" s="74" t="str">
        <f>F12</f>
        <v>°</v>
      </c>
      <c r="G14" s="212">
        <f>ATAN2(I14,J14)</f>
        <v>2.617993877991494</v>
      </c>
      <c r="H14" s="74" t="str">
        <f>H12</f>
        <v>rad</v>
      </c>
      <c r="I14" s="212">
        <f>I12-I11</f>
        <v>-487.90367901871775</v>
      </c>
      <c r="J14" s="212">
        <f>J12-J11</f>
        <v>281.69132042006549</v>
      </c>
      <c r="M14" s="220">
        <f>N11</f>
        <v>325.26911934581187</v>
      </c>
      <c r="N14" s="220">
        <f>N12</f>
        <v>-162.63455967290585</v>
      </c>
      <c r="O14" s="220">
        <f>P11</f>
        <v>0</v>
      </c>
      <c r="P14" s="220">
        <f>P12</f>
        <v>281.69132042006549</v>
      </c>
      <c r="W14"/>
      <c r="X14" s="1" t="s">
        <v>481</v>
      </c>
      <c r="Y14" s="259">
        <f>C11-Y10</f>
        <v>487.90367901871775</v>
      </c>
      <c r="Z14"/>
    </row>
    <row r="15" spans="2:43" ht="18" x14ac:dyDescent="0.35">
      <c r="AB15" s="1" t="s">
        <v>482</v>
      </c>
      <c r="AC15" s="259">
        <f>AB11</f>
        <v>281.69132042006549</v>
      </c>
    </row>
    <row r="16" spans="2:43" ht="18" x14ac:dyDescent="0.35">
      <c r="AB16" s="224" t="s">
        <v>483</v>
      </c>
      <c r="AC16" s="259">
        <f>SQRT(Y14^2+AC15^2)</f>
        <v>563.38264084013099</v>
      </c>
      <c r="AD16">
        <f>C11*SQRT(3)</f>
        <v>563.38264084013099</v>
      </c>
    </row>
    <row r="17" spans="17:59" x14ac:dyDescent="0.25">
      <c r="AB17" s="1"/>
      <c r="AC17" s="258"/>
    </row>
    <row r="18" spans="17:59" x14ac:dyDescent="0.25">
      <c r="AB18" s="1"/>
      <c r="AC18" s="258"/>
    </row>
    <row r="20" spans="17:59" x14ac:dyDescent="0.25">
      <c r="Q20" s="218" t="s">
        <v>207</v>
      </c>
      <c r="R20" s="218">
        <v>0</v>
      </c>
      <c r="S20" s="218">
        <f>R20+10</f>
        <v>10</v>
      </c>
      <c r="T20" s="218">
        <f t="shared" ref="T20:BB20" si="0">S20+10</f>
        <v>20</v>
      </c>
      <c r="U20" s="218">
        <f t="shared" si="0"/>
        <v>30</v>
      </c>
      <c r="V20" s="218">
        <f t="shared" si="0"/>
        <v>40</v>
      </c>
      <c r="W20" s="218">
        <f t="shared" si="0"/>
        <v>50</v>
      </c>
      <c r="X20" s="218">
        <f t="shared" si="0"/>
        <v>60</v>
      </c>
      <c r="Y20" s="218">
        <f t="shared" si="0"/>
        <v>70</v>
      </c>
      <c r="Z20" s="218">
        <f t="shared" si="0"/>
        <v>80</v>
      </c>
      <c r="AA20" s="218">
        <f t="shared" si="0"/>
        <v>90</v>
      </c>
      <c r="AB20" s="218">
        <f t="shared" si="0"/>
        <v>100</v>
      </c>
      <c r="AC20" s="218">
        <f t="shared" si="0"/>
        <v>110</v>
      </c>
      <c r="AD20" s="218">
        <f t="shared" si="0"/>
        <v>120</v>
      </c>
      <c r="AE20" s="218">
        <f t="shared" si="0"/>
        <v>130</v>
      </c>
      <c r="AF20" s="218">
        <f t="shared" si="0"/>
        <v>140</v>
      </c>
      <c r="AG20" s="218">
        <f t="shared" si="0"/>
        <v>150</v>
      </c>
      <c r="AH20" s="218">
        <f t="shared" si="0"/>
        <v>160</v>
      </c>
      <c r="AI20" s="218">
        <f t="shared" si="0"/>
        <v>170</v>
      </c>
      <c r="AJ20" s="218">
        <f t="shared" si="0"/>
        <v>180</v>
      </c>
      <c r="AK20" s="218">
        <f t="shared" si="0"/>
        <v>190</v>
      </c>
      <c r="AL20" s="218">
        <f t="shared" si="0"/>
        <v>200</v>
      </c>
      <c r="AM20" s="218">
        <f t="shared" si="0"/>
        <v>210</v>
      </c>
      <c r="AN20" s="218">
        <f t="shared" si="0"/>
        <v>220</v>
      </c>
      <c r="AO20" s="218">
        <f t="shared" si="0"/>
        <v>230</v>
      </c>
      <c r="AP20" s="218">
        <f t="shared" si="0"/>
        <v>240</v>
      </c>
      <c r="AQ20" s="218">
        <f t="shared" si="0"/>
        <v>250</v>
      </c>
      <c r="AR20" s="218">
        <f t="shared" si="0"/>
        <v>260</v>
      </c>
      <c r="AS20" s="218">
        <f t="shared" si="0"/>
        <v>270</v>
      </c>
      <c r="AT20" s="218">
        <f t="shared" si="0"/>
        <v>280</v>
      </c>
      <c r="AU20" s="218">
        <f t="shared" si="0"/>
        <v>290</v>
      </c>
      <c r="AV20" s="218">
        <f t="shared" si="0"/>
        <v>300</v>
      </c>
      <c r="AW20" s="218">
        <f t="shared" si="0"/>
        <v>310</v>
      </c>
      <c r="AX20" s="218">
        <f t="shared" si="0"/>
        <v>320</v>
      </c>
      <c r="AY20" s="218">
        <f t="shared" si="0"/>
        <v>330</v>
      </c>
      <c r="AZ20" s="218">
        <f t="shared" si="0"/>
        <v>340</v>
      </c>
      <c r="BA20" s="218">
        <f t="shared" si="0"/>
        <v>350</v>
      </c>
      <c r="BB20" s="218">
        <f t="shared" si="0"/>
        <v>360</v>
      </c>
      <c r="BC20" s="218"/>
      <c r="BD20" s="218"/>
      <c r="BE20" s="218"/>
      <c r="BF20" s="218"/>
      <c r="BG20" s="218"/>
    </row>
    <row r="21" spans="17:59" x14ac:dyDescent="0.25">
      <c r="Q21" s="218" t="s">
        <v>208</v>
      </c>
      <c r="R21" s="218">
        <f>R20*PI()/180</f>
        <v>0</v>
      </c>
      <c r="S21" s="218">
        <f t="shared" ref="S21:BB21" si="1">S20*PI()/180</f>
        <v>0.17453292519943295</v>
      </c>
      <c r="T21" s="218">
        <f t="shared" si="1"/>
        <v>0.3490658503988659</v>
      </c>
      <c r="U21" s="218">
        <f t="shared" si="1"/>
        <v>0.52359877559829882</v>
      </c>
      <c r="V21" s="218">
        <f t="shared" si="1"/>
        <v>0.69813170079773179</v>
      </c>
      <c r="W21" s="218">
        <f t="shared" si="1"/>
        <v>0.87266462599716477</v>
      </c>
      <c r="X21" s="218">
        <f t="shared" si="1"/>
        <v>1.0471975511965976</v>
      </c>
      <c r="Y21" s="218">
        <f t="shared" si="1"/>
        <v>1.2217304763960306</v>
      </c>
      <c r="Z21" s="218">
        <f t="shared" si="1"/>
        <v>1.3962634015954636</v>
      </c>
      <c r="AA21" s="218">
        <f t="shared" si="1"/>
        <v>1.5707963267948966</v>
      </c>
      <c r="AB21" s="218">
        <f t="shared" si="1"/>
        <v>1.7453292519943295</v>
      </c>
      <c r="AC21" s="218">
        <f t="shared" si="1"/>
        <v>1.9198621771937625</v>
      </c>
      <c r="AD21" s="218">
        <f t="shared" si="1"/>
        <v>2.0943951023931953</v>
      </c>
      <c r="AE21" s="218">
        <f t="shared" si="1"/>
        <v>2.2689280275926285</v>
      </c>
      <c r="AF21" s="218">
        <f t="shared" si="1"/>
        <v>2.4434609527920612</v>
      </c>
      <c r="AG21" s="218">
        <f t="shared" si="1"/>
        <v>2.6179938779914944</v>
      </c>
      <c r="AH21" s="218">
        <f t="shared" si="1"/>
        <v>2.7925268031909272</v>
      </c>
      <c r="AI21" s="218">
        <f t="shared" si="1"/>
        <v>2.9670597283903604</v>
      </c>
      <c r="AJ21" s="218">
        <f t="shared" si="1"/>
        <v>3.1415926535897931</v>
      </c>
      <c r="AK21" s="218">
        <f t="shared" si="1"/>
        <v>3.3161255787892263</v>
      </c>
      <c r="AL21" s="218">
        <f t="shared" si="1"/>
        <v>3.4906585039886591</v>
      </c>
      <c r="AM21" s="218">
        <f t="shared" si="1"/>
        <v>3.6651914291880923</v>
      </c>
      <c r="AN21" s="218">
        <f t="shared" si="1"/>
        <v>3.839724354387525</v>
      </c>
      <c r="AO21" s="218">
        <f t="shared" si="1"/>
        <v>4.0142572795869578</v>
      </c>
      <c r="AP21" s="218">
        <f t="shared" si="1"/>
        <v>4.1887902047863905</v>
      </c>
      <c r="AQ21" s="218">
        <f t="shared" si="1"/>
        <v>4.3633231299858233</v>
      </c>
      <c r="AR21" s="218">
        <f t="shared" si="1"/>
        <v>4.5378560551852569</v>
      </c>
      <c r="AS21" s="218">
        <f t="shared" si="1"/>
        <v>4.7123889803846897</v>
      </c>
      <c r="AT21" s="218">
        <f t="shared" si="1"/>
        <v>4.8869219055841224</v>
      </c>
      <c r="AU21" s="218">
        <f t="shared" si="1"/>
        <v>5.0614548307835552</v>
      </c>
      <c r="AV21" s="218">
        <f t="shared" si="1"/>
        <v>5.2359877559829888</v>
      </c>
      <c r="AW21" s="218">
        <f t="shared" si="1"/>
        <v>5.4105206811824216</v>
      </c>
      <c r="AX21" s="218">
        <f t="shared" si="1"/>
        <v>5.5850536063818543</v>
      </c>
      <c r="AY21" s="218">
        <f t="shared" si="1"/>
        <v>5.7595865315812871</v>
      </c>
      <c r="AZ21" s="218">
        <f t="shared" si="1"/>
        <v>5.9341194567807207</v>
      </c>
      <c r="BA21" s="218">
        <f t="shared" si="1"/>
        <v>6.1086523819801526</v>
      </c>
      <c r="BB21" s="218">
        <f t="shared" si="1"/>
        <v>6.2831853071795862</v>
      </c>
    </row>
    <row r="22" spans="17:59" x14ac:dyDescent="0.25">
      <c r="Q22" s="285" t="s">
        <v>442</v>
      </c>
      <c r="R22" s="218">
        <f t="shared" ref="R22:BB22" si="2">$C$11*SIN(R21+$G$11)</f>
        <v>0</v>
      </c>
      <c r="S22" s="218">
        <f t="shared" si="2"/>
        <v>56.482389825727509</v>
      </c>
      <c r="T22" s="218">
        <f t="shared" si="2"/>
        <v>111.24859081806862</v>
      </c>
      <c r="U22" s="218">
        <f t="shared" si="2"/>
        <v>162.63455967290591</v>
      </c>
      <c r="V22" s="218">
        <f t="shared" si="2"/>
        <v>209.07895972914008</v>
      </c>
      <c r="W22" s="218">
        <f t="shared" si="2"/>
        <v>249.17060139306287</v>
      </c>
      <c r="X22" s="218">
        <f t="shared" si="2"/>
        <v>281.69132042006549</v>
      </c>
      <c r="Y22" s="218">
        <f t="shared" si="2"/>
        <v>305.65299121879036</v>
      </c>
      <c r="Z22" s="218">
        <f t="shared" si="2"/>
        <v>320.32755054720872</v>
      </c>
      <c r="AA22" s="218">
        <f t="shared" si="2"/>
        <v>325.26911934581187</v>
      </c>
      <c r="AB22" s="218">
        <f t="shared" si="2"/>
        <v>320.32755054720872</v>
      </c>
      <c r="AC22" s="218">
        <f t="shared" si="2"/>
        <v>305.65299121879036</v>
      </c>
      <c r="AD22" s="218">
        <f t="shared" si="2"/>
        <v>281.69132042006549</v>
      </c>
      <c r="AE22" s="218">
        <f t="shared" si="2"/>
        <v>249.17060139306287</v>
      </c>
      <c r="AF22" s="218">
        <f t="shared" si="2"/>
        <v>209.07895972914014</v>
      </c>
      <c r="AG22" s="218">
        <f t="shared" si="2"/>
        <v>162.63455967290591</v>
      </c>
      <c r="AH22" s="218">
        <f t="shared" si="2"/>
        <v>111.24859081806868</v>
      </c>
      <c r="AI22" s="218">
        <f t="shared" si="2"/>
        <v>56.482389825727488</v>
      </c>
      <c r="AJ22" s="218">
        <f t="shared" si="2"/>
        <v>3.9850295899600895E-14</v>
      </c>
      <c r="AK22" s="218">
        <f t="shared" si="2"/>
        <v>-56.482389825727552</v>
      </c>
      <c r="AL22" s="218">
        <f t="shared" si="2"/>
        <v>-111.24859081806861</v>
      </c>
      <c r="AM22" s="218">
        <f t="shared" si="2"/>
        <v>-162.63455967290597</v>
      </c>
      <c r="AN22" s="218">
        <f t="shared" si="2"/>
        <v>-209.07895972914008</v>
      </c>
      <c r="AO22" s="218">
        <f t="shared" si="2"/>
        <v>-249.17060139306281</v>
      </c>
      <c r="AP22" s="218">
        <f t="shared" si="2"/>
        <v>-281.69132042006538</v>
      </c>
      <c r="AQ22" s="218">
        <f t="shared" si="2"/>
        <v>-305.65299121879031</v>
      </c>
      <c r="AR22" s="218">
        <f t="shared" si="2"/>
        <v>-320.32755054720872</v>
      </c>
      <c r="AS22" s="218">
        <f t="shared" si="2"/>
        <v>-325.26911934581187</v>
      </c>
      <c r="AT22" s="218">
        <f t="shared" si="2"/>
        <v>-320.32755054720877</v>
      </c>
      <c r="AU22" s="218">
        <f t="shared" si="2"/>
        <v>-305.65299121879042</v>
      </c>
      <c r="AV22" s="218">
        <f t="shared" si="2"/>
        <v>-281.69132042006549</v>
      </c>
      <c r="AW22" s="218">
        <f t="shared" si="2"/>
        <v>-249.1706013930629</v>
      </c>
      <c r="AX22" s="218">
        <f t="shared" si="2"/>
        <v>-209.07895972914019</v>
      </c>
      <c r="AY22" s="218">
        <f t="shared" si="2"/>
        <v>-162.63455967290608</v>
      </c>
      <c r="AZ22" s="218">
        <f t="shared" si="2"/>
        <v>-111.24859081806858</v>
      </c>
      <c r="BA22" s="218">
        <f t="shared" si="2"/>
        <v>-56.482389825727815</v>
      </c>
      <c r="BB22" s="218">
        <f t="shared" si="2"/>
        <v>-7.9700591799201791E-14</v>
      </c>
    </row>
    <row r="23" spans="17:59" ht="15.95" customHeight="1" x14ac:dyDescent="0.25">
      <c r="Q23" s="286" t="s">
        <v>560</v>
      </c>
      <c r="R23" s="218">
        <f t="shared" ref="R23:BB23" si="3">$C$12*SIN(R21+$G$12)</f>
        <v>281.69132042006549</v>
      </c>
      <c r="S23" s="218">
        <f t="shared" si="3"/>
        <v>249.17060139306295</v>
      </c>
      <c r="T23" s="218">
        <f t="shared" si="3"/>
        <v>209.07895972914014</v>
      </c>
      <c r="U23" s="218">
        <f t="shared" si="3"/>
        <v>162.63455967290605</v>
      </c>
      <c r="V23" s="218">
        <f t="shared" si="3"/>
        <v>111.24859081806868</v>
      </c>
      <c r="W23" s="218">
        <f t="shared" si="3"/>
        <v>56.482389825727623</v>
      </c>
      <c r="X23" s="218">
        <f t="shared" si="3"/>
        <v>3.9850295899600895E-14</v>
      </c>
      <c r="Y23" s="218">
        <f t="shared" si="3"/>
        <v>-56.48238982572741</v>
      </c>
      <c r="Z23" s="218">
        <f t="shared" si="3"/>
        <v>-111.24859081806845</v>
      </c>
      <c r="AA23" s="218">
        <f t="shared" si="3"/>
        <v>-162.63455967290585</v>
      </c>
      <c r="AB23" s="218">
        <f t="shared" si="3"/>
        <v>-209.07895972914008</v>
      </c>
      <c r="AC23" s="218">
        <f t="shared" si="3"/>
        <v>-249.17060139306281</v>
      </c>
      <c r="AD23" s="218">
        <f t="shared" si="3"/>
        <v>-281.69132042006538</v>
      </c>
      <c r="AE23" s="218">
        <f t="shared" si="3"/>
        <v>-305.65299121879036</v>
      </c>
      <c r="AF23" s="218">
        <f t="shared" si="3"/>
        <v>-320.32755054720872</v>
      </c>
      <c r="AG23" s="218">
        <f t="shared" si="3"/>
        <v>-325.26911934581187</v>
      </c>
      <c r="AH23" s="218">
        <f t="shared" si="3"/>
        <v>-320.32755054720877</v>
      </c>
      <c r="AI23" s="218">
        <f t="shared" si="3"/>
        <v>-305.65299121879042</v>
      </c>
      <c r="AJ23" s="218">
        <f t="shared" si="3"/>
        <v>-281.69132042006561</v>
      </c>
      <c r="AK23" s="218">
        <f t="shared" si="3"/>
        <v>-249.1706013930629</v>
      </c>
      <c r="AL23" s="218">
        <f t="shared" si="3"/>
        <v>-209.07895972914019</v>
      </c>
      <c r="AM23" s="218">
        <f t="shared" si="3"/>
        <v>-162.63455967290582</v>
      </c>
      <c r="AN23" s="218">
        <f t="shared" si="3"/>
        <v>-111.24859081806858</v>
      </c>
      <c r="AO23" s="218">
        <f t="shared" si="3"/>
        <v>-56.482389825727523</v>
      </c>
      <c r="AP23" s="218">
        <f t="shared" si="3"/>
        <v>-7.9700591799201791E-14</v>
      </c>
      <c r="AQ23" s="218">
        <f t="shared" si="3"/>
        <v>56.482389825727374</v>
      </c>
      <c r="AR23" s="218">
        <f t="shared" si="3"/>
        <v>111.24859081806842</v>
      </c>
      <c r="AS23" s="218">
        <f t="shared" si="3"/>
        <v>162.63455967290571</v>
      </c>
      <c r="AT23" s="218">
        <f t="shared" si="3"/>
        <v>209.07895972913983</v>
      </c>
      <c r="AU23" s="218">
        <f t="shared" si="3"/>
        <v>249.17060139306261</v>
      </c>
      <c r="AV23" s="218">
        <f t="shared" si="3"/>
        <v>281.69132042006555</v>
      </c>
      <c r="AW23" s="218">
        <f t="shared" si="3"/>
        <v>305.65299121879036</v>
      </c>
      <c r="AX23" s="218">
        <f t="shared" si="3"/>
        <v>320.32755054720872</v>
      </c>
      <c r="AY23" s="218">
        <f t="shared" si="3"/>
        <v>325.26911934581187</v>
      </c>
      <c r="AZ23" s="218">
        <f t="shared" si="3"/>
        <v>320.32755054720877</v>
      </c>
      <c r="BA23" s="218">
        <f t="shared" si="3"/>
        <v>305.65299121879048</v>
      </c>
      <c r="BB23" s="218">
        <f t="shared" si="3"/>
        <v>281.69132042006567</v>
      </c>
    </row>
    <row r="24" spans="17:59" ht="15.95" customHeight="1" x14ac:dyDescent="0.25">
      <c r="Q24" s="287" t="s">
        <v>559</v>
      </c>
      <c r="R24" s="218">
        <f t="shared" ref="R24:BB24" si="4">$C$13*SIN(R21+$G$13)</f>
        <v>-281.69132042006538</v>
      </c>
      <c r="S24" s="218">
        <f t="shared" si="4"/>
        <v>-305.65299121879031</v>
      </c>
      <c r="T24" s="218">
        <f t="shared" si="4"/>
        <v>-320.32755054720866</v>
      </c>
      <c r="U24" s="218">
        <f t="shared" si="4"/>
        <v>-325.26911934581187</v>
      </c>
      <c r="V24" s="218">
        <f t="shared" si="4"/>
        <v>-320.32755054720877</v>
      </c>
      <c r="W24" s="218">
        <f t="shared" si="4"/>
        <v>-305.65299121879042</v>
      </c>
      <c r="X24" s="218">
        <f t="shared" si="4"/>
        <v>-281.69132042006561</v>
      </c>
      <c r="Y24" s="218">
        <f t="shared" si="4"/>
        <v>-249.17060139306307</v>
      </c>
      <c r="Z24" s="218">
        <f t="shared" si="4"/>
        <v>-209.07895972914019</v>
      </c>
      <c r="AA24" s="218">
        <f t="shared" si="4"/>
        <v>-162.63455967290608</v>
      </c>
      <c r="AB24" s="218">
        <f t="shared" si="4"/>
        <v>-111.24859081806885</v>
      </c>
      <c r="AC24" s="218">
        <f t="shared" si="4"/>
        <v>-56.482389825727523</v>
      </c>
      <c r="AD24" s="218">
        <f t="shared" si="4"/>
        <v>-7.9700591799201791E-14</v>
      </c>
      <c r="AE24" s="218">
        <f t="shared" si="4"/>
        <v>56.482389825727374</v>
      </c>
      <c r="AF24" s="218">
        <f t="shared" si="4"/>
        <v>111.24859081806842</v>
      </c>
      <c r="AG24" s="218">
        <f t="shared" si="4"/>
        <v>162.63455967290571</v>
      </c>
      <c r="AH24" s="218">
        <f t="shared" si="4"/>
        <v>209.07895972913983</v>
      </c>
      <c r="AI24" s="218">
        <f t="shared" si="4"/>
        <v>249.17060139306278</v>
      </c>
      <c r="AJ24" s="218">
        <f t="shared" si="4"/>
        <v>281.69132042006538</v>
      </c>
      <c r="AK24" s="218">
        <f t="shared" si="4"/>
        <v>305.65299121879036</v>
      </c>
      <c r="AL24" s="218">
        <f t="shared" si="4"/>
        <v>320.32755054720872</v>
      </c>
      <c r="AM24" s="218">
        <f t="shared" si="4"/>
        <v>325.26911934581187</v>
      </c>
      <c r="AN24" s="218">
        <f t="shared" si="4"/>
        <v>320.32755054720877</v>
      </c>
      <c r="AO24" s="218">
        <f t="shared" si="4"/>
        <v>305.65299121879048</v>
      </c>
      <c r="AP24" s="218">
        <f t="shared" si="4"/>
        <v>281.69132042006567</v>
      </c>
      <c r="AQ24" s="218">
        <f t="shared" si="4"/>
        <v>249.17060139306309</v>
      </c>
      <c r="AR24" s="218">
        <f t="shared" si="4"/>
        <v>209.07895972914</v>
      </c>
      <c r="AS24" s="218">
        <f t="shared" si="4"/>
        <v>162.63455967290585</v>
      </c>
      <c r="AT24" s="218">
        <f t="shared" si="4"/>
        <v>111.24859081806862</v>
      </c>
      <c r="AU24" s="218">
        <f t="shared" si="4"/>
        <v>56.482389825727559</v>
      </c>
      <c r="AV24" s="218">
        <f t="shared" si="4"/>
        <v>1.1955088769880268E-13</v>
      </c>
      <c r="AW24" s="218">
        <f t="shared" si="4"/>
        <v>-56.482389825727324</v>
      </c>
      <c r="AX24" s="218">
        <f t="shared" si="4"/>
        <v>-111.24859081806838</v>
      </c>
      <c r="AY24" s="218">
        <f t="shared" si="4"/>
        <v>-162.63455967290565</v>
      </c>
      <c r="AZ24" s="218">
        <f t="shared" si="4"/>
        <v>-209.0789597291398</v>
      </c>
      <c r="BA24" s="218">
        <f t="shared" si="4"/>
        <v>-249.17060139306255</v>
      </c>
      <c r="BB24" s="218">
        <f t="shared" si="4"/>
        <v>-281.69132042006521</v>
      </c>
    </row>
    <row r="25" spans="17:59" ht="15.95" hidden="1" customHeight="1" x14ac:dyDescent="0.35">
      <c r="Q25" s="224" t="s">
        <v>443</v>
      </c>
      <c r="R25" s="218">
        <f>R22-R24</f>
        <v>281.69132042006538</v>
      </c>
      <c r="S25" s="218">
        <f t="shared" ref="S25:BB25" si="5">S22-S24</f>
        <v>362.13538104451783</v>
      </c>
      <c r="T25" s="218">
        <f t="shared" si="5"/>
        <v>431.57614136527729</v>
      </c>
      <c r="U25" s="218">
        <f t="shared" si="5"/>
        <v>487.90367901871775</v>
      </c>
      <c r="V25" s="218">
        <f t="shared" si="5"/>
        <v>529.40651027634885</v>
      </c>
      <c r="W25" s="218">
        <f t="shared" si="5"/>
        <v>554.82359261185331</v>
      </c>
      <c r="X25" s="218">
        <f t="shared" si="5"/>
        <v>563.3826408401311</v>
      </c>
      <c r="Y25" s="218">
        <f t="shared" si="5"/>
        <v>554.82359261185343</v>
      </c>
      <c r="Z25" s="218">
        <f t="shared" si="5"/>
        <v>529.40651027634885</v>
      </c>
      <c r="AA25" s="218">
        <f t="shared" si="5"/>
        <v>487.90367901871798</v>
      </c>
      <c r="AB25" s="218">
        <f t="shared" si="5"/>
        <v>431.57614136527758</v>
      </c>
      <c r="AC25" s="218">
        <f t="shared" si="5"/>
        <v>362.13538104451789</v>
      </c>
      <c r="AD25" s="218">
        <f t="shared" si="5"/>
        <v>281.69132042006555</v>
      </c>
      <c r="AE25" s="218">
        <f t="shared" si="5"/>
        <v>192.68821156733549</v>
      </c>
      <c r="AF25" s="218">
        <f t="shared" si="5"/>
        <v>97.830368911071716</v>
      </c>
      <c r="AG25" s="218">
        <f t="shared" si="5"/>
        <v>0</v>
      </c>
      <c r="AH25" s="218">
        <f t="shared" si="5"/>
        <v>-97.830368911071147</v>
      </c>
      <c r="AI25" s="218">
        <f t="shared" si="5"/>
        <v>-192.68821156733529</v>
      </c>
      <c r="AJ25" s="218">
        <f t="shared" si="5"/>
        <v>-281.69132042006532</v>
      </c>
      <c r="AK25" s="218">
        <f t="shared" si="5"/>
        <v>-362.13538104451789</v>
      </c>
      <c r="AL25" s="218">
        <f t="shared" si="5"/>
        <v>-431.57614136527729</v>
      </c>
      <c r="AM25" s="218">
        <f t="shared" si="5"/>
        <v>-487.90367901871787</v>
      </c>
      <c r="AN25" s="218">
        <f t="shared" si="5"/>
        <v>-529.40651027634885</v>
      </c>
      <c r="AO25" s="218">
        <f t="shared" si="5"/>
        <v>-554.82359261185331</v>
      </c>
      <c r="AP25" s="218">
        <f t="shared" si="5"/>
        <v>-563.38264084013099</v>
      </c>
      <c r="AQ25" s="218">
        <f t="shared" si="5"/>
        <v>-554.82359261185343</v>
      </c>
      <c r="AR25" s="218">
        <f t="shared" si="5"/>
        <v>-529.40651027634874</v>
      </c>
      <c r="AS25" s="218">
        <f t="shared" si="5"/>
        <v>-487.90367901871775</v>
      </c>
      <c r="AT25" s="218">
        <f t="shared" si="5"/>
        <v>-431.57614136527741</v>
      </c>
      <c r="AU25" s="218">
        <f t="shared" si="5"/>
        <v>-362.135381044518</v>
      </c>
      <c r="AV25" s="218">
        <f t="shared" si="5"/>
        <v>-281.69132042006561</v>
      </c>
      <c r="AW25" s="218">
        <f t="shared" si="5"/>
        <v>-192.68821156733557</v>
      </c>
      <c r="AX25" s="218">
        <f t="shared" si="5"/>
        <v>-97.830368911071815</v>
      </c>
      <c r="AY25" s="218">
        <f t="shared" si="5"/>
        <v>-4.2632564145606011E-13</v>
      </c>
      <c r="AZ25" s="218">
        <f t="shared" si="5"/>
        <v>97.830368911071218</v>
      </c>
      <c r="BA25" s="218">
        <f t="shared" si="5"/>
        <v>192.68821156733475</v>
      </c>
      <c r="BB25" s="218">
        <f t="shared" si="5"/>
        <v>281.69132042006515</v>
      </c>
    </row>
    <row r="26" spans="17:59" ht="15.95" customHeight="1" x14ac:dyDescent="0.35">
      <c r="Q26" s="224" t="s">
        <v>440</v>
      </c>
      <c r="R26" s="218">
        <f>R22-R23</f>
        <v>-281.69132042006549</v>
      </c>
      <c r="S26" s="218">
        <f t="shared" ref="S26:BB26" si="6">S22-S23</f>
        <v>-192.68821156733543</v>
      </c>
      <c r="T26" s="218">
        <f t="shared" si="6"/>
        <v>-97.830368911071517</v>
      </c>
      <c r="U26" s="218">
        <f t="shared" si="6"/>
        <v>0</v>
      </c>
      <c r="V26" s="218">
        <f t="shared" si="6"/>
        <v>97.830368911071403</v>
      </c>
      <c r="W26" s="218">
        <f t="shared" si="6"/>
        <v>192.68821156733526</v>
      </c>
      <c r="X26" s="218">
        <f t="shared" si="6"/>
        <v>281.69132042006544</v>
      </c>
      <c r="Y26" s="218">
        <f t="shared" si="6"/>
        <v>362.13538104451777</v>
      </c>
      <c r="Z26" s="218">
        <f t="shared" si="6"/>
        <v>431.57614136527718</v>
      </c>
      <c r="AA26" s="218">
        <f t="shared" si="6"/>
        <v>487.90367901871775</v>
      </c>
      <c r="AB26" s="218">
        <f t="shared" si="6"/>
        <v>529.40651027634885</v>
      </c>
      <c r="AC26" s="218">
        <f t="shared" si="6"/>
        <v>554.8235926118532</v>
      </c>
      <c r="AD26" s="218">
        <f t="shared" si="6"/>
        <v>563.38264084013088</v>
      </c>
      <c r="AE26" s="218">
        <f t="shared" si="6"/>
        <v>554.8235926118532</v>
      </c>
      <c r="AF26" s="218">
        <f t="shared" si="6"/>
        <v>529.40651027634885</v>
      </c>
      <c r="AG26" s="218">
        <f t="shared" si="6"/>
        <v>487.90367901871775</v>
      </c>
      <c r="AH26" s="218">
        <f t="shared" si="6"/>
        <v>431.57614136527746</v>
      </c>
      <c r="AI26" s="218">
        <f t="shared" si="6"/>
        <v>362.13538104451789</v>
      </c>
      <c r="AJ26" s="218">
        <f t="shared" si="6"/>
        <v>281.69132042006567</v>
      </c>
      <c r="AK26" s="218">
        <f t="shared" si="6"/>
        <v>192.68821156733534</v>
      </c>
      <c r="AL26" s="218">
        <f t="shared" si="6"/>
        <v>97.830368911071588</v>
      </c>
      <c r="AM26" s="218">
        <f t="shared" si="6"/>
        <v>0</v>
      </c>
      <c r="AN26" s="218">
        <f t="shared" si="6"/>
        <v>-97.830368911071503</v>
      </c>
      <c r="AO26" s="218">
        <f t="shared" si="6"/>
        <v>-192.68821156733529</v>
      </c>
      <c r="AP26" s="218">
        <f t="shared" si="6"/>
        <v>-281.69132042006532</v>
      </c>
      <c r="AQ26" s="218">
        <f t="shared" si="6"/>
        <v>-362.13538104451766</v>
      </c>
      <c r="AR26" s="218">
        <f t="shared" si="6"/>
        <v>-431.57614136527712</v>
      </c>
      <c r="AS26" s="218">
        <f t="shared" si="6"/>
        <v>-487.90367901871758</v>
      </c>
      <c r="AT26" s="218">
        <f t="shared" si="6"/>
        <v>-529.40651027634863</v>
      </c>
      <c r="AU26" s="218">
        <f t="shared" si="6"/>
        <v>-554.82359261185297</v>
      </c>
      <c r="AV26" s="218">
        <f t="shared" si="6"/>
        <v>-563.38264084013099</v>
      </c>
      <c r="AW26" s="218">
        <f t="shared" si="6"/>
        <v>-554.8235926118532</v>
      </c>
      <c r="AX26" s="218">
        <f t="shared" si="6"/>
        <v>-529.40651027634885</v>
      </c>
      <c r="AY26" s="218">
        <f t="shared" si="6"/>
        <v>-487.90367901871798</v>
      </c>
      <c r="AZ26" s="218">
        <f t="shared" si="6"/>
        <v>-431.57614136527735</v>
      </c>
      <c r="BA26" s="218">
        <f t="shared" si="6"/>
        <v>-362.13538104451828</v>
      </c>
      <c r="BB26" s="218">
        <f t="shared" si="6"/>
        <v>-281.69132042006572</v>
      </c>
    </row>
    <row r="44" spans="2:26" x14ac:dyDescent="0.25">
      <c r="B44" s="2" t="s">
        <v>422</v>
      </c>
      <c r="C44" s="2"/>
      <c r="D44" t="s">
        <v>423</v>
      </c>
      <c r="P44" s="218"/>
      <c r="Z44"/>
    </row>
    <row r="45" spans="2:26" x14ac:dyDescent="0.25">
      <c r="B45" s="3" t="s">
        <v>424</v>
      </c>
      <c r="C45" s="3"/>
      <c r="D45" t="s">
        <v>427</v>
      </c>
      <c r="P45" s="218"/>
      <c r="Z45"/>
    </row>
    <row r="46" spans="2:26" x14ac:dyDescent="0.25">
      <c r="B46" t="s">
        <v>425</v>
      </c>
      <c r="D46" t="s">
        <v>426</v>
      </c>
      <c r="P46" s="218"/>
      <c r="Z46"/>
    </row>
    <row r="49" spans="2:5" ht="15.75" thickBot="1" x14ac:dyDescent="0.3"/>
    <row r="50" spans="2:5" ht="18.75" thickBot="1" x14ac:dyDescent="0.4">
      <c r="B50" s="260" t="s">
        <v>483</v>
      </c>
      <c r="C50" s="227" t="s">
        <v>484</v>
      </c>
      <c r="D50" s="229"/>
      <c r="E50" s="230"/>
    </row>
    <row r="86" spans="2:20" ht="21" x14ac:dyDescent="0.35">
      <c r="B86" s="69" t="s">
        <v>563</v>
      </c>
      <c r="M86" s="8" t="s">
        <v>567</v>
      </c>
      <c r="N86" s="4">
        <v>300</v>
      </c>
      <c r="O86" s="5" t="s">
        <v>568</v>
      </c>
      <c r="P86" s="5"/>
      <c r="Q86" s="288">
        <f>N86*SQRT(2)</f>
        <v>424.26406871192853</v>
      </c>
      <c r="R86" s="107" t="s">
        <v>570</v>
      </c>
    </row>
    <row r="87" spans="2:20" ht="18" x14ac:dyDescent="0.35">
      <c r="M87" s="8" t="s">
        <v>569</v>
      </c>
      <c r="N87" s="288">
        <f>N86*SQRT(3)</f>
        <v>519.6152422706632</v>
      </c>
      <c r="O87" s="5" t="s">
        <v>568</v>
      </c>
      <c r="P87" s="5"/>
      <c r="Q87" s="288">
        <f>N87*SQRT(2)</f>
        <v>734.84692283495349</v>
      </c>
      <c r="R87" s="107" t="s">
        <v>570</v>
      </c>
    </row>
    <row r="88" spans="2:20" x14ac:dyDescent="0.25">
      <c r="M88" s="8" t="s">
        <v>564</v>
      </c>
      <c r="N88" s="4">
        <v>40</v>
      </c>
      <c r="O88" s="289" t="s">
        <v>317</v>
      </c>
      <c r="P88" s="5"/>
      <c r="Q88" s="107"/>
      <c r="R88" s="107"/>
    </row>
    <row r="89" spans="2:20" x14ac:dyDescent="0.25">
      <c r="M89" s="8" t="s">
        <v>565</v>
      </c>
      <c r="N89" s="4">
        <v>80</v>
      </c>
      <c r="O89" s="289" t="s">
        <v>317</v>
      </c>
      <c r="P89" s="5"/>
      <c r="Q89" s="107"/>
      <c r="R89" s="107"/>
    </row>
    <row r="90" spans="2:20" x14ac:dyDescent="0.25">
      <c r="M90" s="8" t="s">
        <v>566</v>
      </c>
      <c r="N90" s="4">
        <v>160</v>
      </c>
      <c r="O90" s="289" t="s">
        <v>317</v>
      </c>
      <c r="P90" s="5"/>
      <c r="Q90" s="107"/>
      <c r="R90" s="107"/>
    </row>
    <row r="94" spans="2:20" x14ac:dyDescent="0.25">
      <c r="J94" s="90" t="s">
        <v>571</v>
      </c>
      <c r="Q94" s="90" t="s">
        <v>581</v>
      </c>
    </row>
    <row r="96" spans="2:20" ht="18.75" x14ac:dyDescent="0.35">
      <c r="J96" s="8" t="s">
        <v>572</v>
      </c>
      <c r="K96" s="5" t="s">
        <v>573</v>
      </c>
      <c r="L96" s="290">
        <f>$N$86^2/$N$88</f>
        <v>2250</v>
      </c>
      <c r="M96" s="5" t="s">
        <v>574</v>
      </c>
      <c r="Q96" s="8"/>
      <c r="R96" s="5"/>
      <c r="S96" s="290"/>
      <c r="T96" s="5"/>
    </row>
    <row r="97" spans="10:14" ht="18.75" x14ac:dyDescent="0.35">
      <c r="J97" s="8" t="s">
        <v>575</v>
      </c>
      <c r="K97" s="5" t="s">
        <v>578</v>
      </c>
      <c r="L97" s="290">
        <f>$N$86^2/$N$89</f>
        <v>1125</v>
      </c>
      <c r="M97" s="5" t="s">
        <v>574</v>
      </c>
    </row>
    <row r="98" spans="10:14" ht="18.75" x14ac:dyDescent="0.35">
      <c r="J98" s="8" t="s">
        <v>576</v>
      </c>
      <c r="K98" s="5" t="s">
        <v>579</v>
      </c>
      <c r="L98" s="290">
        <f>$N$86^2/$N$90</f>
        <v>562.5</v>
      </c>
      <c r="M98" s="5" t="s">
        <v>574</v>
      </c>
    </row>
    <row r="99" spans="10:14" ht="18" x14ac:dyDescent="0.35">
      <c r="J99" s="8" t="s">
        <v>577</v>
      </c>
      <c r="K99" s="5" t="s">
        <v>580</v>
      </c>
      <c r="L99" s="290">
        <f>SUM(L96:L98)</f>
        <v>3937.5</v>
      </c>
      <c r="M99" s="5" t="s">
        <v>574</v>
      </c>
    </row>
    <row r="100" spans="10:14" ht="21.6" customHeight="1" x14ac:dyDescent="0.25"/>
    <row r="101" spans="10:14" ht="18" x14ac:dyDescent="0.35">
      <c r="J101" s="292" t="s">
        <v>598</v>
      </c>
      <c r="K101" s="298" t="s">
        <v>599</v>
      </c>
      <c r="L101" s="290">
        <f>$N$86/N88</f>
        <v>7.5</v>
      </c>
      <c r="M101" s="5" t="s">
        <v>38</v>
      </c>
    </row>
    <row r="102" spans="10:14" ht="18" x14ac:dyDescent="0.35">
      <c r="J102" s="292" t="s">
        <v>600</v>
      </c>
      <c r="K102" s="298" t="s">
        <v>601</v>
      </c>
      <c r="L102" s="290">
        <f>$N$86/N89</f>
        <v>3.75</v>
      </c>
      <c r="M102" s="5" t="s">
        <v>38</v>
      </c>
    </row>
    <row r="103" spans="10:14" ht="18" x14ac:dyDescent="0.35">
      <c r="J103" s="292" t="s">
        <v>602</v>
      </c>
      <c r="K103" s="298" t="s">
        <v>603</v>
      </c>
      <c r="L103" s="290">
        <f>$N$86/N90</f>
        <v>1.875</v>
      </c>
      <c r="M103" s="5" t="s">
        <v>38</v>
      </c>
    </row>
    <row r="106" spans="10:14" x14ac:dyDescent="0.25">
      <c r="J106" s="8" t="s">
        <v>195</v>
      </c>
      <c r="K106" s="95" t="s">
        <v>207</v>
      </c>
      <c r="L106" s="95" t="s">
        <v>206</v>
      </c>
      <c r="M106" s="95" t="s">
        <v>411</v>
      </c>
      <c r="N106" s="95" t="s">
        <v>412</v>
      </c>
    </row>
    <row r="107" spans="10:14" ht="18" x14ac:dyDescent="0.35">
      <c r="J107" s="292" t="s">
        <v>604</v>
      </c>
      <c r="K107" s="298">
        <v>0</v>
      </c>
      <c r="L107" s="297">
        <f>L101</f>
        <v>7.5</v>
      </c>
      <c r="M107" s="290">
        <f>L107*COS(RADIANS(K107))</f>
        <v>7.5</v>
      </c>
      <c r="N107" s="290">
        <f>L107*SIN(RADIANS(K107))</f>
        <v>0</v>
      </c>
    </row>
    <row r="108" spans="10:14" ht="18" x14ac:dyDescent="0.35">
      <c r="J108" s="292" t="s">
        <v>605</v>
      </c>
      <c r="K108" s="298">
        <v>120</v>
      </c>
      <c r="L108" s="297">
        <f>L102</f>
        <v>3.75</v>
      </c>
      <c r="M108" s="290">
        <f>L108*COS(RADIANS(K108))</f>
        <v>-1.8749999999999991</v>
      </c>
      <c r="N108" s="290">
        <f>L108*SIN(RADIANS(K108))</f>
        <v>3.247595264191645</v>
      </c>
    </row>
    <row r="109" spans="10:14" ht="18.75" thickBot="1" x14ac:dyDescent="0.4">
      <c r="J109" s="303" t="s">
        <v>606</v>
      </c>
      <c r="K109" s="304">
        <v>240</v>
      </c>
      <c r="L109" s="305">
        <f>L103</f>
        <v>1.875</v>
      </c>
      <c r="M109" s="290">
        <f>L109*COS(RADIANS(K109))</f>
        <v>-0.93750000000000089</v>
      </c>
      <c r="N109" s="290">
        <f>L109*SIN(RADIANS(K109))</f>
        <v>-1.6237976320958221</v>
      </c>
    </row>
    <row r="110" spans="10:14" ht="18.75" thickBot="1" x14ac:dyDescent="0.4">
      <c r="J110" s="306" t="s">
        <v>597</v>
      </c>
      <c r="K110" s="307">
        <f>IF(N110&lt;&gt;0,DEGREES(ATAN2(M110,N110)),0)</f>
        <v>19.106605350869099</v>
      </c>
      <c r="L110" s="308">
        <f>SQRT(M110^2+N110^2)</f>
        <v>4.9607837082461073</v>
      </c>
      <c r="M110" s="302">
        <f>SUM(M107:M109)</f>
        <v>4.6875</v>
      </c>
      <c r="N110" s="290">
        <f>SUM(N107:N109)</f>
        <v>1.623797632095823</v>
      </c>
    </row>
    <row r="111" spans="10:14" ht="7.5" customHeight="1" x14ac:dyDescent="0.25">
      <c r="J111" s="1"/>
      <c r="K111" s="291"/>
      <c r="L111" s="291"/>
      <c r="M111" s="291"/>
      <c r="N111" s="291"/>
    </row>
    <row r="112" spans="10:14" ht="7.5" customHeight="1" x14ac:dyDescent="0.25">
      <c r="J112" s="1"/>
      <c r="K112" s="291"/>
      <c r="L112" s="291"/>
      <c r="M112" s="291"/>
      <c r="N112" s="291"/>
    </row>
    <row r="113" spans="10:15" ht="7.5" customHeight="1" x14ac:dyDescent="0.25">
      <c r="J113" s="1"/>
      <c r="K113" s="291"/>
      <c r="L113" s="291"/>
      <c r="M113" s="291"/>
      <c r="N113" s="291"/>
    </row>
    <row r="114" spans="10:15" x14ac:dyDescent="0.25">
      <c r="K114" s="95" t="s">
        <v>225</v>
      </c>
      <c r="L114" s="95" t="s">
        <v>226</v>
      </c>
      <c r="M114" s="95" t="s">
        <v>227</v>
      </c>
      <c r="N114" s="95" t="s">
        <v>228</v>
      </c>
    </row>
    <row r="115" spans="10:15" ht="18" x14ac:dyDescent="0.35">
      <c r="J115" s="292" t="s">
        <v>604</v>
      </c>
      <c r="K115" s="77">
        <v>0</v>
      </c>
      <c r="L115" s="290">
        <f>M107</f>
        <v>7.5</v>
      </c>
      <c r="M115" s="77">
        <v>0</v>
      </c>
      <c r="N115" s="290">
        <f>N107</f>
        <v>0</v>
      </c>
    </row>
    <row r="116" spans="10:15" ht="18" x14ac:dyDescent="0.35">
      <c r="J116" s="292" t="s">
        <v>605</v>
      </c>
      <c r="K116" s="77">
        <f>IF($L$121=$AQ$3,0,L115)</f>
        <v>0</v>
      </c>
      <c r="L116" s="290">
        <f>IF($L$121=$AQ$3,M108,L115+M108)</f>
        <v>-1.8749999999999991</v>
      </c>
      <c r="M116" s="77">
        <f>IF($L$121=$AQ$3,0,N115)</f>
        <v>0</v>
      </c>
      <c r="N116" s="290">
        <f>IF($L$121=$AQ$3,N108,N115+N108)</f>
        <v>3.247595264191645</v>
      </c>
    </row>
    <row r="117" spans="10:15" ht="18" x14ac:dyDescent="0.35">
      <c r="J117" s="292" t="s">
        <v>606</v>
      </c>
      <c r="K117" s="77">
        <f>IF($L$121=$AQ$3,0,L116)</f>
        <v>0</v>
      </c>
      <c r="L117" s="290">
        <f>IF($L$121=$AQ$3,M109,L116+M109)</f>
        <v>-0.93750000000000089</v>
      </c>
      <c r="M117" s="77">
        <f>IF($L$121=$AQ$3,0,N116)</f>
        <v>0</v>
      </c>
      <c r="N117" s="290">
        <f>IF($L$121=$AQ$3,N109,N116+N109)</f>
        <v>-1.6237976320958221</v>
      </c>
    </row>
    <row r="118" spans="10:15" ht="18" x14ac:dyDescent="0.35">
      <c r="J118" s="292" t="s">
        <v>597</v>
      </c>
      <c r="K118" s="77">
        <v>0</v>
      </c>
      <c r="L118" s="290">
        <f>M110</f>
        <v>4.6875</v>
      </c>
      <c r="M118" s="77">
        <v>0</v>
      </c>
      <c r="N118" s="290">
        <f>N110</f>
        <v>1.623797632095823</v>
      </c>
    </row>
    <row r="119" spans="10:15" x14ac:dyDescent="0.25">
      <c r="M119" s="8" t="s">
        <v>607</v>
      </c>
      <c r="N119" s="299">
        <f>1.2*MAX(L107:N118,K115:K118)</f>
        <v>9</v>
      </c>
    </row>
    <row r="120" spans="10:15" ht="15.75" thickBot="1" x14ac:dyDescent="0.3">
      <c r="M120" s="1"/>
      <c r="N120" s="291"/>
    </row>
    <row r="121" spans="10:15" ht="15.75" thickBot="1" x14ac:dyDescent="0.3">
      <c r="J121" s="227"/>
      <c r="K121" s="300" t="s">
        <v>582</v>
      </c>
      <c r="L121" s="301" t="s">
        <v>65</v>
      </c>
    </row>
    <row r="123" spans="10:15" x14ac:dyDescent="0.25">
      <c r="M123" t="s">
        <v>595</v>
      </c>
      <c r="N123" s="291">
        <f>-N119</f>
        <v>-9</v>
      </c>
      <c r="O123" s="291">
        <f>N119</f>
        <v>9</v>
      </c>
    </row>
    <row r="124" spans="10:15" x14ac:dyDescent="0.25">
      <c r="N124">
        <v>0</v>
      </c>
      <c r="O124">
        <v>0</v>
      </c>
    </row>
    <row r="125" spans="10:15" x14ac:dyDescent="0.25">
      <c r="M125" t="s">
        <v>596</v>
      </c>
      <c r="N125">
        <v>0</v>
      </c>
      <c r="O125">
        <v>0</v>
      </c>
    </row>
    <row r="126" spans="10:15" x14ac:dyDescent="0.25">
      <c r="N126" s="291">
        <f>N123</f>
        <v>-9</v>
      </c>
      <c r="O126" s="291">
        <f>O123</f>
        <v>9</v>
      </c>
    </row>
  </sheetData>
  <mergeCells count="2">
    <mergeCell ref="M9:P9"/>
    <mergeCell ref="R9:V9"/>
  </mergeCells>
  <dataValidations count="1">
    <dataValidation type="list" allowBlank="1" showInputMessage="1" showErrorMessage="1" sqref="L121" xr:uid="{CDE02CC4-0708-4446-821A-1CA57401204E}">
      <formula1>$AQ$2:$AQ$3</formula1>
    </dataValidation>
  </dataValidations>
  <pageMargins left="0.7" right="0.7" top="0.78740157499999996" bottom="0.78740157499999996" header="0.3" footer="0.3"/>
  <pageSetup paperSize="9" scale="93" orientation="portrait" r:id="rId1"/>
  <colBreaks count="1" manualBreakCount="1">
    <brk id="15" max="1048575" man="1"/>
  </colBreaks>
  <drawing r:id="rId2"/>
  <legacyDrawing r:id="rId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EA3B9-96CB-466D-8D95-4B5F44B0AC67}">
  <sheetPr>
    <pageSetUpPr fitToPage="1"/>
  </sheetPr>
  <dimension ref="C2:AC273"/>
  <sheetViews>
    <sheetView showGridLines="0" zoomScale="40" zoomScaleNormal="40" zoomScalePageLayoutView="25" workbookViewId="0">
      <selection activeCell="C2" sqref="C2"/>
    </sheetView>
  </sheetViews>
  <sheetFormatPr baseColWidth="10" defaultRowHeight="15.75" x14ac:dyDescent="0.25"/>
  <cols>
    <col min="16" max="16" width="50.5703125" style="120" customWidth="1"/>
    <col min="17" max="17" width="4.85546875" style="147" customWidth="1"/>
    <col min="18" max="18" width="34.5703125" style="121" customWidth="1"/>
    <col min="19" max="19" width="3.85546875" style="143" customWidth="1"/>
    <col min="20" max="20" width="12" customWidth="1"/>
    <col min="21" max="21" width="50.5703125" style="1" customWidth="1"/>
    <col min="22" max="22" width="4.85546875" style="37" customWidth="1"/>
    <col min="23" max="23" width="24.5703125" customWidth="1"/>
    <col min="24" max="24" width="3.85546875" customWidth="1"/>
    <col min="26" max="26" width="50.5703125" customWidth="1"/>
    <col min="27" max="27" width="4.85546875" style="55" customWidth="1"/>
    <col min="28" max="28" width="24.5703125" customWidth="1"/>
    <col min="29" max="29" width="3.85546875" customWidth="1"/>
  </cols>
  <sheetData>
    <row r="2" spans="3:29" ht="26.25" x14ac:dyDescent="0.4">
      <c r="C2" s="29" t="s">
        <v>318</v>
      </c>
    </row>
    <row r="5" spans="3:29" ht="24" x14ac:dyDescent="0.45">
      <c r="P5" s="136" t="s">
        <v>329</v>
      </c>
      <c r="Q5" s="135" t="s">
        <v>328</v>
      </c>
      <c r="R5" s="122">
        <v>0.5</v>
      </c>
      <c r="S5" s="175" t="s">
        <v>317</v>
      </c>
      <c r="U5" s="173" t="str">
        <f>U59</f>
        <v>U1</v>
      </c>
      <c r="V5" s="197" t="str">
        <f>V59</f>
        <v xml:space="preserve"> =</v>
      </c>
      <c r="W5" s="173">
        <f>W59</f>
        <v>0.38502673796791448</v>
      </c>
      <c r="X5" s="191" t="str">
        <f>X59</f>
        <v>V</v>
      </c>
      <c r="Z5" s="185" t="str">
        <f>U98</f>
        <v>I1 = I23 = I123</v>
      </c>
      <c r="AA5" s="184" t="str">
        <f>V98</f>
        <v xml:space="preserve"> =</v>
      </c>
      <c r="AB5" s="185">
        <f>W98</f>
        <v>0.77005347593582896</v>
      </c>
      <c r="AC5" s="183" t="str">
        <f>X98</f>
        <v>A</v>
      </c>
    </row>
    <row r="6" spans="3:29" ht="24" x14ac:dyDescent="0.45">
      <c r="P6" s="136" t="s">
        <v>330</v>
      </c>
      <c r="Q6" s="135" t="s">
        <v>328</v>
      </c>
      <c r="R6" s="122">
        <v>0.5</v>
      </c>
      <c r="S6" s="175" t="s">
        <v>317</v>
      </c>
      <c r="U6" s="173" t="str">
        <f>U62</f>
        <v>U1 = U2 = U23</v>
      </c>
      <c r="V6" s="197" t="str">
        <f>V62</f>
        <v xml:space="preserve"> =</v>
      </c>
      <c r="W6" s="173">
        <f>W62</f>
        <v>0.25668449197860965</v>
      </c>
      <c r="X6" s="191" t="str">
        <f>X62</f>
        <v>V</v>
      </c>
      <c r="Z6" s="185" t="str">
        <f>U18</f>
        <v>I2</v>
      </c>
      <c r="AA6" s="184" t="str">
        <f>V18</f>
        <v xml:space="preserve"> =</v>
      </c>
      <c r="AB6" s="183">
        <f>W18</f>
        <v>0.5133689839572193</v>
      </c>
      <c r="AC6" s="183" t="str">
        <f>X18</f>
        <v>A</v>
      </c>
    </row>
    <row r="7" spans="3:29" ht="24" x14ac:dyDescent="0.45">
      <c r="P7" s="136" t="s">
        <v>331</v>
      </c>
      <c r="Q7" s="135" t="s">
        <v>328</v>
      </c>
      <c r="R7" s="122">
        <v>1</v>
      </c>
      <c r="S7" s="175" t="s">
        <v>317</v>
      </c>
      <c r="U7" s="173" t="str">
        <f>U62</f>
        <v>U1 = U2 = U23</v>
      </c>
      <c r="V7" s="197" t="str">
        <f>V62</f>
        <v xml:space="preserve"> =</v>
      </c>
      <c r="W7" s="173">
        <f>W62</f>
        <v>0.25668449197860965</v>
      </c>
      <c r="X7" s="191" t="str">
        <f>X62</f>
        <v>V</v>
      </c>
      <c r="Z7" s="185" t="str">
        <f>U21</f>
        <v>I3</v>
      </c>
      <c r="AA7" s="184" t="str">
        <f>V21</f>
        <v xml:space="preserve"> =</v>
      </c>
      <c r="AB7" s="185">
        <f>W21</f>
        <v>0.25668449197860965</v>
      </c>
      <c r="AC7" s="183" t="str">
        <f>X21</f>
        <v>A</v>
      </c>
    </row>
    <row r="8" spans="3:29" ht="24" x14ac:dyDescent="0.45">
      <c r="P8" s="136" t="s">
        <v>332</v>
      </c>
      <c r="Q8" s="135" t="s">
        <v>328</v>
      </c>
      <c r="R8" s="122">
        <v>1</v>
      </c>
      <c r="S8" s="175" t="s">
        <v>317</v>
      </c>
      <c r="U8" s="173" t="str">
        <f>U88</f>
        <v>U4 = U5 = U123 = U12345</v>
      </c>
      <c r="V8" s="197" t="str">
        <f>V88</f>
        <v xml:space="preserve"> =</v>
      </c>
      <c r="W8" s="173">
        <f>W88</f>
        <v>0.64171122994652408</v>
      </c>
      <c r="X8" s="191" t="str">
        <f>X88</f>
        <v>V</v>
      </c>
      <c r="Z8" s="185" t="str">
        <f>U24</f>
        <v>I4</v>
      </c>
      <c r="AA8" s="184" t="str">
        <f>V24</f>
        <v xml:space="preserve"> =</v>
      </c>
      <c r="AB8" s="185">
        <f>W24</f>
        <v>0.64171122994652408</v>
      </c>
      <c r="AC8" s="183" t="str">
        <f>X24</f>
        <v>A</v>
      </c>
    </row>
    <row r="9" spans="3:29" ht="24" x14ac:dyDescent="0.45">
      <c r="P9" s="136" t="s">
        <v>333</v>
      </c>
      <c r="Q9" s="135" t="s">
        <v>328</v>
      </c>
      <c r="R9" s="122">
        <v>2</v>
      </c>
      <c r="S9" s="175" t="s">
        <v>317</v>
      </c>
      <c r="U9" s="173" t="str">
        <f>U88</f>
        <v>U4 = U5 = U123 = U12345</v>
      </c>
      <c r="V9" s="197" t="str">
        <f>V88</f>
        <v xml:space="preserve"> =</v>
      </c>
      <c r="W9" s="173">
        <f>W88</f>
        <v>0.64171122994652408</v>
      </c>
      <c r="X9" s="191" t="str">
        <f>X88</f>
        <v>V</v>
      </c>
      <c r="Z9" s="185" t="str">
        <f>U27</f>
        <v>I5</v>
      </c>
      <c r="AA9" s="184" t="str">
        <f>V27</f>
        <v xml:space="preserve"> =</v>
      </c>
      <c r="AB9" s="185">
        <f>W27</f>
        <v>0.32085561497326204</v>
      </c>
      <c r="AC9" s="183" t="str">
        <f>X27</f>
        <v>A</v>
      </c>
    </row>
    <row r="10" spans="3:29" ht="24" x14ac:dyDescent="0.45">
      <c r="P10" s="136" t="s">
        <v>334</v>
      </c>
      <c r="Q10" s="135" t="s">
        <v>328</v>
      </c>
      <c r="R10" s="122">
        <v>2</v>
      </c>
      <c r="S10" s="175" t="s">
        <v>317</v>
      </c>
      <c r="U10" s="173" t="str">
        <f>U144</f>
        <v>U6</v>
      </c>
      <c r="V10" s="197" t="str">
        <f>V144</f>
        <v xml:space="preserve"> =</v>
      </c>
      <c r="W10" s="173">
        <f>W144</f>
        <v>3.4652406417112305</v>
      </c>
      <c r="X10" s="191" t="str">
        <f>X144</f>
        <v>V</v>
      </c>
      <c r="Z10" s="185" t="str">
        <f>U183</f>
        <v>I6 = I12345 = I123456</v>
      </c>
      <c r="AA10" s="184" t="str">
        <f>V183</f>
        <v xml:space="preserve"> =</v>
      </c>
      <c r="AB10" s="185">
        <f>W183</f>
        <v>1.7326203208556152</v>
      </c>
      <c r="AC10" s="183" t="str">
        <f>X183</f>
        <v>A</v>
      </c>
    </row>
    <row r="11" spans="3:29" ht="24" x14ac:dyDescent="0.45">
      <c r="P11" s="136" t="s">
        <v>335</v>
      </c>
      <c r="Q11" s="135" t="s">
        <v>328</v>
      </c>
      <c r="R11" s="122">
        <v>0.5</v>
      </c>
      <c r="S11" s="175" t="s">
        <v>317</v>
      </c>
      <c r="U11" s="173" t="str">
        <f>U31</f>
        <v>U7</v>
      </c>
      <c r="V11" s="197" t="str">
        <f>V31</f>
        <v xml:space="preserve"> =</v>
      </c>
      <c r="W11" s="173">
        <f>W31</f>
        <v>2.0534759358288772</v>
      </c>
      <c r="X11" s="191" t="str">
        <f>X31</f>
        <v>V</v>
      </c>
      <c r="Z11" s="185" t="str">
        <f>U68</f>
        <v>I7 = I8 = I78</v>
      </c>
      <c r="AA11" s="184" t="str">
        <f>V68</f>
        <v xml:space="preserve"> =</v>
      </c>
      <c r="AB11" s="185">
        <f>W68</f>
        <v>4.1069518716577544</v>
      </c>
      <c r="AC11" s="183" t="str">
        <f>X68</f>
        <v>A</v>
      </c>
    </row>
    <row r="12" spans="3:29" ht="24" x14ac:dyDescent="0.45">
      <c r="P12" s="136" t="s">
        <v>336</v>
      </c>
      <c r="Q12" s="135" t="s">
        <v>328</v>
      </c>
      <c r="R12" s="122">
        <v>0.5</v>
      </c>
      <c r="S12" s="175" t="s">
        <v>317</v>
      </c>
      <c r="U12" s="173" t="str">
        <f>U34</f>
        <v>U8</v>
      </c>
      <c r="V12" s="197" t="str">
        <f>V34</f>
        <v xml:space="preserve"> =</v>
      </c>
      <c r="W12" s="173">
        <f>W34</f>
        <v>2.0534759358288772</v>
      </c>
      <c r="X12" s="191" t="str">
        <f>X34</f>
        <v>V</v>
      </c>
      <c r="Z12" s="185" t="str">
        <f>U68</f>
        <v>I7 = I8 = I78</v>
      </c>
      <c r="AA12" s="184" t="str">
        <f>V68</f>
        <v xml:space="preserve"> =</v>
      </c>
      <c r="AB12" s="185">
        <f>W68</f>
        <v>4.1069518716577544</v>
      </c>
      <c r="AC12" s="183" t="str">
        <f>X68</f>
        <v>A</v>
      </c>
    </row>
    <row r="13" spans="3:29" ht="24" x14ac:dyDescent="0.45">
      <c r="P13" s="136" t="s">
        <v>337</v>
      </c>
      <c r="Q13" s="135" t="s">
        <v>328</v>
      </c>
      <c r="R13" s="122">
        <v>2</v>
      </c>
      <c r="S13" s="175" t="s">
        <v>317</v>
      </c>
      <c r="U13" s="173" t="str">
        <f>U172</f>
        <v>U9 = U123456789 = U78 = U123456</v>
      </c>
      <c r="V13" s="197" t="str">
        <f>V172</f>
        <v xml:space="preserve"> =</v>
      </c>
      <c r="W13" s="173">
        <f>W172</f>
        <v>4.1069518716577544</v>
      </c>
      <c r="X13" s="191" t="str">
        <f>X172</f>
        <v>V</v>
      </c>
      <c r="Z13" s="185" t="str">
        <f>U65</f>
        <v>I9</v>
      </c>
      <c r="AA13" s="184" t="str">
        <f>V65</f>
        <v xml:space="preserve"> =</v>
      </c>
      <c r="AB13" s="185">
        <f>W65</f>
        <v>2.0534759358288772</v>
      </c>
      <c r="AC13" s="183" t="str">
        <f>X65</f>
        <v>A</v>
      </c>
    </row>
    <row r="14" spans="3:29" ht="24" x14ac:dyDescent="0.45">
      <c r="P14" s="136" t="s">
        <v>338</v>
      </c>
      <c r="Q14" s="135" t="s">
        <v>328</v>
      </c>
      <c r="R14" s="122">
        <v>1</v>
      </c>
      <c r="S14" s="175" t="s">
        <v>317</v>
      </c>
      <c r="U14" s="173" t="str">
        <f>U229</f>
        <v>U10</v>
      </c>
      <c r="V14" s="197" t="str">
        <f>V229</f>
        <v xml:space="preserve"> =</v>
      </c>
      <c r="W14" s="173">
        <f>W229</f>
        <v>7.8930481283422456</v>
      </c>
      <c r="X14" s="191" t="str">
        <f>X229</f>
        <v>V</v>
      </c>
      <c r="Z14" s="185" t="str">
        <f>U273</f>
        <v>I10 = I123456789 = ITot</v>
      </c>
      <c r="AA14" s="184" t="str">
        <f>V273</f>
        <v xml:space="preserve"> =</v>
      </c>
      <c r="AB14" s="185">
        <f>W273</f>
        <v>7.8930481283422456</v>
      </c>
      <c r="AC14" s="183" t="str">
        <f>X273</f>
        <v>A</v>
      </c>
    </row>
    <row r="15" spans="3:29" ht="24" x14ac:dyDescent="0.45">
      <c r="P15" s="170" t="s">
        <v>398</v>
      </c>
      <c r="Q15" s="171" t="s">
        <v>328</v>
      </c>
      <c r="R15" s="172">
        <f>R273</f>
        <v>1.5203252032520327</v>
      </c>
      <c r="S15" s="176" t="s">
        <v>316</v>
      </c>
      <c r="U15" s="137" t="s">
        <v>397</v>
      </c>
      <c r="V15" s="198" t="s">
        <v>328</v>
      </c>
      <c r="W15" s="122">
        <v>12</v>
      </c>
      <c r="X15" s="192" t="s">
        <v>316</v>
      </c>
      <c r="Z15" s="185" t="str">
        <f>U273</f>
        <v>I10 = I123456789 = ITot</v>
      </c>
      <c r="AA15" s="184" t="str">
        <f>V273</f>
        <v xml:space="preserve"> =</v>
      </c>
      <c r="AB15" s="183">
        <f>W273</f>
        <v>7.8930481283422456</v>
      </c>
      <c r="AC15" s="183" t="str">
        <f>X273</f>
        <v>A</v>
      </c>
    </row>
    <row r="16" spans="3:29" x14ac:dyDescent="0.25">
      <c r="G16" s="119"/>
    </row>
    <row r="17" spans="16:24" ht="35.450000000000003" customHeight="1" x14ac:dyDescent="0.55000000000000004">
      <c r="U17" s="127" t="s">
        <v>385</v>
      </c>
      <c r="V17" s="198" t="s">
        <v>328</v>
      </c>
      <c r="W17" s="149" t="s">
        <v>391</v>
      </c>
      <c r="X17" s="5"/>
    </row>
    <row r="18" spans="16:24" ht="35.450000000000003" customHeight="1" x14ac:dyDescent="0.55000000000000004">
      <c r="P18" s="186" t="str">
        <f>P59</f>
        <v>R23</v>
      </c>
      <c r="Q18" s="187" t="str">
        <f>Q59</f>
        <v xml:space="preserve"> =</v>
      </c>
      <c r="R18" s="186">
        <f>R59</f>
        <v>0.33333333333333331</v>
      </c>
      <c r="S18" s="188" t="str">
        <f>S59</f>
        <v>Ω</v>
      </c>
      <c r="U18" s="155" t="s">
        <v>385</v>
      </c>
      <c r="V18" s="199" t="s">
        <v>328</v>
      </c>
      <c r="W18" s="156">
        <f>W62/R6</f>
        <v>0.5133689839572193</v>
      </c>
      <c r="X18" s="156" t="s">
        <v>38</v>
      </c>
    </row>
    <row r="19" spans="16:24" ht="35.450000000000003" customHeight="1" x14ac:dyDescent="0.25">
      <c r="P19" s="186" t="str">
        <f>P62</f>
        <v>R45</v>
      </c>
      <c r="Q19" s="187" t="str">
        <f>Q62</f>
        <v xml:space="preserve"> =</v>
      </c>
      <c r="R19" s="186">
        <f>R62</f>
        <v>0.66666666666666663</v>
      </c>
      <c r="S19" s="188" t="str">
        <f>S62</f>
        <v>Ω</v>
      </c>
    </row>
    <row r="20" spans="16:24" ht="35.450000000000003" customHeight="1" x14ac:dyDescent="0.55000000000000004">
      <c r="P20" s="186" t="str">
        <f>P65</f>
        <v>R78</v>
      </c>
      <c r="Q20" s="187" t="str">
        <f>Q65</f>
        <v xml:space="preserve"> =</v>
      </c>
      <c r="R20" s="186">
        <f>R65</f>
        <v>1</v>
      </c>
      <c r="S20" s="188" t="str">
        <f>S65</f>
        <v>Ω</v>
      </c>
      <c r="U20" s="127" t="s">
        <v>386</v>
      </c>
      <c r="V20" s="198" t="s">
        <v>328</v>
      </c>
      <c r="W20" s="149" t="s">
        <v>392</v>
      </c>
      <c r="X20" s="5"/>
    </row>
    <row r="21" spans="16:24" ht="35.450000000000003" customHeight="1" x14ac:dyDescent="0.55000000000000004">
      <c r="U21" s="155" t="s">
        <v>386</v>
      </c>
      <c r="V21" s="199" t="s">
        <v>328</v>
      </c>
      <c r="W21" s="156">
        <f>W62/R7</f>
        <v>0.25668449197860965</v>
      </c>
      <c r="X21" s="156" t="s">
        <v>38</v>
      </c>
    </row>
    <row r="22" spans="16:24" ht="35.450000000000003" customHeight="1" x14ac:dyDescent="0.25">
      <c r="P22" s="186" t="str">
        <f>P98</f>
        <v>R123</v>
      </c>
      <c r="Q22" s="187" t="str">
        <f>Q98</f>
        <v xml:space="preserve"> =</v>
      </c>
      <c r="R22" s="186">
        <f>R98</f>
        <v>0.83333333333333326</v>
      </c>
      <c r="S22" s="188" t="str">
        <f>S98</f>
        <v>Ω</v>
      </c>
    </row>
    <row r="23" spans="16:24" ht="35.450000000000003" customHeight="1" x14ac:dyDescent="0.55000000000000004">
      <c r="P23" s="186" t="str">
        <f>P101</f>
        <v>R789</v>
      </c>
      <c r="Q23" s="187" t="str">
        <f>Q101</f>
        <v xml:space="preserve"> =</v>
      </c>
      <c r="R23" s="186">
        <f>R101</f>
        <v>0.66666666666666663</v>
      </c>
      <c r="S23" s="188" t="str">
        <f>S101</f>
        <v>Ω</v>
      </c>
      <c r="U23" s="127" t="s">
        <v>387</v>
      </c>
      <c r="V23" s="198" t="s">
        <v>328</v>
      </c>
      <c r="W23" s="149" t="s">
        <v>393</v>
      </c>
      <c r="X23" s="5"/>
    </row>
    <row r="24" spans="16:24" ht="35.450000000000003" customHeight="1" x14ac:dyDescent="0.55000000000000004">
      <c r="U24" s="155" t="s">
        <v>387</v>
      </c>
      <c r="V24" s="199" t="s">
        <v>328</v>
      </c>
      <c r="W24" s="156">
        <f>W88/R8</f>
        <v>0.64171122994652408</v>
      </c>
      <c r="X24" s="156" t="s">
        <v>38</v>
      </c>
    </row>
    <row r="25" spans="16:24" ht="35.450000000000003" customHeight="1" x14ac:dyDescent="0.25">
      <c r="P25" s="186" t="str">
        <f>P141</f>
        <v>R12345</v>
      </c>
      <c r="Q25" s="187" t="str">
        <f>Q141</f>
        <v xml:space="preserve"> =</v>
      </c>
      <c r="R25" s="186">
        <f>R141</f>
        <v>0.37037037037037035</v>
      </c>
      <c r="S25" s="188" t="str">
        <f>S141</f>
        <v>Ω</v>
      </c>
    </row>
    <row r="26" spans="16:24" ht="35.450000000000003" customHeight="1" x14ac:dyDescent="0.55000000000000004">
      <c r="U26" s="127" t="s">
        <v>388</v>
      </c>
      <c r="V26" s="198" t="s">
        <v>328</v>
      </c>
      <c r="W26" s="149" t="s">
        <v>394</v>
      </c>
      <c r="X26" s="5"/>
    </row>
    <row r="27" spans="16:24" ht="35.450000000000003" customHeight="1" x14ac:dyDescent="0.55000000000000004">
      <c r="P27" s="186" t="str">
        <f>P180</f>
        <v>R123456</v>
      </c>
      <c r="Q27" s="187" t="str">
        <f>Q180</f>
        <v xml:space="preserve"> =</v>
      </c>
      <c r="R27" s="186">
        <f>R180</f>
        <v>2.3703703703703702</v>
      </c>
      <c r="S27" s="188" t="str">
        <f>S180</f>
        <v>Ω</v>
      </c>
      <c r="U27" s="155" t="s">
        <v>388</v>
      </c>
      <c r="V27" s="199" t="s">
        <v>328</v>
      </c>
      <c r="W27" s="156">
        <f>W88/R9</f>
        <v>0.32085561497326204</v>
      </c>
      <c r="X27" s="156" t="s">
        <v>38</v>
      </c>
    </row>
    <row r="28" spans="16:24" ht="35.450000000000003" customHeight="1" x14ac:dyDescent="0.25"/>
    <row r="29" spans="16:24" ht="35.450000000000003" customHeight="1" x14ac:dyDescent="0.25">
      <c r="P29" s="186" t="str">
        <f>P226</f>
        <v>R123456789</v>
      </c>
      <c r="Q29" s="187" t="str">
        <f>Q226</f>
        <v xml:space="preserve"> =</v>
      </c>
      <c r="R29" s="186">
        <f>R226</f>
        <v>0.52032520325203258</v>
      </c>
      <c r="S29" s="188" t="str">
        <f>S226</f>
        <v>Ω</v>
      </c>
    </row>
    <row r="30" spans="16:24" ht="35.450000000000003" customHeight="1" x14ac:dyDescent="0.55000000000000004">
      <c r="U30" s="160" t="s">
        <v>389</v>
      </c>
      <c r="V30" s="198" t="s">
        <v>328</v>
      </c>
      <c r="W30" s="162" t="s">
        <v>395</v>
      </c>
      <c r="X30" s="193"/>
    </row>
    <row r="31" spans="16:24" ht="35.450000000000003" customHeight="1" x14ac:dyDescent="0.55000000000000004">
      <c r="P31" s="186" t="str">
        <f>P273</f>
        <v>RTot</v>
      </c>
      <c r="Q31" s="187" t="str">
        <f>Q273</f>
        <v xml:space="preserve"> =</v>
      </c>
      <c r="R31" s="186">
        <f>R273</f>
        <v>1.5203252032520327</v>
      </c>
      <c r="S31" s="188" t="str">
        <f>S273</f>
        <v>Ω</v>
      </c>
      <c r="U31" s="165" t="s">
        <v>389</v>
      </c>
      <c r="V31" s="199" t="s">
        <v>328</v>
      </c>
      <c r="W31" s="166">
        <f>W68*R11</f>
        <v>2.0534759358288772</v>
      </c>
      <c r="X31" s="166" t="s">
        <v>316</v>
      </c>
    </row>
    <row r="32" spans="16:24" ht="35.450000000000003" customHeight="1" x14ac:dyDescent="0.25"/>
    <row r="33" spans="3:24" ht="35.450000000000003" customHeight="1" x14ac:dyDescent="0.55000000000000004">
      <c r="U33" s="160" t="s">
        <v>390</v>
      </c>
      <c r="V33" s="198" t="s">
        <v>328</v>
      </c>
      <c r="W33" s="162" t="s">
        <v>396</v>
      </c>
      <c r="X33" s="193"/>
    </row>
    <row r="34" spans="3:24" ht="35.450000000000003" customHeight="1" x14ac:dyDescent="0.55000000000000004">
      <c r="U34" s="165" t="s">
        <v>390</v>
      </c>
      <c r="V34" s="199" t="s">
        <v>328</v>
      </c>
      <c r="W34" s="166">
        <f>W68*R12</f>
        <v>2.0534759358288772</v>
      </c>
      <c r="X34" s="166" t="s">
        <v>316</v>
      </c>
    </row>
    <row r="35" spans="3:24" ht="35.450000000000003" customHeight="1" x14ac:dyDescent="0.25"/>
    <row r="36" spans="3:24" ht="35.450000000000003" customHeight="1" x14ac:dyDescent="0.25"/>
    <row r="37" spans="3:24" ht="35.450000000000003" customHeight="1" x14ac:dyDescent="0.25"/>
    <row r="38" spans="3:24" ht="35.450000000000003" customHeight="1" x14ac:dyDescent="0.25"/>
    <row r="39" spans="3:24" ht="35.450000000000003" customHeight="1" x14ac:dyDescent="0.25"/>
    <row r="40" spans="3:24" ht="35.450000000000003" customHeight="1" x14ac:dyDescent="0.25"/>
    <row r="41" spans="3:24" ht="12.95" customHeight="1" x14ac:dyDescent="0.25"/>
    <row r="42" spans="3:24" ht="12.95" customHeight="1" x14ac:dyDescent="0.25"/>
    <row r="45" spans="3:24" ht="26.25" x14ac:dyDescent="0.4">
      <c r="C45" s="29" t="s">
        <v>319</v>
      </c>
    </row>
    <row r="46" spans="3:24" x14ac:dyDescent="0.25">
      <c r="R46" s="120"/>
    </row>
    <row r="47" spans="3:24" x14ac:dyDescent="0.25">
      <c r="R47" s="120"/>
    </row>
    <row r="48" spans="3:24" ht="21" x14ac:dyDescent="0.35">
      <c r="P48" s="138" t="str">
        <f t="shared" ref="P48:S51" si="0">P6</f>
        <v>R2</v>
      </c>
      <c r="Q48" s="150" t="str">
        <f t="shared" si="0"/>
        <v xml:space="preserve"> =</v>
      </c>
      <c r="R48" s="138">
        <f t="shared" si="0"/>
        <v>0.5</v>
      </c>
      <c r="S48" s="142" t="str">
        <f t="shared" si="0"/>
        <v>Ω</v>
      </c>
      <c r="U48" s="6" t="str">
        <f>U98</f>
        <v>I1 = I23 = I123</v>
      </c>
      <c r="V48" s="200" t="str">
        <f>V98</f>
        <v xml:space="preserve"> =</v>
      </c>
      <c r="W48" s="6">
        <f>W98</f>
        <v>0.77005347593582896</v>
      </c>
      <c r="X48" s="168" t="str">
        <f>X98</f>
        <v>A</v>
      </c>
    </row>
    <row r="49" spans="16:24" ht="21" x14ac:dyDescent="0.35">
      <c r="P49" s="138" t="str">
        <f t="shared" si="0"/>
        <v>R3</v>
      </c>
      <c r="Q49" s="150" t="str">
        <f t="shared" si="0"/>
        <v xml:space="preserve"> =</v>
      </c>
      <c r="R49" s="138">
        <f t="shared" si="0"/>
        <v>1</v>
      </c>
      <c r="S49" s="142" t="str">
        <f t="shared" si="0"/>
        <v>Ω</v>
      </c>
      <c r="U49" s="163" t="str">
        <f>U226</f>
        <v>U9 = U123456789 = U78 = U123456</v>
      </c>
      <c r="V49" s="201" t="str">
        <f>V226</f>
        <v xml:space="preserve"> =</v>
      </c>
      <c r="W49" s="163">
        <f>W226</f>
        <v>4.1069518716577544</v>
      </c>
      <c r="X49" s="169" t="str">
        <f>X226</f>
        <v>V</v>
      </c>
    </row>
    <row r="50" spans="16:24" ht="21" x14ac:dyDescent="0.35">
      <c r="P50" s="138" t="str">
        <f t="shared" si="0"/>
        <v>R4</v>
      </c>
      <c r="Q50" s="150" t="str">
        <f t="shared" si="0"/>
        <v xml:space="preserve"> =</v>
      </c>
      <c r="R50" s="138">
        <f t="shared" si="0"/>
        <v>1</v>
      </c>
      <c r="S50" s="142" t="str">
        <f t="shared" si="0"/>
        <v>Ω</v>
      </c>
      <c r="U50" s="1" t="str">
        <f>P5</f>
        <v>R1</v>
      </c>
      <c r="V50" s="37" t="str">
        <f>Q5</f>
        <v xml:space="preserve"> =</v>
      </c>
      <c r="W50" s="1">
        <f>R5</f>
        <v>0.5</v>
      </c>
      <c r="X50" t="str">
        <f>S5</f>
        <v>Ω</v>
      </c>
    </row>
    <row r="51" spans="16:24" ht="21" x14ac:dyDescent="0.35">
      <c r="P51" s="138" t="str">
        <f t="shared" si="0"/>
        <v>R5</v>
      </c>
      <c r="Q51" s="150" t="str">
        <f t="shared" si="0"/>
        <v xml:space="preserve"> =</v>
      </c>
      <c r="R51" s="138">
        <f t="shared" si="0"/>
        <v>2</v>
      </c>
      <c r="S51" s="142" t="str">
        <f t="shared" si="0"/>
        <v>Ω</v>
      </c>
      <c r="U51" s="1" t="str">
        <f>P59</f>
        <v>R23</v>
      </c>
      <c r="V51" s="37" t="str">
        <f>Q59</f>
        <v xml:space="preserve"> =</v>
      </c>
      <c r="W51" s="1">
        <f>R59</f>
        <v>0.33333333333333331</v>
      </c>
      <c r="X51" t="str">
        <f>S59</f>
        <v>Ω</v>
      </c>
    </row>
    <row r="52" spans="16:24" ht="21" x14ac:dyDescent="0.35">
      <c r="P52" s="138" t="str">
        <f t="shared" ref="P52:S53" si="1">P11</f>
        <v>R7</v>
      </c>
      <c r="Q52" s="150" t="str">
        <f t="shared" si="1"/>
        <v xml:space="preserve"> =</v>
      </c>
      <c r="R52" s="138">
        <f t="shared" si="1"/>
        <v>0.5</v>
      </c>
      <c r="S52" s="142" t="str">
        <f t="shared" si="1"/>
        <v>Ω</v>
      </c>
      <c r="U52" s="1" t="str">
        <f>P65</f>
        <v>R78</v>
      </c>
      <c r="V52" s="37" t="str">
        <f>Q65</f>
        <v xml:space="preserve"> =</v>
      </c>
      <c r="W52" s="1">
        <f>R65</f>
        <v>1</v>
      </c>
      <c r="X52" t="str">
        <f>S65</f>
        <v>Ω</v>
      </c>
    </row>
    <row r="53" spans="16:24" ht="21" x14ac:dyDescent="0.35">
      <c r="P53" s="138" t="str">
        <f t="shared" si="1"/>
        <v>R8</v>
      </c>
      <c r="Q53" s="150" t="str">
        <f t="shared" si="1"/>
        <v xml:space="preserve"> =</v>
      </c>
      <c r="R53" s="138">
        <f t="shared" si="1"/>
        <v>0.5</v>
      </c>
      <c r="S53" s="142" t="str">
        <f t="shared" si="1"/>
        <v>Ω</v>
      </c>
      <c r="U53" s="1" t="str">
        <f>P13</f>
        <v>R9</v>
      </c>
      <c r="V53" s="37" t="str">
        <f>Q13</f>
        <v xml:space="preserve"> =</v>
      </c>
      <c r="W53" s="1">
        <f>R13</f>
        <v>2</v>
      </c>
      <c r="X53" t="str">
        <f>S13</f>
        <v>Ω</v>
      </c>
    </row>
    <row r="54" spans="16:24" x14ac:dyDescent="0.25">
      <c r="R54" s="120"/>
    </row>
    <row r="55" spans="16:24" x14ac:dyDescent="0.25">
      <c r="R55" s="120"/>
    </row>
    <row r="58" spans="16:24" ht="31.5" x14ac:dyDescent="0.55000000000000004">
      <c r="P58" s="123" t="s">
        <v>339</v>
      </c>
      <c r="Q58" s="135" t="s">
        <v>328</v>
      </c>
      <c r="R58" s="124" t="s">
        <v>343</v>
      </c>
      <c r="S58" s="177"/>
      <c r="U58" s="160" t="s">
        <v>379</v>
      </c>
      <c r="V58" s="198" t="s">
        <v>328</v>
      </c>
      <c r="W58" s="162" t="s">
        <v>381</v>
      </c>
      <c r="X58" s="193"/>
    </row>
    <row r="59" spans="16:24" ht="31.5" x14ac:dyDescent="0.55000000000000004">
      <c r="P59" s="139" t="s">
        <v>339</v>
      </c>
      <c r="Q59" s="140" t="s">
        <v>328</v>
      </c>
      <c r="R59" s="141">
        <f>1/(1/R6+1/R7)</f>
        <v>0.33333333333333331</v>
      </c>
      <c r="S59" s="178" t="s">
        <v>317</v>
      </c>
      <c r="U59" s="165" t="s">
        <v>379</v>
      </c>
      <c r="V59" s="199" t="s">
        <v>328</v>
      </c>
      <c r="W59" s="166">
        <f>W48*W50</f>
        <v>0.38502673796791448</v>
      </c>
      <c r="X59" s="166" t="s">
        <v>316</v>
      </c>
    </row>
    <row r="61" spans="16:24" ht="31.5" x14ac:dyDescent="0.55000000000000004">
      <c r="P61" s="123" t="s">
        <v>340</v>
      </c>
      <c r="Q61" s="135" t="s">
        <v>328</v>
      </c>
      <c r="R61" s="124" t="s">
        <v>344</v>
      </c>
      <c r="S61" s="177"/>
      <c r="U61" s="160" t="s">
        <v>380</v>
      </c>
      <c r="V61" s="198" t="s">
        <v>328</v>
      </c>
      <c r="W61" s="162" t="s">
        <v>382</v>
      </c>
      <c r="X61" s="193"/>
    </row>
    <row r="62" spans="16:24" ht="31.5" x14ac:dyDescent="0.55000000000000004">
      <c r="P62" s="139" t="s">
        <v>340</v>
      </c>
      <c r="Q62" s="140" t="s">
        <v>328</v>
      </c>
      <c r="R62" s="141">
        <f>1/(1/R8+1/R9)</f>
        <v>0.66666666666666663</v>
      </c>
      <c r="S62" s="178" t="s">
        <v>317</v>
      </c>
      <c r="U62" s="165" t="s">
        <v>404</v>
      </c>
      <c r="V62" s="199" t="s">
        <v>328</v>
      </c>
      <c r="W62" s="166">
        <f>W48*W51</f>
        <v>0.25668449197860965</v>
      </c>
      <c r="X62" s="166" t="s">
        <v>316</v>
      </c>
    </row>
    <row r="64" spans="16:24" ht="30.75" x14ac:dyDescent="0.55000000000000004">
      <c r="P64" s="123" t="s">
        <v>341</v>
      </c>
      <c r="Q64" s="135" t="s">
        <v>328</v>
      </c>
      <c r="R64" s="124" t="s">
        <v>345</v>
      </c>
      <c r="S64" s="177"/>
      <c r="U64" s="127" t="s">
        <v>378</v>
      </c>
      <c r="V64" s="198" t="s">
        <v>328</v>
      </c>
      <c r="W64" s="149" t="s">
        <v>383</v>
      </c>
      <c r="X64" s="5"/>
    </row>
    <row r="65" spans="16:24" ht="30.75" x14ac:dyDescent="0.55000000000000004">
      <c r="P65" s="139" t="s">
        <v>341</v>
      </c>
      <c r="Q65" s="140" t="s">
        <v>328</v>
      </c>
      <c r="R65" s="141">
        <f>R11+R12</f>
        <v>1</v>
      </c>
      <c r="S65" s="178" t="s">
        <v>317</v>
      </c>
      <c r="U65" s="155" t="s">
        <v>378</v>
      </c>
      <c r="V65" s="199" t="s">
        <v>328</v>
      </c>
      <c r="W65" s="156">
        <f>W49/W53</f>
        <v>2.0534759358288772</v>
      </c>
      <c r="X65" s="156" t="s">
        <v>38</v>
      </c>
    </row>
    <row r="67" spans="16:24" ht="30.75" x14ac:dyDescent="0.55000000000000004">
      <c r="U67" s="127" t="s">
        <v>377</v>
      </c>
      <c r="V67" s="198" t="s">
        <v>328</v>
      </c>
      <c r="W67" s="149" t="s">
        <v>384</v>
      </c>
      <c r="X67" s="5"/>
    </row>
    <row r="68" spans="16:24" ht="30.75" x14ac:dyDescent="0.55000000000000004">
      <c r="U68" s="155" t="s">
        <v>405</v>
      </c>
      <c r="V68" s="199" t="s">
        <v>328</v>
      </c>
      <c r="W68" s="156">
        <f>W49/W52</f>
        <v>4.1069518716577544</v>
      </c>
      <c r="X68" s="156" t="s">
        <v>38</v>
      </c>
    </row>
    <row r="70" spans="16:24" ht="16.5" thickBot="1" x14ac:dyDescent="0.3"/>
    <row r="71" spans="16:24" ht="32.25" thickBot="1" x14ac:dyDescent="0.6">
      <c r="U71" s="134" t="s">
        <v>400</v>
      </c>
      <c r="V71" s="202">
        <f>IF(W59+W62=W88,1,-1)</f>
        <v>1</v>
      </c>
    </row>
    <row r="72" spans="16:24" ht="16.5" thickBot="1" x14ac:dyDescent="0.3"/>
    <row r="73" spans="16:24" ht="31.5" thickBot="1" x14ac:dyDescent="0.6">
      <c r="U73" s="130" t="s">
        <v>401</v>
      </c>
      <c r="V73" s="203">
        <f>IF(W65+W68=W180,1,-1)</f>
        <v>1</v>
      </c>
    </row>
    <row r="79" spans="16:24" ht="3.6" customHeight="1" x14ac:dyDescent="0.25"/>
    <row r="80" spans="16:24" ht="3.6" customHeight="1" x14ac:dyDescent="0.25"/>
    <row r="81" spans="3:24" ht="3.6" customHeight="1" x14ac:dyDescent="0.25"/>
    <row r="82" spans="3:24" ht="3.6" customHeight="1" x14ac:dyDescent="0.25"/>
    <row r="83" spans="3:24" ht="3.6" customHeight="1" x14ac:dyDescent="0.25"/>
    <row r="88" spans="3:24" ht="26.25" x14ac:dyDescent="0.4">
      <c r="C88" s="29" t="s">
        <v>324</v>
      </c>
      <c r="P88" s="120" t="str">
        <f>P5</f>
        <v>R1</v>
      </c>
      <c r="Q88" s="147" t="str">
        <f>Q5</f>
        <v xml:space="preserve"> =</v>
      </c>
      <c r="R88" s="120">
        <f>R5</f>
        <v>0.5</v>
      </c>
      <c r="S88" s="143" t="str">
        <f>S5</f>
        <v>Ω</v>
      </c>
      <c r="U88" s="163" t="str">
        <f>U141</f>
        <v>U4 = U5 = U123 = U12345</v>
      </c>
      <c r="V88" s="201" t="str">
        <f>V141</f>
        <v xml:space="preserve"> =</v>
      </c>
      <c r="W88" s="163">
        <f>W141</f>
        <v>0.64171122994652408</v>
      </c>
      <c r="X88" s="169" t="str">
        <f>X141</f>
        <v>V</v>
      </c>
    </row>
    <row r="89" spans="3:24" x14ac:dyDescent="0.25">
      <c r="P89" s="120" t="str">
        <f>P13</f>
        <v>R9</v>
      </c>
      <c r="Q89" s="147" t="str">
        <f>Q13</f>
        <v xml:space="preserve"> =</v>
      </c>
      <c r="R89" s="120">
        <f>R13</f>
        <v>2</v>
      </c>
      <c r="S89" s="143" t="str">
        <f>S13</f>
        <v>Ω</v>
      </c>
      <c r="U89" s="1" t="str">
        <f>P98</f>
        <v>R123</v>
      </c>
      <c r="V89" s="37" t="str">
        <f>Q98</f>
        <v xml:space="preserve"> =</v>
      </c>
      <c r="W89" s="1">
        <f>R98</f>
        <v>0.83333333333333326</v>
      </c>
      <c r="X89" t="str">
        <f>S98</f>
        <v>Ω</v>
      </c>
    </row>
    <row r="90" spans="3:24" x14ac:dyDescent="0.25">
      <c r="P90" s="120" t="str">
        <f>P59</f>
        <v>R23</v>
      </c>
      <c r="Q90" s="147" t="str">
        <f>Q59</f>
        <v xml:space="preserve"> =</v>
      </c>
      <c r="R90" s="120">
        <f>R59</f>
        <v>0.33333333333333331</v>
      </c>
      <c r="S90" s="143" t="str">
        <f>S59</f>
        <v>Ω</v>
      </c>
      <c r="U90" s="1" t="str">
        <f>P135</f>
        <v>R45</v>
      </c>
      <c r="V90" s="37" t="str">
        <f>Q135</f>
        <v xml:space="preserve"> =</v>
      </c>
      <c r="W90" s="1">
        <f>R135</f>
        <v>0.66666666666666663</v>
      </c>
      <c r="X90" t="str">
        <f>S135</f>
        <v>Ω</v>
      </c>
    </row>
    <row r="91" spans="3:24" x14ac:dyDescent="0.25">
      <c r="P91" s="120" t="str">
        <f>P65</f>
        <v>R78</v>
      </c>
      <c r="Q91" s="147" t="str">
        <f>Q65</f>
        <v xml:space="preserve"> =</v>
      </c>
      <c r="R91" s="120">
        <f>R65</f>
        <v>1</v>
      </c>
      <c r="S91" s="143" t="str">
        <f>S65</f>
        <v>Ω</v>
      </c>
    </row>
    <row r="97" spans="16:24" ht="30.75" x14ac:dyDescent="0.55000000000000004">
      <c r="P97" s="123" t="s">
        <v>342</v>
      </c>
      <c r="Q97" s="135" t="s">
        <v>328</v>
      </c>
      <c r="R97" s="124" t="s">
        <v>346</v>
      </c>
      <c r="S97" s="177"/>
      <c r="U97" s="127" t="s">
        <v>373</v>
      </c>
      <c r="V97" s="198" t="s">
        <v>328</v>
      </c>
      <c r="W97" s="149" t="s">
        <v>374</v>
      </c>
      <c r="X97" s="5"/>
    </row>
    <row r="98" spans="16:24" ht="30.75" x14ac:dyDescent="0.55000000000000004">
      <c r="P98" s="139" t="s">
        <v>342</v>
      </c>
      <c r="Q98" s="140" t="s">
        <v>328</v>
      </c>
      <c r="R98" s="141">
        <f>R90+R88</f>
        <v>0.83333333333333326</v>
      </c>
      <c r="S98" s="178" t="s">
        <v>317</v>
      </c>
      <c r="U98" s="155" t="s">
        <v>408</v>
      </c>
      <c r="V98" s="199" t="s">
        <v>328</v>
      </c>
      <c r="W98" s="156">
        <f>W88/W89</f>
        <v>0.77005347593582896</v>
      </c>
      <c r="X98" s="156" t="s">
        <v>38</v>
      </c>
    </row>
    <row r="100" spans="16:24" ht="30.75" x14ac:dyDescent="0.55000000000000004">
      <c r="P100" s="123" t="s">
        <v>347</v>
      </c>
      <c r="Q100" s="135" t="s">
        <v>328</v>
      </c>
      <c r="R100" s="124" t="s">
        <v>348</v>
      </c>
      <c r="S100" s="177"/>
      <c r="U100" s="127" t="s">
        <v>375</v>
      </c>
      <c r="V100" s="198" t="s">
        <v>328</v>
      </c>
      <c r="W100" s="149" t="s">
        <v>376</v>
      </c>
      <c r="X100" s="5"/>
    </row>
    <row r="101" spans="16:24" ht="30.75" x14ac:dyDescent="0.55000000000000004">
      <c r="P101" s="139" t="s">
        <v>347</v>
      </c>
      <c r="Q101" s="140" t="s">
        <v>328</v>
      </c>
      <c r="R101" s="141">
        <f>1/(1/R89+1/R91)</f>
        <v>0.66666666666666663</v>
      </c>
      <c r="S101" s="178" t="s">
        <v>317</v>
      </c>
      <c r="U101" s="155" t="s">
        <v>375</v>
      </c>
      <c r="V101" s="199" t="s">
        <v>328</v>
      </c>
      <c r="W101" s="156">
        <f>W88/W90</f>
        <v>0.96256684491978617</v>
      </c>
      <c r="X101" s="156" t="s">
        <v>38</v>
      </c>
    </row>
    <row r="103" spans="16:24" ht="16.5" thickBot="1" x14ac:dyDescent="0.3"/>
    <row r="104" spans="16:24" ht="31.5" thickBot="1" x14ac:dyDescent="0.6">
      <c r="U104" s="130" t="s">
        <v>399</v>
      </c>
      <c r="V104" s="203">
        <f>IF(W98+W101=W137,1,-1)</f>
        <v>1</v>
      </c>
    </row>
    <row r="114" ht="3.6" customHeight="1" x14ac:dyDescent="0.25"/>
    <row r="115" ht="3.6" customHeight="1" x14ac:dyDescent="0.25"/>
    <row r="116" ht="3.6" customHeight="1" x14ac:dyDescent="0.25"/>
    <row r="117" ht="3.6" customHeight="1" x14ac:dyDescent="0.25"/>
    <row r="118" ht="3.6" customHeight="1" x14ac:dyDescent="0.25"/>
    <row r="119" ht="3.6" customHeight="1" x14ac:dyDescent="0.25"/>
    <row r="120" ht="3.6" customHeight="1" x14ac:dyDescent="0.25"/>
    <row r="121" ht="3.6" customHeight="1" x14ac:dyDescent="0.25"/>
    <row r="122" ht="3.6" customHeight="1" x14ac:dyDescent="0.25"/>
    <row r="123" ht="3.6" customHeight="1" x14ac:dyDescent="0.25"/>
    <row r="124" ht="3.6" customHeight="1" x14ac:dyDescent="0.25"/>
    <row r="125" ht="3.6" customHeight="1" x14ac:dyDescent="0.25"/>
    <row r="126" ht="3.6" customHeight="1" x14ac:dyDescent="0.25"/>
    <row r="127" ht="3.6" customHeight="1" x14ac:dyDescent="0.25"/>
    <row r="130" spans="3:24" ht="26.25" x14ac:dyDescent="0.4">
      <c r="C130" s="29" t="s">
        <v>323</v>
      </c>
    </row>
    <row r="134" spans="3:24" ht="28.5" x14ac:dyDescent="0.45">
      <c r="T134" s="132"/>
    </row>
    <row r="135" spans="3:24" ht="28.5" x14ac:dyDescent="0.45">
      <c r="P135" s="120" t="str">
        <f>P62</f>
        <v>R45</v>
      </c>
      <c r="Q135" s="147" t="str">
        <f>Q62</f>
        <v xml:space="preserve"> =</v>
      </c>
      <c r="R135" s="120">
        <f>R62</f>
        <v>0.66666666666666663</v>
      </c>
      <c r="S135" s="143" t="str">
        <f>S62</f>
        <v>Ω</v>
      </c>
      <c r="T135" s="132"/>
      <c r="U135" s="1" t="str">
        <f>P141</f>
        <v>R12345</v>
      </c>
      <c r="V135" s="37" t="str">
        <f>Q141</f>
        <v xml:space="preserve"> =</v>
      </c>
      <c r="W135" s="1">
        <f>R141</f>
        <v>0.37037037037037035</v>
      </c>
      <c r="X135" t="str">
        <f>S141</f>
        <v>Ω</v>
      </c>
    </row>
    <row r="136" spans="3:24" ht="28.5" x14ac:dyDescent="0.45">
      <c r="P136" s="120" t="str">
        <f>P98</f>
        <v>R123</v>
      </c>
      <c r="Q136" s="147" t="str">
        <f>Q98</f>
        <v xml:space="preserve"> =</v>
      </c>
      <c r="R136" s="120">
        <f>R98</f>
        <v>0.83333333333333326</v>
      </c>
      <c r="S136" s="143" t="str">
        <f>S98</f>
        <v>Ω</v>
      </c>
      <c r="T136" s="132"/>
      <c r="U136" s="1" t="str">
        <f>P172</f>
        <v>R6</v>
      </c>
      <c r="V136" s="37" t="str">
        <f>Q172</f>
        <v xml:space="preserve"> =</v>
      </c>
      <c r="W136" s="1">
        <f>R172</f>
        <v>2</v>
      </c>
      <c r="X136" t="str">
        <f>S172</f>
        <v>Ω</v>
      </c>
    </row>
    <row r="137" spans="3:24" ht="28.5" x14ac:dyDescent="0.45">
      <c r="P137" s="133"/>
      <c r="Q137" s="148"/>
      <c r="R137" s="132"/>
      <c r="S137" s="167"/>
      <c r="T137" s="132"/>
      <c r="U137" s="6" t="str">
        <f>U183</f>
        <v>I6 = I12345 = I123456</v>
      </c>
      <c r="V137" s="200" t="str">
        <f>V183</f>
        <v xml:space="preserve"> =</v>
      </c>
      <c r="W137" s="6">
        <f>W183</f>
        <v>1.7326203208556152</v>
      </c>
      <c r="X137" s="168" t="str">
        <f>X183</f>
        <v>A</v>
      </c>
    </row>
    <row r="140" spans="3:24" ht="31.5" x14ac:dyDescent="0.55000000000000004">
      <c r="P140" s="131" t="s">
        <v>349</v>
      </c>
      <c r="Q140" s="135" t="s">
        <v>328</v>
      </c>
      <c r="R140" s="124" t="s">
        <v>350</v>
      </c>
      <c r="S140" s="179"/>
      <c r="U140" s="160" t="s">
        <v>370</v>
      </c>
      <c r="V140" s="198" t="s">
        <v>328</v>
      </c>
      <c r="W140" s="162" t="s">
        <v>364</v>
      </c>
      <c r="X140" s="193"/>
    </row>
    <row r="141" spans="3:24" ht="31.5" x14ac:dyDescent="0.55000000000000004">
      <c r="P141" s="144" t="s">
        <v>349</v>
      </c>
      <c r="Q141" s="140" t="s">
        <v>328</v>
      </c>
      <c r="R141" s="145">
        <f>1/(1/R135+1/R136)</f>
        <v>0.37037037037037035</v>
      </c>
      <c r="S141" s="180" t="s">
        <v>317</v>
      </c>
      <c r="U141" s="165" t="s">
        <v>403</v>
      </c>
      <c r="V141" s="199" t="s">
        <v>328</v>
      </c>
      <c r="W141" s="166">
        <f>W137*W135</f>
        <v>0.64171122994652408</v>
      </c>
      <c r="X141" s="166" t="s">
        <v>316</v>
      </c>
    </row>
    <row r="143" spans="3:24" ht="31.5" x14ac:dyDescent="0.55000000000000004">
      <c r="U143" s="160" t="s">
        <v>371</v>
      </c>
      <c r="V143" s="198" t="s">
        <v>328</v>
      </c>
      <c r="W143" s="162" t="s">
        <v>366</v>
      </c>
      <c r="X143" s="193"/>
    </row>
    <row r="144" spans="3:24" ht="31.5" x14ac:dyDescent="0.55000000000000004">
      <c r="U144" s="165" t="s">
        <v>371</v>
      </c>
      <c r="V144" s="199" t="s">
        <v>328</v>
      </c>
      <c r="W144" s="166">
        <f>W137*W136</f>
        <v>3.4652406417112305</v>
      </c>
      <c r="X144" s="166" t="s">
        <v>316</v>
      </c>
    </row>
    <row r="145" spans="21:24" ht="29.25" thickBot="1" x14ac:dyDescent="0.5">
      <c r="W145" s="153"/>
      <c r="X145" s="132"/>
    </row>
    <row r="146" spans="21:24" ht="32.25" thickBot="1" x14ac:dyDescent="0.6">
      <c r="U146" s="134" t="s">
        <v>372</v>
      </c>
      <c r="V146" s="202">
        <f>IF(W144+W141=W172,1,-1)</f>
        <v>1</v>
      </c>
    </row>
    <row r="155" spans="21:24" ht="5.0999999999999996" customHeight="1" x14ac:dyDescent="0.25"/>
    <row r="156" spans="21:24" ht="5.0999999999999996" customHeight="1" x14ac:dyDescent="0.25"/>
    <row r="157" spans="21:24" ht="5.0999999999999996" customHeight="1" x14ac:dyDescent="0.25"/>
    <row r="158" spans="21:24" ht="5.0999999999999996" customHeight="1" x14ac:dyDescent="0.25"/>
    <row r="159" spans="21:24" ht="5.0999999999999996" customHeight="1" x14ac:dyDescent="0.25"/>
    <row r="160" spans="21:24" ht="5.0999999999999996" customHeight="1" x14ac:dyDescent="0.25"/>
    <row r="161" spans="3:24" ht="5.0999999999999996" customHeight="1" x14ac:dyDescent="0.25"/>
    <row r="162" spans="3:24" ht="5.0999999999999996" customHeight="1" x14ac:dyDescent="0.25"/>
    <row r="163" spans="3:24" ht="5.0999999999999996" customHeight="1" x14ac:dyDescent="0.25"/>
    <row r="164" spans="3:24" ht="5.0999999999999996" customHeight="1" x14ac:dyDescent="0.25"/>
    <row r="165" spans="3:24" ht="5.0999999999999996" customHeight="1" x14ac:dyDescent="0.25"/>
    <row r="166" spans="3:24" ht="5.0999999999999996" customHeight="1" x14ac:dyDescent="0.25"/>
    <row r="167" spans="3:24" ht="5.0999999999999996" customHeight="1" x14ac:dyDescent="0.25"/>
    <row r="170" spans="3:24" ht="26.25" x14ac:dyDescent="0.4">
      <c r="C170" s="29" t="s">
        <v>322</v>
      </c>
    </row>
    <row r="171" spans="3:24" x14ac:dyDescent="0.25">
      <c r="E171" s="168">
        <f>$W$273</f>
        <v>7.8930481283422456</v>
      </c>
    </row>
    <row r="172" spans="3:24" ht="18.600000000000001" customHeight="1" x14ac:dyDescent="0.4">
      <c r="P172" s="120" t="str">
        <f>P10</f>
        <v>R6</v>
      </c>
      <c r="Q172" s="147" t="str">
        <f>Q10</f>
        <v xml:space="preserve"> =</v>
      </c>
      <c r="R172" s="120">
        <f>R10</f>
        <v>2</v>
      </c>
      <c r="S172" s="143" t="str">
        <f>S10</f>
        <v>Ω</v>
      </c>
      <c r="T172" s="128"/>
      <c r="U172" s="163" t="str">
        <f>U226</f>
        <v>U9 = U123456789 = U78 = U123456</v>
      </c>
      <c r="V172" s="201" t="str">
        <f>V226</f>
        <v xml:space="preserve"> =</v>
      </c>
      <c r="W172" s="163">
        <f>W226</f>
        <v>4.1069518716577544</v>
      </c>
      <c r="X172" s="169" t="str">
        <f>X226</f>
        <v>V</v>
      </c>
    </row>
    <row r="173" spans="3:24" ht="26.25" x14ac:dyDescent="0.4">
      <c r="P173" s="120" t="str">
        <f>P141</f>
        <v>R12345</v>
      </c>
      <c r="Q173" s="147" t="str">
        <f>Q141</f>
        <v xml:space="preserve"> =</v>
      </c>
      <c r="R173" s="120">
        <f>R141</f>
        <v>0.37037037037037035</v>
      </c>
      <c r="S173" s="143" t="str">
        <f>S141</f>
        <v>Ω</v>
      </c>
      <c r="T173" s="128"/>
      <c r="U173" s="1" t="str">
        <f>P180</f>
        <v>R123456</v>
      </c>
      <c r="V173" s="37" t="str">
        <f>Q180</f>
        <v xml:space="preserve"> =</v>
      </c>
      <c r="W173" s="1">
        <f>R180</f>
        <v>2.3703703703703702</v>
      </c>
      <c r="X173" t="str">
        <f>S180</f>
        <v>Ω</v>
      </c>
    </row>
    <row r="174" spans="3:24" x14ac:dyDescent="0.25">
      <c r="U174" s="1" t="str">
        <f>P217</f>
        <v>R789</v>
      </c>
      <c r="V174" s="37" t="str">
        <f>Q217</f>
        <v xml:space="preserve"> =</v>
      </c>
      <c r="W174" s="1">
        <f>R217</f>
        <v>0.66666666666666663</v>
      </c>
      <c r="X174" t="str">
        <f>S217</f>
        <v>Ω</v>
      </c>
    </row>
    <row r="175" spans="3:24" x14ac:dyDescent="0.25">
      <c r="U175" s="1" t="str">
        <f>P267</f>
        <v>R10</v>
      </c>
      <c r="V175" s="37" t="str">
        <f>Q267</f>
        <v xml:space="preserve"> =</v>
      </c>
      <c r="W175" s="1">
        <f>R267</f>
        <v>1</v>
      </c>
      <c r="X175" t="str">
        <f>S267</f>
        <v>Ω</v>
      </c>
    </row>
    <row r="176" spans="3:24" x14ac:dyDescent="0.25">
      <c r="U176" s="6" t="str">
        <f>U217</f>
        <v>I10 = I123456789 = ITot</v>
      </c>
      <c r="V176" s="200" t="str">
        <f>V217</f>
        <v xml:space="preserve"> =</v>
      </c>
      <c r="W176" s="6">
        <f>W217</f>
        <v>7.8930481283422456</v>
      </c>
      <c r="X176" s="168" t="str">
        <f>X217</f>
        <v>A</v>
      </c>
    </row>
    <row r="177" spans="4:24" x14ac:dyDescent="0.25">
      <c r="F177" s="163"/>
    </row>
    <row r="178" spans="4:24" x14ac:dyDescent="0.25">
      <c r="F178" s="163">
        <f>$W$226</f>
        <v>4.1069518716577544</v>
      </c>
      <c r="I178" s="163">
        <f>$W$226</f>
        <v>4.1069518716577544</v>
      </c>
    </row>
    <row r="179" spans="4:24" ht="30.75" x14ac:dyDescent="0.55000000000000004">
      <c r="D179" s="169">
        <f>$W$229</f>
        <v>7.8930481283422456</v>
      </c>
      <c r="P179" s="125" t="s">
        <v>351</v>
      </c>
      <c r="Q179" s="135" t="s">
        <v>328</v>
      </c>
      <c r="R179" s="126" t="s">
        <v>352</v>
      </c>
      <c r="S179" s="181"/>
      <c r="U179" s="127" t="s">
        <v>361</v>
      </c>
      <c r="V179" s="198" t="s">
        <v>328</v>
      </c>
      <c r="W179" s="149" t="s">
        <v>360</v>
      </c>
      <c r="X179" s="194"/>
    </row>
    <row r="180" spans="4:24" ht="30.75" x14ac:dyDescent="0.55000000000000004">
      <c r="P180" s="151" t="s">
        <v>351</v>
      </c>
      <c r="Q180" s="140" t="s">
        <v>328</v>
      </c>
      <c r="R180" s="152">
        <f>R172+R173</f>
        <v>2.3703703703703702</v>
      </c>
      <c r="S180" s="182" t="s">
        <v>317</v>
      </c>
      <c r="U180" s="155" t="s">
        <v>361</v>
      </c>
      <c r="V180" s="199" t="s">
        <v>328</v>
      </c>
      <c r="W180" s="156">
        <f>W172/W174</f>
        <v>6.1604278074866317</v>
      </c>
      <c r="X180" s="156" t="s">
        <v>38</v>
      </c>
    </row>
    <row r="182" spans="4:24" ht="30.75" x14ac:dyDescent="0.55000000000000004">
      <c r="U182" s="127" t="s">
        <v>363</v>
      </c>
      <c r="V182" s="198" t="s">
        <v>328</v>
      </c>
      <c r="W182" s="149" t="s">
        <v>362</v>
      </c>
      <c r="X182" s="194"/>
    </row>
    <row r="183" spans="4:24" ht="30.75" x14ac:dyDescent="0.55000000000000004">
      <c r="U183" s="155" t="s">
        <v>407</v>
      </c>
      <c r="V183" s="199" t="s">
        <v>328</v>
      </c>
      <c r="W183" s="156">
        <f>W172/W173</f>
        <v>1.7326203208556152</v>
      </c>
      <c r="X183" s="156" t="s">
        <v>38</v>
      </c>
    </row>
    <row r="185" spans="4:24" ht="16.5" thickBot="1" x14ac:dyDescent="0.3"/>
    <row r="186" spans="4:24" ht="31.5" thickBot="1" x14ac:dyDescent="0.6">
      <c r="U186" s="130" t="s">
        <v>325</v>
      </c>
      <c r="V186" s="203">
        <f>IF(W180+W183=W273,1,-1)</f>
        <v>1</v>
      </c>
      <c r="W186" s="174"/>
      <c r="X186" s="190"/>
    </row>
    <row r="187" spans="4:24" ht="26.25" x14ac:dyDescent="0.4">
      <c r="G187" s="168">
        <f>W180</f>
        <v>6.1604278074866317</v>
      </c>
      <c r="I187" s="168">
        <f>$W$183</f>
        <v>1.7326203208556152</v>
      </c>
      <c r="U187" s="189"/>
      <c r="V187" s="204"/>
      <c r="W187" s="190"/>
      <c r="X187" s="190"/>
    </row>
    <row r="188" spans="4:24" ht="26.25" x14ac:dyDescent="0.4">
      <c r="W188" s="154"/>
      <c r="X188" s="128"/>
    </row>
    <row r="194" ht="8.1" customHeight="1" x14ac:dyDescent="0.25"/>
    <row r="195" ht="8.1" customHeight="1" x14ac:dyDescent="0.25"/>
    <row r="196" ht="8.1" customHeight="1" x14ac:dyDescent="0.25"/>
    <row r="197" ht="8.1" customHeight="1" x14ac:dyDescent="0.25"/>
    <row r="198" ht="8.1" customHeight="1" x14ac:dyDescent="0.25"/>
    <row r="199" ht="8.1" customHeight="1" x14ac:dyDescent="0.25"/>
    <row r="200" ht="8.1" customHeight="1" x14ac:dyDescent="0.25"/>
    <row r="201" ht="8.1" customHeight="1" x14ac:dyDescent="0.25"/>
    <row r="202" ht="8.1" customHeight="1" x14ac:dyDescent="0.25"/>
    <row r="203" ht="8.1" customHeight="1" x14ac:dyDescent="0.25"/>
    <row r="204" ht="8.1" customHeight="1" x14ac:dyDescent="0.25"/>
    <row r="205" ht="8.1" customHeight="1" x14ac:dyDescent="0.25"/>
    <row r="206" ht="8.1" customHeight="1" x14ac:dyDescent="0.25"/>
    <row r="207" ht="8.1" customHeight="1" x14ac:dyDescent="0.25"/>
    <row r="213" spans="3:24" ht="26.25" x14ac:dyDescent="0.4">
      <c r="C213" s="29" t="s">
        <v>321</v>
      </c>
    </row>
    <row r="217" spans="3:24" x14ac:dyDescent="0.25">
      <c r="P217" s="120" t="str">
        <f>P101</f>
        <v>R789</v>
      </c>
      <c r="Q217" s="147" t="str">
        <f>Q101</f>
        <v xml:space="preserve"> =</v>
      </c>
      <c r="R217" s="120">
        <f>R101</f>
        <v>0.66666666666666663</v>
      </c>
      <c r="S217" s="143" t="str">
        <f>S101</f>
        <v>Ω</v>
      </c>
      <c r="U217" s="6" t="str">
        <f>U273</f>
        <v>I10 = I123456789 = ITot</v>
      </c>
      <c r="V217" s="200" t="str">
        <f>V273</f>
        <v xml:space="preserve"> =</v>
      </c>
      <c r="W217" s="6">
        <f>W273</f>
        <v>7.8930481283422456</v>
      </c>
      <c r="X217" s="168" t="str">
        <f>X273</f>
        <v>A</v>
      </c>
    </row>
    <row r="218" spans="3:24" x14ac:dyDescent="0.25">
      <c r="P218" s="120" t="str">
        <f>P180</f>
        <v>R123456</v>
      </c>
      <c r="Q218" s="147" t="str">
        <f>Q180</f>
        <v xml:space="preserve"> =</v>
      </c>
      <c r="R218" s="120">
        <f>R180</f>
        <v>2.3703703703703702</v>
      </c>
      <c r="S218" s="143" t="str">
        <f>S180</f>
        <v>Ω</v>
      </c>
      <c r="U218" s="1" t="str">
        <f>P226</f>
        <v>R123456789</v>
      </c>
      <c r="V218" s="37" t="str">
        <f>Q226</f>
        <v xml:space="preserve"> =</v>
      </c>
      <c r="W218" s="1">
        <f>R226</f>
        <v>0.52032520325203258</v>
      </c>
      <c r="X218" t="str">
        <f>S226</f>
        <v>Ω</v>
      </c>
    </row>
    <row r="219" spans="3:24" x14ac:dyDescent="0.25">
      <c r="H219" s="168">
        <f>$W$273</f>
        <v>7.8930481283422456</v>
      </c>
      <c r="U219" s="1" t="str">
        <f>P267</f>
        <v>R10</v>
      </c>
      <c r="V219" s="37" t="str">
        <f>Q267</f>
        <v xml:space="preserve"> =</v>
      </c>
      <c r="W219" s="1">
        <f>R267</f>
        <v>1</v>
      </c>
      <c r="X219" t="str">
        <f>S267</f>
        <v>Ω</v>
      </c>
    </row>
    <row r="221" spans="3:24" x14ac:dyDescent="0.25">
      <c r="D221" s="169">
        <f>$W$229</f>
        <v>7.8930481283422456</v>
      </c>
    </row>
    <row r="225" spans="9:24" ht="30.75" x14ac:dyDescent="0.55000000000000004">
      <c r="I225" s="163">
        <f>$W$226</f>
        <v>4.1069518716577544</v>
      </c>
      <c r="P225" s="125" t="s">
        <v>353</v>
      </c>
      <c r="Q225" s="135" t="s">
        <v>328</v>
      </c>
      <c r="R225" s="126" t="s">
        <v>354</v>
      </c>
      <c r="S225" s="181"/>
      <c r="T225" s="128"/>
      <c r="U225" s="157" t="s">
        <v>368</v>
      </c>
      <c r="V225" s="198" t="s">
        <v>328</v>
      </c>
      <c r="W225" s="161" t="s">
        <v>358</v>
      </c>
      <c r="X225" s="195"/>
    </row>
    <row r="226" spans="9:24" ht="30.75" x14ac:dyDescent="0.55000000000000004">
      <c r="P226" s="151" t="s">
        <v>353</v>
      </c>
      <c r="Q226" s="140" t="s">
        <v>328</v>
      </c>
      <c r="R226" s="152">
        <f>1/(1/R217+1/R218)</f>
        <v>0.52032520325203258</v>
      </c>
      <c r="S226" s="182" t="s">
        <v>317</v>
      </c>
      <c r="T226" s="128"/>
      <c r="U226" s="158" t="s">
        <v>402</v>
      </c>
      <c r="V226" s="199" t="s">
        <v>328</v>
      </c>
      <c r="W226" s="159">
        <f>W218*W217</f>
        <v>4.1069518716577544</v>
      </c>
      <c r="X226" s="159" t="s">
        <v>316</v>
      </c>
    </row>
    <row r="227" spans="9:24" ht="26.25" x14ac:dyDescent="0.4">
      <c r="P227" s="129"/>
      <c r="Q227" s="174"/>
      <c r="R227" s="128"/>
      <c r="S227" s="146"/>
      <c r="T227" s="128"/>
    </row>
    <row r="228" spans="9:24" ht="30.75" x14ac:dyDescent="0.55000000000000004">
      <c r="P228" s="129"/>
      <c r="Q228" s="174"/>
      <c r="R228" s="128"/>
      <c r="S228" s="146"/>
      <c r="T228" s="128"/>
      <c r="U228" s="157" t="s">
        <v>367</v>
      </c>
      <c r="V228" s="198" t="s">
        <v>328</v>
      </c>
      <c r="W228" s="149" t="s">
        <v>359</v>
      </c>
      <c r="X228" s="195"/>
    </row>
    <row r="229" spans="9:24" ht="30.75" x14ac:dyDescent="0.55000000000000004">
      <c r="U229" s="158" t="s">
        <v>367</v>
      </c>
      <c r="V229" s="199" t="s">
        <v>328</v>
      </c>
      <c r="W229" s="159">
        <f>W217*W219</f>
        <v>7.8930481283422456</v>
      </c>
      <c r="X229" s="159" t="s">
        <v>316</v>
      </c>
    </row>
    <row r="230" spans="9:24" ht="26.25" x14ac:dyDescent="0.4">
      <c r="W230" s="154"/>
      <c r="X230" s="128"/>
    </row>
    <row r="231" spans="9:24" ht="16.5" thickBot="1" x14ac:dyDescent="0.3"/>
    <row r="232" spans="9:24" ht="31.5" thickBot="1" x14ac:dyDescent="0.6">
      <c r="U232" s="130" t="s">
        <v>369</v>
      </c>
      <c r="V232" s="203">
        <f>IF(W226+W229=W267,1,-1)</f>
        <v>1</v>
      </c>
    </row>
    <row r="239" spans="9:24" ht="3.95" customHeight="1" x14ac:dyDescent="0.25"/>
    <row r="240" spans="9:24" ht="3.95" customHeight="1" x14ac:dyDescent="0.25"/>
    <row r="241" ht="3.95" customHeight="1" x14ac:dyDescent="0.25"/>
    <row r="242" ht="3.95" customHeight="1" x14ac:dyDescent="0.25"/>
    <row r="243" ht="3.95" customHeight="1" x14ac:dyDescent="0.25"/>
    <row r="244" ht="3.95" customHeight="1" x14ac:dyDescent="0.25"/>
    <row r="245" ht="3.95" customHeight="1" x14ac:dyDescent="0.25"/>
    <row r="246" ht="3.95" customHeight="1" x14ac:dyDescent="0.25"/>
    <row r="247" ht="3.95" customHeight="1" x14ac:dyDescent="0.25"/>
    <row r="248" ht="3.95" customHeight="1" x14ac:dyDescent="0.25"/>
    <row r="249" ht="3.95" customHeight="1" x14ac:dyDescent="0.25"/>
    <row r="250" ht="3.95" customHeight="1" x14ac:dyDescent="0.25"/>
    <row r="251" ht="3.95" customHeight="1" x14ac:dyDescent="0.25"/>
    <row r="252" ht="3.95" customHeight="1" x14ac:dyDescent="0.25"/>
    <row r="253" ht="3.95" customHeight="1" x14ac:dyDescent="0.25"/>
    <row r="254" ht="3.95" customHeight="1" x14ac:dyDescent="0.25"/>
    <row r="255" ht="3.95" customHeight="1" x14ac:dyDescent="0.25"/>
    <row r="257" spans="3:24" ht="26.25" x14ac:dyDescent="0.4">
      <c r="C257" s="29" t="s">
        <v>320</v>
      </c>
    </row>
    <row r="258" spans="3:24" ht="6.6" customHeight="1" x14ac:dyDescent="0.25"/>
    <row r="259" spans="3:24" ht="6.6" customHeight="1" x14ac:dyDescent="0.25"/>
    <row r="260" spans="3:24" ht="6.6" customHeight="1" x14ac:dyDescent="0.25"/>
    <row r="261" spans="3:24" ht="6.6" customHeight="1" x14ac:dyDescent="0.25"/>
    <row r="262" spans="3:24" ht="6.6" customHeight="1" x14ac:dyDescent="0.25"/>
    <row r="263" spans="3:24" ht="6.95" customHeight="1" x14ac:dyDescent="0.25"/>
    <row r="264" spans="3:24" ht="6.95" customHeight="1" x14ac:dyDescent="0.25"/>
    <row r="265" spans="3:24" ht="6.95" customHeight="1" x14ac:dyDescent="0.25"/>
    <row r="267" spans="3:24" x14ac:dyDescent="0.25">
      <c r="P267" s="120" t="str">
        <f>P14</f>
        <v>R10</v>
      </c>
      <c r="Q267" s="147" t="str">
        <f>Q14</f>
        <v xml:space="preserve"> =</v>
      </c>
      <c r="R267" s="120">
        <f>R14</f>
        <v>1</v>
      </c>
      <c r="S267" s="143" t="str">
        <f>S14</f>
        <v>Ω</v>
      </c>
      <c r="U267" s="163" t="str">
        <f>U15</f>
        <v>UTot</v>
      </c>
      <c r="V267" s="201" t="str">
        <f>V15</f>
        <v xml:space="preserve"> =</v>
      </c>
      <c r="W267" s="163">
        <f>W15</f>
        <v>12</v>
      </c>
      <c r="X267" s="169" t="str">
        <f>X15</f>
        <v>V</v>
      </c>
    </row>
    <row r="268" spans="3:24" x14ac:dyDescent="0.25">
      <c r="H268" s="168">
        <f>$W$273</f>
        <v>7.8930481283422456</v>
      </c>
      <c r="P268" s="120" t="str">
        <f>P226</f>
        <v>R123456789</v>
      </c>
      <c r="Q268" s="147" t="str">
        <f>Q226</f>
        <v xml:space="preserve"> =</v>
      </c>
      <c r="R268" s="120">
        <f>R226</f>
        <v>0.52032520325203258</v>
      </c>
      <c r="S268" s="143" t="str">
        <f>S226</f>
        <v>Ω</v>
      </c>
      <c r="U268" s="1" t="str">
        <f>P273</f>
        <v>RTot</v>
      </c>
      <c r="V268" s="37" t="str">
        <f>Q273</f>
        <v xml:space="preserve"> =</v>
      </c>
      <c r="W268" s="1">
        <f>R273</f>
        <v>1.5203252032520327</v>
      </c>
      <c r="X268" t="str">
        <f>S273</f>
        <v>Ω</v>
      </c>
    </row>
    <row r="272" spans="3:24" ht="30.75" x14ac:dyDescent="0.55000000000000004">
      <c r="P272" s="125" t="s">
        <v>357</v>
      </c>
      <c r="Q272" s="135" t="s">
        <v>328</v>
      </c>
      <c r="R272" s="126" t="s">
        <v>355</v>
      </c>
      <c r="S272" s="181"/>
      <c r="U272" s="127" t="s">
        <v>356</v>
      </c>
      <c r="V272" s="198" t="s">
        <v>328</v>
      </c>
      <c r="W272" s="149" t="s">
        <v>365</v>
      </c>
      <c r="X272" s="196"/>
    </row>
    <row r="273" spans="9:24" ht="30.75" x14ac:dyDescent="0.55000000000000004">
      <c r="I273" s="164">
        <f>W267</f>
        <v>12</v>
      </c>
      <c r="P273" s="151" t="s">
        <v>357</v>
      </c>
      <c r="Q273" s="140" t="s">
        <v>328</v>
      </c>
      <c r="R273" s="152">
        <f>R267+R268</f>
        <v>1.5203252032520327</v>
      </c>
      <c r="S273" s="182" t="s">
        <v>317</v>
      </c>
      <c r="U273" s="155" t="s">
        <v>406</v>
      </c>
      <c r="V273" s="205" t="s">
        <v>328</v>
      </c>
      <c r="W273" s="156">
        <f>W267/W268</f>
        <v>7.8930481283422456</v>
      </c>
      <c r="X273" s="156" t="s">
        <v>38</v>
      </c>
    </row>
  </sheetData>
  <phoneticPr fontId="37" type="noConversion"/>
  <pageMargins left="0.7" right="0.7" top="0.78740157499999996" bottom="0.78740157499999996" header="0.3" footer="0.3"/>
  <pageSetup paperSize="9" scale="29" fitToHeight="0" orientation="landscape" r:id="rId1"/>
  <rowBreaks count="6" manualBreakCount="6">
    <brk id="42" max="16383" man="1"/>
    <brk id="84" max="16383" man="1"/>
    <brk id="128" max="16383" man="1"/>
    <brk id="168" max="16383" man="1"/>
    <brk id="208" max="16383" man="1"/>
    <brk id="254" max="16383" man="1"/>
  </rowBreaks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" id="{2936F2A5-8C1D-40CF-BBEB-88B8D834F6E4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Symbols" iconId="0"/>
              <x14:cfIcon iconSet="3Symbols" iconId="0"/>
              <x14:cfIcon iconSet="3Symbols" iconId="2"/>
            </x14:iconSet>
          </x14:cfRule>
          <xm:sqref>V71</xm:sqref>
        </x14:conditionalFormatting>
        <x14:conditionalFormatting xmlns:xm="http://schemas.microsoft.com/office/excel/2006/main">
          <x14:cfRule type="iconSet" priority="1" id="{682C245C-22CA-4DE8-918D-2E0FF5E833D6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Symbols" iconId="0"/>
              <x14:cfIcon iconSet="3Symbols" iconId="0"/>
              <x14:cfIcon iconSet="3Symbols" iconId="2"/>
            </x14:iconSet>
          </x14:cfRule>
          <xm:sqref>V73</xm:sqref>
        </x14:conditionalFormatting>
        <x14:conditionalFormatting xmlns:xm="http://schemas.microsoft.com/office/excel/2006/main">
          <x14:cfRule type="iconSet" priority="3" id="{F101D5F7-D8FC-46EB-B942-4BC484C320B8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Symbols" iconId="0"/>
              <x14:cfIcon iconSet="3Symbols" iconId="0"/>
              <x14:cfIcon iconSet="3Symbols" iconId="2"/>
            </x14:iconSet>
          </x14:cfRule>
          <xm:sqref>V104</xm:sqref>
        </x14:conditionalFormatting>
        <x14:conditionalFormatting xmlns:xm="http://schemas.microsoft.com/office/excel/2006/main">
          <x14:cfRule type="iconSet" priority="5" id="{32AB14EA-5B3A-42DB-B05D-966679FDE6AD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Symbols" iconId="0"/>
              <x14:cfIcon iconSet="3Symbols" iconId="0"/>
              <x14:cfIcon iconSet="3Symbols" iconId="2"/>
            </x14:iconSet>
          </x14:cfRule>
          <xm:sqref>V146 W145</xm:sqref>
        </x14:conditionalFormatting>
        <x14:conditionalFormatting xmlns:xm="http://schemas.microsoft.com/office/excel/2006/main">
          <x14:cfRule type="iconSet" priority="6" id="{05FC7307-54D5-4D5F-9882-B7C2DE9B3333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Symbols" iconId="0"/>
              <x14:cfIcon iconSet="3Symbols" iconId="0"/>
              <x14:cfIcon iconSet="3Symbols" iconId="2"/>
            </x14:iconSet>
          </x14:cfRule>
          <xm:sqref>V186 W188</xm:sqref>
        </x14:conditionalFormatting>
        <x14:conditionalFormatting xmlns:xm="http://schemas.microsoft.com/office/excel/2006/main">
          <x14:cfRule type="iconSet" priority="4" id="{3AAAB7CD-4632-4DFF-946B-879C4481A55A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Symbols" iconId="0"/>
              <x14:cfIcon iconSet="3Symbols" iconId="0"/>
              <x14:cfIcon iconSet="3Symbols" iconId="2"/>
            </x14:iconSet>
          </x14:cfRule>
          <xm:sqref>W230 V232</xm:sqref>
        </x14:conditionalFormatting>
      </x14:conditionalFormatting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95E31-BD52-49B7-B221-15FC507F40B8}">
  <dimension ref="C2"/>
  <sheetViews>
    <sheetView showGridLines="0" workbookViewId="0"/>
  </sheetViews>
  <sheetFormatPr baseColWidth="10" defaultRowHeight="15" x14ac:dyDescent="0.25"/>
  <sheetData>
    <row r="2" spans="3:3" ht="23.25" x14ac:dyDescent="0.35">
      <c r="C2" s="9" t="s">
        <v>485</v>
      </c>
    </row>
  </sheetData>
  <pageMargins left="0.7" right="0.7" top="0.78740157499999996" bottom="0.78740157499999996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0D7C9-FA96-41B1-AAEB-6B6309042A17}">
  <dimension ref="C2:M89"/>
  <sheetViews>
    <sheetView showGridLines="0" workbookViewId="0"/>
  </sheetViews>
  <sheetFormatPr baseColWidth="10" defaultRowHeight="15" x14ac:dyDescent="0.25"/>
  <sheetData>
    <row r="2" spans="3:3" ht="23.25" x14ac:dyDescent="0.35">
      <c r="C2" s="9" t="s">
        <v>486</v>
      </c>
    </row>
    <row r="21" spans="3:13" ht="15.75" thickBot="1" x14ac:dyDescent="0.3"/>
    <row r="22" spans="3:13" ht="18" x14ac:dyDescent="0.35">
      <c r="C22" s="261" t="s">
        <v>495</v>
      </c>
      <c r="D22" s="262" t="s">
        <v>411</v>
      </c>
      <c r="E22" s="262" t="s">
        <v>412</v>
      </c>
      <c r="F22" s="262" t="s">
        <v>487</v>
      </c>
      <c r="G22" s="262" t="s">
        <v>488</v>
      </c>
      <c r="H22" s="263" t="s">
        <v>489</v>
      </c>
      <c r="L22" t="s">
        <v>506</v>
      </c>
      <c r="M22" t="s">
        <v>507</v>
      </c>
    </row>
    <row r="23" spans="3:13" x14ac:dyDescent="0.25">
      <c r="C23" s="264" t="s">
        <v>491</v>
      </c>
      <c r="D23" s="4">
        <v>0</v>
      </c>
      <c r="E23" s="4">
        <v>0</v>
      </c>
      <c r="F23" s="77">
        <f>D23*E24</f>
        <v>0</v>
      </c>
      <c r="G23" s="77">
        <f>D24*E23</f>
        <v>0</v>
      </c>
      <c r="H23" s="268">
        <f>F23-G23</f>
        <v>0</v>
      </c>
      <c r="L23">
        <f>D23+D24</f>
        <v>4</v>
      </c>
    </row>
    <row r="24" spans="3:13" x14ac:dyDescent="0.25">
      <c r="C24" s="264" t="s">
        <v>492</v>
      </c>
      <c r="D24" s="4">
        <v>4</v>
      </c>
      <c r="E24" s="4">
        <v>0</v>
      </c>
      <c r="F24" s="77">
        <f>D24*E25</f>
        <v>12</v>
      </c>
      <c r="G24" s="77">
        <f>D25*E24</f>
        <v>0</v>
      </c>
      <c r="H24" s="268">
        <f>F24-G24</f>
        <v>12</v>
      </c>
    </row>
    <row r="25" spans="3:13" x14ac:dyDescent="0.25">
      <c r="C25" s="264" t="s">
        <v>493</v>
      </c>
      <c r="D25" s="4">
        <v>2</v>
      </c>
      <c r="E25" s="4">
        <v>3</v>
      </c>
      <c r="F25" s="77">
        <f t="shared" ref="F25:F36" si="0">D25*E26</f>
        <v>6</v>
      </c>
      <c r="G25" s="77">
        <f t="shared" ref="G25:G36" si="1">D26*E25</f>
        <v>3</v>
      </c>
      <c r="H25" s="268">
        <f t="shared" ref="H25:H36" si="2">F25-G25</f>
        <v>3</v>
      </c>
    </row>
    <row r="26" spans="3:13" x14ac:dyDescent="0.25">
      <c r="C26" s="264" t="s">
        <v>494</v>
      </c>
      <c r="D26" s="4">
        <v>1</v>
      </c>
      <c r="E26" s="4">
        <v>3</v>
      </c>
      <c r="F26" s="77">
        <f t="shared" si="0"/>
        <v>0</v>
      </c>
      <c r="G26" s="77">
        <f t="shared" si="1"/>
        <v>0</v>
      </c>
      <c r="H26" s="268">
        <f t="shared" si="2"/>
        <v>0</v>
      </c>
    </row>
    <row r="27" spans="3:13" x14ac:dyDescent="0.25">
      <c r="C27" s="264" t="s">
        <v>496</v>
      </c>
      <c r="D27" s="4">
        <v>0</v>
      </c>
      <c r="E27" s="4">
        <v>0</v>
      </c>
      <c r="F27" s="77">
        <f t="shared" si="0"/>
        <v>0</v>
      </c>
      <c r="G27" s="77">
        <f t="shared" si="1"/>
        <v>0</v>
      </c>
      <c r="H27" s="268">
        <f t="shared" si="2"/>
        <v>0</v>
      </c>
    </row>
    <row r="28" spans="3:13" x14ac:dyDescent="0.25">
      <c r="C28" s="264" t="s">
        <v>497</v>
      </c>
      <c r="D28" s="4">
        <v>0</v>
      </c>
      <c r="E28" s="4">
        <v>0</v>
      </c>
      <c r="F28" s="77">
        <f t="shared" si="0"/>
        <v>0</v>
      </c>
      <c r="G28" s="77">
        <f t="shared" si="1"/>
        <v>0</v>
      </c>
      <c r="H28" s="268">
        <f t="shared" si="2"/>
        <v>0</v>
      </c>
    </row>
    <row r="29" spans="3:13" x14ac:dyDescent="0.25">
      <c r="C29" s="264" t="s">
        <v>498</v>
      </c>
      <c r="D29" s="4">
        <v>0</v>
      </c>
      <c r="E29" s="4">
        <v>0</v>
      </c>
      <c r="F29" s="77">
        <f t="shared" si="0"/>
        <v>0</v>
      </c>
      <c r="G29" s="77">
        <f t="shared" si="1"/>
        <v>0</v>
      </c>
      <c r="H29" s="268">
        <f t="shared" si="2"/>
        <v>0</v>
      </c>
    </row>
    <row r="30" spans="3:13" x14ac:dyDescent="0.25">
      <c r="C30" s="264" t="s">
        <v>499</v>
      </c>
      <c r="D30" s="4">
        <v>0</v>
      </c>
      <c r="E30" s="4">
        <v>0</v>
      </c>
      <c r="F30" s="77">
        <f t="shared" si="0"/>
        <v>0</v>
      </c>
      <c r="G30" s="77">
        <f t="shared" si="1"/>
        <v>0</v>
      </c>
      <c r="H30" s="268">
        <f t="shared" si="2"/>
        <v>0</v>
      </c>
    </row>
    <row r="31" spans="3:13" x14ac:dyDescent="0.25">
      <c r="C31" s="264" t="s">
        <v>500</v>
      </c>
      <c r="D31" s="4">
        <v>0</v>
      </c>
      <c r="E31" s="4">
        <v>0</v>
      </c>
      <c r="F31" s="77">
        <f t="shared" si="0"/>
        <v>0</v>
      </c>
      <c r="G31" s="77">
        <f t="shared" si="1"/>
        <v>0</v>
      </c>
      <c r="H31" s="268">
        <f t="shared" si="2"/>
        <v>0</v>
      </c>
    </row>
    <row r="32" spans="3:13" x14ac:dyDescent="0.25">
      <c r="C32" s="264" t="s">
        <v>501</v>
      </c>
      <c r="D32" s="4">
        <v>0</v>
      </c>
      <c r="E32" s="4">
        <v>0</v>
      </c>
      <c r="F32" s="77">
        <f t="shared" si="0"/>
        <v>0</v>
      </c>
      <c r="G32" s="77">
        <f t="shared" si="1"/>
        <v>0</v>
      </c>
      <c r="H32" s="268">
        <f t="shared" si="2"/>
        <v>0</v>
      </c>
    </row>
    <row r="33" spans="3:12" x14ac:dyDescent="0.25">
      <c r="C33" s="264" t="s">
        <v>502</v>
      </c>
      <c r="D33" s="4">
        <v>0</v>
      </c>
      <c r="E33" s="4">
        <v>0</v>
      </c>
      <c r="F33" s="77">
        <f t="shared" si="0"/>
        <v>0</v>
      </c>
      <c r="G33" s="77">
        <f t="shared" si="1"/>
        <v>0</v>
      </c>
      <c r="H33" s="268">
        <f t="shared" si="2"/>
        <v>0</v>
      </c>
    </row>
    <row r="34" spans="3:12" x14ac:dyDescent="0.25">
      <c r="C34" s="264" t="s">
        <v>503</v>
      </c>
      <c r="D34" s="4">
        <v>0</v>
      </c>
      <c r="E34" s="4">
        <v>0</v>
      </c>
      <c r="F34" s="77">
        <f t="shared" si="0"/>
        <v>0</v>
      </c>
      <c r="G34" s="77">
        <f t="shared" si="1"/>
        <v>0</v>
      </c>
      <c r="H34" s="268">
        <f t="shared" si="2"/>
        <v>0</v>
      </c>
    </row>
    <row r="35" spans="3:12" x14ac:dyDescent="0.25">
      <c r="C35" s="264" t="s">
        <v>504</v>
      </c>
      <c r="D35" s="4">
        <v>0</v>
      </c>
      <c r="E35" s="4">
        <v>0</v>
      </c>
      <c r="F35" s="77">
        <f t="shared" si="0"/>
        <v>0</v>
      </c>
      <c r="G35" s="77">
        <f t="shared" si="1"/>
        <v>0</v>
      </c>
      <c r="H35" s="268">
        <f t="shared" si="2"/>
        <v>0</v>
      </c>
    </row>
    <row r="36" spans="3:12" x14ac:dyDescent="0.25">
      <c r="C36" s="264" t="s">
        <v>505</v>
      </c>
      <c r="D36" s="4">
        <v>0</v>
      </c>
      <c r="E36" s="4">
        <v>0</v>
      </c>
      <c r="F36" s="77">
        <f t="shared" si="0"/>
        <v>0</v>
      </c>
      <c r="G36" s="77">
        <f t="shared" si="1"/>
        <v>0</v>
      </c>
      <c r="H36" s="268">
        <f t="shared" si="2"/>
        <v>0</v>
      </c>
    </row>
    <row r="37" spans="3:12" ht="19.5" thickBot="1" x14ac:dyDescent="0.35">
      <c r="C37" s="265" t="s">
        <v>490</v>
      </c>
      <c r="D37" s="266"/>
      <c r="E37" s="266"/>
      <c r="F37" s="266"/>
      <c r="G37" s="266"/>
      <c r="H37" s="267">
        <f>ABS(SUM(H23:H36))/2</f>
        <v>7.5</v>
      </c>
    </row>
    <row r="38" spans="3:12" x14ac:dyDescent="0.25">
      <c r="C38" s="1"/>
    </row>
    <row r="39" spans="3:12" x14ac:dyDescent="0.25">
      <c r="C39" s="1"/>
    </row>
    <row r="40" spans="3:12" x14ac:dyDescent="0.25">
      <c r="C40" s="1"/>
    </row>
    <row r="41" spans="3:12" x14ac:dyDescent="0.25">
      <c r="C41" s="1"/>
    </row>
    <row r="42" spans="3:12" x14ac:dyDescent="0.25">
      <c r="C42" s="1"/>
      <c r="D42" s="270" t="s">
        <v>508</v>
      </c>
      <c r="E42" s="270"/>
      <c r="F42" s="270"/>
      <c r="G42" s="270"/>
      <c r="H42" s="270"/>
      <c r="I42" s="270"/>
      <c r="J42" s="270"/>
      <c r="K42" s="269"/>
      <c r="L42" s="269"/>
    </row>
    <row r="43" spans="3:12" x14ac:dyDescent="0.25">
      <c r="D43" s="270" t="s">
        <v>509</v>
      </c>
      <c r="E43" s="270"/>
      <c r="F43" s="270"/>
      <c r="G43" s="270"/>
      <c r="H43" s="270"/>
      <c r="I43" s="270"/>
      <c r="J43" s="270"/>
      <c r="K43" s="269"/>
      <c r="L43" s="269"/>
    </row>
    <row r="44" spans="3:12" x14ac:dyDescent="0.25">
      <c r="D44" s="270" t="s">
        <v>510</v>
      </c>
      <c r="E44" s="270"/>
      <c r="F44" s="270"/>
      <c r="G44" s="270"/>
      <c r="H44" s="270"/>
      <c r="I44" s="270"/>
      <c r="J44" s="270"/>
      <c r="K44" s="269"/>
      <c r="L44" s="269"/>
    </row>
    <row r="45" spans="3:12" x14ac:dyDescent="0.25">
      <c r="D45" s="270" t="s">
        <v>511</v>
      </c>
      <c r="E45" s="270"/>
      <c r="F45" s="270"/>
      <c r="G45" s="270"/>
      <c r="H45" s="270"/>
      <c r="I45" s="270"/>
      <c r="J45" s="270"/>
      <c r="K45" s="269"/>
      <c r="L45" s="269"/>
    </row>
    <row r="46" spans="3:12" x14ac:dyDescent="0.25">
      <c r="D46" s="270" t="s">
        <v>512</v>
      </c>
      <c r="E46" s="270"/>
      <c r="F46" s="270"/>
      <c r="G46" s="270"/>
      <c r="H46" s="270"/>
      <c r="I46" s="270"/>
      <c r="J46" s="270"/>
      <c r="K46" s="269"/>
      <c r="L46" s="269"/>
    </row>
    <row r="47" spans="3:12" x14ac:dyDescent="0.25">
      <c r="D47" s="270" t="s">
        <v>513</v>
      </c>
      <c r="E47" s="270"/>
      <c r="F47" s="270"/>
      <c r="G47" s="270"/>
      <c r="H47" s="270"/>
      <c r="I47" s="270"/>
      <c r="J47" s="270"/>
      <c r="K47" s="269"/>
      <c r="L47" s="269"/>
    </row>
    <row r="48" spans="3:12" x14ac:dyDescent="0.25">
      <c r="D48" s="270" t="s">
        <v>514</v>
      </c>
      <c r="E48" s="270"/>
      <c r="F48" s="270"/>
      <c r="G48" s="270"/>
      <c r="H48" s="270"/>
      <c r="I48" s="270"/>
      <c r="J48" s="270"/>
      <c r="K48" s="269"/>
      <c r="L48" s="269"/>
    </row>
    <row r="49" spans="4:12" x14ac:dyDescent="0.25">
      <c r="D49" s="270" t="s">
        <v>515</v>
      </c>
      <c r="E49" s="270"/>
      <c r="F49" s="270"/>
      <c r="G49" s="270"/>
      <c r="H49" s="270"/>
      <c r="I49" s="270"/>
      <c r="J49" s="270"/>
      <c r="K49" s="269"/>
      <c r="L49" s="269"/>
    </row>
    <row r="50" spans="4:12" x14ac:dyDescent="0.25">
      <c r="D50" s="270" t="s">
        <v>516</v>
      </c>
      <c r="E50" s="270"/>
      <c r="F50" s="270"/>
      <c r="G50" s="270"/>
      <c r="H50" s="270"/>
      <c r="I50" s="270"/>
      <c r="J50" s="270"/>
      <c r="K50" s="269"/>
      <c r="L50" s="269"/>
    </row>
    <row r="51" spans="4:12" x14ac:dyDescent="0.25">
      <c r="D51" s="270" t="s">
        <v>517</v>
      </c>
      <c r="E51" s="270"/>
      <c r="F51" s="270"/>
      <c r="G51" s="270"/>
      <c r="H51" s="270"/>
      <c r="I51" s="270"/>
      <c r="J51" s="270"/>
      <c r="K51" s="269"/>
      <c r="L51" s="269"/>
    </row>
    <row r="52" spans="4:12" x14ac:dyDescent="0.25">
      <c r="D52" s="270" t="s">
        <v>509</v>
      </c>
      <c r="E52" s="270"/>
      <c r="F52" s="270"/>
      <c r="G52" s="270"/>
      <c r="H52" s="270"/>
      <c r="I52" s="270"/>
      <c r="J52" s="270"/>
      <c r="K52" s="269"/>
      <c r="L52" s="269"/>
    </row>
    <row r="53" spans="4:12" x14ac:dyDescent="0.25">
      <c r="D53" s="270" t="s">
        <v>518</v>
      </c>
      <c r="E53" s="270"/>
      <c r="F53" s="270"/>
      <c r="G53" s="270"/>
      <c r="H53" s="270"/>
      <c r="I53" s="270"/>
      <c r="J53" s="270"/>
      <c r="K53" s="269"/>
      <c r="L53" s="269"/>
    </row>
    <row r="54" spans="4:12" x14ac:dyDescent="0.25">
      <c r="D54" s="270" t="s">
        <v>519</v>
      </c>
      <c r="E54" s="270"/>
      <c r="F54" s="270"/>
      <c r="G54" s="270"/>
      <c r="H54" s="270"/>
      <c r="I54" s="270"/>
      <c r="J54" s="270"/>
      <c r="K54" s="269"/>
      <c r="L54" s="269"/>
    </row>
    <row r="55" spans="4:12" x14ac:dyDescent="0.25">
      <c r="D55" s="270" t="s">
        <v>520</v>
      </c>
      <c r="E55" s="270"/>
      <c r="F55" s="270"/>
      <c r="G55" s="270"/>
      <c r="H55" s="270"/>
      <c r="I55" s="270"/>
      <c r="J55" s="270"/>
      <c r="K55" s="269"/>
      <c r="L55" s="269"/>
    </row>
    <row r="56" spans="4:12" x14ac:dyDescent="0.25">
      <c r="D56" s="270"/>
      <c r="E56" s="270"/>
      <c r="F56" s="270"/>
      <c r="G56" s="270"/>
      <c r="H56" s="270"/>
      <c r="I56" s="270"/>
      <c r="J56" s="270"/>
      <c r="K56" s="269"/>
      <c r="L56" s="269"/>
    </row>
    <row r="57" spans="4:12" x14ac:dyDescent="0.25">
      <c r="D57" s="270" t="s">
        <v>521</v>
      </c>
      <c r="E57" s="270"/>
      <c r="F57" s="270"/>
      <c r="G57" s="270"/>
      <c r="H57" s="270"/>
      <c r="I57" s="270"/>
      <c r="J57" s="270"/>
      <c r="K57" s="269"/>
      <c r="L57" s="269"/>
    </row>
    <row r="58" spans="4:12" x14ac:dyDescent="0.25">
      <c r="D58" s="270" t="s">
        <v>522</v>
      </c>
      <c r="E58" s="270"/>
      <c r="F58" s="270"/>
      <c r="G58" s="270"/>
      <c r="H58" s="270"/>
      <c r="I58" s="270"/>
      <c r="J58" s="270"/>
      <c r="K58" s="269"/>
      <c r="L58" s="269"/>
    </row>
    <row r="59" spans="4:12" x14ac:dyDescent="0.25">
      <c r="D59" s="270"/>
      <c r="E59" s="270"/>
      <c r="F59" s="270"/>
      <c r="G59" s="270"/>
      <c r="H59" s="270"/>
      <c r="I59" s="270"/>
      <c r="J59" s="270"/>
      <c r="K59" s="269"/>
      <c r="L59" s="269"/>
    </row>
    <row r="60" spans="4:12" x14ac:dyDescent="0.25">
      <c r="D60" s="270" t="s">
        <v>523</v>
      </c>
      <c r="E60" s="270"/>
      <c r="F60" s="270"/>
      <c r="G60" s="270"/>
      <c r="H60" s="270"/>
      <c r="I60" s="270"/>
      <c r="J60" s="270"/>
      <c r="K60" s="269"/>
      <c r="L60" s="269"/>
    </row>
    <row r="61" spans="4:12" x14ac:dyDescent="0.25">
      <c r="D61" s="270" t="s">
        <v>524</v>
      </c>
      <c r="E61" s="270"/>
      <c r="F61" s="270"/>
      <c r="G61" s="270"/>
      <c r="H61" s="270"/>
      <c r="I61" s="270"/>
      <c r="J61" s="270"/>
      <c r="K61" s="269"/>
      <c r="L61" s="269"/>
    </row>
    <row r="62" spans="4:12" x14ac:dyDescent="0.25">
      <c r="D62" s="270" t="s">
        <v>525</v>
      </c>
      <c r="E62" s="270"/>
      <c r="F62" s="270"/>
      <c r="G62" s="270"/>
      <c r="H62" s="270"/>
      <c r="I62" s="270"/>
      <c r="J62" s="270"/>
      <c r="K62" s="269"/>
      <c r="L62" s="269"/>
    </row>
    <row r="63" spans="4:12" x14ac:dyDescent="0.25">
      <c r="D63" s="270"/>
      <c r="E63" s="270"/>
      <c r="F63" s="270"/>
      <c r="G63" s="270"/>
      <c r="H63" s="270"/>
      <c r="I63" s="270"/>
      <c r="J63" s="270"/>
      <c r="K63" s="269"/>
      <c r="L63" s="269"/>
    </row>
    <row r="64" spans="4:12" x14ac:dyDescent="0.25">
      <c r="D64" s="270" t="s">
        <v>526</v>
      </c>
      <c r="E64" s="270"/>
      <c r="F64" s="270"/>
      <c r="G64" s="270"/>
      <c r="H64" s="270"/>
      <c r="I64" s="270"/>
      <c r="J64" s="270"/>
      <c r="K64" s="269"/>
      <c r="L64" s="269"/>
    </row>
    <row r="65" spans="4:12" x14ac:dyDescent="0.25">
      <c r="D65" s="270" t="s">
        <v>527</v>
      </c>
      <c r="E65" s="270"/>
      <c r="F65" s="270"/>
      <c r="G65" s="270"/>
      <c r="H65" s="270"/>
      <c r="I65" s="270"/>
      <c r="J65" s="270"/>
      <c r="K65" s="269"/>
      <c r="L65" s="269"/>
    </row>
    <row r="66" spans="4:12" x14ac:dyDescent="0.25">
      <c r="D66" s="270" t="s">
        <v>528</v>
      </c>
      <c r="E66" s="270"/>
      <c r="F66" s="270"/>
      <c r="G66" s="270"/>
      <c r="H66" s="270"/>
      <c r="I66" s="270"/>
      <c r="J66" s="270"/>
      <c r="K66" s="269"/>
      <c r="L66" s="269"/>
    </row>
    <row r="67" spans="4:12" x14ac:dyDescent="0.25">
      <c r="D67" s="270" t="s">
        <v>529</v>
      </c>
      <c r="E67" s="270"/>
      <c r="F67" s="270"/>
      <c r="G67" s="270"/>
      <c r="H67" s="270"/>
      <c r="I67" s="270"/>
      <c r="J67" s="270"/>
      <c r="K67" s="269"/>
      <c r="L67" s="269"/>
    </row>
    <row r="68" spans="4:12" x14ac:dyDescent="0.25">
      <c r="D68" s="270" t="s">
        <v>530</v>
      </c>
      <c r="E68" s="270"/>
      <c r="F68" s="270"/>
      <c r="G68" s="270"/>
      <c r="H68" s="270"/>
      <c r="I68" s="270"/>
      <c r="J68" s="270"/>
      <c r="K68" s="269"/>
      <c r="L68" s="269"/>
    </row>
    <row r="69" spans="4:12" x14ac:dyDescent="0.25">
      <c r="D69" s="270" t="s">
        <v>531</v>
      </c>
      <c r="E69" s="270"/>
      <c r="F69" s="270"/>
      <c r="G69" s="270"/>
      <c r="H69" s="270"/>
      <c r="I69" s="270"/>
      <c r="J69" s="270"/>
      <c r="K69" s="269"/>
      <c r="L69" s="269"/>
    </row>
    <row r="70" spans="4:12" x14ac:dyDescent="0.25">
      <c r="D70" s="270" t="s">
        <v>532</v>
      </c>
      <c r="E70" s="270"/>
      <c r="F70" s="270"/>
      <c r="G70" s="270"/>
      <c r="H70" s="270"/>
      <c r="I70" s="270"/>
      <c r="J70" s="270"/>
      <c r="K70" s="269"/>
      <c r="L70" s="269"/>
    </row>
    <row r="71" spans="4:12" x14ac:dyDescent="0.25">
      <c r="D71" s="270"/>
      <c r="E71" s="270"/>
      <c r="F71" s="270"/>
      <c r="G71" s="270"/>
      <c r="H71" s="270"/>
      <c r="I71" s="270"/>
      <c r="J71" s="270"/>
      <c r="K71" s="269"/>
      <c r="L71" s="269"/>
    </row>
    <row r="72" spans="4:12" x14ac:dyDescent="0.25">
      <c r="D72" s="270" t="s">
        <v>533</v>
      </c>
      <c r="E72" s="270"/>
      <c r="F72" s="270"/>
      <c r="G72" s="270"/>
      <c r="H72" s="270"/>
      <c r="I72" s="270"/>
      <c r="J72" s="270"/>
      <c r="K72" s="269"/>
      <c r="L72" s="269"/>
    </row>
    <row r="73" spans="4:12" x14ac:dyDescent="0.25">
      <c r="D73" s="270" t="s">
        <v>534</v>
      </c>
      <c r="E73" s="270"/>
      <c r="F73" s="270"/>
      <c r="G73" s="270"/>
      <c r="H73" s="270"/>
      <c r="I73" s="270"/>
      <c r="J73" s="270"/>
      <c r="K73" s="269"/>
      <c r="L73" s="269"/>
    </row>
    <row r="74" spans="4:12" x14ac:dyDescent="0.25">
      <c r="D74" s="270" t="s">
        <v>535</v>
      </c>
      <c r="E74" s="270"/>
      <c r="F74" s="270"/>
      <c r="G74" s="270"/>
      <c r="H74" s="270"/>
      <c r="I74" s="270"/>
      <c r="J74" s="270"/>
      <c r="K74" s="269"/>
      <c r="L74" s="269"/>
    </row>
    <row r="75" spans="4:12" x14ac:dyDescent="0.25">
      <c r="D75" s="270" t="s">
        <v>511</v>
      </c>
      <c r="E75" s="270"/>
      <c r="F75" s="270"/>
      <c r="G75" s="270"/>
      <c r="H75" s="270"/>
      <c r="I75" s="270"/>
      <c r="J75" s="270"/>
      <c r="K75" s="269"/>
      <c r="L75" s="269"/>
    </row>
    <row r="76" spans="4:12" x14ac:dyDescent="0.25">
      <c r="D76" s="270" t="s">
        <v>536</v>
      </c>
      <c r="E76" s="270"/>
      <c r="F76" s="270"/>
      <c r="G76" s="270"/>
      <c r="H76" s="270"/>
      <c r="I76" s="270"/>
      <c r="J76" s="270"/>
      <c r="K76" s="269"/>
      <c r="L76" s="269"/>
    </row>
    <row r="77" spans="4:12" x14ac:dyDescent="0.25">
      <c r="D77" s="270" t="s">
        <v>537</v>
      </c>
      <c r="E77" s="270"/>
      <c r="F77" s="270"/>
      <c r="G77" s="270"/>
      <c r="H77" s="270"/>
      <c r="I77" s="270"/>
      <c r="J77" s="270"/>
      <c r="K77" s="269"/>
      <c r="L77" s="269"/>
    </row>
    <row r="78" spans="4:12" x14ac:dyDescent="0.25">
      <c r="D78" s="270"/>
      <c r="E78" s="270"/>
      <c r="F78" s="270"/>
      <c r="G78" s="270"/>
      <c r="H78" s="270"/>
      <c r="I78" s="270"/>
      <c r="J78" s="270"/>
      <c r="K78" s="269"/>
      <c r="L78" s="269"/>
    </row>
    <row r="79" spans="4:12" x14ac:dyDescent="0.25">
      <c r="D79" s="270" t="s">
        <v>538</v>
      </c>
      <c r="E79" s="270"/>
      <c r="F79" s="270"/>
      <c r="G79" s="270"/>
      <c r="H79" s="270"/>
      <c r="I79" s="270"/>
      <c r="J79" s="270"/>
      <c r="K79" s="269"/>
      <c r="L79" s="269"/>
    </row>
    <row r="80" spans="4:12" x14ac:dyDescent="0.25">
      <c r="D80" s="270"/>
      <c r="E80" s="270"/>
      <c r="F80" s="270"/>
      <c r="G80" s="270"/>
      <c r="H80" s="270"/>
      <c r="I80" s="270"/>
      <c r="J80" s="270"/>
      <c r="K80" s="269"/>
      <c r="L80" s="269"/>
    </row>
    <row r="82" spans="4:12" x14ac:dyDescent="0.25">
      <c r="D82" s="270" t="s">
        <v>539</v>
      </c>
      <c r="E82" s="270"/>
      <c r="F82" s="270"/>
      <c r="G82" s="270"/>
      <c r="H82" s="270"/>
      <c r="I82" s="270"/>
      <c r="J82" s="270"/>
      <c r="K82" s="270"/>
      <c r="L82" s="270"/>
    </row>
    <row r="83" spans="4:12" x14ac:dyDescent="0.25">
      <c r="D83" s="270" t="s">
        <v>540</v>
      </c>
      <c r="E83" s="270"/>
      <c r="F83" s="270"/>
      <c r="G83" s="270"/>
      <c r="H83" s="270"/>
      <c r="I83" s="270"/>
      <c r="J83" s="270"/>
      <c r="K83" s="270"/>
      <c r="L83" s="270"/>
    </row>
    <row r="84" spans="4:12" x14ac:dyDescent="0.25">
      <c r="D84" s="270"/>
      <c r="E84" s="270"/>
      <c r="F84" s="270"/>
      <c r="G84" s="270"/>
      <c r="H84" s="270"/>
      <c r="I84" s="270"/>
      <c r="J84" s="270"/>
      <c r="K84" s="270"/>
      <c r="L84" s="270"/>
    </row>
    <row r="85" spans="4:12" x14ac:dyDescent="0.25">
      <c r="D85" s="270" t="s">
        <v>541</v>
      </c>
      <c r="E85" s="270"/>
      <c r="F85" s="270"/>
      <c r="G85" s="270"/>
      <c r="H85" s="270"/>
      <c r="I85" s="270"/>
      <c r="J85" s="270"/>
      <c r="K85" s="270"/>
      <c r="L85" s="270"/>
    </row>
    <row r="86" spans="4:12" x14ac:dyDescent="0.25">
      <c r="D86" s="270" t="s">
        <v>542</v>
      </c>
      <c r="E86" s="270"/>
      <c r="F86" s="270"/>
      <c r="G86" s="270"/>
      <c r="H86" s="270"/>
      <c r="I86" s="270"/>
      <c r="J86" s="270"/>
      <c r="K86" s="270"/>
      <c r="L86" s="270"/>
    </row>
    <row r="88" spans="4:12" x14ac:dyDescent="0.25">
      <c r="D88" s="270" t="s">
        <v>543</v>
      </c>
      <c r="E88" s="269"/>
      <c r="F88" s="269"/>
      <c r="G88" s="269"/>
      <c r="H88" s="269"/>
      <c r="I88" s="269"/>
      <c r="J88" s="269"/>
      <c r="K88" s="269"/>
      <c r="L88" s="269"/>
    </row>
    <row r="89" spans="4:12" x14ac:dyDescent="0.25">
      <c r="D89" s="270" t="s">
        <v>544</v>
      </c>
      <c r="E89" s="269"/>
      <c r="F89" s="269"/>
      <c r="G89" s="269"/>
      <c r="H89" s="269"/>
      <c r="I89" s="269"/>
      <c r="J89" s="269"/>
      <c r="K89" s="269"/>
      <c r="L89" s="269"/>
    </row>
  </sheetData>
  <phoneticPr fontId="37" type="noConversion"/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30</vt:i4>
      </vt:variant>
    </vt:vector>
  </HeadingPairs>
  <TitlesOfParts>
    <vt:vector size="30" baseType="lpstr">
      <vt:lpstr>TOC</vt:lpstr>
      <vt:lpstr>Gemischte Schaltungen</vt:lpstr>
      <vt:lpstr>Belasteter Spannungsteiler</vt:lpstr>
      <vt:lpstr>Magnetismus</vt:lpstr>
      <vt:lpstr>Einheitenvorsätze</vt:lpstr>
      <vt:lpstr>Edizio_Bestellungen</vt:lpstr>
      <vt:lpstr>Elektronische Schaltzeichen</vt:lpstr>
      <vt:lpstr>LCR-Glieder an Wechselspannung</vt:lpstr>
      <vt:lpstr>Kondensator an Gleichspannung</vt:lpstr>
      <vt:lpstr>Quelle mit Innenwiderstand</vt:lpstr>
      <vt:lpstr>Schiefeebene</vt:lpstr>
      <vt:lpstr>Leistung bei Wechselstrom</vt:lpstr>
      <vt:lpstr>Sinus_Cosinus</vt:lpstr>
      <vt:lpstr>Sinuskurve</vt:lpstr>
      <vt:lpstr>Vektoroperationen</vt:lpstr>
      <vt:lpstr>VektorZeitbereich</vt:lpstr>
      <vt:lpstr>Geburtstagsliste</vt:lpstr>
      <vt:lpstr>Einheiten umrechnen</vt:lpstr>
      <vt:lpstr>Flächenberechnungen</vt:lpstr>
      <vt:lpstr>Kinematik_1</vt:lpstr>
      <vt:lpstr>Kinematik_1 (Weg-Zeit)</vt:lpstr>
      <vt:lpstr>Kinematik_2</vt:lpstr>
      <vt:lpstr>Kinematik_2_Berechnungen</vt:lpstr>
      <vt:lpstr>Kinematik_2 (Weg-Zeit)</vt:lpstr>
      <vt:lpstr>Fourierreihe</vt:lpstr>
      <vt:lpstr>Scheinleistung</vt:lpstr>
      <vt:lpstr>3-Phasenstrom</vt:lpstr>
      <vt:lpstr>Gemischte Schaltung</vt:lpstr>
      <vt:lpstr>Theoreme</vt:lpstr>
      <vt:lpstr>Fläche eines Polygones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Landwirtschaft</dc:creator>
  <cp:lastModifiedBy>Walter Rothlin</cp:lastModifiedBy>
  <cp:lastPrinted>2026-03-27T04:43:05Z</cp:lastPrinted>
  <dcterms:created xsi:type="dcterms:W3CDTF">2015-06-05T18:19:34Z</dcterms:created>
  <dcterms:modified xsi:type="dcterms:W3CDTF">2026-08-20T10:21:40Z</dcterms:modified>
</cp:coreProperties>
</file>