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75B506B8-889F-41C8-86EA-DC8917A062B6}" xr6:coauthVersionLast="47" xr6:coauthVersionMax="47" xr10:uidLastSave="{00000000-0000-0000-0000-000000000000}"/>
  <bookViews>
    <workbookView xWindow="-60" yWindow="-18120" windowWidth="29040" windowHeight="18240" xr2:uid="{00000000-000D-0000-FFFF-FFFF00000000}"/>
  </bookViews>
  <sheets>
    <sheet name="TOC" sheetId="13" r:id="rId1"/>
    <sheet name="Schiefeebene" sheetId="19" r:id="rId2"/>
    <sheet name="Vektoren" sheetId="18" r:id="rId3"/>
    <sheet name="Geburtstagsliste" sheetId="17" r:id="rId4"/>
    <sheet name="Einheiten umrechnen" sheetId="16" r:id="rId5"/>
    <sheet name="Flächenberechnungen" sheetId="14" r:id="rId6"/>
    <sheet name="Kinematik_1" sheetId="4" r:id="rId7"/>
    <sheet name="Kinematik_2" sheetId="9" r:id="rId8"/>
    <sheet name="Kinematik_2_Berechnungen" sheetId="11" r:id="rId9"/>
    <sheet name="Fourierreihe" sheetId="12" r:id="rId10"/>
    <sheet name="Scheinleistung" sheetId="15" r:id="rId11"/>
  </sheets>
  <definedNames>
    <definedName name="_xlnm._FilterDatabase" localSheetId="3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1" i="19" l="1"/>
  <c r="L24" i="19"/>
  <c r="O24" i="19" s="1"/>
  <c r="L23" i="19"/>
  <c r="AJ41" i="19" s="1"/>
  <c r="Q33" i="19"/>
  <c r="Q36" i="19" s="1"/>
  <c r="R32" i="19"/>
  <c r="S32" i="19" s="1"/>
  <c r="O31" i="19"/>
  <c r="V15" i="18"/>
  <c r="W15" i="18"/>
  <c r="P16" i="18"/>
  <c r="P15" i="18"/>
  <c r="S15" i="18"/>
  <c r="R15" i="18"/>
  <c r="Q15" i="18"/>
  <c r="H26" i="19"/>
  <c r="H27" i="19" s="1"/>
  <c r="H28" i="19" s="1"/>
  <c r="H30" i="19" s="1"/>
  <c r="H31" i="19" s="1"/>
  <c r="H32" i="19" s="1"/>
  <c r="H33" i="19" s="1"/>
  <c r="G26" i="19"/>
  <c r="G23" i="19"/>
  <c r="F23" i="19" s="1"/>
  <c r="G28" i="19" s="1"/>
  <c r="G32" i="19" s="1"/>
  <c r="G22" i="19"/>
  <c r="F22" i="19" s="1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Q34" i="19" l="1"/>
  <c r="P34" i="19"/>
  <c r="P35" i="19" s="1"/>
  <c r="P36" i="19" s="1"/>
  <c r="P37" i="19" s="1"/>
  <c r="P38" i="19" s="1"/>
  <c r="O23" i="19"/>
  <c r="AK42" i="19" s="1"/>
  <c r="Q38" i="19"/>
  <c r="Q35" i="19"/>
  <c r="Q37" i="19" s="1"/>
  <c r="G30" i="19"/>
  <c r="G27" i="19"/>
  <c r="G33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Q40" i="19" l="1"/>
  <c r="Q39" i="19"/>
  <c r="S34" i="19"/>
  <c r="S35" i="19"/>
  <c r="S36" i="19"/>
  <c r="R35" i="19"/>
  <c r="R34" i="19"/>
  <c r="R36" i="19"/>
  <c r="G31" i="19"/>
  <c r="I31" i="19" s="1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34" i="19" l="1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<sst xmlns="http://schemas.openxmlformats.org/spreadsheetml/2006/main" count="445" uniqueCount="317">
  <si>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</si>
  <si>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</si>
  <si>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</si>
  <si>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</si>
  <si>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</si>
  <si>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</si>
  <si>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</si>
  <si>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</si>
  <si>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</si>
  <si>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</si>
  <si>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</si>
  <si>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</si>
  <si>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</si>
  <si>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</si>
  <si>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</si>
  <si>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</si>
  <si>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</si>
  <si>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</si>
  <si>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</si>
  <si>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</si>
  <si>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</si>
  <si>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</si>
  <si>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</si>
  <si>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</si>
  <si>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</si>
  <si>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</si>
  <si>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</si>
  <si>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</si>
  <si>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</si>
  <si>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</si>
  <si>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</si>
  <si>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</si>
  <si>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</si>
  <si>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</si>
  <si>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</si>
  <si>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</si>
  <si>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</si>
  <si>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</si>
  <si>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</si>
  <si>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</si>
  <si>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</si>
  <si>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</si>
  <si>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</si>
  <si>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</si>
  <si>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</si>
  <si>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</si>
  <si>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</si>
  <si>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</si>
  <si>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</si>
  <si>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</si>
  <si>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</si>
  <si>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</si>
  <si>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</si>
  <si>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</si>
  <si>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</si>
  <si>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</si>
  <si>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</si>
  <si>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</si>
  <si>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</si>
  <si>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</si>
  <si>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</si>
  <si>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</si>
  <si>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</si>
  <si>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</si>
  <si>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</si>
  <si>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</si>
  <si>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</si>
  <si>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</si>
  <si>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</si>
  <si>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</si>
  <si>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</si>
  <si>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</si>
  <si>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</si>
  <si>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</si>
  <si>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</si>
  <si>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</si>
  <si>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</si>
  <si>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</si>
  <si>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</si>
  <si>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</si>
  <si>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</si>
  <si>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</si>
  <si>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</si>
  <si>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</si>
  <si>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</si>
  <si>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</si>
  <si>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</si>
  <si>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</si>
  <si>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</si>
  <si>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</si>
  <si>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</si>
  <si>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</si>
  <si>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</si>
  <si>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</si>
  <si>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</si>
  <si>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</si>
  <si>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</si>
  <si>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</si>
  <si>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</si>
  <si>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</si>
  <si>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</si>
  <si>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</si>
  <si>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</si>
  <si>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</si>
  <si>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</si>
  <si>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</si>
  <si>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</si>
  <si>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</si>
  <si>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</si>
  <si>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</si>
  <si>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</si>
  <si>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</si>
  <si>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</si>
  <si>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</si>
  <si>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</si>
  <si>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</si>
  <si>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</si>
  <si>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</si>
  <si>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</si>
  <si>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</si>
  <si>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</si>
  <si>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</si>
  <si>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</si>
  <si>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</si>
  <si>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</si>
  <si>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</si>
  <si>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</si>
  <si>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</si>
  <si>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</si>
  <si>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</si>
  <si>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</si>
  <si>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</si>
  <si>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</si>
  <si>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</si>
  <si>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</si>
  <si>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</si>
  <si>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</si>
  <si>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</si>
  <si>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</si>
  <si>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</si>
  <si>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</si>
  <si>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</si>
  <si>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</si>
  <si>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</si>
  <si>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</si>
  <si>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</si>
  <si>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</si>
  <si>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</si>
  <si>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</si>
  <si>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</si>
  <si>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</si>
  <si>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</si>
  <si>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</si>
  <si>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</si>
  <si>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</si>
  <si>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</si>
  <si>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</si>
  <si>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</si>
  <si>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</si>
  <si>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</si>
  <si>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</si>
  <si>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</si>
  <si>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</si>
  <si>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</si>
  <si>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</si>
  <si>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</si>
  <si>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</si>
  <si>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</si>
  <si>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</si>
  <si>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</si>
  <si>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</si>
  <si>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</si>
  <si>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</si>
  <si>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</si>
  <si>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</si>
  <si>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</si>
  <si>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</si>
  <si>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</si>
  <si>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</si>
  <si>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</si>
  <si>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</si>
  <si>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</si>
  <si>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</si>
  <si>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</si>
  <si>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</si>
  <si>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</si>
  <si>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</si>
  <si>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</si>
  <si>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</si>
  <si>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</si>
  <si>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</si>
  <si>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</si>
  <si>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</si>
  <si>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</si>
  <si>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</si>
  <si>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</si>
  <si>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</si>
  <si>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</si>
  <si>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</si>
  <si>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</si>
  <si>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</si>
  <si>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</si>
  <si>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</si>
  <si>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</si>
  <si>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</si>
  <si>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</si>
  <si>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</si>
  <si>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</si>
  <si>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</si>
  <si>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</si>
  <si>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</si>
  <si>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</si>
  <si>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</si>
  <si>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</si>
  <si>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</si>
  <si>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</si>
  <si>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</si>
  <si>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</si>
  <si>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</si>
  <si>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</si>
  <si>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</si>
  <si>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</si>
  <si>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</si>
  <si>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</si>
  <si>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</si>
  <si>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</si>
  <si>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</si>
  <si>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</si>
  <si>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</si>
  <si>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</si>
  <si>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</si>
  <si>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</si>
  <si>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</si>
  <si>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</si>
  <si>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</si>
  <si>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</si>
  <si>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</si>
  <si>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</si>
  <si>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</si>
  <si>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</si>
  <si>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</si>
  <si>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</si>
  <si>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</si>
  <si>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</si>
  <si>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</si>
  <si>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</si>
  <si>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</si>
  <si>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</si>
  <si>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</si>
  <si>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</si>
  <si>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</si>
  <si>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</si>
  <si>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</si>
  <si>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</si>
  <si>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</si>
  <si>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</si>
  <si>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</si>
  <si>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</si>
  <si>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</si>
  <si>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</si>
  <si>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</si>
  <si>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g =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</si>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</sst>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0" fontId="38" fillId="0" borderId="2" xfId="0" applyFont="1" applyBorder="1" applyAlignment="1">
      <alignment horizontal="right"/>
    </xf>
    <xf numFmtId="4" fontId="38" fillId="0" borderId="2" xfId="0" applyNumberFormat="1" applyFont="1" applyFill="1" applyBorder="1"/>
    <xf numFmtId="0" fontId="38" fillId="0" borderId="2" xfId="0" applyFont="1" applyFill="1" applyBorder="1"/>
    <xf numFmtId="0" fontId="0" fillId="0" borderId="2" xfId="0" quotePrefix="1" applyBorder="1"/>
    <xf numFmtId="0" fontId="0" fillId="0" borderId="2" xfId="0" applyFill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/>
    </xf>
    <xf numFmtId="0" fontId="0" fillId="0" borderId="37" xfId="0" applyBorder="1"/>
  </cellXfs>
  <cellStyles count="2">
    <cellStyle name="Link" xfId="1" builtinId="8"/>
    <cellStyle name="Standard" xfId="0" builtinId="0"/>
  </cellStyles>
  <dxfs count="11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7</c:v>
                </c:pt>
                <c:pt idx="1">
                  <c:v>-3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8</c:v>
                </c:pt>
                <c:pt idx="1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-3</c:v>
                </c:pt>
                <c:pt idx="1">
                  <c:v>-6.4729635533386061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-12</c:v>
                </c:pt>
                <c:pt idx="1">
                  <c:v>7.6961550602441591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4"/>
  <sheetViews>
    <sheetView tabSelected="1" workbookViewId="0">
      <selection activeCell="I15" sqref="I15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45772</v>
      </c>
      <c r="C14" s="90" t="s">
        <v>252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20" t="s">
        <v>81</v>
      </c>
      <c r="S7" s="120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4"/>
      <c r="D11" s="154"/>
      <c r="E11" s="154"/>
      <c r="F11" s="154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5" t="s">
        <v>67</v>
      </c>
      <c r="D12" s="155"/>
      <c r="E12" s="155"/>
      <c r="F12" s="155"/>
      <c r="G12" s="47"/>
      <c r="H12" s="47"/>
      <c r="J12" s="57" t="s">
        <v>70</v>
      </c>
      <c r="K12" s="38">
        <v>270</v>
      </c>
      <c r="L12" s="156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57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20" t="s">
        <v>81</v>
      </c>
      <c r="S7" s="120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4"/>
      <c r="D11" s="154"/>
      <c r="E11" s="154"/>
      <c r="F11" s="154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5" t="s">
        <v>67</v>
      </c>
      <c r="D12" s="155"/>
      <c r="E12" s="155"/>
      <c r="F12" s="155"/>
      <c r="G12" s="47"/>
      <c r="H12" s="47"/>
      <c r="J12" s="57" t="s">
        <v>70</v>
      </c>
      <c r="K12" s="38">
        <v>210</v>
      </c>
      <c r="L12" s="156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57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zoomScale="115" zoomScaleNormal="115" workbookViewId="0">
      <selection activeCell="H39" sqref="H39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66" t="s">
        <v>269</v>
      </c>
      <c r="M2" s="167" t="s">
        <v>272</v>
      </c>
      <c r="N2" s="111"/>
    </row>
    <row r="3" spans="3:25" x14ac:dyDescent="0.35">
      <c r="L3" s="115" t="s">
        <v>215</v>
      </c>
      <c r="M3" s="115" t="s">
        <v>274</v>
      </c>
      <c r="T3" s="85"/>
      <c r="X3" s="158"/>
      <c r="Y3" s="158"/>
    </row>
    <row r="4" spans="3:25" x14ac:dyDescent="0.35">
      <c r="L4" s="115" t="s">
        <v>216</v>
      </c>
      <c r="M4" s="115" t="s">
        <v>273</v>
      </c>
      <c r="T4" s="85"/>
    </row>
    <row r="5" spans="3:25" x14ac:dyDescent="0.35">
      <c r="L5" s="115"/>
      <c r="M5" s="115" t="s">
        <v>262</v>
      </c>
      <c r="T5" s="85"/>
    </row>
    <row r="6" spans="3:25" x14ac:dyDescent="0.35">
      <c r="L6" s="115"/>
      <c r="M6" s="115" t="s">
        <v>271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271</v>
      </c>
      <c r="K20" s="5" t="s">
        <v>277</v>
      </c>
      <c r="L20" s="5"/>
    </row>
    <row r="21" spans="4:35" x14ac:dyDescent="0.35">
      <c r="D21" s="5" t="s">
        <v>267</v>
      </c>
      <c r="E21" s="19" t="s">
        <v>268</v>
      </c>
      <c r="F21" s="94">
        <v>30</v>
      </c>
      <c r="G21" s="4" t="s">
        <v>215</v>
      </c>
      <c r="K21" s="19" t="s">
        <v>280</v>
      </c>
      <c r="L21" s="177">
        <v>0.6</v>
      </c>
    </row>
    <row r="22" spans="4:35" x14ac:dyDescent="0.35">
      <c r="D22" s="168"/>
      <c r="E22" s="169" t="str">
        <f>E21</f>
        <v xml:space="preserve">α = </v>
      </c>
      <c r="F22" s="170">
        <f>IF(G21=G22,F21,F21*180/PI())</f>
        <v>30</v>
      </c>
      <c r="G22" s="171" t="str">
        <f>L3</f>
        <v>°</v>
      </c>
      <c r="K22" s="19" t="s">
        <v>281</v>
      </c>
      <c r="L22" s="179">
        <v>0.2</v>
      </c>
    </row>
    <row r="23" spans="4:35" x14ac:dyDescent="0.35">
      <c r="D23" s="168"/>
      <c r="E23" s="169" t="str">
        <f>E21</f>
        <v xml:space="preserve">α = </v>
      </c>
      <c r="F23" s="170">
        <f>IF(G21=G23,F21,F21*PI()/180)</f>
        <v>0.52359877559829882</v>
      </c>
      <c r="G23" s="171" t="str">
        <f>L4</f>
        <v>rad</v>
      </c>
      <c r="K23" s="173" t="s">
        <v>312</v>
      </c>
      <c r="L23" s="178">
        <f>DEGREES(ATAN(L21))</f>
        <v>30.963756532073521</v>
      </c>
      <c r="M23" s="5" t="s">
        <v>313</v>
      </c>
      <c r="O23" s="5">
        <f>L23*PI()/180</f>
        <v>0.54041950027058416</v>
      </c>
      <c r="P23" s="5" t="s">
        <v>315</v>
      </c>
    </row>
    <row r="24" spans="4:35" ht="16.5" x14ac:dyDescent="0.35">
      <c r="D24" s="5" t="s">
        <v>260</v>
      </c>
      <c r="E24" s="19" t="s">
        <v>261</v>
      </c>
      <c r="F24" s="93">
        <v>9.81</v>
      </c>
      <c r="G24" s="5" t="s">
        <v>263</v>
      </c>
      <c r="K24" s="173" t="s">
        <v>314</v>
      </c>
      <c r="L24" s="178">
        <f>DEGREES(ATAN(L22))</f>
        <v>11.309932474020215</v>
      </c>
      <c r="M24" s="5" t="s">
        <v>313</v>
      </c>
      <c r="O24" s="5">
        <f>L24*PI()/180</f>
        <v>0.1973955598498808</v>
      </c>
      <c r="P24" s="5" t="s">
        <v>315</v>
      </c>
    </row>
    <row r="26" spans="4:35" ht="16.5" x14ac:dyDescent="0.45">
      <c r="D26" s="5" t="s">
        <v>270</v>
      </c>
      <c r="E26" s="19" t="s">
        <v>253</v>
      </c>
      <c r="F26" s="5" t="s">
        <v>264</v>
      </c>
      <c r="G26" s="93">
        <f>$F$20*$F$24</f>
        <v>49.050000000000004</v>
      </c>
      <c r="H26" s="5" t="str">
        <f>IF($G$20=$M$5,"N",IF($G$20=$M$6,"kN",IF($G$20=$M$4,"mN",IF($G$20=$M$3,"Mikro N",""))))</f>
        <v>kN</v>
      </c>
    </row>
    <row r="27" spans="4:35" ht="16.5" x14ac:dyDescent="0.45">
      <c r="D27" s="5" t="s">
        <v>254</v>
      </c>
      <c r="E27" s="19" t="s">
        <v>256</v>
      </c>
      <c r="F27" s="5" t="s">
        <v>266</v>
      </c>
      <c r="G27" s="93">
        <f>$G$26*SIN($F$23)</f>
        <v>24.524999999999999</v>
      </c>
      <c r="H27" s="5" t="str">
        <f>H26</f>
        <v>kN</v>
      </c>
    </row>
    <row r="28" spans="4:35" ht="16.5" x14ac:dyDescent="0.45">
      <c r="D28" s="5" t="s">
        <v>255</v>
      </c>
      <c r="E28" s="19" t="s">
        <v>257</v>
      </c>
      <c r="F28" s="5" t="s">
        <v>265</v>
      </c>
      <c r="G28" s="93">
        <f>$G$26*COS($F$23)</f>
        <v>42.478546055626722</v>
      </c>
      <c r="H28" s="5" t="str">
        <f>H27</f>
        <v>kN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173" t="s">
        <v>297</v>
      </c>
      <c r="E30" s="19" t="s">
        <v>301</v>
      </c>
      <c r="F30" s="5" t="s">
        <v>296</v>
      </c>
      <c r="G30" s="93">
        <f>$G$28*$L$21</f>
        <v>25.487127633376033</v>
      </c>
      <c r="H30" s="5" t="str">
        <f>H28</f>
        <v>kN</v>
      </c>
    </row>
    <row r="31" spans="4:35" ht="16" customHeight="1" x14ac:dyDescent="0.45">
      <c r="D31" s="5" t="s">
        <v>298</v>
      </c>
      <c r="E31" s="19" t="s">
        <v>306</v>
      </c>
      <c r="F31" s="5" t="s">
        <v>302</v>
      </c>
      <c r="G31" s="93">
        <f>$G$27-G30</f>
        <v>-0.96212763337603491</v>
      </c>
      <c r="H31" s="5" t="str">
        <f>H30</f>
        <v>kN</v>
      </c>
      <c r="I31" t="str">
        <f>IF(G31&gt;0,"Gleiten","Haftet")</f>
        <v>Haftet</v>
      </c>
      <c r="K31" s="176" t="s">
        <v>282</v>
      </c>
      <c r="L31" s="176" t="s">
        <v>278</v>
      </c>
      <c r="M31" s="176" t="s">
        <v>279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173" t="s">
        <v>300</v>
      </c>
      <c r="E32" s="19" t="s">
        <v>303</v>
      </c>
      <c r="F32" s="5" t="s">
        <v>299</v>
      </c>
      <c r="G32" s="93">
        <f>$G$28*$L$22</f>
        <v>8.4957092111253445</v>
      </c>
      <c r="H32" s="5" t="str">
        <f>H31</f>
        <v>kN</v>
      </c>
      <c r="K32" s="175" t="s">
        <v>283</v>
      </c>
      <c r="L32" s="175" t="s">
        <v>284</v>
      </c>
      <c r="M32" s="175" t="s">
        <v>285</v>
      </c>
      <c r="O32" s="180" t="s">
        <v>268</v>
      </c>
      <c r="P32" s="180" t="s">
        <v>309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304</v>
      </c>
      <c r="E33" s="19" t="s">
        <v>307</v>
      </c>
      <c r="F33" s="5" t="s">
        <v>305</v>
      </c>
      <c r="G33" s="93">
        <f>$G$27-G32</f>
        <v>16.029290788874654</v>
      </c>
      <c r="H33" s="5" t="str">
        <f>H32</f>
        <v>kN</v>
      </c>
      <c r="K33" s="175" t="s">
        <v>286</v>
      </c>
      <c r="L33" s="175" t="s">
        <v>287</v>
      </c>
      <c r="M33" s="175" t="s">
        <v>288</v>
      </c>
      <c r="O33" s="180" t="s">
        <v>268</v>
      </c>
      <c r="P33" s="180" t="s">
        <v>310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75" t="s">
        <v>289</v>
      </c>
      <c r="L34" s="175" t="s">
        <v>288</v>
      </c>
      <c r="M34" s="175" t="s">
        <v>290</v>
      </c>
      <c r="O34" s="19" t="s">
        <v>256</v>
      </c>
      <c r="P34" s="19" t="str">
        <f>H26</f>
        <v>kN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75" t="s">
        <v>291</v>
      </c>
      <c r="L35" s="175" t="s">
        <v>292</v>
      </c>
      <c r="M35" s="175" t="s">
        <v>293</v>
      </c>
      <c r="O35" s="19" t="s">
        <v>301</v>
      </c>
      <c r="P35" s="19" t="str">
        <f>P34</f>
        <v>kN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75" t="s">
        <v>294</v>
      </c>
      <c r="L36" s="175" t="s">
        <v>295</v>
      </c>
      <c r="M36" s="175" t="s">
        <v>295</v>
      </c>
      <c r="O36" s="19" t="s">
        <v>303</v>
      </c>
      <c r="P36" s="19" t="str">
        <f t="shared" ref="P36:P38" si="14">P35</f>
        <v>kN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306</v>
      </c>
      <c r="P37" s="19" t="str">
        <f t="shared" si="14"/>
        <v>kN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307</v>
      </c>
      <c r="P38" s="19" t="str">
        <f t="shared" si="14"/>
        <v>kN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81" t="s">
        <v>308</v>
      </c>
      <c r="P39" s="181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81" t="s">
        <v>311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82">
        <f t="shared" si="19"/>
        <v>9.6016704210091195</v>
      </c>
      <c r="AI40" s="182">
        <f t="shared" si="19"/>
        <v>9.81</v>
      </c>
    </row>
    <row r="41" spans="4:37" x14ac:dyDescent="0.35">
      <c r="AH41" s="5" t="s">
        <v>316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" xr:uid="{914C84CC-881B-4AD5-BC66-6A288299472A}">
      <formula1>$L$3:$L$4</formula1>
    </dataValidation>
    <dataValidation type="list" allowBlank="1" showInputMessage="1" showErrorMessage="1" sqref="G20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" zoomScale="70" zoomScaleNormal="70" workbookViewId="0">
      <selection activeCell="X40" sqref="X40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72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72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72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275</v>
      </c>
      <c r="S6" s="5"/>
      <c r="T6" s="5" t="s">
        <v>229</v>
      </c>
    </row>
    <row r="7" spans="3:29" x14ac:dyDescent="0.35">
      <c r="R7" s="173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59" t="s">
        <v>230</v>
      </c>
      <c r="D12" s="159"/>
      <c r="E12" s="159"/>
      <c r="F12" s="159"/>
      <c r="G12" s="159"/>
      <c r="H12" s="75"/>
      <c r="I12" s="159" t="s">
        <v>231</v>
      </c>
      <c r="J12" s="159"/>
      <c r="K12" s="159" t="s">
        <v>226</v>
      </c>
      <c r="L12" s="159"/>
      <c r="M12" s="159" t="s">
        <v>232</v>
      </c>
      <c r="N12" s="159"/>
      <c r="O12" s="159"/>
      <c r="P12" s="160" t="s">
        <v>243</v>
      </c>
      <c r="Q12" s="160"/>
      <c r="R12" s="160"/>
      <c r="S12" s="160"/>
      <c r="T12" s="160" t="s">
        <v>276</v>
      </c>
      <c r="U12" s="160"/>
      <c r="V12" s="160"/>
      <c r="W12" s="160"/>
    </row>
    <row r="13" spans="3:29" x14ac:dyDescent="0.35">
      <c r="C13" s="161" t="s">
        <v>210</v>
      </c>
      <c r="D13" s="161" t="s">
        <v>212</v>
      </c>
      <c r="E13" s="161" t="s">
        <v>211</v>
      </c>
      <c r="F13" s="161" t="s">
        <v>213</v>
      </c>
      <c r="G13" s="161" t="s">
        <v>214</v>
      </c>
      <c r="H13" s="161" t="s">
        <v>248</v>
      </c>
      <c r="I13" s="161" t="s">
        <v>225</v>
      </c>
      <c r="J13" s="161" t="s">
        <v>222</v>
      </c>
      <c r="K13" s="161" t="s">
        <v>223</v>
      </c>
      <c r="L13" s="161" t="s">
        <v>224</v>
      </c>
      <c r="M13" s="161" t="s">
        <v>220</v>
      </c>
      <c r="N13" s="161" t="s">
        <v>221</v>
      </c>
      <c r="O13" s="161" t="s">
        <v>222</v>
      </c>
      <c r="P13" s="161" t="s">
        <v>239</v>
      </c>
      <c r="Q13" s="161" t="s">
        <v>240</v>
      </c>
      <c r="R13" s="161" t="s">
        <v>241</v>
      </c>
      <c r="S13" s="161" t="s">
        <v>242</v>
      </c>
      <c r="T13" s="161" t="s">
        <v>239</v>
      </c>
      <c r="U13" s="161" t="s">
        <v>240</v>
      </c>
      <c r="V13" s="161" t="s">
        <v>241</v>
      </c>
      <c r="W13" s="161" t="s">
        <v>242</v>
      </c>
    </row>
    <row r="14" spans="3:29" x14ac:dyDescent="0.35">
      <c r="C14" s="4" t="s">
        <v>218</v>
      </c>
      <c r="D14" s="4">
        <v>5</v>
      </c>
      <c r="E14" s="112" t="s">
        <v>219</v>
      </c>
      <c r="F14" s="4">
        <v>5</v>
      </c>
      <c r="G14" s="4" t="s">
        <v>219</v>
      </c>
      <c r="H14" s="164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62">
        <f>IF(I14=$T$3,D14,D14*COS(J14))</f>
        <v>5</v>
      </c>
      <c r="L14" s="162">
        <f>IF(I14=$T$3,F14,D14*SIN(J14))</f>
        <v>5</v>
      </c>
      <c r="M14" s="163">
        <f>SQRT(K14^2 + L14^2)</f>
        <v>7.0710678118654755</v>
      </c>
      <c r="N14" s="163">
        <f>DEGREES(ATAN2(K14,L14))</f>
        <v>45</v>
      </c>
      <c r="O14" s="163">
        <f>ATAN2(K14,L14)</f>
        <v>0.78539816339744828</v>
      </c>
      <c r="P14" s="93">
        <v>0</v>
      </c>
      <c r="Q14" s="93">
        <f>K14</f>
        <v>5</v>
      </c>
      <c r="R14" s="93">
        <v>0</v>
      </c>
      <c r="S14" s="93">
        <f>L14</f>
        <v>5</v>
      </c>
      <c r="T14" s="174"/>
      <c r="U14" s="174"/>
      <c r="V14" s="174"/>
      <c r="W14" s="174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65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62">
        <f t="shared" ref="K15:K20" si="2">IF(I15=$T$3,D15,D15*COS(J15))</f>
        <v>10</v>
      </c>
      <c r="L15" s="162">
        <f t="shared" ref="L15:L20" si="3">IF(I15=$T$3,F15,D15*SIN(J15))</f>
        <v>-12</v>
      </c>
      <c r="M15" s="163">
        <f t="shared" ref="M15:M20" si="4">SQRT(K15^2 + L15^2)</f>
        <v>15.620499351813308</v>
      </c>
      <c r="N15" s="163">
        <f t="shared" ref="N15:N20" si="5">DEGREES(ATAN2(K15,L15))</f>
        <v>-50.19442890773481</v>
      </c>
      <c r="O15" s="163">
        <f t="shared" ref="O15:O20" si="6">ATAN2(K15,L15)</f>
        <v>-0.87605805059819342</v>
      </c>
      <c r="P15" s="93">
        <f>IF(H15=$R$6,0,IF(H15=$R$3,Q14,0))</f>
        <v>5</v>
      </c>
      <c r="Q15" s="93">
        <f>IF(H15=$R$6,0,IF(H15=$R$3,K15+Q14,K15))</f>
        <v>15</v>
      </c>
      <c r="R15" s="93">
        <f>IF(H15=$R$6,0,IF(H15=$R$3,S14,0))</f>
        <v>5</v>
      </c>
      <c r="S15" s="93">
        <f>IF(H15=$R$6,0,IF(H15=$R$3,S14+L15,L15))</f>
        <v>-7</v>
      </c>
      <c r="T15" s="93">
        <v>0</v>
      </c>
      <c r="U15" s="93">
        <v>0</v>
      </c>
      <c r="V15" s="93">
        <f>IF(P15&lt;&gt;0,Q15,0)</f>
        <v>15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65" t="s">
        <v>249</v>
      </c>
      <c r="I16" s="5" t="str">
        <f t="shared" si="0"/>
        <v>Kartesisch</v>
      </c>
      <c r="J16" s="93" t="str">
        <f t="shared" si="1"/>
        <v/>
      </c>
      <c r="K16" s="162">
        <f t="shared" si="2"/>
        <v>-8</v>
      </c>
      <c r="L16" s="162">
        <f t="shared" si="3"/>
        <v>15</v>
      </c>
      <c r="M16" s="163">
        <f t="shared" si="4"/>
        <v>17</v>
      </c>
      <c r="N16" s="163">
        <f t="shared" si="5"/>
        <v>118.07248693585296</v>
      </c>
      <c r="O16" s="163">
        <f t="shared" si="6"/>
        <v>2.060753653048625</v>
      </c>
      <c r="P16" s="93">
        <f>IF(H16=$R$6,0,IF(H16=$R$3,Q15,0))</f>
        <v>15</v>
      </c>
      <c r="Q16" s="93">
        <f>IF(H16=$R$6,0,IF(H16=$R$3,K16+Q15,K16))</f>
        <v>7</v>
      </c>
      <c r="R16" s="93">
        <f>IF(H16=$R$6,0,IF(H16=$R$3,S15,0))</f>
        <v>-7</v>
      </c>
      <c r="S16" s="93">
        <f>IF(H16=$R$6,0,IF(H16=$R$3,S15+L16,L16))</f>
        <v>8</v>
      </c>
      <c r="T16" s="93">
        <v>0</v>
      </c>
      <c r="U16" s="93">
        <v>0</v>
      </c>
      <c r="V16" s="93">
        <f t="shared" ref="V16:V20" si="7">IF(P16&lt;&gt;0,Q16,0)</f>
        <v>7</v>
      </c>
      <c r="W16" s="93">
        <f t="shared" ref="W16:W20" si="8">IF(R16&lt;&gt;0,S16,0)</f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65" t="s">
        <v>249</v>
      </c>
      <c r="I17" s="5" t="str">
        <f t="shared" si="0"/>
        <v>Kartesisch</v>
      </c>
      <c r="J17" s="93" t="str">
        <f t="shared" si="1"/>
        <v/>
      </c>
      <c r="K17" s="162">
        <f t="shared" si="2"/>
        <v>-10</v>
      </c>
      <c r="L17" s="162">
        <f t="shared" si="3"/>
        <v>-20</v>
      </c>
      <c r="M17" s="163">
        <f t="shared" si="4"/>
        <v>22.360679774997898</v>
      </c>
      <c r="N17" s="163">
        <f t="shared" si="5"/>
        <v>-116.56505117707799</v>
      </c>
      <c r="O17" s="163">
        <f t="shared" si="6"/>
        <v>-2.0344439357957027</v>
      </c>
      <c r="P17" s="93">
        <f>IF(H17=$R$6,0,IF(H17=$R$3,Q16,0))</f>
        <v>7</v>
      </c>
      <c r="Q17" s="93">
        <f>IF(H17=$R$6,0,IF(H17=$R$3,K17+Q16,K17))</f>
        <v>-3</v>
      </c>
      <c r="R17" s="93">
        <f>IF(H17=$R$6,0,IF(H17=$R$3,S16,0))</f>
        <v>8</v>
      </c>
      <c r="S17" s="93">
        <f>IF(H17=$R$6,0,IF(H17=$R$3,S16+L17,L17))</f>
        <v>-12</v>
      </c>
      <c r="T17" s="93">
        <v>0</v>
      </c>
      <c r="U17" s="93">
        <v>0</v>
      </c>
      <c r="V17" s="93">
        <f t="shared" si="7"/>
        <v>-3</v>
      </c>
      <c r="W17" s="93">
        <f t="shared" si="8"/>
        <v>-12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65" t="s">
        <v>249</v>
      </c>
      <c r="I18" s="5" t="str">
        <f t="shared" si="0"/>
        <v>Polar [°]</v>
      </c>
      <c r="J18" s="93">
        <f t="shared" si="1"/>
        <v>1.7453292519943295</v>
      </c>
      <c r="K18" s="162">
        <f t="shared" si="2"/>
        <v>-3.4729635533386061</v>
      </c>
      <c r="L18" s="162">
        <f t="shared" si="3"/>
        <v>19.696155060244159</v>
      </c>
      <c r="M18" s="163">
        <f t="shared" si="4"/>
        <v>19.999999999999996</v>
      </c>
      <c r="N18" s="163">
        <f t="shared" si="5"/>
        <v>100</v>
      </c>
      <c r="O18" s="163">
        <f t="shared" si="6"/>
        <v>1.7453292519943295</v>
      </c>
      <c r="P18" s="93">
        <f>IF(H18=$R$6,0,IF(H18=$R$3,Q17,0))</f>
        <v>-3</v>
      </c>
      <c r="Q18" s="93">
        <f>IF(H18=$R$6,0,IF(H18=$R$3,K18+Q17,K18))</f>
        <v>-6.4729635533386061</v>
      </c>
      <c r="R18" s="93">
        <f>IF(H18=$R$6,0,IF(H18=$R$3,S17,0))</f>
        <v>-12</v>
      </c>
      <c r="S18" s="93">
        <f>IF(H18=$R$6,0,IF(H18=$R$3,S17+L18,L18))</f>
        <v>7.6961550602441591</v>
      </c>
      <c r="T18" s="93">
        <v>0</v>
      </c>
      <c r="U18" s="93">
        <v>0</v>
      </c>
      <c r="V18" s="93">
        <f t="shared" si="7"/>
        <v>-6.4729635533386061</v>
      </c>
      <c r="W18" s="93">
        <f t="shared" si="8"/>
        <v>7.6961550602441591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65" t="s">
        <v>275</v>
      </c>
      <c r="I19" s="5" t="str">
        <f t="shared" si="0"/>
        <v>Polar [°]</v>
      </c>
      <c r="J19" s="93">
        <f t="shared" si="1"/>
        <v>3.1415926535897931</v>
      </c>
      <c r="K19" s="162">
        <f t="shared" si="2"/>
        <v>-20</v>
      </c>
      <c r="L19" s="162">
        <f t="shared" si="3"/>
        <v>2.45029690981724E-15</v>
      </c>
      <c r="M19" s="163">
        <f t="shared" si="4"/>
        <v>20</v>
      </c>
      <c r="N19" s="163">
        <f t="shared" si="5"/>
        <v>180</v>
      </c>
      <c r="O19" s="163">
        <f t="shared" si="6"/>
        <v>3.1415926535897931</v>
      </c>
      <c r="P19" s="93">
        <f>IF(H19=$R$6,0,IF(H19=$R$3,Q18,0))</f>
        <v>0</v>
      </c>
      <c r="Q19" s="93">
        <f>IF(H19=$R$6,0,IF(H19=$R$3,K19+Q18,K19))</f>
        <v>0</v>
      </c>
      <c r="R19" s="93">
        <f>IF(H19=$R$6,0,IF(H19=$R$3,S18,0))</f>
        <v>0</v>
      </c>
      <c r="S19" s="93">
        <f>IF(H19=$R$6,0,IF(H19=$R$3,S18+L19,L19))</f>
        <v>0</v>
      </c>
      <c r="T19" s="93">
        <v>0</v>
      </c>
      <c r="U19" s="93">
        <v>0</v>
      </c>
      <c r="V19" s="93">
        <f t="shared" si="7"/>
        <v>0</v>
      </c>
      <c r="W19" s="93">
        <f t="shared" si="8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65" t="s">
        <v>275</v>
      </c>
      <c r="I20" s="5" t="str">
        <f t="shared" si="0"/>
        <v>Polar [rad]</v>
      </c>
      <c r="J20" s="93">
        <f t="shared" si="1"/>
        <v>6.5</v>
      </c>
      <c r="K20" s="162">
        <f t="shared" si="2"/>
        <v>19.53175251456047</v>
      </c>
      <c r="L20" s="162">
        <f t="shared" si="3"/>
        <v>4.3023997617563108</v>
      </c>
      <c r="M20" s="163">
        <f t="shared" si="4"/>
        <v>20</v>
      </c>
      <c r="N20" s="163">
        <f t="shared" si="5"/>
        <v>12.422566835035086</v>
      </c>
      <c r="O20" s="163">
        <f t="shared" si="6"/>
        <v>0.21681469282041352</v>
      </c>
      <c r="P20" s="93">
        <f>IF(H20=$R$6,0,IF(H20=$R$3,Q19,0))</f>
        <v>0</v>
      </c>
      <c r="Q20" s="93">
        <f>IF(H20=$R$6,0,IF(H20=$R$3,K20+Q19,K20))</f>
        <v>0</v>
      </c>
      <c r="R20" s="93">
        <f>IF(H20=$R$6,0,IF(H20=$R$3,S19,0))</f>
        <v>0</v>
      </c>
      <c r="S20" s="93">
        <f>IF(H20=$R$6,0,IF(H20=$R$3,S19+L20,L20))</f>
        <v>0</v>
      </c>
      <c r="T20" s="93">
        <v>0</v>
      </c>
      <c r="U20" s="93">
        <v>0</v>
      </c>
      <c r="V20" s="93">
        <f t="shared" si="7"/>
        <v>0</v>
      </c>
      <c r="W20" s="93">
        <f t="shared" si="8"/>
        <v>0</v>
      </c>
    </row>
  </sheetData>
  <mergeCells count="6">
    <mergeCell ref="C12:G12"/>
    <mergeCell ref="K12:L12"/>
    <mergeCell ref="I12:J12"/>
    <mergeCell ref="M12:O12"/>
    <mergeCell ref="P12:S12"/>
    <mergeCell ref="T12:W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45772.73313414352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23" t="s">
        <v>26</v>
      </c>
      <c r="D4" s="124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25" t="s">
        <v>27</v>
      </c>
      <c r="D5" s="126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21" t="s">
        <v>1</v>
      </c>
      <c r="D8" s="122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19" t="s">
        <v>24</v>
      </c>
      <c r="D9" s="119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20" t="s">
        <v>29</v>
      </c>
      <c r="D10" s="120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20" t="s">
        <v>56</v>
      </c>
      <c r="D11" s="120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B1" zoomScale="115" zoomScaleNormal="115" workbookViewId="0">
      <selection activeCell="G12" sqref="G12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38" t="str">
        <f>$O$8</f>
        <v>Anfangs-Geschwindigkeit</v>
      </c>
      <c r="D6" s="139"/>
      <c r="E6" s="142" t="str">
        <f>$O$9</f>
        <v>Geschwindigkeit</v>
      </c>
      <c r="F6" s="139"/>
      <c r="G6" s="142" t="str">
        <f>$O$10</f>
        <v>Strecke</v>
      </c>
      <c r="H6" s="139"/>
      <c r="I6" s="142" t="str">
        <f>$O$11</f>
        <v>Zeit</v>
      </c>
      <c r="J6" s="139"/>
      <c r="K6" s="142" t="str">
        <f>$O$12</f>
        <v>Beschleunigung</v>
      </c>
      <c r="L6" s="143"/>
    </row>
    <row r="7" spans="1:19" ht="15" thickBot="1" x14ac:dyDescent="0.4">
      <c r="B7" s="28" t="s">
        <v>43</v>
      </c>
      <c r="C7" s="140" t="str">
        <f>$P$8</f>
        <v>v0 [m/s]</v>
      </c>
      <c r="D7" s="141"/>
      <c r="E7" s="144" t="str">
        <f>$P$9</f>
        <v>v [m/s]</v>
      </c>
      <c r="F7" s="141"/>
      <c r="G7" s="144" t="str">
        <f>$P$10</f>
        <v>s [m]</v>
      </c>
      <c r="H7" s="141"/>
      <c r="I7" s="144" t="str">
        <f>$P$11</f>
        <v>t [s]</v>
      </c>
      <c r="J7" s="141"/>
      <c r="K7" s="144" t="str">
        <f>$P$12</f>
        <v>a [m/s2]</v>
      </c>
      <c r="L7" s="145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32">
        <v>119</v>
      </c>
      <c r="H8" s="133"/>
      <c r="I8" s="132">
        <v>7</v>
      </c>
      <c r="J8" s="133"/>
      <c r="K8" s="132">
        <v>2</v>
      </c>
      <c r="L8" s="137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29">
        <v>24</v>
      </c>
      <c r="F9" s="130"/>
      <c r="G9" s="31" t="s">
        <v>83</v>
      </c>
      <c r="H9" s="31">
        <f>E9*I9 - K9*I9^2/2</f>
        <v>119</v>
      </c>
      <c r="I9" s="129">
        <v>7</v>
      </c>
      <c r="J9" s="130"/>
      <c r="K9" s="129">
        <v>2</v>
      </c>
      <c r="L9" s="135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29">
        <v>24</v>
      </c>
      <c r="F10" s="130"/>
      <c r="G10" s="129">
        <v>119</v>
      </c>
      <c r="H10" s="130"/>
      <c r="I10" s="31" t="s">
        <v>84</v>
      </c>
      <c r="J10" s="31">
        <f>(E10 - SQRT(E10^2 - 2*K10*G10))/K10</f>
        <v>7</v>
      </c>
      <c r="K10" s="129">
        <v>2</v>
      </c>
      <c r="L10" s="135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29">
        <v>24</v>
      </c>
      <c r="F11" s="130"/>
      <c r="G11" s="129">
        <v>119</v>
      </c>
      <c r="H11" s="130"/>
      <c r="I11" s="129">
        <v>7</v>
      </c>
      <c r="J11" s="130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34">
        <v>10</v>
      </c>
      <c r="D12" s="130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29">
        <v>7</v>
      </c>
      <c r="J12" s="130"/>
      <c r="K12" s="129">
        <v>2</v>
      </c>
      <c r="L12" s="135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34">
        <v>10</v>
      </c>
      <c r="D13" s="130"/>
      <c r="E13" s="31" t="s">
        <v>88</v>
      </c>
      <c r="F13" s="31">
        <f>SQRT(C13^2 + 2*K13*G13)</f>
        <v>24</v>
      </c>
      <c r="G13" s="129">
        <v>119</v>
      </c>
      <c r="H13" s="130"/>
      <c r="I13" s="37" t="s">
        <v>62</v>
      </c>
      <c r="J13" s="31">
        <f xml:space="preserve"> (-C13 + SQRT(C13^2 + 2*K13*G13))/K13</f>
        <v>7</v>
      </c>
      <c r="K13" s="127">
        <v>2</v>
      </c>
      <c r="L13" s="135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34">
        <v>10</v>
      </c>
      <c r="D14" s="130"/>
      <c r="E14" s="31" t="s">
        <v>89</v>
      </c>
      <c r="F14" s="31">
        <f>2*G14/I14 - C14</f>
        <v>24</v>
      </c>
      <c r="G14" s="129">
        <v>119</v>
      </c>
      <c r="H14" s="130"/>
      <c r="I14" s="129">
        <v>7</v>
      </c>
      <c r="J14" s="136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34">
        <v>10</v>
      </c>
      <c r="D15" s="130"/>
      <c r="E15" s="129">
        <v>24</v>
      </c>
      <c r="F15" s="130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29">
        <v>2</v>
      </c>
      <c r="L15" s="135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34">
        <v>10</v>
      </c>
      <c r="D16" s="130"/>
      <c r="E16" s="129">
        <v>24</v>
      </c>
      <c r="F16" s="130"/>
      <c r="G16" s="31" t="s">
        <v>91</v>
      </c>
      <c r="H16" s="31">
        <f>(C16+E16)*I16/2</f>
        <v>119</v>
      </c>
      <c r="I16" s="129">
        <v>7</v>
      </c>
      <c r="J16" s="130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31">
        <v>10</v>
      </c>
      <c r="D17" s="128"/>
      <c r="E17" s="127">
        <v>24</v>
      </c>
      <c r="F17" s="128"/>
      <c r="G17" s="127">
        <v>119</v>
      </c>
      <c r="H17" s="128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46" t="str">
        <f>P13</f>
        <v>ω0 [rad/s]</v>
      </c>
      <c r="D18" s="147"/>
      <c r="E18" s="148" t="str">
        <f>P14</f>
        <v>ω [rad/s]</v>
      </c>
      <c r="F18" s="147"/>
      <c r="G18" s="148" t="str">
        <f>P15</f>
        <v>φ [rad]</v>
      </c>
      <c r="H18" s="147"/>
      <c r="I18" s="148" t="str">
        <f>P16</f>
        <v>t [s]</v>
      </c>
      <c r="J18" s="147"/>
      <c r="K18" s="148" t="str">
        <f>P17</f>
        <v>α [rad/s2]</v>
      </c>
      <c r="L18" s="149"/>
    </row>
    <row r="19" spans="1:16" ht="29" customHeight="1" thickBot="1" x14ac:dyDescent="0.4">
      <c r="C19" s="150" t="str">
        <f>O13</f>
        <v>Anfangs-Winkelgeschwindigkeit</v>
      </c>
      <c r="D19" s="151"/>
      <c r="E19" s="152" t="str">
        <f>O14</f>
        <v>Winkelgeschwindigkeit</v>
      </c>
      <c r="F19" s="151"/>
      <c r="G19" s="152" t="str">
        <f>O15</f>
        <v>Winkel</v>
      </c>
      <c r="H19" s="151"/>
      <c r="I19" s="152" t="str">
        <f>O16</f>
        <v>Zeit</v>
      </c>
      <c r="J19" s="151"/>
      <c r="K19" s="152" t="str">
        <f>O17</f>
        <v>Winkelbeschleunigung</v>
      </c>
      <c r="L19" s="153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TOC</vt:lpstr>
      <vt:lpstr>Schiefeebene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2025-04-25T15:36:49Z</dcterms:modified>
</cp:coreProperties>
</file>