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15284650-6320-4FBB-98FF-9B29C87FA529}" xr6:coauthVersionLast="47" xr6:coauthVersionMax="47" xr10:uidLastSave="{00000000-0000-0000-0000-000000000000}"/>
  <bookViews>
    <workbookView xWindow="-110" yWindow="-110" windowWidth="19420" windowHeight="10300" firstSheet="12" activeTab="15" xr2:uid="{00000000-000D-0000-FFFF-FFFF00000000}"/>
  </bookViews>
  <sheets>
    <sheet name="TOC" sheetId="13" r:id="rId1"/>
    <sheet name="Sinus_Cosinus" sheetId="22" r:id="rId2"/>
    <sheet name="Schiefeebene" sheetId="19" r:id="rId3"/>
    <sheet name="Schiefe-Ebene (alt)" sheetId="20" r:id="rId4"/>
    <sheet name="Vektoren" sheetId="18" r:id="rId5"/>
    <sheet name="Vektor" sheetId="24" r:id="rId6"/>
    <sheet name="Geburtstagsliste" sheetId="17" r:id="rId7"/>
    <sheet name="Einheiten umrechnen" sheetId="16" r:id="rId8"/>
    <sheet name="Flächenberechnungen" sheetId="14" r:id="rId9"/>
    <sheet name="Kinematik_1" sheetId="4" r:id="rId10"/>
    <sheet name="Kinematik_2" sheetId="9" r:id="rId11"/>
    <sheet name="Kinematik_2_Berechnungen" sheetId="11" r:id="rId12"/>
    <sheet name="Fourierreihe" sheetId="21" r:id="rId13"/>
    <sheet name="Fourierreihe (neu)" sheetId="12" r:id="rId14"/>
    <sheet name="Scheinleistung" sheetId="15" r:id="rId15"/>
    <sheet name="Gemischte Schaltung" sheetId="23" r:id="rId16"/>
  </sheets>
  <definedNames>
    <definedName name="_xlnm._FilterDatabase" localSheetId="6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23" l="1"/>
  <c r="AB5" i="23"/>
  <c r="AC5" i="23"/>
  <c r="Z5" i="23"/>
  <c r="AA10" i="23"/>
  <c r="AB10" i="23"/>
  <c r="AC10" i="23"/>
  <c r="AA9" i="23"/>
  <c r="AB9" i="23"/>
  <c r="AC9" i="23"/>
  <c r="AA8" i="23"/>
  <c r="AB8" i="23"/>
  <c r="AC8" i="23"/>
  <c r="AA7" i="23"/>
  <c r="AB7" i="23"/>
  <c r="AC7" i="23"/>
  <c r="Z7" i="23"/>
  <c r="Z8" i="23"/>
  <c r="Z9" i="23"/>
  <c r="Z10" i="23"/>
  <c r="AA14" i="23"/>
  <c r="AB14" i="23"/>
  <c r="AC14" i="23"/>
  <c r="Z14" i="23"/>
  <c r="AA13" i="23"/>
  <c r="AB13" i="23"/>
  <c r="AC13" i="23"/>
  <c r="Z13" i="23"/>
  <c r="AA12" i="23"/>
  <c r="AB12" i="23"/>
  <c r="AC12" i="23"/>
  <c r="Z12" i="23"/>
  <c r="Z11" i="23"/>
  <c r="AA11" i="23"/>
  <c r="AB11" i="23"/>
  <c r="AC11" i="23"/>
  <c r="V14" i="23"/>
  <c r="W14" i="23"/>
  <c r="X14" i="23"/>
  <c r="U14" i="23"/>
  <c r="V13" i="23"/>
  <c r="W13" i="23"/>
  <c r="X13" i="23"/>
  <c r="V9" i="23"/>
  <c r="W9" i="23"/>
  <c r="X9" i="23"/>
  <c r="V8" i="23"/>
  <c r="W8" i="23"/>
  <c r="X8" i="23"/>
  <c r="W34" i="23"/>
  <c r="W12" i="23" s="1"/>
  <c r="W31" i="23"/>
  <c r="W27" i="23"/>
  <c r="W24" i="23"/>
  <c r="W21" i="23"/>
  <c r="W18" i="23"/>
  <c r="AB6" i="23"/>
  <c r="V7" i="23"/>
  <c r="W7" i="23"/>
  <c r="X7" i="23"/>
  <c r="U7" i="23"/>
  <c r="U6" i="23"/>
  <c r="V6" i="23"/>
  <c r="W6" i="23"/>
  <c r="X6" i="23"/>
  <c r="V73" i="23"/>
  <c r="W68" i="23"/>
  <c r="W65" i="23"/>
  <c r="V71" i="23"/>
  <c r="W62" i="23"/>
  <c r="W59" i="23"/>
  <c r="V104" i="23"/>
  <c r="W101" i="23"/>
  <c r="W98" i="23"/>
  <c r="V135" i="23"/>
  <c r="W135" i="23"/>
  <c r="X135" i="23"/>
  <c r="U135" i="23"/>
  <c r="AA15" i="23"/>
  <c r="AB15" i="23"/>
  <c r="AC15" i="23"/>
  <c r="Z15" i="23"/>
  <c r="AA6" i="23"/>
  <c r="AC6" i="23"/>
  <c r="Z6" i="23"/>
  <c r="R15" i="23"/>
  <c r="V267" i="23"/>
  <c r="W267" i="23"/>
  <c r="I273" i="23" s="1"/>
  <c r="X267" i="23"/>
  <c r="U267" i="23"/>
  <c r="V12" i="23"/>
  <c r="X12" i="23"/>
  <c r="V11" i="23"/>
  <c r="W11" i="23"/>
  <c r="X11" i="23"/>
  <c r="V10" i="23"/>
  <c r="X10" i="23"/>
  <c r="U10" i="23"/>
  <c r="U12" i="23"/>
  <c r="U11" i="23"/>
  <c r="V5" i="23"/>
  <c r="W5" i="23"/>
  <c r="X5" i="23"/>
  <c r="U5" i="23"/>
  <c r="Q31" i="23"/>
  <c r="R31" i="23"/>
  <c r="S31" i="23"/>
  <c r="P31" i="23"/>
  <c r="Q29" i="23"/>
  <c r="R29" i="23"/>
  <c r="S29" i="23"/>
  <c r="P29" i="23"/>
  <c r="Q27" i="23"/>
  <c r="R27" i="23"/>
  <c r="S27" i="23"/>
  <c r="P27" i="23"/>
  <c r="Q25" i="23"/>
  <c r="R25" i="23"/>
  <c r="S25" i="23"/>
  <c r="P25" i="23"/>
  <c r="Q23" i="23"/>
  <c r="R23" i="23"/>
  <c r="S23" i="23"/>
  <c r="Q22" i="23"/>
  <c r="R22" i="23"/>
  <c r="S22" i="23"/>
  <c r="P23" i="23"/>
  <c r="P22" i="23"/>
  <c r="Q20" i="23"/>
  <c r="R20" i="23"/>
  <c r="S20" i="23"/>
  <c r="P20" i="23"/>
  <c r="Q19" i="23"/>
  <c r="R19" i="23"/>
  <c r="S19" i="23"/>
  <c r="P19" i="23"/>
  <c r="Q18" i="23"/>
  <c r="R18" i="23"/>
  <c r="S18" i="23"/>
  <c r="P18" i="23"/>
  <c r="R98" i="23"/>
  <c r="V49" i="23"/>
  <c r="X49" i="23"/>
  <c r="U49" i="23"/>
  <c r="V53" i="23"/>
  <c r="W53" i="23"/>
  <c r="X53" i="23"/>
  <c r="V52" i="23"/>
  <c r="X52" i="23"/>
  <c r="V51" i="23"/>
  <c r="X51" i="23"/>
  <c r="V50" i="23"/>
  <c r="W50" i="23"/>
  <c r="X50" i="23"/>
  <c r="V48" i="23"/>
  <c r="W48" i="23"/>
  <c r="X48" i="23"/>
  <c r="U53" i="23"/>
  <c r="U52" i="23"/>
  <c r="U51" i="23"/>
  <c r="U50" i="23"/>
  <c r="U48" i="23"/>
  <c r="V90" i="23"/>
  <c r="X90" i="23"/>
  <c r="V89" i="23"/>
  <c r="X89" i="23"/>
  <c r="V88" i="23"/>
  <c r="X88" i="23"/>
  <c r="U90" i="23"/>
  <c r="U89" i="23"/>
  <c r="U88" i="23"/>
  <c r="U9" i="23" s="1"/>
  <c r="V137" i="23"/>
  <c r="X137" i="23"/>
  <c r="U137" i="23"/>
  <c r="W136" i="23"/>
  <c r="X136" i="23"/>
  <c r="U136" i="23"/>
  <c r="U172" i="23"/>
  <c r="U13" i="23" s="1"/>
  <c r="V176" i="23"/>
  <c r="X176" i="23"/>
  <c r="V173" i="23"/>
  <c r="X173" i="23"/>
  <c r="U173" i="23"/>
  <c r="V172" i="23"/>
  <c r="X172" i="23"/>
  <c r="V218" i="23"/>
  <c r="X218" i="23"/>
  <c r="U218" i="23"/>
  <c r="V217" i="23"/>
  <c r="X217" i="23"/>
  <c r="U217" i="23"/>
  <c r="U176" i="23" s="1"/>
  <c r="V268" i="23"/>
  <c r="X268" i="23"/>
  <c r="U268" i="23"/>
  <c r="Q268" i="23"/>
  <c r="S268" i="23"/>
  <c r="P268" i="23"/>
  <c r="Q267" i="23"/>
  <c r="V175" i="23" s="1"/>
  <c r="R267" i="23"/>
  <c r="W219" i="23" s="1"/>
  <c r="S267" i="23"/>
  <c r="X175" i="23" s="1"/>
  <c r="P267" i="23"/>
  <c r="U175" i="23" s="1"/>
  <c r="Q218" i="23"/>
  <c r="S218" i="23"/>
  <c r="P218" i="23"/>
  <c r="Q217" i="23"/>
  <c r="V174" i="23" s="1"/>
  <c r="S217" i="23"/>
  <c r="X174" i="23" s="1"/>
  <c r="P217" i="23"/>
  <c r="U174" i="23" s="1"/>
  <c r="Q173" i="23"/>
  <c r="S173" i="23"/>
  <c r="P173" i="23"/>
  <c r="Q172" i="23"/>
  <c r="V136" i="23" s="1"/>
  <c r="R172" i="23"/>
  <c r="S172" i="23"/>
  <c r="P172" i="23"/>
  <c r="Q136" i="23"/>
  <c r="S136" i="23"/>
  <c r="P136" i="23"/>
  <c r="Q135" i="23"/>
  <c r="S135" i="23"/>
  <c r="P135" i="23"/>
  <c r="Q91" i="23"/>
  <c r="S91" i="23"/>
  <c r="Q90" i="23"/>
  <c r="S90" i="23"/>
  <c r="Q89" i="23"/>
  <c r="R89" i="23"/>
  <c r="S89" i="23"/>
  <c r="Q88" i="23"/>
  <c r="R88" i="23"/>
  <c r="S88" i="23"/>
  <c r="P91" i="23"/>
  <c r="P90" i="23"/>
  <c r="P89" i="23"/>
  <c r="P88" i="23"/>
  <c r="P53" i="23"/>
  <c r="Q53" i="23"/>
  <c r="R53" i="23"/>
  <c r="S53" i="23"/>
  <c r="Q52" i="23"/>
  <c r="R52" i="23"/>
  <c r="S52" i="23"/>
  <c r="P52" i="23"/>
  <c r="P49" i="23"/>
  <c r="Q49" i="23"/>
  <c r="R49" i="23"/>
  <c r="S49" i="23"/>
  <c r="P50" i="23"/>
  <c r="Q50" i="23"/>
  <c r="R50" i="23"/>
  <c r="S50" i="23"/>
  <c r="P51" i="23"/>
  <c r="Q51" i="23"/>
  <c r="R51" i="23"/>
  <c r="S51" i="23"/>
  <c r="Q48" i="23"/>
  <c r="R48" i="23"/>
  <c r="S48" i="23"/>
  <c r="P48" i="23"/>
  <c r="R65" i="23"/>
  <c r="R91" i="23" s="1"/>
  <c r="R62" i="23"/>
  <c r="R135" i="23" s="1"/>
  <c r="W90" i="23" s="1"/>
  <c r="R59" i="23"/>
  <c r="R90" i="23" s="1"/>
  <c r="G8" i="24"/>
  <c r="F4" i="24"/>
  <c r="F5" i="24"/>
  <c r="U8" i="23" l="1"/>
  <c r="W175" i="23"/>
  <c r="W51" i="23"/>
  <c r="U219" i="23"/>
  <c r="W52" i="23"/>
  <c r="X219" i="23"/>
  <c r="V219" i="23"/>
  <c r="R101" i="23"/>
  <c r="R217" i="23" s="1"/>
  <c r="W174" i="23" s="1"/>
  <c r="F22" i="19"/>
  <c r="F23" i="19"/>
  <c r="G27" i="19" s="1"/>
  <c r="H26" i="19"/>
  <c r="R136" i="23" l="1"/>
  <c r="R141" i="23" s="1"/>
  <c r="R173" i="23" s="1"/>
  <c r="R180" i="23" s="1"/>
  <c r="W89" i="23"/>
  <c r="R218" i="23"/>
  <c r="R226" i="23" s="1"/>
  <c r="R268" i="23" s="1"/>
  <c r="R273" i="23" s="1"/>
  <c r="W268" i="23" s="1"/>
  <c r="W273" i="23" s="1"/>
  <c r="W173" i="23"/>
  <c r="F8" i="22"/>
  <c r="G8" i="22"/>
  <c r="H8" i="22"/>
  <c r="I8" i="22"/>
  <c r="J8" i="22"/>
  <c r="K8" i="22"/>
  <c r="K10" i="22" s="1"/>
  <c r="L8" i="22"/>
  <c r="L9" i="22" s="1"/>
  <c r="M8" i="22"/>
  <c r="N8" i="22"/>
  <c r="O8" i="22"/>
  <c r="P8" i="22"/>
  <c r="Q8" i="22"/>
  <c r="R8" i="22"/>
  <c r="S8" i="22"/>
  <c r="S10" i="22" s="1"/>
  <c r="T8" i="22"/>
  <c r="T9" i="22" s="1"/>
  <c r="U8" i="22"/>
  <c r="V8" i="22"/>
  <c r="W8" i="22"/>
  <c r="X8" i="22"/>
  <c r="Y8" i="22"/>
  <c r="Z8" i="22"/>
  <c r="AA8" i="22"/>
  <c r="AA10" i="22" s="1"/>
  <c r="AB8" i="22"/>
  <c r="AB9" i="22" s="1"/>
  <c r="AC8" i="22"/>
  <c r="AD8" i="22"/>
  <c r="AE8" i="22"/>
  <c r="AF8" i="22"/>
  <c r="AG8" i="22"/>
  <c r="AH8" i="22"/>
  <c r="AI8" i="22"/>
  <c r="AI10" i="22" s="1"/>
  <c r="AJ8" i="22"/>
  <c r="AJ9" i="22" s="1"/>
  <c r="AK8" i="22"/>
  <c r="AL8" i="22"/>
  <c r="AM8" i="22"/>
  <c r="AN8" i="22"/>
  <c r="AO8" i="22"/>
  <c r="AP8" i="22"/>
  <c r="AQ8" i="22"/>
  <c r="AQ10" i="22" s="1"/>
  <c r="AR8" i="22"/>
  <c r="AR9" i="22" s="1"/>
  <c r="AS8" i="22"/>
  <c r="AT8" i="22"/>
  <c r="AU8" i="22"/>
  <c r="F9" i="22"/>
  <c r="G9" i="22"/>
  <c r="H9" i="22"/>
  <c r="I9" i="22"/>
  <c r="J9" i="22"/>
  <c r="M9" i="22"/>
  <c r="N9" i="22"/>
  <c r="O9" i="22"/>
  <c r="P9" i="22"/>
  <c r="Q9" i="22"/>
  <c r="R9" i="22"/>
  <c r="U9" i="22"/>
  <c r="V9" i="22"/>
  <c r="W9" i="22"/>
  <c r="X9" i="22"/>
  <c r="Y9" i="22"/>
  <c r="Z9" i="22"/>
  <c r="AC9" i="22"/>
  <c r="AD9" i="22"/>
  <c r="AE9" i="22"/>
  <c r="AF9" i="22"/>
  <c r="AG9" i="22"/>
  <c r="AH9" i="22"/>
  <c r="AK9" i="22"/>
  <c r="AL9" i="22"/>
  <c r="AM9" i="22"/>
  <c r="AN9" i="22"/>
  <c r="AO9" i="22"/>
  <c r="AP9" i="22"/>
  <c r="AS9" i="22"/>
  <c r="AT9" i="22"/>
  <c r="AU9" i="22"/>
  <c r="F10" i="22"/>
  <c r="G10" i="22"/>
  <c r="H10" i="22"/>
  <c r="I10" i="22"/>
  <c r="J10" i="22"/>
  <c r="M10" i="22"/>
  <c r="N10" i="22"/>
  <c r="O10" i="22"/>
  <c r="P10" i="22"/>
  <c r="Q10" i="22"/>
  <c r="R10" i="22"/>
  <c r="U10" i="22"/>
  <c r="V10" i="22"/>
  <c r="W10" i="22"/>
  <c r="X10" i="22"/>
  <c r="Y10" i="22"/>
  <c r="Z10" i="22"/>
  <c r="AC10" i="22"/>
  <c r="AD10" i="22"/>
  <c r="AE10" i="22"/>
  <c r="AF10" i="22"/>
  <c r="AG10" i="22"/>
  <c r="AH10" i="22"/>
  <c r="AK10" i="22"/>
  <c r="AL10" i="22"/>
  <c r="AM10" i="22"/>
  <c r="AN10" i="22"/>
  <c r="AO10" i="22"/>
  <c r="AP10" i="22"/>
  <c r="AS10" i="22"/>
  <c r="AT10" i="22"/>
  <c r="AU10" i="22"/>
  <c r="F11" i="22"/>
  <c r="G11" i="22"/>
  <c r="H11" i="22"/>
  <c r="I11" i="22"/>
  <c r="J11" i="22"/>
  <c r="M11" i="22"/>
  <c r="N11" i="22"/>
  <c r="O11" i="22"/>
  <c r="P11" i="22"/>
  <c r="Q11" i="22"/>
  <c r="R11" i="22"/>
  <c r="U11" i="22"/>
  <c r="V11" i="22"/>
  <c r="W11" i="22"/>
  <c r="X11" i="22"/>
  <c r="Y11" i="22"/>
  <c r="Z11" i="22"/>
  <c r="AC11" i="22"/>
  <c r="AD11" i="22"/>
  <c r="AE11" i="22"/>
  <c r="AF11" i="22"/>
  <c r="AG11" i="22"/>
  <c r="AH11" i="22"/>
  <c r="AK11" i="22"/>
  <c r="AL11" i="22"/>
  <c r="AM11" i="22"/>
  <c r="AN11" i="22"/>
  <c r="AO11" i="22"/>
  <c r="AP11" i="22"/>
  <c r="AS11" i="22"/>
  <c r="AT11" i="22"/>
  <c r="AU11" i="22"/>
  <c r="E10" i="22"/>
  <c r="E11" i="22"/>
  <c r="E9" i="22"/>
  <c r="AD7" i="22"/>
  <c r="AE7" i="22"/>
  <c r="AF7" i="22" s="1"/>
  <c r="AG7" i="22" s="1"/>
  <c r="AH7" i="22" s="1"/>
  <c r="AI7" i="22" s="1"/>
  <c r="AJ7" i="22" s="1"/>
  <c r="AK7" i="22" s="1"/>
  <c r="AL7" i="22" s="1"/>
  <c r="AM7" i="22" s="1"/>
  <c r="AN7" i="22" s="1"/>
  <c r="AO7" i="22" s="1"/>
  <c r="AP7" i="22" s="1"/>
  <c r="AQ7" i="22" s="1"/>
  <c r="AR7" i="22" s="1"/>
  <c r="AS7" i="22" s="1"/>
  <c r="AT7" i="22" s="1"/>
  <c r="AU7" i="22" s="1"/>
  <c r="G7" i="22"/>
  <c r="H7" i="22"/>
  <c r="I7" i="22" s="1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T7" i="22" s="1"/>
  <c r="U7" i="22" s="1"/>
  <c r="V7" i="22" s="1"/>
  <c r="W7" i="22" s="1"/>
  <c r="X7" i="22" s="1"/>
  <c r="Y7" i="22" s="1"/>
  <c r="Z7" i="22" s="1"/>
  <c r="AA7" i="22" s="1"/>
  <c r="AB7" i="22" s="1"/>
  <c r="AC7" i="22" s="1"/>
  <c r="F7" i="22"/>
  <c r="E8" i="22"/>
  <c r="M17" i="21"/>
  <c r="K17" i="21"/>
  <c r="F17" i="21"/>
  <c r="C17" i="21"/>
  <c r="F16" i="21"/>
  <c r="C16" i="21"/>
  <c r="F15" i="21"/>
  <c r="J15" i="21" s="1"/>
  <c r="C15" i="21"/>
  <c r="M14" i="21"/>
  <c r="J14" i="21"/>
  <c r="F14" i="21"/>
  <c r="M13" i="21"/>
  <c r="M16" i="21" s="1"/>
  <c r="K13" i="21"/>
  <c r="K14" i="21" s="1"/>
  <c r="O12" i="21"/>
  <c r="O13" i="21" s="1"/>
  <c r="N12" i="21"/>
  <c r="N13" i="21" s="1"/>
  <c r="X5" i="21"/>
  <c r="W5" i="21"/>
  <c r="E171" i="23" l="1"/>
  <c r="H219" i="23"/>
  <c r="H268" i="23"/>
  <c r="W217" i="23"/>
  <c r="W218" i="23"/>
  <c r="W226" i="23" s="1"/>
  <c r="AQ9" i="22"/>
  <c r="AI9" i="22"/>
  <c r="AA9" i="22"/>
  <c r="S9" i="22"/>
  <c r="K9" i="22"/>
  <c r="AR11" i="22"/>
  <c r="AJ11" i="22"/>
  <c r="AB11" i="22"/>
  <c r="T11" i="22"/>
  <c r="L11" i="22"/>
  <c r="AQ11" i="22"/>
  <c r="AI11" i="22"/>
  <c r="AA11" i="22"/>
  <c r="S11" i="22"/>
  <c r="K11" i="22"/>
  <c r="AR10" i="22"/>
  <c r="AJ10" i="22"/>
  <c r="AB10" i="22"/>
  <c r="T10" i="22"/>
  <c r="L10" i="22"/>
  <c r="N16" i="21"/>
  <c r="N14" i="21"/>
  <c r="O16" i="21"/>
  <c r="O14" i="21"/>
  <c r="M20" i="21"/>
  <c r="K15" i="21"/>
  <c r="N17" i="21"/>
  <c r="P12" i="21"/>
  <c r="M15" i="21"/>
  <c r="O17" i="21"/>
  <c r="N15" i="21"/>
  <c r="J16" i="21"/>
  <c r="O15" i="21"/>
  <c r="K16" i="21"/>
  <c r="J17" i="21"/>
  <c r="W49" i="23" l="1"/>
  <c r="F178" i="23"/>
  <c r="I178" i="23"/>
  <c r="I225" i="23"/>
  <c r="W229" i="23"/>
  <c r="W176" i="23"/>
  <c r="V232" i="23"/>
  <c r="W172" i="23"/>
  <c r="K20" i="21"/>
  <c r="T5" i="21" s="1"/>
  <c r="T7" i="21" s="1"/>
  <c r="X6" i="21" s="1"/>
  <c r="O20" i="21"/>
  <c r="N20" i="21"/>
  <c r="T6" i="21"/>
  <c r="Q12" i="21"/>
  <c r="P13" i="21"/>
  <c r="D179" i="23" l="1"/>
  <c r="D221" i="23"/>
  <c r="W183" i="23"/>
  <c r="W180" i="23"/>
  <c r="P15" i="21"/>
  <c r="P14" i="21"/>
  <c r="P20" i="21" s="1"/>
  <c r="P16" i="21"/>
  <c r="P17" i="21"/>
  <c r="R12" i="21"/>
  <c r="Q13" i="21"/>
  <c r="V186" i="23" l="1"/>
  <c r="G187" i="23"/>
  <c r="W137" i="23"/>
  <c r="I187" i="23"/>
  <c r="W144" i="23"/>
  <c r="W10" i="23" s="1"/>
  <c r="W141" i="23"/>
  <c r="Q14" i="21"/>
  <c r="Q16" i="21"/>
  <c r="Q15" i="21"/>
  <c r="Q17" i="21"/>
  <c r="S12" i="21"/>
  <c r="R13" i="21"/>
  <c r="W88" i="23" l="1"/>
  <c r="V146" i="23"/>
  <c r="R14" i="21"/>
  <c r="R15" i="21"/>
  <c r="R16" i="21"/>
  <c r="R17" i="21"/>
  <c r="T12" i="21"/>
  <c r="S13" i="21"/>
  <c r="Q20" i="21"/>
  <c r="S14" i="21" l="1"/>
  <c r="S15" i="21"/>
  <c r="S16" i="21"/>
  <c r="S17" i="21"/>
  <c r="U12" i="21"/>
  <c r="T13" i="21"/>
  <c r="R20" i="21"/>
  <c r="V12" i="21" l="1"/>
  <c r="U13" i="21"/>
  <c r="T14" i="21"/>
  <c r="T17" i="21"/>
  <c r="T16" i="21"/>
  <c r="T15" i="21"/>
  <c r="S20" i="21"/>
  <c r="T20" i="21" l="1"/>
  <c r="U16" i="21"/>
  <c r="U14" i="21"/>
  <c r="U20" i="21" s="1"/>
  <c r="U17" i="21"/>
  <c r="U15" i="21"/>
  <c r="V13" i="21"/>
  <c r="W12" i="21"/>
  <c r="V16" i="21" l="1"/>
  <c r="V14" i="21"/>
  <c r="V20" i="21" s="1"/>
  <c r="V15" i="21"/>
  <c r="V17" i="21"/>
  <c r="X12" i="21"/>
  <c r="W13" i="21"/>
  <c r="X13" i="21" l="1"/>
  <c r="Y12" i="21"/>
  <c r="W16" i="21"/>
  <c r="W14" i="21"/>
  <c r="W17" i="21"/>
  <c r="W15" i="21"/>
  <c r="Z12" i="21" l="1"/>
  <c r="Y13" i="21"/>
  <c r="W20" i="21"/>
  <c r="X15" i="21"/>
  <c r="X16" i="21"/>
  <c r="X14" i="21"/>
  <c r="X20" i="21" s="1"/>
  <c r="X17" i="21"/>
  <c r="Y14" i="21" l="1"/>
  <c r="Y16" i="21"/>
  <c r="Y15" i="21"/>
  <c r="Y17" i="21"/>
  <c r="AA12" i="21"/>
  <c r="Z13" i="21"/>
  <c r="Z15" i="21" l="1"/>
  <c r="Z14" i="21"/>
  <c r="Z20" i="21" s="1"/>
  <c r="Z16" i="21"/>
  <c r="Z17" i="21"/>
  <c r="AB12" i="21"/>
  <c r="AA13" i="21"/>
  <c r="Y20" i="21"/>
  <c r="AC12" i="21" l="1"/>
  <c r="AB13" i="21"/>
  <c r="AA14" i="21"/>
  <c r="AA15" i="21"/>
  <c r="AA17" i="21"/>
  <c r="AA16" i="21"/>
  <c r="AB14" i="21" l="1"/>
  <c r="AB17" i="21"/>
  <c r="AB16" i="21"/>
  <c r="AB15" i="21"/>
  <c r="AA20" i="21"/>
  <c r="AD12" i="21"/>
  <c r="AC13" i="21"/>
  <c r="AD13" i="21" l="1"/>
  <c r="AE12" i="21"/>
  <c r="AC14" i="21"/>
  <c r="AC16" i="21"/>
  <c r="AC17" i="21"/>
  <c r="AC15" i="21"/>
  <c r="AB20" i="21"/>
  <c r="AC20" i="21" l="1"/>
  <c r="AE13" i="21"/>
  <c r="AF12" i="21"/>
  <c r="AD14" i="21"/>
  <c r="AD15" i="21"/>
  <c r="AD16" i="21"/>
  <c r="AD17" i="21"/>
  <c r="AF13" i="21" l="1"/>
  <c r="AG12" i="21"/>
  <c r="AE14" i="21"/>
  <c r="AE16" i="21"/>
  <c r="AE15" i="21"/>
  <c r="AE17" i="21"/>
  <c r="AD20" i="21"/>
  <c r="AH12" i="21" l="1"/>
  <c r="AG13" i="21"/>
  <c r="AE20" i="21"/>
  <c r="AF15" i="21"/>
  <c r="AF16" i="21"/>
  <c r="AF14" i="21"/>
  <c r="AF20" i="21" s="1"/>
  <c r="AF17" i="21"/>
  <c r="AG14" i="21" l="1"/>
  <c r="AG16" i="21"/>
  <c r="AG15" i="21"/>
  <c r="AG17" i="21"/>
  <c r="AI12" i="21"/>
  <c r="AH13" i="21"/>
  <c r="AJ12" i="21" l="1"/>
  <c r="AI13" i="21"/>
  <c r="AH14" i="21"/>
  <c r="AH15" i="21"/>
  <c r="AH16" i="21"/>
  <c r="AH17" i="21"/>
  <c r="AG20" i="21"/>
  <c r="AH20" i="21" l="1"/>
  <c r="AI14" i="21"/>
  <c r="AI20" i="21" s="1"/>
  <c r="AI15" i="21"/>
  <c r="AI17" i="21"/>
  <c r="AI16" i="21"/>
  <c r="AK12" i="21"/>
  <c r="AJ13" i="21"/>
  <c r="AJ14" i="21" l="1"/>
  <c r="AJ17" i="21"/>
  <c r="AJ16" i="21"/>
  <c r="AJ15" i="21"/>
  <c r="AL12" i="21"/>
  <c r="AK13" i="21"/>
  <c r="AK16" i="21" l="1"/>
  <c r="AK17" i="21"/>
  <c r="AK14" i="21"/>
  <c r="AK15" i="21"/>
  <c r="AL13" i="21"/>
  <c r="AM12" i="21"/>
  <c r="AJ20" i="21"/>
  <c r="AN12" i="21" l="1"/>
  <c r="AM13" i="21"/>
  <c r="AL14" i="21"/>
  <c r="AL17" i="21"/>
  <c r="AL15" i="21"/>
  <c r="AL16" i="21"/>
  <c r="AK20" i="21"/>
  <c r="AL20" i="21" l="1"/>
  <c r="AM16" i="21"/>
  <c r="AM14" i="21"/>
  <c r="AM17" i="21"/>
  <c r="AM15" i="21"/>
  <c r="AN13" i="21"/>
  <c r="AO12" i="21"/>
  <c r="AP12" i="21" l="1"/>
  <c r="AO13" i="21"/>
  <c r="AN14" i="21"/>
  <c r="AN16" i="21"/>
  <c r="AN17" i="21"/>
  <c r="AN15" i="21"/>
  <c r="AM20" i="21"/>
  <c r="AN20" i="21" l="1"/>
  <c r="AO14" i="21"/>
  <c r="AO17" i="21"/>
  <c r="AO16" i="21"/>
  <c r="AO15" i="21"/>
  <c r="AQ12" i="21"/>
  <c r="AP13" i="21"/>
  <c r="AP15" i="21" l="1"/>
  <c r="AP14" i="21"/>
  <c r="AP17" i="21"/>
  <c r="AP16" i="21"/>
  <c r="AR12" i="21"/>
  <c r="AQ13" i="21"/>
  <c r="AO20" i="21"/>
  <c r="AQ14" i="21" l="1"/>
  <c r="AQ20" i="21" s="1"/>
  <c r="AQ15" i="21"/>
  <c r="AQ17" i="21"/>
  <c r="AQ16" i="21"/>
  <c r="AS12" i="21"/>
  <c r="AR13" i="21"/>
  <c r="AP20" i="21"/>
  <c r="AR14" i="21" l="1"/>
  <c r="AR17" i="21"/>
  <c r="AR16" i="21"/>
  <c r="AR15" i="21"/>
  <c r="AT12" i="21"/>
  <c r="AS13" i="21"/>
  <c r="AS17" i="21" l="1"/>
  <c r="AS14" i="21"/>
  <c r="AS16" i="21"/>
  <c r="AS15" i="21"/>
  <c r="AT13" i="21"/>
  <c r="AU12" i="21"/>
  <c r="AR20" i="21"/>
  <c r="AV12" i="21" l="1"/>
  <c r="AU13" i="21"/>
  <c r="AS20" i="21"/>
  <c r="AT14" i="21"/>
  <c r="AT16" i="21"/>
  <c r="AT15" i="21"/>
  <c r="AT17" i="21"/>
  <c r="AT20" i="21" l="1"/>
  <c r="AU16" i="21"/>
  <c r="AU14" i="21"/>
  <c r="AU17" i="21"/>
  <c r="AU15" i="21"/>
  <c r="AV13" i="21"/>
  <c r="AW12" i="21"/>
  <c r="AU20" i="21" l="1"/>
  <c r="AX12" i="21"/>
  <c r="AW13" i="21"/>
  <c r="AV16" i="21"/>
  <c r="AV14" i="21"/>
  <c r="AV17" i="21"/>
  <c r="AV15" i="21"/>
  <c r="AY12" i="21" l="1"/>
  <c r="AY13" i="21" s="1"/>
  <c r="AX13" i="21"/>
  <c r="AV20" i="21"/>
  <c r="AW14" i="21"/>
  <c r="AW15" i="21"/>
  <c r="AW16" i="21"/>
  <c r="AW17" i="21"/>
  <c r="AW20" i="21" l="1"/>
  <c r="AX14" i="21"/>
  <c r="AX15" i="21"/>
  <c r="AX16" i="21"/>
  <c r="AX17" i="21"/>
  <c r="AY14" i="21"/>
  <c r="AY15" i="21"/>
  <c r="AY16" i="21"/>
  <c r="AY17" i="21"/>
  <c r="V14" i="12"/>
  <c r="AD14" i="12"/>
  <c r="AL14" i="12"/>
  <c r="AT14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AC17" i="12"/>
  <c r="AI17" i="12"/>
  <c r="AK17" i="12"/>
  <c r="AX17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N16" i="12"/>
  <c r="N15" i="12"/>
  <c r="N17" i="12"/>
  <c r="E15" i="12"/>
  <c r="E16" i="12"/>
  <c r="E17" i="12"/>
  <c r="O17" i="12" s="1"/>
  <c r="E14" i="12"/>
  <c r="O14" i="12" s="1"/>
  <c r="G21" i="20"/>
  <c r="G20" i="20"/>
  <c r="F18" i="20"/>
  <c r="G15" i="20"/>
  <c r="L24" i="19"/>
  <c r="O24" i="19" s="1"/>
  <c r="L23" i="19"/>
  <c r="AJ41" i="19" s="1"/>
  <c r="Q33" i="19"/>
  <c r="Q36" i="19" s="1"/>
  <c r="R32" i="19"/>
  <c r="S32" i="19" s="1"/>
  <c r="O31" i="19"/>
  <c r="P16" i="18"/>
  <c r="P15" i="18"/>
  <c r="S15" i="18"/>
  <c r="R15" i="18"/>
  <c r="W15" i="18" s="1"/>
  <c r="Q15" i="18"/>
  <c r="H27" i="19"/>
  <c r="H28" i="19" s="1"/>
  <c r="H30" i="19" s="1"/>
  <c r="H31" i="19" s="1"/>
  <c r="H32" i="19" s="1"/>
  <c r="H33" i="19" s="1"/>
  <c r="G26" i="19"/>
  <c r="G23" i="19"/>
  <c r="G22" i="19"/>
  <c r="E23" i="19"/>
  <c r="E22" i="19"/>
  <c r="I15" i="18"/>
  <c r="J15" i="18" s="1"/>
  <c r="I16" i="18"/>
  <c r="I17" i="18"/>
  <c r="K17" i="18" s="1"/>
  <c r="I18" i="18"/>
  <c r="I19" i="18"/>
  <c r="I20" i="18"/>
  <c r="I14" i="18"/>
  <c r="J14" i="18" s="1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5" i="17"/>
  <c r="B5" i="17"/>
  <c r="A6" i="17"/>
  <c r="B6" i="17"/>
  <c r="A7" i="17"/>
  <c r="B7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0" i="17"/>
  <c r="B20" i="17"/>
  <c r="A21" i="17"/>
  <c r="B21" i="17"/>
  <c r="B22" i="17"/>
  <c r="A22" i="17"/>
  <c r="J2" i="17"/>
  <c r="C24" i="17" s="1"/>
  <c r="D24" i="17" s="1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M15" i="15"/>
  <c r="N12" i="15"/>
  <c r="N13" i="15" s="1"/>
  <c r="J15" i="15"/>
  <c r="F15" i="15"/>
  <c r="F14" i="15"/>
  <c r="R14" i="15" s="1"/>
  <c r="M13" i="15"/>
  <c r="K13" i="15"/>
  <c r="W5" i="15"/>
  <c r="X5" i="15" s="1"/>
  <c r="G11" i="14"/>
  <c r="H11" i="14" s="1"/>
  <c r="F24" i="14"/>
  <c r="F22" i="14"/>
  <c r="C22" i="14" s="1"/>
  <c r="E22" i="14"/>
  <c r="E24" i="14"/>
  <c r="C24" i="14" s="1"/>
  <c r="H21" i="14"/>
  <c r="B25" i="14"/>
  <c r="E25" i="14" s="1"/>
  <c r="C25" i="14" s="1"/>
  <c r="B23" i="14"/>
  <c r="F23" i="14" s="1"/>
  <c r="C23" i="14" s="1"/>
  <c r="D24" i="14"/>
  <c r="D22" i="14"/>
  <c r="D21" i="14"/>
  <c r="B21" i="14" s="1"/>
  <c r="E21" i="14" s="1"/>
  <c r="G21" i="14" s="1"/>
  <c r="G20" i="14"/>
  <c r="B20" i="14"/>
  <c r="D20" i="14" s="1"/>
  <c r="B19" i="14"/>
  <c r="F19" i="14" s="1"/>
  <c r="H19" i="14" s="1"/>
  <c r="E18" i="14"/>
  <c r="G18" i="14" s="1"/>
  <c r="F18" i="14"/>
  <c r="H18" i="14" s="1"/>
  <c r="D18" i="14"/>
  <c r="H12" i="14"/>
  <c r="G12" i="14" s="1"/>
  <c r="H10" i="14"/>
  <c r="J10" i="14" s="1"/>
  <c r="H9" i="14"/>
  <c r="I9" i="14" s="1"/>
  <c r="H8" i="14"/>
  <c r="J8" i="14" s="1"/>
  <c r="K7" i="14"/>
  <c r="J7" i="14"/>
  <c r="D8" i="14"/>
  <c r="I7" i="14"/>
  <c r="E7" i="14"/>
  <c r="D7" i="14"/>
  <c r="B10" i="14"/>
  <c r="D10" i="14" s="1"/>
  <c r="B9" i="14"/>
  <c r="E9" i="14" s="1"/>
  <c r="B8" i="14"/>
  <c r="E8" i="14" s="1"/>
  <c r="C7" i="14"/>
  <c r="Q12" i="1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X5" i="12"/>
  <c r="Y5" i="12" s="1"/>
  <c r="G15" i="12"/>
  <c r="G16" i="12"/>
  <c r="G17" i="12"/>
  <c r="G14" i="12"/>
  <c r="N13" i="12"/>
  <c r="L13" i="12"/>
  <c r="O12" i="12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Z12" i="12" s="1"/>
  <c r="AZ13" i="12" s="1"/>
  <c r="G28" i="19" l="1"/>
  <c r="AK41" i="19"/>
  <c r="AY20" i="21"/>
  <c r="AX20" i="21"/>
  <c r="AY17" i="12"/>
  <c r="AD17" i="12"/>
  <c r="AT17" i="12"/>
  <c r="AA17" i="12"/>
  <c r="AS17" i="12"/>
  <c r="V17" i="12"/>
  <c r="AQ17" i="12"/>
  <c r="U17" i="12"/>
  <c r="AL17" i="12"/>
  <c r="S17" i="12"/>
  <c r="AZ17" i="12"/>
  <c r="AR17" i="12"/>
  <c r="AJ17" i="12"/>
  <c r="AB17" i="12"/>
  <c r="T17" i="12"/>
  <c r="AP17" i="12"/>
  <c r="AH17" i="12"/>
  <c r="Z17" i="12"/>
  <c r="R17" i="12"/>
  <c r="AW17" i="12"/>
  <c r="AO17" i="12"/>
  <c r="AG17" i="12"/>
  <c r="Y17" i="12"/>
  <c r="Q17" i="12"/>
  <c r="AV17" i="12"/>
  <c r="AN17" i="12"/>
  <c r="AF17" i="12"/>
  <c r="X17" i="12"/>
  <c r="P17" i="12"/>
  <c r="AU17" i="12"/>
  <c r="AM17" i="12"/>
  <c r="AE17" i="12"/>
  <c r="W17" i="12"/>
  <c r="AZ14" i="12"/>
  <c r="AB14" i="12"/>
  <c r="S14" i="12"/>
  <c r="AX14" i="12"/>
  <c r="AP14" i="12"/>
  <c r="AH14" i="12"/>
  <c r="Z14" i="12"/>
  <c r="R14" i="12"/>
  <c r="AC14" i="12"/>
  <c r="AJ14" i="12"/>
  <c r="AI14" i="12"/>
  <c r="AW14" i="12"/>
  <c r="AO14" i="12"/>
  <c r="AG14" i="12"/>
  <c r="Y14" i="12"/>
  <c r="Q14" i="12"/>
  <c r="AK14" i="12"/>
  <c r="AR14" i="12"/>
  <c r="AQ14" i="12"/>
  <c r="N14" i="12"/>
  <c r="AV14" i="12"/>
  <c r="AN14" i="12"/>
  <c r="AF14" i="12"/>
  <c r="X14" i="12"/>
  <c r="P14" i="12"/>
  <c r="AS14" i="12"/>
  <c r="U14" i="12"/>
  <c r="T14" i="12"/>
  <c r="AY14" i="12"/>
  <c r="AA14" i="12"/>
  <c r="AU14" i="12"/>
  <c r="AM14" i="12"/>
  <c r="AE14" i="12"/>
  <c r="W14" i="12"/>
  <c r="J14" i="15"/>
  <c r="V15" i="18"/>
  <c r="Q34" i="19"/>
  <c r="Q38" i="19" s="1"/>
  <c r="P34" i="19"/>
  <c r="P35" i="19" s="1"/>
  <c r="P36" i="19" s="1"/>
  <c r="P37" i="19" s="1"/>
  <c r="P38" i="19" s="1"/>
  <c r="O23" i="19"/>
  <c r="AK42" i="19" s="1"/>
  <c r="Q35" i="19"/>
  <c r="Q37" i="19" s="1"/>
  <c r="T32" i="19"/>
  <c r="S33" i="19"/>
  <c r="R33" i="19"/>
  <c r="R16" i="18"/>
  <c r="L17" i="18"/>
  <c r="K14" i="18"/>
  <c r="L16" i="18"/>
  <c r="S16" i="18" s="1"/>
  <c r="L14" i="18"/>
  <c r="S14" i="18" s="1"/>
  <c r="K16" i="18"/>
  <c r="Q16" i="18" s="1"/>
  <c r="V16" i="18" s="1"/>
  <c r="L15" i="18"/>
  <c r="K15" i="18"/>
  <c r="J16" i="18"/>
  <c r="J17" i="18"/>
  <c r="J19" i="18"/>
  <c r="J20" i="18"/>
  <c r="J18" i="18"/>
  <c r="K18" i="18" s="1"/>
  <c r="K24" i="17"/>
  <c r="F20" i="17"/>
  <c r="F16" i="17"/>
  <c r="F19" i="17"/>
  <c r="F12" i="17"/>
  <c r="F8" i="17"/>
  <c r="F34" i="17"/>
  <c r="F30" i="17"/>
  <c r="F26" i="17"/>
  <c r="C19" i="17"/>
  <c r="D19" i="17" s="1"/>
  <c r="C15" i="17"/>
  <c r="C11" i="17"/>
  <c r="D11" i="17" s="1"/>
  <c r="C7" i="17"/>
  <c r="D7" i="17" s="1"/>
  <c r="C33" i="17"/>
  <c r="D33" i="17" s="1"/>
  <c r="C29" i="17"/>
  <c r="D29" i="17" s="1"/>
  <c r="C25" i="17"/>
  <c r="D25" i="17" s="1"/>
  <c r="F21" i="17"/>
  <c r="F17" i="17"/>
  <c r="F13" i="17"/>
  <c r="F9" i="17"/>
  <c r="F5" i="17"/>
  <c r="F31" i="17"/>
  <c r="F27" i="17"/>
  <c r="F23" i="17"/>
  <c r="C20" i="17"/>
  <c r="D20" i="17" s="1"/>
  <c r="C16" i="17"/>
  <c r="D16" i="17" s="1"/>
  <c r="C12" i="17"/>
  <c r="D12" i="17" s="1"/>
  <c r="C8" i="17"/>
  <c r="D8" i="17" s="1"/>
  <c r="C34" i="17"/>
  <c r="D34" i="17" s="1"/>
  <c r="C30" i="17"/>
  <c r="D30" i="17" s="1"/>
  <c r="C26" i="17"/>
  <c r="D26" i="17" s="1"/>
  <c r="F18" i="17"/>
  <c r="F14" i="17"/>
  <c r="F10" i="17"/>
  <c r="F6" i="17"/>
  <c r="F32" i="17"/>
  <c r="F28" i="17"/>
  <c r="F24" i="17"/>
  <c r="C21" i="17"/>
  <c r="D21" i="17" s="1"/>
  <c r="C17" i="17"/>
  <c r="D17" i="17" s="1"/>
  <c r="C13" i="17"/>
  <c r="D13" i="17" s="1"/>
  <c r="C9" i="17"/>
  <c r="D9" i="17" s="1"/>
  <c r="C5" i="17"/>
  <c r="D5" i="17" s="1"/>
  <c r="C31" i="17"/>
  <c r="D31" i="17" s="1"/>
  <c r="C27" i="17"/>
  <c r="D27" i="17" s="1"/>
  <c r="E24" i="17"/>
  <c r="C23" i="17"/>
  <c r="D23" i="17" s="1"/>
  <c r="F15" i="17"/>
  <c r="F11" i="17"/>
  <c r="F7" i="17"/>
  <c r="F33" i="17"/>
  <c r="F29" i="17"/>
  <c r="F25" i="17"/>
  <c r="C18" i="17"/>
  <c r="D18" i="17" s="1"/>
  <c r="C14" i="17"/>
  <c r="D14" i="17" s="1"/>
  <c r="C10" i="17"/>
  <c r="D10" i="17" s="1"/>
  <c r="C6" i="17"/>
  <c r="D6" i="17" s="1"/>
  <c r="C32" i="17"/>
  <c r="D32" i="17" s="1"/>
  <c r="C28" i="17"/>
  <c r="D28" i="17" s="1"/>
  <c r="F22" i="17"/>
  <c r="C22" i="17"/>
  <c r="D22" i="17" s="1"/>
  <c r="C4" i="17"/>
  <c r="C2" i="17"/>
  <c r="AV14" i="15"/>
  <c r="AF14" i="15"/>
  <c r="AU14" i="15"/>
  <c r="AE14" i="15"/>
  <c r="AE18" i="15" s="1"/>
  <c r="AP14" i="15"/>
  <c r="AP18" i="15" s="1"/>
  <c r="Z14" i="15"/>
  <c r="Z18" i="15" s="1"/>
  <c r="AO14" i="15"/>
  <c r="Y14" i="15"/>
  <c r="Y18" i="15" s="1"/>
  <c r="AN14" i="15"/>
  <c r="X14" i="15"/>
  <c r="AM14" i="15"/>
  <c r="W14" i="15"/>
  <c r="W18" i="15" s="1"/>
  <c r="M14" i="15"/>
  <c r="M18" i="15" s="1"/>
  <c r="AX14" i="15"/>
  <c r="AX18" i="15" s="1"/>
  <c r="AH14" i="15"/>
  <c r="AH18" i="15" s="1"/>
  <c r="Q14" i="15"/>
  <c r="Q18" i="15" s="1"/>
  <c r="K14" i="15"/>
  <c r="AW14" i="15"/>
  <c r="AW18" i="15" s="1"/>
  <c r="AG14" i="15"/>
  <c r="P14" i="15"/>
  <c r="P18" i="15" s="1"/>
  <c r="I10" i="14"/>
  <c r="E23" i="14"/>
  <c r="G23" i="14" s="1"/>
  <c r="R18" i="15"/>
  <c r="AO18" i="15"/>
  <c r="AG18" i="15"/>
  <c r="AV18" i="15"/>
  <c r="AN18" i="15"/>
  <c r="AF18" i="15"/>
  <c r="X18" i="15"/>
  <c r="AT14" i="15"/>
  <c r="AT18" i="15" s="1"/>
  <c r="AL14" i="15"/>
  <c r="AL18" i="15" s="1"/>
  <c r="AD14" i="15"/>
  <c r="AD18" i="15" s="1"/>
  <c r="V14" i="15"/>
  <c r="V18" i="15" s="1"/>
  <c r="N14" i="15"/>
  <c r="N18" i="15" s="1"/>
  <c r="AU18" i="15"/>
  <c r="AM18" i="15"/>
  <c r="AS14" i="15"/>
  <c r="AS18" i="15" s="1"/>
  <c r="AK14" i="15"/>
  <c r="AK18" i="15" s="1"/>
  <c r="AC14" i="15"/>
  <c r="AC18" i="15" s="1"/>
  <c r="U14" i="15"/>
  <c r="U18" i="15" s="1"/>
  <c r="AR14" i="15"/>
  <c r="AR18" i="15" s="1"/>
  <c r="AJ14" i="15"/>
  <c r="AJ18" i="15" s="1"/>
  <c r="AB14" i="15"/>
  <c r="AB18" i="15" s="1"/>
  <c r="T14" i="15"/>
  <c r="T18" i="15" s="1"/>
  <c r="O14" i="15"/>
  <c r="O18" i="15" s="1"/>
  <c r="AY14" i="15"/>
  <c r="AY18" i="15" s="1"/>
  <c r="AQ14" i="15"/>
  <c r="AQ18" i="15" s="1"/>
  <c r="AI14" i="15"/>
  <c r="AI18" i="15" s="1"/>
  <c r="AA14" i="15"/>
  <c r="AA18" i="15" s="1"/>
  <c r="S14" i="15"/>
  <c r="S18" i="15" s="1"/>
  <c r="O12" i="15"/>
  <c r="K15" i="15"/>
  <c r="G22" i="14"/>
  <c r="H24" i="14"/>
  <c r="E19" i="14"/>
  <c r="G19" i="14" s="1"/>
  <c r="C9" i="14"/>
  <c r="F20" i="14"/>
  <c r="H20" i="14" s="1"/>
  <c r="F25" i="14"/>
  <c r="H25" i="14" s="1"/>
  <c r="K9" i="14"/>
  <c r="K8" i="14"/>
  <c r="J12" i="14"/>
  <c r="C10" i="14"/>
  <c r="S12" i="11"/>
  <c r="L14" i="12"/>
  <c r="X13" i="12"/>
  <c r="AU13" i="12"/>
  <c r="W13" i="12"/>
  <c r="R13" i="12"/>
  <c r="AE13" i="12"/>
  <c r="AN13" i="12"/>
  <c r="AM13" i="12"/>
  <c r="P13" i="12"/>
  <c r="Z13" i="12"/>
  <c r="AH13" i="12"/>
  <c r="O13" i="12"/>
  <c r="AV13" i="12"/>
  <c r="AF13" i="12"/>
  <c r="AP13" i="12"/>
  <c r="AW13" i="12"/>
  <c r="AO13" i="12"/>
  <c r="AG13" i="12"/>
  <c r="Y13" i="12"/>
  <c r="Q13" i="12"/>
  <c r="AD13" i="12"/>
  <c r="AS13" i="12"/>
  <c r="AK13" i="12"/>
  <c r="AC13" i="12"/>
  <c r="U13" i="12"/>
  <c r="AT13" i="12"/>
  <c r="V13" i="12"/>
  <c r="AR13" i="12"/>
  <c r="AJ13" i="12"/>
  <c r="AB13" i="12"/>
  <c r="T13" i="12"/>
  <c r="AL13" i="12"/>
  <c r="AY13" i="12"/>
  <c r="AQ13" i="12"/>
  <c r="AI13" i="12"/>
  <c r="AA13" i="12"/>
  <c r="S13" i="12"/>
  <c r="AX13" i="12"/>
  <c r="K14" i="12"/>
  <c r="C15" i="12"/>
  <c r="L15" i="12" s="1"/>
  <c r="C16" i="12"/>
  <c r="L16" i="12" s="1"/>
  <c r="C17" i="12"/>
  <c r="L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G32" i="19" l="1"/>
  <c r="G30" i="19"/>
  <c r="Q40" i="19"/>
  <c r="Q39" i="19"/>
  <c r="S34" i="19"/>
  <c r="S35" i="19"/>
  <c r="S36" i="19"/>
  <c r="R35" i="19"/>
  <c r="R34" i="19"/>
  <c r="R36" i="19"/>
  <c r="T33" i="19"/>
  <c r="U32" i="19"/>
  <c r="W16" i="18"/>
  <c r="S17" i="18"/>
  <c r="R17" i="18"/>
  <c r="W17" i="18" s="1"/>
  <c r="Q17" i="18"/>
  <c r="P17" i="18"/>
  <c r="V17" i="18" s="1"/>
  <c r="M16" i="18"/>
  <c r="L19" i="18"/>
  <c r="L18" i="18"/>
  <c r="K19" i="18"/>
  <c r="K20" i="18"/>
  <c r="L20" i="18"/>
  <c r="O16" i="18"/>
  <c r="N16" i="18"/>
  <c r="O15" i="18"/>
  <c r="M15" i="18"/>
  <c r="Q14" i="18"/>
  <c r="M14" i="18"/>
  <c r="N14" i="18"/>
  <c r="O14" i="18"/>
  <c r="O18" i="18"/>
  <c r="N15" i="18"/>
  <c r="E29" i="17"/>
  <c r="E7" i="17"/>
  <c r="K7" i="17"/>
  <c r="E11" i="17"/>
  <c r="K11" i="17"/>
  <c r="K14" i="17"/>
  <c r="D15" i="17"/>
  <c r="K15" i="17"/>
  <c r="K19" i="17"/>
  <c r="K27" i="17"/>
  <c r="K32" i="17"/>
  <c r="K6" i="17"/>
  <c r="K5" i="17"/>
  <c r="K10" i="17"/>
  <c r="K29" i="17"/>
  <c r="K13" i="17"/>
  <c r="K23" i="17"/>
  <c r="K18" i="17"/>
  <c r="K26" i="17"/>
  <c r="K21" i="17"/>
  <c r="K31" i="17"/>
  <c r="K28" i="17"/>
  <c r="K34" i="17"/>
  <c r="K30" i="17"/>
  <c r="K9" i="17"/>
  <c r="K25" i="17"/>
  <c r="K12" i="17"/>
  <c r="K8" i="17"/>
  <c r="K17" i="17"/>
  <c r="K33" i="17"/>
  <c r="K20" i="17"/>
  <c r="K16" i="17"/>
  <c r="K22" i="17"/>
  <c r="E33" i="17"/>
  <c r="E20" i="17"/>
  <c r="E30" i="17"/>
  <c r="E19" i="17"/>
  <c r="E13" i="17"/>
  <c r="E28" i="17"/>
  <c r="E27" i="17"/>
  <c r="E8" i="17"/>
  <c r="E14" i="17"/>
  <c r="E34" i="17"/>
  <c r="E25" i="17"/>
  <c r="E21" i="17"/>
  <c r="E15" i="17"/>
  <c r="E10" i="17"/>
  <c r="E5" i="17"/>
  <c r="E16" i="17"/>
  <c r="E31" i="17"/>
  <c r="E17" i="17"/>
  <c r="E32" i="17"/>
  <c r="E18" i="17"/>
  <c r="E23" i="17"/>
  <c r="E9" i="17"/>
  <c r="E26" i="17"/>
  <c r="E12" i="17"/>
  <c r="E6" i="17"/>
  <c r="E22" i="17"/>
  <c r="K18" i="15"/>
  <c r="T6" i="15" s="1"/>
  <c r="W6" i="15" s="1"/>
  <c r="P12" i="15"/>
  <c r="O13" i="15"/>
  <c r="L20" i="12"/>
  <c r="U5" i="12" s="1"/>
  <c r="K16" i="12"/>
  <c r="K17" i="12"/>
  <c r="K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G33" i="19" l="1"/>
  <c r="G31" i="19"/>
  <c r="I31" i="19" s="1"/>
  <c r="N20" i="12"/>
  <c r="T34" i="19"/>
  <c r="T36" i="19"/>
  <c r="T35" i="19"/>
  <c r="R38" i="19"/>
  <c r="R37" i="19"/>
  <c r="S38" i="19"/>
  <c r="S37" i="19"/>
  <c r="V32" i="19"/>
  <c r="U33" i="19"/>
  <c r="P18" i="18"/>
  <c r="V18" i="18" s="1"/>
  <c r="Q18" i="18"/>
  <c r="S18" i="18"/>
  <c r="R18" i="18"/>
  <c r="W18" i="18" s="1"/>
  <c r="M19" i="18"/>
  <c r="V3" i="18"/>
  <c r="V4" i="18" s="1"/>
  <c r="W3" i="18"/>
  <c r="W4" i="18" s="1"/>
  <c r="O19" i="18"/>
  <c r="N18" i="18"/>
  <c r="M18" i="18"/>
  <c r="N19" i="18"/>
  <c r="M20" i="18"/>
  <c r="M17" i="18"/>
  <c r="N17" i="18"/>
  <c r="O17" i="18"/>
  <c r="N20" i="18"/>
  <c r="O20" i="18"/>
  <c r="T5" i="15"/>
  <c r="X6" i="15" s="1"/>
  <c r="Q12" i="15"/>
  <c r="P13" i="15"/>
  <c r="U6" i="12"/>
  <c r="U7" i="12" s="1"/>
  <c r="Y6" i="12" s="1"/>
  <c r="Z10" i="9"/>
  <c r="AA9" i="9"/>
  <c r="G42" i="4"/>
  <c r="G44" i="4"/>
  <c r="H41" i="4"/>
  <c r="M17" i="4"/>
  <c r="L18" i="4"/>
  <c r="S39" i="19" l="1"/>
  <c r="S40" i="19"/>
  <c r="R39" i="19"/>
  <c r="R40" i="19"/>
  <c r="U34" i="19"/>
  <c r="U36" i="19"/>
  <c r="U35" i="19"/>
  <c r="T37" i="19"/>
  <c r="T38" i="19"/>
  <c r="W32" i="19"/>
  <c r="V33" i="19"/>
  <c r="S19" i="18"/>
  <c r="R19" i="18"/>
  <c r="W19" i="18" s="1"/>
  <c r="Q19" i="18"/>
  <c r="P19" i="18"/>
  <c r="V19" i="18" s="1"/>
  <c r="V5" i="18"/>
  <c r="W5" i="18" s="1"/>
  <c r="AA3" i="18" s="1"/>
  <c r="AC4" i="18" s="1"/>
  <c r="T7" i="15"/>
  <c r="R12" i="15"/>
  <c r="Q13" i="15"/>
  <c r="AA10" i="9"/>
  <c r="AA11" i="9"/>
  <c r="H44" i="4"/>
  <c r="H42" i="4"/>
  <c r="I41" i="4"/>
  <c r="N17" i="4"/>
  <c r="M18" i="4"/>
  <c r="T39" i="19" l="1"/>
  <c r="T40" i="19"/>
  <c r="V35" i="19"/>
  <c r="V34" i="19"/>
  <c r="V36" i="19"/>
  <c r="U38" i="19"/>
  <c r="U37" i="19"/>
  <c r="X32" i="19"/>
  <c r="W33" i="19"/>
  <c r="Q20" i="18"/>
  <c r="P20" i="18"/>
  <c r="V20" i="18" s="1"/>
  <c r="S20" i="18"/>
  <c r="R20" i="18"/>
  <c r="W20" i="18" s="1"/>
  <c r="R13" i="15"/>
  <c r="S12" i="15"/>
  <c r="J41" i="4"/>
  <c r="I42" i="4"/>
  <c r="I44" i="4"/>
  <c r="O17" i="4"/>
  <c r="N18" i="4"/>
  <c r="U40" i="19" l="1"/>
  <c r="U39" i="19"/>
  <c r="W36" i="19"/>
  <c r="W34" i="19"/>
  <c r="W35" i="19"/>
  <c r="V38" i="19"/>
  <c r="V37" i="19"/>
  <c r="Y32" i="19"/>
  <c r="X33" i="19"/>
  <c r="T12" i="15"/>
  <c r="S13" i="15"/>
  <c r="J42" i="4"/>
  <c r="K41" i="4"/>
  <c r="J44" i="4"/>
  <c r="P17" i="4"/>
  <c r="O18" i="4"/>
  <c r="V39" i="19" l="1"/>
  <c r="V40" i="19"/>
  <c r="X36" i="19"/>
  <c r="X34" i="19"/>
  <c r="X35" i="19"/>
  <c r="W37" i="19"/>
  <c r="W38" i="19"/>
  <c r="Y33" i="19"/>
  <c r="Z32" i="19"/>
  <c r="U12" i="15"/>
  <c r="T13" i="15"/>
  <c r="K42" i="4"/>
  <c r="L41" i="4"/>
  <c r="K44" i="4"/>
  <c r="Q17" i="4"/>
  <c r="P18" i="4"/>
  <c r="W39" i="19" l="1"/>
  <c r="W40" i="19"/>
  <c r="X37" i="19"/>
  <c r="X38" i="19"/>
  <c r="Y35" i="19"/>
  <c r="Y34" i="19"/>
  <c r="Y36" i="19"/>
  <c r="AA32" i="19"/>
  <c r="Z33" i="19"/>
  <c r="U13" i="15"/>
  <c r="V12" i="15"/>
  <c r="L42" i="4"/>
  <c r="L44" i="4"/>
  <c r="M41" i="4"/>
  <c r="R17" i="4"/>
  <c r="Q18" i="4"/>
  <c r="X39" i="19" l="1"/>
  <c r="X40" i="19"/>
  <c r="Z35" i="19"/>
  <c r="Z36" i="19"/>
  <c r="Z34" i="19"/>
  <c r="Y38" i="19"/>
  <c r="Y37" i="19"/>
  <c r="AA33" i="19"/>
  <c r="AB32" i="19"/>
  <c r="V13" i="15"/>
  <c r="W12" i="15"/>
  <c r="M42" i="4"/>
  <c r="M44" i="4"/>
  <c r="N41" i="4"/>
  <c r="S17" i="4"/>
  <c r="R18" i="4"/>
  <c r="Y39" i="19" l="1"/>
  <c r="Y40" i="19"/>
  <c r="AA34" i="19"/>
  <c r="AA36" i="19"/>
  <c r="AA35" i="19"/>
  <c r="Z37" i="19"/>
  <c r="Z38" i="19"/>
  <c r="AB33" i="19"/>
  <c r="AC32" i="19"/>
  <c r="X12" i="15"/>
  <c r="W13" i="15"/>
  <c r="O41" i="4"/>
  <c r="N42" i="4"/>
  <c r="N44" i="4"/>
  <c r="T17" i="4"/>
  <c r="S18" i="4"/>
  <c r="Z39" i="19" l="1"/>
  <c r="Z40" i="19"/>
  <c r="AB34" i="19"/>
  <c r="AB36" i="19"/>
  <c r="AB35" i="19"/>
  <c r="AA37" i="19"/>
  <c r="AA38" i="19"/>
  <c r="AD32" i="19"/>
  <c r="AC33" i="19"/>
  <c r="Y12" i="15"/>
  <c r="X13" i="15"/>
  <c r="P41" i="4"/>
  <c r="O44" i="4"/>
  <c r="O42" i="4"/>
  <c r="U17" i="4"/>
  <c r="T18" i="4"/>
  <c r="AA39" i="19" l="1"/>
  <c r="AA40" i="19"/>
  <c r="AC35" i="19"/>
  <c r="AC34" i="19"/>
  <c r="AC36" i="19"/>
  <c r="AB37" i="19"/>
  <c r="AB38" i="19"/>
  <c r="AD33" i="19"/>
  <c r="AE32" i="19"/>
  <c r="Z12" i="15"/>
  <c r="Y13" i="15"/>
  <c r="P44" i="4"/>
  <c r="Q41" i="4"/>
  <c r="P42" i="4"/>
  <c r="V17" i="4"/>
  <c r="U18" i="4"/>
  <c r="AB39" i="19" l="1"/>
  <c r="AB40" i="19"/>
  <c r="AD35" i="19"/>
  <c r="AD34" i="19"/>
  <c r="AD36" i="19"/>
  <c r="AC38" i="19"/>
  <c r="AC37" i="19"/>
  <c r="AE33" i="19"/>
  <c r="AF32" i="19"/>
  <c r="AA12" i="15"/>
  <c r="Z13" i="15"/>
  <c r="R41" i="4"/>
  <c r="Q44" i="4"/>
  <c r="Q42" i="4"/>
  <c r="W17" i="4"/>
  <c r="V18" i="4"/>
  <c r="AC39" i="19" l="1"/>
  <c r="AC40" i="19"/>
  <c r="AE36" i="19"/>
  <c r="AE34" i="19"/>
  <c r="AE35" i="19"/>
  <c r="AD38" i="19"/>
  <c r="AD37" i="19"/>
  <c r="AG32" i="19"/>
  <c r="AF33" i="19"/>
  <c r="AB12" i="15"/>
  <c r="AA13" i="15"/>
  <c r="R42" i="4"/>
  <c r="R44" i="4"/>
  <c r="S41" i="4"/>
  <c r="X17" i="4"/>
  <c r="W18" i="4"/>
  <c r="AD39" i="19" l="1"/>
  <c r="AD40" i="19"/>
  <c r="AF36" i="19"/>
  <c r="AF34" i="19"/>
  <c r="AF35" i="19"/>
  <c r="AE37" i="19"/>
  <c r="AE38" i="19"/>
  <c r="AG33" i="19"/>
  <c r="AH32" i="19"/>
  <c r="AC12" i="15"/>
  <c r="AB13" i="15"/>
  <c r="S44" i="4"/>
  <c r="S42" i="4"/>
  <c r="T41" i="4"/>
  <c r="Y17" i="4"/>
  <c r="X18" i="4"/>
  <c r="AE39" i="19" l="1"/>
  <c r="AE40" i="19"/>
  <c r="AG35" i="19"/>
  <c r="AG36" i="19"/>
  <c r="AG34" i="19"/>
  <c r="AF37" i="19"/>
  <c r="AF38" i="19"/>
  <c r="AI32" i="19"/>
  <c r="AI33" i="19" s="1"/>
  <c r="AH33" i="19"/>
  <c r="AC13" i="15"/>
  <c r="AD12" i="15"/>
  <c r="T44" i="4"/>
  <c r="U41" i="4"/>
  <c r="T42" i="4"/>
  <c r="Z17" i="4"/>
  <c r="Y18" i="4"/>
  <c r="AF39" i="19" l="1"/>
  <c r="AF40" i="19"/>
  <c r="AH35" i="19"/>
  <c r="AH36" i="19"/>
  <c r="AH34" i="19"/>
  <c r="AG38" i="19"/>
  <c r="AG37" i="19"/>
  <c r="AI34" i="19"/>
  <c r="AI35" i="19"/>
  <c r="AI36" i="19"/>
  <c r="AD13" i="15"/>
  <c r="AE12" i="15"/>
  <c r="U42" i="4"/>
  <c r="U44" i="4"/>
  <c r="V41" i="4"/>
  <c r="AA17" i="4"/>
  <c r="Z18" i="4"/>
  <c r="AG39" i="19" l="1"/>
  <c r="AG40" i="19"/>
  <c r="AI37" i="19"/>
  <c r="AI38" i="19"/>
  <c r="AH38" i="19"/>
  <c r="AH37" i="19"/>
  <c r="AF12" i="15"/>
  <c r="AE13" i="15"/>
  <c r="V44" i="4"/>
  <c r="W41" i="4"/>
  <c r="V42" i="4"/>
  <c r="AB17" i="4"/>
  <c r="AA18" i="4"/>
  <c r="AH39" i="19" l="1"/>
  <c r="AH40" i="19"/>
  <c r="AI39" i="19"/>
  <c r="AI40" i="19"/>
  <c r="AG12" i="15"/>
  <c r="AF13" i="15"/>
  <c r="W42" i="4"/>
  <c r="W44" i="4"/>
  <c r="X41" i="4"/>
  <c r="AC17" i="4"/>
  <c r="AB18" i="4"/>
  <c r="AH12" i="15" l="1"/>
  <c r="AG13" i="15"/>
  <c r="X44" i="4"/>
  <c r="X42" i="4"/>
  <c r="Y41" i="4"/>
  <c r="AD17" i="4"/>
  <c r="AC18" i="4"/>
  <c r="AH13" i="15" l="1"/>
  <c r="AI12" i="15"/>
  <c r="Y44" i="4"/>
  <c r="Y42" i="4"/>
  <c r="AE17" i="4"/>
  <c r="AD18" i="4"/>
  <c r="AJ12" i="15" l="1"/>
  <c r="AI13" i="15"/>
  <c r="AF17" i="4"/>
  <c r="AE18" i="4"/>
  <c r="AK12" i="15" l="1"/>
  <c r="AJ13" i="15"/>
  <c r="AG17" i="4"/>
  <c r="AF18" i="4"/>
  <c r="AK13" i="15" l="1"/>
  <c r="AL12" i="15"/>
  <c r="AH17" i="4"/>
  <c r="AG18" i="4"/>
  <c r="AM12" i="15" l="1"/>
  <c r="AL13" i="15"/>
  <c r="AI17" i="4"/>
  <c r="AH18" i="4"/>
  <c r="AN12" i="15" l="1"/>
  <c r="AM13" i="15"/>
  <c r="AJ17" i="4"/>
  <c r="AI18" i="4"/>
  <c r="AO12" i="15" l="1"/>
  <c r="AN13" i="15"/>
  <c r="AK17" i="4"/>
  <c r="AJ18" i="4"/>
  <c r="AP12" i="15" l="1"/>
  <c r="AO13" i="15"/>
  <c r="AL17" i="4"/>
  <c r="AK18" i="4"/>
  <c r="AQ12" i="15" l="1"/>
  <c r="AP13" i="15"/>
  <c r="AM17" i="4"/>
  <c r="AL18" i="4"/>
  <c r="AR12" i="15" l="1"/>
  <c r="AQ13" i="15"/>
  <c r="AN17" i="4"/>
  <c r="AM18" i="4"/>
  <c r="AS12" i="15" l="1"/>
  <c r="AR13" i="15"/>
  <c r="AO17" i="4"/>
  <c r="AO18" i="4" s="1"/>
  <c r="AN18" i="4"/>
  <c r="K11" i="14"/>
  <c r="AS13" i="15" l="1"/>
  <c r="AT12" i="15"/>
  <c r="AT13" i="15" l="1"/>
  <c r="AU12" i="15"/>
  <c r="AV12" i="15" l="1"/>
  <c r="AU13" i="15"/>
  <c r="AW12" i="15" l="1"/>
  <c r="AV13" i="15"/>
  <c r="AW13" i="15" l="1"/>
  <c r="AX12" i="15"/>
  <c r="AY12" i="15" l="1"/>
  <c r="AY13" i="15" s="1"/>
  <c r="AX1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<sst xmlns="http://schemas.openxmlformats.org/spreadsheetml/2006/main" count="733" uniqueCount="434">
  <si>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</si>
  <si>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</si>
  <si>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</si>
  <si>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</si>
  <si>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</si>
  <si>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</si>
  <si>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</si>
  <si>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</si>
  <si>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</si>
  <si>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</si>
  <si>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</si>
  <si>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</si>
  <si>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</si>
  <si>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</si>
  <si>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</si>
  <si>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</si>
  <si>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</si>
  <si>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</si>
  <si>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</si>
  <si>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</si>
  <si>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</si>
  <si>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</si>
  <si>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</si>
  <si>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</si>
  <si>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</si>
  <si>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</si>
  <si>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</si>
  <si>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</si>
  <si>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</si>
  <si>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</si>
  <si>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</si>
  <si>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</si>
  <si>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</si>
  <si>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</si>
  <si>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</si>
  <si>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</si>
  <si>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</si>
  <si>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</si>
  <si>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</si>
  <si>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</si>
  <si>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</si>
  <si>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</si>
  <si>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</si>
  <si>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</si>
  <si>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</si>
  <si>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</si>
  <si>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</si>
  <si>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</si>
  <si>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</si>
  <si>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</si>
  <si>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</si>
  <si>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</si>
  <si>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</si>
  <si>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</si>
  <si>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</si>
  <si>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</si>
  <si>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</si>
  <si>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</si>
  <si>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</si>
  <si>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</si>
  <si>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</si>
  <si>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</si>
  <si>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</si>
  <si>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</si>
  <si>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</si>
  <si>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</si>
  <si>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</si>
  <si>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</si>
  <si>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</si>
  <si>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</si>
  <si>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</si>
  <si>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</si>
  <si>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</si>
  <si>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</si>
  <si>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</si>
  <si>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</si>
  <si>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</si>
  <si>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</si>
  <si>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</si>
  <si>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</si>
  <si>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</si>
  <si>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</si>
  <si>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</si>
  <si>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</si>
  <si>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</si>
  <si>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</si>
  <si>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</si>
  <si>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</si>
  <si>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</si>
  <si>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</si>
  <si>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</si>
  <si>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</si>
  <si>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</si>
  <si>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</si>
  <si>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</si>
  <si>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</si>
  <si>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</si>
  <si>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</si>
  <si>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</si>
  <si>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</si>
  <si>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</si>
  <si>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</si>
  <si>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</si>
  <si>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</si>
  <si>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</si>
  <si>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</si>
  <si>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</si>
  <si>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</si>
  <si>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</si>
  <si>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</si>
  <si>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</si>
  <si>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</si>
  <si>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</si>
  <si>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</si>
  <si>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</si>
  <si>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</si>
  <si>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</si>
  <si>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</si>
  <si>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</si>
  <si>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</si>
  <si>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</si>
  <si>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</si>
  <si>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</si>
  <si>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</si>
  <si>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</si>
  <si>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</si>
  <si>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</si>
  <si>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</si>
  <si>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</si>
  <si>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</si>
  <si>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</si>
  <si>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</si>
  <si>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</si>
  <si>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</si>
  <si>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</si>
  <si>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</si>
  <si>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</si>
  <si>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</si>
  <si>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</si>
  <si>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</si>
  <si>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</si>
  <si>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</si>
  <si>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</si>
  <si>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</si>
  <si>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</si>
  <si>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</si>
  <si>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</si>
  <si>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</si>
  <si>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</si>
  <si>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</si>
  <si>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</si>
  <si>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</si>
  <si>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</si>
  <si>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</si>
  <si>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</si>
  <si>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</si>
  <si>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</si>
  <si>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</si>
  <si>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</si>
  <si>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</si>
  <si>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</si>
  <si>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</si>
  <si>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</si>
  <si>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</si>
  <si>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</si>
  <si>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</si>
  <si>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</si>
  <si>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</si>
  <si>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</si>
  <si>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</si>
  <si>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</si>
  <si>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</si>
  <si>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</si>
  <si>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</si>
  <si>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</si>
  <si>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</si>
  <si>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</si>
  <si>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</si>
  <si>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</si>
  <si>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</si>
  <si>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</si>
  <si>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</si>
  <si>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</si>
  <si>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</si>
  <si>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</si>
  <si>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</si>
  <si>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</si>
  <si>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</si>
  <si>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</si>
  <si>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</si>
  <si>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</si>
  <si>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</si>
  <si>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</si>
  <si>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</si>
  <si>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</si>
  <si>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</si>
  <si>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</si>
  <si>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</si>
  <si>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</si>
  <si>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</si>
  <si>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</si>
  <si>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</si>
  <si>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</si>
  <si>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</si>
  <si>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</si>
  <si>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</si>
  <si>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</si>
  <si>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</si>
  <si>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</si>
  <si>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</si>
  <si>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</si>
  <si>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</si>
  <si>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</si>
  <si>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</si>
  <si>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</si>
  <si>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</si>
  <si>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</si>
  <si>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</si>
  <si>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</si>
  <si>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</si>
  <si>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</si>
  <si>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</si>
  <si>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</si>
  <si>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</si>
  <si>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</si>
  <si>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</si>
  <si>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</si>
  <si>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</si>
  <si>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</si>
  <si>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</si>
  <si>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</si>
  <si>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</si>
  <si>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</si>
  <si>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</si>
  <si>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</si>
  <si>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</si>
  <si>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</si>
  <si>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</si>
  <si>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</si>
  <si>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</si>
  <si>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</si>
  <si>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</si>
  <si>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</si>
  <si>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</si>
  <si>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</si>
  <si>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</si>
  <si>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</si>
  <si>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</si>
  <si>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</si>
  <si>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</si>
  <si>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</si>
  <si>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</si>
  <si>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</si>
  <si>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</si>
  <si>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</si>
  <si>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</si>
  <si>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</si>
  <si>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</si>
  <si>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</si>
  <si>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</si>
  <si>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</si>
  <si>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</si>
  <si>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</si>
  <si>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</si>
  <si>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</si>
  <si>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</si>
  <si>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</si>
  <si>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</si>
  <si>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</si>
  <si>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</si>
  <si>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</si>
  <si>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</si>
  <si>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</si>
  <si>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</si>
  <si>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</si>
  <si>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</si>
  <si>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</si>
  <si>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</si>
  <si>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</si>
  <si>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</si>
  <si>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</si>
  <si>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</si>
  <si>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</si>
  <si>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</si>
  <si>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</si>
  <si>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</si>
  <si>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</si>
  <si>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</si>
  <si>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</si>
  <si>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</si>
  <si>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</si>
  <si>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</si>
  <si>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</si>
  <si>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</si>
  <si>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</si>
  <si>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</si>
  <si>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</si>
  <si>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</si>
  <si>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</si>
  <si>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</si>
  <si>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</si>
  <si>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</si>
  <si>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</si>
  <si>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</si>
  <si>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</si>
  <si>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</si>
  <si>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</si>
  <si>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</si>
  <si>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</si>
  <si>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</si>
  <si>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</si>
  <si>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</si>
  <si>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</si>
  <si>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</si>
  <si>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</si>
  <si>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</si>
  <si>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</si>
  <si>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</si>
  <si>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</si>
  <si>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</si>
  <si>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</si>
  <si>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t>φ</t>
  </si>
  <si>
    <t>Kleines phi</t>
  </si>
  <si>
    <t>Grosses phi</t>
  </si>
  <si>
    <t>pi</t>
  </si>
  <si>
    <t>π</t>
  </si>
  <si>
    <t>f
Frequenz
[Hz]</t>
  </si>
  <si>
    <t>φ
Phasenlage
[°]</t>
  </si>
  <si>
    <t>φ
Phasenlage [rad]</t>
  </si>
  <si>
    <r>
      <t>ω</t>
    </r>
    <r>
      <rPr>
        <vertAlign val="subscript"/>
        <sz val="11"/>
        <color theme="1"/>
        <rFont val="Calibri"/>
        <family val="2"/>
        <scheme val="minor"/>
      </rPr>
      <t>grad​</t>
    </r>
    <r>
      <rPr>
        <sz val="11"/>
        <color theme="1"/>
        <rFont val="Calibri"/>
        <family val="2"/>
        <scheme val="minor"/>
      </rPr>
      <t xml:space="preserve">
(2 * π * f /360)</t>
    </r>
  </si>
  <si>
    <r>
      <t>y(x) = a * sin(ω</t>
    </r>
    <r>
      <rPr>
        <b/>
        <vertAlign val="subscript"/>
        <sz val="16"/>
        <color theme="1"/>
        <rFont val="Calibri"/>
        <family val="2"/>
        <scheme val="minor"/>
      </rPr>
      <t>grad</t>
    </r>
    <r>
      <rPr>
        <b/>
        <sz val="16"/>
        <color theme="1"/>
        <rFont val="Calibri"/>
        <family val="2"/>
        <scheme val="minor"/>
      </rPr>
      <t>​* x + φ)</t>
    </r>
  </si>
  <si>
    <t>Sinus/Cosinus/Tangens</t>
  </si>
  <si>
    <t>Sinus / Cosinus / Tangens</t>
  </si>
  <si>
    <t xml:space="preserve">y1 = </t>
  </si>
  <si>
    <t>sin(x) =</t>
  </si>
  <si>
    <t>Inc:</t>
  </si>
  <si>
    <t>cos(x) =</t>
  </si>
  <si>
    <t>tan(x) =</t>
  </si>
  <si>
    <t xml:space="preserve">y2 = </t>
  </si>
  <si>
    <t xml:space="preserve">y3 = </t>
  </si>
  <si>
    <t>V</t>
  </si>
  <si>
    <t>Ω</t>
  </si>
  <si>
    <t>Gemischte Schaltungen</t>
  </si>
  <si>
    <t>1.Schritt</t>
  </si>
  <si>
    <t>6.Schritt</t>
  </si>
  <si>
    <t>5.Schritt</t>
  </si>
  <si>
    <t>4.Schritt</t>
  </si>
  <si>
    <t>3.Schritt</t>
  </si>
  <si>
    <t>2.Schritt</t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</si>
  <si>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</si>
  <si>
    <t>Vektor</t>
  </si>
  <si>
    <t>==&gt;</t>
  </si>
  <si>
    <t>Vektoroperationen</t>
  </si>
  <si>
    <t xml:space="preserve"> =</t>
  </si>
  <si>
    <r>
      <t>R</t>
    </r>
    <r>
      <rPr>
        <vertAlign val="subscript"/>
        <sz val="16"/>
        <color theme="1"/>
        <rFont val="Calibri"/>
        <family val="2"/>
        <scheme val="minor"/>
      </rPr>
      <t>1</t>
    </r>
  </si>
  <si>
    <r>
      <t>R</t>
    </r>
    <r>
      <rPr>
        <vertAlign val="subscript"/>
        <sz val="16"/>
        <color theme="1"/>
        <rFont val="Calibri"/>
        <family val="2"/>
        <scheme val="minor"/>
      </rPr>
      <t>2</t>
    </r>
  </si>
  <si>
    <r>
      <t>R</t>
    </r>
    <r>
      <rPr>
        <vertAlign val="subscript"/>
        <sz val="16"/>
        <color theme="1"/>
        <rFont val="Calibri"/>
        <family val="2"/>
        <scheme val="minor"/>
      </rPr>
      <t>3</t>
    </r>
  </si>
  <si>
    <r>
      <t>R</t>
    </r>
    <r>
      <rPr>
        <vertAlign val="subscript"/>
        <sz val="16"/>
        <color theme="1"/>
        <rFont val="Calibri"/>
        <family val="2"/>
        <scheme val="minor"/>
      </rPr>
      <t>4</t>
    </r>
  </si>
  <si>
    <r>
      <t>R</t>
    </r>
    <r>
      <rPr>
        <vertAlign val="subscript"/>
        <sz val="16"/>
        <color theme="1"/>
        <rFont val="Calibri"/>
        <family val="2"/>
        <scheme val="minor"/>
      </rPr>
      <t>5</t>
    </r>
  </si>
  <si>
    <r>
      <t>R</t>
    </r>
    <r>
      <rPr>
        <vertAlign val="subscript"/>
        <sz val="16"/>
        <color theme="1"/>
        <rFont val="Calibri"/>
        <family val="2"/>
        <scheme val="minor"/>
      </rPr>
      <t>6</t>
    </r>
  </si>
  <si>
    <r>
      <t>R</t>
    </r>
    <r>
      <rPr>
        <vertAlign val="subscript"/>
        <sz val="16"/>
        <color theme="1"/>
        <rFont val="Calibri"/>
        <family val="2"/>
        <scheme val="minor"/>
      </rPr>
      <t>7</t>
    </r>
  </si>
  <si>
    <r>
      <t>R</t>
    </r>
    <r>
      <rPr>
        <vertAlign val="subscript"/>
        <sz val="16"/>
        <color theme="1"/>
        <rFont val="Calibri"/>
        <family val="2"/>
        <scheme val="minor"/>
      </rPr>
      <t>8</t>
    </r>
  </si>
  <si>
    <r>
      <t>R</t>
    </r>
    <r>
      <rPr>
        <vertAlign val="subscript"/>
        <sz val="16"/>
        <color theme="1"/>
        <rFont val="Calibri"/>
        <family val="2"/>
        <scheme val="minor"/>
      </rPr>
      <t>9</t>
    </r>
  </si>
  <si>
    <r>
      <t>R</t>
    </r>
    <r>
      <rPr>
        <vertAlign val="subscript"/>
        <sz val="16"/>
        <color theme="1"/>
        <rFont val="Calibri"/>
        <family val="2"/>
        <scheme val="minor"/>
      </rPr>
      <t>10</t>
    </r>
  </si>
  <si>
    <r>
      <t>R</t>
    </r>
    <r>
      <rPr>
        <vertAlign val="subscript"/>
        <sz val="18"/>
        <color theme="1"/>
        <rFont val="Calibri"/>
        <family val="2"/>
        <scheme val="minor"/>
      </rPr>
      <t>23</t>
    </r>
  </si>
  <si>
    <r>
      <t>R</t>
    </r>
    <r>
      <rPr>
        <vertAlign val="subscript"/>
        <sz val="18"/>
        <color theme="1"/>
        <rFont val="Calibri"/>
        <family val="2"/>
        <scheme val="minor"/>
      </rPr>
      <t>45</t>
    </r>
  </si>
  <si>
    <r>
      <t>R</t>
    </r>
    <r>
      <rPr>
        <vertAlign val="subscript"/>
        <sz val="18"/>
        <color theme="1"/>
        <rFont val="Calibri"/>
        <family val="2"/>
        <scheme val="minor"/>
      </rPr>
      <t>78</t>
    </r>
  </si>
  <si>
    <r>
      <t>R</t>
    </r>
    <r>
      <rPr>
        <vertAlign val="subscript"/>
        <sz val="18"/>
        <color theme="1"/>
        <rFont val="Calibri"/>
        <family val="2"/>
        <scheme val="minor"/>
      </rPr>
      <t>123</t>
    </r>
  </si>
  <si>
    <t xml:space="preserve">     R2||R3    </t>
  </si>
  <si>
    <t xml:space="preserve">    R4||R5     </t>
  </si>
  <si>
    <t xml:space="preserve">   R7 + R8   </t>
  </si>
  <si>
    <t xml:space="preserve">   R23 + R1   </t>
  </si>
  <si>
    <r>
      <t>R</t>
    </r>
    <r>
      <rPr>
        <vertAlign val="subscript"/>
        <sz val="18"/>
        <color theme="1"/>
        <rFont val="Calibri"/>
        <family val="2"/>
        <scheme val="minor"/>
      </rPr>
      <t>789</t>
    </r>
  </si>
  <si>
    <t xml:space="preserve"> R9||R78   </t>
  </si>
  <si>
    <r>
      <t>R</t>
    </r>
    <r>
      <rPr>
        <vertAlign val="subscript"/>
        <sz val="22"/>
        <color theme="1"/>
        <rFont val="Calibri"/>
        <family val="2"/>
        <scheme val="minor"/>
      </rPr>
      <t>12345</t>
    </r>
  </si>
  <si>
    <t xml:space="preserve">  R45||R123  </t>
  </si>
  <si>
    <r>
      <t>R</t>
    </r>
    <r>
      <rPr>
        <vertAlign val="subscript"/>
        <sz val="20"/>
        <color theme="1"/>
        <rFont val="Calibri"/>
        <family val="2"/>
        <scheme val="minor"/>
      </rPr>
      <t>123456</t>
    </r>
  </si>
  <si>
    <t>R6 + R12345</t>
  </si>
  <si>
    <r>
      <t>R</t>
    </r>
    <r>
      <rPr>
        <vertAlign val="subscript"/>
        <sz val="20"/>
        <color theme="1"/>
        <rFont val="Calibri"/>
        <family val="2"/>
        <scheme val="minor"/>
      </rPr>
      <t>123456789</t>
    </r>
  </si>
  <si>
    <t xml:space="preserve"> R789||R123456</t>
  </si>
  <si>
    <t>R10 + R123456789</t>
  </si>
  <si>
    <r>
      <t>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</si>
  <si>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R</t>
    </r>
    <r>
      <rPr>
        <vertAlign val="subscript"/>
        <sz val="20"/>
        <color theme="1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</si>
  <si>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 tint="4.9989318521683403E-2"/>
        <rFont val="Calibri"/>
        <family val="2"/>
        <scheme val="minor"/>
      </rPr>
      <t>* R</t>
    </r>
    <r>
      <rPr>
        <vertAlign val="subscript"/>
        <sz val="20"/>
        <color theme="1" tint="4.9989318521683403E-2"/>
        <rFont val="Calibri"/>
        <family val="2"/>
        <scheme val="minor"/>
      </rPr>
      <t>123456789</t>
    </r>
  </si>
  <si>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theme="1"/>
        <rFont val="Calibri"/>
        <family val="2"/>
        <scheme val="minor"/>
      </rPr>
      <t xml:space="preserve"> * R</t>
    </r>
    <r>
      <rPr>
        <vertAlign val="subscript"/>
        <sz val="20"/>
        <color theme="1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</si>
  <si>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789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</si>
  <si>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</si>
  <si>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123456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</si>
  <si>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</si>
  <si>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12345</t>
    </r>
  </si>
  <si>
    <r>
      <t xml:space="preserve">   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/ R</t>
    </r>
    <r>
      <rPr>
        <vertAlign val="subscript"/>
        <sz val="20"/>
        <color theme="1"/>
        <rFont val="Calibri"/>
        <family val="2"/>
        <scheme val="minor"/>
      </rPr>
      <t xml:space="preserve">Tot   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</si>
  <si>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6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</si>
  <si>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10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</si>
  <si>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123456789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</si>
  <si>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=</t>
    </r>
    <r>
      <rPr>
        <sz val="20"/>
        <color rgb="FFFF0000"/>
        <rFont val="Calibri"/>
        <family val="2"/>
        <scheme val="minor"/>
      </rPr>
      <t xml:space="preserve">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</si>
  <si>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</si>
  <si>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</si>
  <si>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6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123456789</t>
    </r>
    <r>
      <rPr>
        <sz val="22"/>
        <color theme="1"/>
        <rFont val="Calibri"/>
        <family val="2"/>
        <scheme val="minor"/>
      </rPr>
      <t xml:space="preserve"> = 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</si>
  <si>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</si>
  <si>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</si>
  <si>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45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</si>
  <si>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45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</si>
  <si>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</si>
  <si>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9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</si>
  <si>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</si>
  <si>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</si>
  <si>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</si>
  <si>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</si>
  <si>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</si>
  <si>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</si>
  <si>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2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</si>
  <si>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</si>
  <si>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</si>
  <si>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</si>
  <si>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7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</si>
  <si>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8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</si>
  <si>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</si>
  <si>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</si>
  <si>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</si>
  <si>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5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</si>
  <si>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7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</si>
  <si>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8</t>
    </r>
  </si>
  <si>
    <r>
      <t>U</t>
    </r>
    <r>
      <rPr>
        <vertAlign val="subscript"/>
        <sz val="16"/>
        <color rgb="FF00B0F0"/>
        <rFont val="Calibri"/>
        <family val="2"/>
        <scheme val="minor"/>
      </rPr>
      <t>Tot</t>
    </r>
  </si>
  <si>
    <r>
      <t>R</t>
    </r>
    <r>
      <rPr>
        <vertAlign val="subscript"/>
        <sz val="16"/>
        <color theme="1" tint="4.9989318521683403E-2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</si>
  <si>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45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</si>
  <si>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23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</si>
  <si>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</si>
  <si>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78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</si>
  <si>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4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5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</si>
  <si>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</si>
  <si>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8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</si>
  <si>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10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123456789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</si>
  <si>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6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</si>
  <si>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23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</si>
</sst>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6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bscript"/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vertAlign val="subscript"/>
      <sz val="20"/>
      <color rgb="FF00B0F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sz val="22"/>
      <color rgb="FF00B0F0"/>
      <name val="Calibri"/>
      <family val="2"/>
      <scheme val="minor"/>
    </font>
    <font>
      <vertAlign val="subscript"/>
      <sz val="22"/>
      <color rgb="FF00B0F0"/>
      <name val="Calibri"/>
      <family val="2"/>
      <scheme val="minor"/>
    </font>
    <font>
      <sz val="22"/>
      <color rgb="FFFF0000"/>
      <name val="Calibri"/>
      <family val="2"/>
      <scheme val="minor"/>
    </font>
    <font>
      <vertAlign val="subscript"/>
      <sz val="22"/>
      <color rgb="FFFF000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vertAlign val="subscript"/>
      <sz val="16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vertAlign val="subscript"/>
      <sz val="20"/>
      <color theme="1" tint="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vertAlign val="subscript"/>
      <sz val="16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24" fillId="0" borderId="0" xfId="0" applyFont="1"/>
    <xf numFmtId="0" fontId="0" fillId="2" borderId="0" xfId="0" applyFill="1" applyAlignment="1">
      <alignment horizontal="right"/>
    </xf>
    <xf numFmtId="0" fontId="40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2" borderId="2" xfId="0" applyFont="1" applyFill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6" xfId="0" applyFont="1" applyBorder="1" applyAlignment="1">
      <alignment horizontal="right"/>
    </xf>
    <xf numFmtId="0" fontId="48" fillId="0" borderId="2" xfId="0" applyFont="1" applyBorder="1" applyAlignment="1">
      <alignment horizontal="right"/>
    </xf>
    <xf numFmtId="0" fontId="48" fillId="0" borderId="0" xfId="0" applyFont="1"/>
    <xf numFmtId="0" fontId="48" fillId="0" borderId="0" xfId="0" applyFont="1" applyAlignment="1">
      <alignment horizontal="right"/>
    </xf>
    <xf numFmtId="0" fontId="48" fillId="0" borderId="16" xfId="0" applyFont="1" applyBorder="1" applyAlignment="1">
      <alignment horizontal="right"/>
    </xf>
    <xf numFmtId="0" fontId="0" fillId="0" borderId="0" xfId="0" quotePrefix="1" applyAlignment="1">
      <alignment horizontal="center" vertical="center"/>
    </xf>
    <xf numFmtId="4" fontId="31" fillId="2" borderId="0" xfId="0" applyNumberFormat="1" applyFont="1" applyFill="1"/>
    <xf numFmtId="4" fontId="0" fillId="2" borderId="0" xfId="0" applyNumberFormat="1" applyFill="1"/>
    <xf numFmtId="0" fontId="41" fillId="0" borderId="2" xfId="0" quotePrefix="1" applyFont="1" applyBorder="1" applyAlignment="1">
      <alignment horizontal="center"/>
    </xf>
    <xf numFmtId="0" fontId="56" fillId="0" borderId="2" xfId="0" applyFont="1" applyBorder="1" applyAlignment="1">
      <alignment horizontal="right"/>
    </xf>
    <xf numFmtId="0" fontId="58" fillId="0" borderId="2" xfId="0" applyFont="1" applyBorder="1" applyAlignment="1">
      <alignment horizontal="right"/>
    </xf>
    <xf numFmtId="0" fontId="56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1" fillId="3" borderId="2" xfId="0" quotePrefix="1" applyFont="1" applyFill="1" applyBorder="1" applyAlignment="1">
      <alignment horizontal="center"/>
    </xf>
    <xf numFmtId="0" fontId="2" fillId="3" borderId="2" xfId="0" applyFont="1" applyFill="1" applyBorder="1"/>
    <xf numFmtId="0" fontId="56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8" fillId="3" borderId="2" xfId="0" applyFont="1" applyFill="1" applyBorder="1" applyAlignment="1">
      <alignment horizontal="right"/>
    </xf>
    <xf numFmtId="0" fontId="48" fillId="3" borderId="2" xfId="0" applyFont="1" applyFill="1" applyBorder="1"/>
    <xf numFmtId="0" fontId="3" fillId="0" borderId="0" xfId="0" applyFont="1" applyAlignment="1">
      <alignment horizontal="left"/>
    </xf>
    <xf numFmtId="0" fontId="41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/>
    <xf numFmtId="0" fontId="54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45" fillId="0" borderId="2" xfId="0" applyFont="1" applyBorder="1" applyAlignment="1">
      <alignment horizontal="right"/>
    </xf>
    <xf numFmtId="0" fontId="45" fillId="3" borderId="2" xfId="0" applyFont="1" applyFill="1" applyBorder="1" applyAlignment="1">
      <alignment horizontal="right"/>
    </xf>
    <xf numFmtId="0" fontId="45" fillId="3" borderId="2" xfId="0" applyFont="1" applyFill="1" applyBorder="1"/>
    <xf numFmtId="0" fontId="50" fillId="0" borderId="2" xfId="0" applyFont="1" applyBorder="1" applyAlignment="1">
      <alignment horizontal="right"/>
    </xf>
    <xf numFmtId="0" fontId="45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63" fillId="0" borderId="0" xfId="0" applyFont="1" applyAlignment="1">
      <alignment horizontal="right"/>
    </xf>
    <xf numFmtId="0" fontId="63" fillId="0" borderId="0" xfId="0" applyFont="1" applyAlignment="1">
      <alignment horizontal="center"/>
    </xf>
    <xf numFmtId="0" fontId="50" fillId="3" borderId="2" xfId="0" applyFont="1" applyFill="1" applyBorder="1" applyAlignment="1">
      <alignment horizontal="right"/>
    </xf>
    <xf numFmtId="0" fontId="50" fillId="3" borderId="2" xfId="0" applyFont="1" applyFill="1" applyBorder="1"/>
    <xf numFmtId="0" fontId="48" fillId="0" borderId="0" xfId="0" applyFont="1" applyAlignment="1">
      <alignment horizontal="left"/>
    </xf>
    <xf numFmtId="0" fontId="1" fillId="0" borderId="0" xfId="0" applyFont="1"/>
    <xf numFmtId="0" fontId="63" fillId="0" borderId="0" xfId="0" applyFont="1"/>
    <xf numFmtId="0" fontId="64" fillId="3" borderId="2" xfId="0" applyFont="1" applyFill="1" applyBorder="1" applyAlignment="1">
      <alignment horizontal="right"/>
    </xf>
    <xf numFmtId="0" fontId="66" fillId="3" borderId="2" xfId="0" quotePrefix="1" applyFont="1" applyFill="1" applyBorder="1" applyAlignment="1">
      <alignment horizontal="center"/>
    </xf>
    <xf numFmtId="0" fontId="66" fillId="3" borderId="2" xfId="0" applyFont="1" applyFill="1" applyBorder="1"/>
    <xf numFmtId="0" fontId="63" fillId="3" borderId="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1" fillId="0" borderId="2" xfId="0" applyFont="1" applyBorder="1" applyAlignment="1">
      <alignment horizontal="left"/>
    </xf>
    <xf numFmtId="0" fontId="66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8" fillId="0" borderId="2" xfId="0" applyFont="1" applyBorder="1" applyAlignment="1">
      <alignment horizontal="left"/>
    </xf>
    <xf numFmtId="0" fontId="48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41" fillId="3" borderId="2" xfId="0" applyFont="1" applyFill="1" applyBorder="1" applyAlignment="1">
      <alignment horizontal="right"/>
    </xf>
    <xf numFmtId="0" fontId="41" fillId="3" borderId="2" xfId="0" applyFont="1" applyFill="1" applyBorder="1" applyAlignment="1">
      <alignment horizontal="center"/>
    </xf>
    <xf numFmtId="0" fontId="41" fillId="3" borderId="2" xfId="0" applyFont="1" applyFill="1" applyBorder="1" applyAlignment="1">
      <alignment horizontal="left"/>
    </xf>
    <xf numFmtId="0" fontId="45" fillId="0" borderId="0" xfId="0" applyFont="1" applyAlignment="1">
      <alignment horizontal="right"/>
    </xf>
    <xf numFmtId="0" fontId="45" fillId="0" borderId="0" xfId="0" applyFont="1"/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/>
    <xf numFmtId="0" fontId="63" fillId="3" borderId="2" xfId="0" applyFont="1" applyFill="1" applyBorder="1" applyAlignment="1"/>
    <xf numFmtId="0" fontId="55" fillId="0" borderId="2" xfId="0" applyFont="1" applyBorder="1" applyAlignment="1"/>
    <xf numFmtId="0" fontId="0" fillId="0" borderId="2" xfId="0" applyBorder="1" applyAlignment="1"/>
    <xf numFmtId="0" fontId="4" fillId="3" borderId="2" xfId="0" applyFont="1" applyFill="1" applyBorder="1" applyAlignment="1"/>
    <xf numFmtId="0" fontId="50" fillId="0" borderId="2" xfId="0" applyFont="1" applyBorder="1" applyAlignment="1"/>
    <xf numFmtId="0" fontId="50" fillId="3" borderId="2" xfId="0" applyFont="1" applyFill="1" applyBorder="1" applyAlignment="1"/>
    <xf numFmtId="0" fontId="1" fillId="0" borderId="0" xfId="0" applyFont="1" applyAlignment="1"/>
    <xf numFmtId="0" fontId="63" fillId="0" borderId="0" xfId="0" applyFont="1" applyAlignment="1"/>
    <xf numFmtId="0" fontId="48" fillId="0" borderId="0" xfId="0" applyFont="1" applyAlignment="1"/>
    <xf numFmtId="0" fontId="4" fillId="0" borderId="2" xfId="0" applyFont="1" applyBorder="1" applyAlignment="1"/>
    <xf numFmtId="0" fontId="45" fillId="0" borderId="0" xfId="0" applyFont="1" applyAlignment="1"/>
    <xf numFmtId="0" fontId="3" fillId="0" borderId="0" xfId="0" applyFont="1" applyAlignment="1"/>
    <xf numFmtId="0" fontId="45" fillId="0" borderId="2" xfId="0" applyFont="1" applyBorder="1" applyAlignment="1"/>
    <xf numFmtId="0" fontId="45" fillId="3" borderId="2" xfId="0" applyFont="1" applyFill="1" applyBorder="1" applyAlignment="1"/>
    <xf numFmtId="0" fontId="52" fillId="0" borderId="2" xfId="0" applyFont="1" applyBorder="1" applyAlignment="1"/>
    <xf numFmtId="0" fontId="63" fillId="3" borderId="2" xfId="0" applyFont="1" applyFill="1" applyBorder="1" applyAlignment="1">
      <alignment horizontal="center" vertical="center"/>
    </xf>
    <xf numFmtId="0" fontId="41" fillId="0" borderId="2" xfId="0" quotePrefix="1" applyFont="1" applyBorder="1" applyAlignment="1">
      <alignment horizontal="center" vertical="center"/>
    </xf>
    <xf numFmtId="0" fontId="41" fillId="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54" fillId="0" borderId="17" xfId="0" applyFont="1" applyBorder="1" applyAlignment="1">
      <alignment horizontal="center" vertical="center"/>
    </xf>
    <xf numFmtId="0" fontId="47" fillId="0" borderId="17" xfId="0" applyFont="1" applyBorder="1" applyAlignment="1">
      <alignment horizontal="center" vertical="center"/>
    </xf>
    <xf numFmtId="0" fontId="41" fillId="0" borderId="0" xfId="0" quotePrefix="1" applyFont="1" applyAlignment="1">
      <alignment horizontal="center" vertical="center"/>
    </xf>
    <xf numFmtId="0" fontId="60" fillId="3" borderId="2" xfId="0" quotePrefix="1" applyFont="1" applyFill="1" applyBorder="1" applyAlignment="1">
      <alignment horizontal="center" vertical="center"/>
    </xf>
    <xf numFmtId="0" fontId="1" fillId="3" borderId="2" xfId="0" applyFont="1" applyFill="1" applyBorder="1" applyAlignment="1"/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1-4407-96E2-6DE2CE948826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1-4407-96E2-6DE2CE948826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1-4407-96E2-6DE2CE948826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1-4407-96E2-6DE2CE948826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1-4407-96E2-6DE2CE948826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1-4407-96E2-6DE2CE94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'Fourierreihe (neu)'!$K$14</c:f>
              <c:strCache>
                <c:ptCount val="1"/>
                <c:pt idx="0">
                  <c:v>y0 =  sin(50*x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(neu)'!$N$14:$AZ$14</c:f>
              <c:numCache>
                <c:formatCode>0.00</c:formatCode>
                <c:ptCount val="39"/>
                <c:pt idx="0">
                  <c:v>0</c:v>
                </c:pt>
                <c:pt idx="1">
                  <c:v>0.2264807927470297</c:v>
                </c:pt>
                <c:pt idx="2">
                  <c:v>0.4411916647658925</c:v>
                </c:pt>
                <c:pt idx="3">
                  <c:v>0.63297436324192113</c:v>
                </c:pt>
                <c:pt idx="4">
                  <c:v>0.79186218357858906</c:v>
                </c:pt>
                <c:pt idx="5">
                  <c:v>0.9095979264463151</c:v>
                </c:pt>
                <c:pt idx="6">
                  <c:v>0.98006301400184337</c:v>
                </c:pt>
                <c:pt idx="7">
                  <c:v>0.9995954646503008</c:v>
                </c:pt>
                <c:pt idx="8">
                  <c:v>0.96718020160318463</c:v>
                </c:pt>
                <c:pt idx="9">
                  <c:v>0.88450180513690446</c:v>
                </c:pt>
                <c:pt idx="10">
                  <c:v>0.7558569670836327</c:v>
                </c:pt>
                <c:pt idx="11">
                  <c:v>0.58793119718399511</c:v>
                </c:pt>
                <c:pt idx="12">
                  <c:v>0.38945138559040571</c:v>
                </c:pt>
                <c:pt idx="13">
                  <c:v>0.1707322774088991</c:v>
                </c:pt>
                <c:pt idx="14">
                  <c:v>-5.6859571575342521E-2</c:v>
                </c:pt>
                <c:pt idx="15">
                  <c:v>-0.28149650044489249</c:v>
                </c:pt>
                <c:pt idx="16">
                  <c:v>-0.49150441174828846</c:v>
                </c:pt>
                <c:pt idx="17">
                  <c:v>-0.67596945959887422</c:v>
                </c:pt>
                <c:pt idx="18">
                  <c:v>-0.82530522846010546</c:v>
                </c:pt>
                <c:pt idx="19">
                  <c:v>-0.93175092705225615</c:v>
                </c:pt>
                <c:pt idx="20">
                  <c:v>-0.98977470687246749</c:v>
                </c:pt>
                <c:pt idx="21">
                  <c:v>-0.99636114537408982</c:v>
                </c:pt>
                <c:pt idx="22">
                  <c:v>-0.95116795366761209</c:v>
                </c:pt>
                <c:pt idx="23">
                  <c:v>-0.85654376484189831</c:v>
                </c:pt>
                <c:pt idx="24">
                  <c:v>-0.71740607846915339</c:v>
                </c:pt>
                <c:pt idx="25">
                  <c:v>-0.54098570436350835</c:v>
                </c:pt>
                <c:pt idx="26">
                  <c:v>-0.33645098652831829</c:v>
                </c:pt>
                <c:pt idx="27">
                  <c:v>-0.11443133589895869</c:v>
                </c:pt>
                <c:pt idx="28">
                  <c:v>0.11353516671733102</c:v>
                </c:pt>
                <c:pt idx="29">
                  <c:v>0.33560139012709572</c:v>
                </c:pt>
                <c:pt idx="30">
                  <c:v>0.54022683319452769</c:v>
                </c:pt>
                <c:pt idx="31">
                  <c:v>0.71677737010852471</c:v>
                </c:pt>
                <c:pt idx="32">
                  <c:v>0.85607789246899491</c:v>
                </c:pt>
                <c:pt idx="33">
                  <c:v>0.95088912808120352</c:v>
                </c:pt>
                <c:pt idx="34">
                  <c:v>0.99628385678771347</c:v>
                </c:pt>
                <c:pt idx="35">
                  <c:v>0.98990297187633303</c:v>
                </c:pt>
                <c:pt idx="36">
                  <c:v>0.93207807987612579</c:v>
                </c:pt>
                <c:pt idx="37">
                  <c:v>0.82581426738495356</c:v>
                </c:pt>
                <c:pt idx="38">
                  <c:v>0.67663393051475051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'Fourierreihe (neu)'!$K$15</c:f>
              <c:strCache>
                <c:ptCount val="1"/>
                <c:pt idx="0">
                  <c:v>y0 = 0.33 * sin(150*x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(neu)'!$N$15:$AZ$15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'Fourierreihe (neu)'!$K$16</c:f>
              <c:strCache>
                <c:ptCount val="1"/>
                <c:pt idx="0">
                  <c:v>y0 = 0.2 * sin(250*x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(neu)'!$N$16:$AZ$16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'Fourierreihe (neu)'!$K$17</c:f>
              <c:strCache>
                <c:ptCount val="1"/>
                <c:pt idx="0">
                  <c:v>y0 = 0.14 * sin(100*x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(neu)'!$N$17:$AZ$17</c:f>
              <c:numCache>
                <c:formatCode>0.00</c:formatCode>
                <c:ptCount val="39"/>
                <c:pt idx="0">
                  <c:v>0</c:v>
                </c:pt>
                <c:pt idx="1">
                  <c:v>6.302738068084178E-2</c:v>
                </c:pt>
                <c:pt idx="2">
                  <c:v>0.11312316908265557</c:v>
                </c:pt>
                <c:pt idx="3">
                  <c:v>0.14000900200026334</c:v>
                </c:pt>
                <c:pt idx="4">
                  <c:v>0.13816860022902636</c:v>
                </c:pt>
                <c:pt idx="5">
                  <c:v>0.10797956672623324</c:v>
                </c:pt>
                <c:pt idx="6">
                  <c:v>5.5635912227200809E-2</c:v>
                </c:pt>
                <c:pt idx="7">
                  <c:v>-8.1227959393346452E-3</c:v>
                </c:pt>
                <c:pt idx="8">
                  <c:v>-7.0214915964041211E-2</c:v>
                </c:pt>
                <c:pt idx="9">
                  <c:v>-0.1179007469228722</c:v>
                </c:pt>
                <c:pt idx="10">
                  <c:v>-0.14139638669606677</c:v>
                </c:pt>
                <c:pt idx="11">
                  <c:v>-0.13588113623823028</c:v>
                </c:pt>
                <c:pt idx="12">
                  <c:v>-0.10248658263845048</c:v>
                </c:pt>
                <c:pt idx="13">
                  <c:v>-4.8064426646902608E-2</c:v>
                </c:pt>
                <c:pt idx="14">
                  <c:v>1.6219309531047287E-2</c:v>
                </c:pt>
                <c:pt idx="15">
                  <c:v>7.7175261884932525E-2</c:v>
                </c:pt>
                <c:pt idx="16">
                  <c:v>0.12229684178128498</c:v>
                </c:pt>
                <c:pt idx="17">
                  <c:v>0.14232626525538764</c:v>
                </c:pt>
                <c:pt idx="18">
                  <c:v>0.1331540114108751</c:v>
                </c:pt>
                <c:pt idx="19">
                  <c:v>9.6661990073535778E-2</c:v>
                </c:pt>
                <c:pt idx="20">
                  <c:v>4.0337422452223125E-2</c:v>
                </c:pt>
                <c:pt idx="21">
                  <c:v>-2.4263343467420984E-2</c:v>
                </c:pt>
                <c:pt idx="22">
                  <c:v>-8.3885897351956784E-2</c:v>
                </c:pt>
                <c:pt idx="23">
                  <c:v>-0.12629722952939074</c:v>
                </c:pt>
                <c:pt idx="24">
                  <c:v>-0.14279562893693476</c:v>
                </c:pt>
                <c:pt idx="25">
                  <c:v>-0.12999604970896328</c:v>
                </c:pt>
                <c:pt idx="26">
                  <c:v>-9.0524635247459032E-2</c:v>
                </c:pt>
                <c:pt idx="27">
                  <c:v>-3.2479901355853415E-2</c:v>
                </c:pt>
                <c:pt idx="28">
                  <c:v>3.2228870245392137E-2</c:v>
                </c:pt>
                <c:pt idx="29">
                  <c:v>9.0325109243742763E-2</c:v>
                </c:pt>
                <c:pt idx="30">
                  <c:v>0.12988896639977168</c:v>
                </c:pt>
                <c:pt idx="31">
                  <c:v>0.14280295905434306</c:v>
                </c:pt>
                <c:pt idx="32">
                  <c:v>0.12641746912243892</c:v>
                </c:pt>
                <c:pt idx="33">
                  <c:v>8.4094376358581413E-2</c:v>
                </c:pt>
                <c:pt idx="34">
                  <c:v>2.4517287374651871E-2</c:v>
                </c:pt>
                <c:pt idx="35">
                  <c:v>-4.0090116381872105E-2</c:v>
                </c:pt>
                <c:pt idx="36">
                  <c:v>-9.6472062664693131E-2</c:v>
                </c:pt>
                <c:pt idx="37">
                  <c:v>-0.13306043086731539</c:v>
                </c:pt>
                <c:pt idx="38">
                  <c:v>-0.14234823189007792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'Fourierreihe (neu)'!$K$20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(neu)'!$N$20:$AZ$20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'Fourierreihe (neu)'!$T$4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'Fourierreihe (neu)'!$X$5:$Y$5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'Fourierreihe (neu)'!$X$6:$Y$6</c:f>
              <c:numCache>
                <c:formatCode>General</c:formatCode>
                <c:ptCount val="2"/>
                <c:pt idx="0">
                  <c:v>0</c:v>
                </c:pt>
                <c:pt idx="1">
                  <c:v>1.2741327090615151E-14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+ 0.52)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9.9999999999999982</c:v>
                </c:pt>
                <c:pt idx="1">
                  <c:v>17.320508075688757</c:v>
                </c:pt>
                <c:pt idx="2">
                  <c:v>20</c:v>
                </c:pt>
                <c:pt idx="3">
                  <c:v>17.320508075688743</c:v>
                </c:pt>
                <c:pt idx="4">
                  <c:v>10.000000000000025</c:v>
                </c:pt>
                <c:pt idx="5">
                  <c:v>-1.9598038469847978E-14</c:v>
                </c:pt>
                <c:pt idx="6">
                  <c:v>-10.00000000000006</c:v>
                </c:pt>
                <c:pt idx="7">
                  <c:v>-17.320508075688831</c:v>
                </c:pt>
                <c:pt idx="8">
                  <c:v>-20</c:v>
                </c:pt>
                <c:pt idx="9">
                  <c:v>-17.320508075688807</c:v>
                </c:pt>
                <c:pt idx="10">
                  <c:v>-10.000000000000263</c:v>
                </c:pt>
                <c:pt idx="11">
                  <c:v>-2.5482220500361308E-13</c:v>
                </c:pt>
                <c:pt idx="12">
                  <c:v>9.9999999999998206</c:v>
                </c:pt>
                <c:pt idx="13">
                  <c:v>17.320508075688409</c:v>
                </c:pt>
                <c:pt idx="14">
                  <c:v>20</c:v>
                </c:pt>
                <c:pt idx="15">
                  <c:v>17.320508075689087</c:v>
                </c:pt>
                <c:pt idx="16">
                  <c:v>10.000000000000501</c:v>
                </c:pt>
                <c:pt idx="17">
                  <c:v>-3.9191740131006014E-14</c:v>
                </c:pt>
                <c:pt idx="18">
                  <c:v>-9.9999999999995843</c:v>
                </c:pt>
                <c:pt idx="19">
                  <c:v>-17.320508075688842</c:v>
                </c:pt>
                <c:pt idx="20">
                  <c:v>-20</c:v>
                </c:pt>
                <c:pt idx="21">
                  <c:v>-17.320508075688938</c:v>
                </c:pt>
                <c:pt idx="22">
                  <c:v>-9.9999999999997531</c:v>
                </c:pt>
                <c:pt idx="23">
                  <c:v>9.0163987387370526E-13</c:v>
                </c:pt>
                <c:pt idx="24">
                  <c:v>10.00000000000033</c:v>
                </c:pt>
                <c:pt idx="25">
                  <c:v>17.320508075688707</c:v>
                </c:pt>
                <c:pt idx="26">
                  <c:v>20</c:v>
                </c:pt>
                <c:pt idx="27">
                  <c:v>17.320508075689361</c:v>
                </c:pt>
                <c:pt idx="28">
                  <c:v>9.9999999999994991</c:v>
                </c:pt>
                <c:pt idx="29">
                  <c:v>-5.878544179216405E-14</c:v>
                </c:pt>
                <c:pt idx="30">
                  <c:v>-9.9999999999996021</c:v>
                </c:pt>
                <c:pt idx="31">
                  <c:v>-17.320508075688853</c:v>
                </c:pt>
                <c:pt idx="32">
                  <c:v>-20</c:v>
                </c:pt>
                <c:pt idx="33">
                  <c:v>-17.320508075688078</c:v>
                </c:pt>
                <c:pt idx="34">
                  <c:v>-9.999999999999245</c:v>
                </c:pt>
                <c:pt idx="35">
                  <c:v>3.5279938692678314E-13</c:v>
                </c:pt>
                <c:pt idx="36">
                  <c:v>9.9999999999998561</c:v>
                </c:pt>
                <c:pt idx="37">
                  <c:v>17.320508075689567</c:v>
                </c:pt>
                <c:pt idx="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8.6602540378443624</c:v>
                </c:pt>
                <c:pt idx="2">
                  <c:v>17.320508075688753</c:v>
                </c:pt>
                <c:pt idx="3">
                  <c:v>17.320508075688743</c:v>
                </c:pt>
                <c:pt idx="4">
                  <c:v>8.6602540378444299</c:v>
                </c:pt>
                <c:pt idx="5">
                  <c:v>-9.7990192349240222E-15</c:v>
                </c:pt>
                <c:pt idx="6">
                  <c:v>4.898425415289539E-15</c:v>
                </c:pt>
                <c:pt idx="7">
                  <c:v>8.6602540378444601</c:v>
                </c:pt>
                <c:pt idx="8">
                  <c:v>17.320508075688686</c:v>
                </c:pt>
                <c:pt idx="9">
                  <c:v>17.320508075688807</c:v>
                </c:pt>
                <c:pt idx="10">
                  <c:v>8.6602540378446342</c:v>
                </c:pt>
                <c:pt idx="11">
                  <c:v>1.2741110250180684E-13</c:v>
                </c:pt>
                <c:pt idx="12">
                  <c:v>9.7968508305788429E-15</c:v>
                </c:pt>
                <c:pt idx="13">
                  <c:v>8.6602540378438295</c:v>
                </c:pt>
                <c:pt idx="14">
                  <c:v>17.320508075688831</c:v>
                </c:pt>
                <c:pt idx="15">
                  <c:v>17.320508075689087</c:v>
                </c:pt>
                <c:pt idx="16">
                  <c:v>8.6602540378449078</c:v>
                </c:pt>
                <c:pt idx="17">
                  <c:v>-1.9595870065502559E-14</c:v>
                </c:pt>
                <c:pt idx="18">
                  <c:v>-1.2741327090614621E-13</c:v>
                </c:pt>
                <c:pt idx="19">
                  <c:v>8.6602540378446928</c:v>
                </c:pt>
                <c:pt idx="20">
                  <c:v>17.320508075688693</c:v>
                </c:pt>
                <c:pt idx="21">
                  <c:v>17.320508075688938</c:v>
                </c:pt>
                <c:pt idx="22">
                  <c:v>8.6602540378441883</c:v>
                </c:pt>
                <c:pt idx="23">
                  <c:v>-4.5081993693683082E-13</c:v>
                </c:pt>
                <c:pt idx="24">
                  <c:v>1.9593701661158683E-14</c:v>
                </c:pt>
                <c:pt idx="25">
                  <c:v>8.6602540378439929</c:v>
                </c:pt>
                <c:pt idx="26">
                  <c:v>17.320508075688274</c:v>
                </c:pt>
                <c:pt idx="27">
                  <c:v>17.320508075689361</c:v>
                </c:pt>
                <c:pt idx="28">
                  <c:v>8.6602540378438935</c:v>
                </c:pt>
                <c:pt idx="29">
                  <c:v>-2.9392720896082751E-14</c:v>
                </c:pt>
                <c:pt idx="30">
                  <c:v>-4.0183351437959656E-13</c:v>
                </c:pt>
                <c:pt idx="31">
                  <c:v>8.6602540378442878</c:v>
                </c:pt>
                <c:pt idx="32">
                  <c:v>17.320508075688423</c:v>
                </c:pt>
                <c:pt idx="33">
                  <c:v>17.320508075688078</c:v>
                </c:pt>
                <c:pt idx="34">
                  <c:v>8.6602540378436004</c:v>
                </c:pt>
                <c:pt idx="35">
                  <c:v>-1.7639969346339142E-13</c:v>
                </c:pt>
                <c:pt idx="36">
                  <c:v>-2.5482654181229933E-13</c:v>
                </c:pt>
                <c:pt idx="37">
                  <c:v>8.660254037845716</c:v>
                </c:pt>
                <c:pt idx="38">
                  <c:v>17.320508075689137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hyperlink" Target="#TOC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0</xdr:row>
      <xdr:rowOff>95250</xdr:rowOff>
    </xdr:from>
    <xdr:to>
      <xdr:col>1</xdr:col>
      <xdr:colOff>564243</xdr:colOff>
      <xdr:row>0</xdr:row>
      <xdr:rowOff>412296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BDB49-EB38-4740-9075-8244BDEC9CD0}"/>
            </a:ext>
          </a:extLst>
        </xdr:cNvPr>
        <xdr:cNvSpPr/>
      </xdr:nvSpPr>
      <xdr:spPr>
        <a:xfrm rot="10800000">
          <a:off x="742950" y="95250"/>
          <a:ext cx="583293" cy="31704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4C306D2-0024-4C5C-AEA7-52B189B0F8FB}"/>
            </a:ext>
          </a:extLst>
        </xdr:cNvPr>
        <xdr:cNvSpPr txBox="1"/>
      </xdr:nvSpPr>
      <xdr:spPr>
        <a:xfrm>
          <a:off x="17497425" y="715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18199C-7D10-4562-AB6D-ACF7F2E50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1508CB-38C0-4124-B355-A490A19399DF}"/>
            </a:ext>
          </a:extLst>
        </xdr:cNvPr>
        <xdr:cNvSpPr/>
      </xdr:nvSpPr>
      <xdr:spPr>
        <a:xfrm rot="10800000">
          <a:off x="615950" y="654050"/>
          <a:ext cx="1666875" cy="10223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51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549286</xdr:colOff>
      <xdr:row>28</xdr:row>
      <xdr:rowOff>21980</xdr:rowOff>
    </xdr:from>
    <xdr:to>
      <xdr:col>13</xdr:col>
      <xdr:colOff>236702</xdr:colOff>
      <xdr:row>39</xdr:row>
      <xdr:rowOff>190500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C9CA2E73-6C0B-433D-B82A-A91D57296E0E}"/>
            </a:ext>
          </a:extLst>
        </xdr:cNvPr>
        <xdr:cNvGrpSpPr/>
      </xdr:nvGrpSpPr>
      <xdr:grpSpPr>
        <a:xfrm>
          <a:off x="9693286" y="9769230"/>
          <a:ext cx="449416" cy="5058020"/>
          <a:chOff x="8934450" y="3259336"/>
          <a:chExt cx="459441" cy="1970228"/>
        </a:xfrm>
      </xdr:grpSpPr>
      <xdr:sp macro="" textlink="">
        <xdr:nvSpPr>
          <xdr:cNvPr id="3" name="Rechteck 2">
            <a:extLst>
              <a:ext uri="{FF2B5EF4-FFF2-40B4-BE49-F238E27FC236}">
                <a16:creationId xmlns:a16="http://schemas.microsoft.com/office/drawing/2014/main" id="{B6C291D7-D1CC-D413-7F33-8456AB113FAB}"/>
              </a:ext>
            </a:extLst>
          </xdr:cNvPr>
          <xdr:cNvSpPr/>
        </xdr:nvSpPr>
        <xdr:spPr>
          <a:xfrm>
            <a:off x="8967341" y="367076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E0516A6C-46E8-BE1F-C4ED-9EF051F7D675}"/>
              </a:ext>
            </a:extLst>
          </xdr:cNvPr>
          <xdr:cNvCxnSpPr>
            <a:cxnSpLocks/>
            <a:endCxn id="3" idx="0"/>
          </xdr:cNvCxnSpPr>
        </xdr:nvCxnSpPr>
        <xdr:spPr>
          <a:xfrm flipH="1">
            <a:off x="9153078" y="3259336"/>
            <a:ext cx="6321" cy="41142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Gerader Verbinder 4">
            <a:extLst>
              <a:ext uri="{FF2B5EF4-FFF2-40B4-BE49-F238E27FC236}">
                <a16:creationId xmlns:a16="http://schemas.microsoft.com/office/drawing/2014/main" id="{D52E6FF7-FD77-5860-9AD4-5A7BCF9E9B01}"/>
              </a:ext>
            </a:extLst>
          </xdr:cNvPr>
          <xdr:cNvCxnSpPr>
            <a:stCxn id="3" idx="2"/>
          </xdr:cNvCxnSpPr>
        </xdr:nvCxnSpPr>
        <xdr:spPr>
          <a:xfrm flipH="1">
            <a:off x="9150437" y="4747090"/>
            <a:ext cx="2642" cy="48247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ED66A94-986F-EFDB-1761-286EDF7C2B3F}"/>
              </a:ext>
            </a:extLst>
          </xdr:cNvPr>
          <xdr:cNvSpPr txBox="1"/>
        </xdr:nvSpPr>
        <xdr:spPr>
          <a:xfrm>
            <a:off x="8934450" y="4010025"/>
            <a:ext cx="459441" cy="4337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13</xdr:col>
      <xdr:colOff>358771</xdr:colOff>
      <xdr:row>16</xdr:row>
      <xdr:rowOff>38099</xdr:rowOff>
    </xdr:from>
    <xdr:to>
      <xdr:col>14</xdr:col>
      <xdr:colOff>52537</xdr:colOff>
      <xdr:row>28</xdr:row>
      <xdr:rowOff>3173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3FD35CD0-025F-4E25-A335-0736E6576A63}"/>
            </a:ext>
          </a:extLst>
        </xdr:cNvPr>
        <xdr:cNvGrpSpPr/>
      </xdr:nvGrpSpPr>
      <xdr:grpSpPr>
        <a:xfrm>
          <a:off x="10264771" y="4451349"/>
          <a:ext cx="455766" cy="5299074"/>
          <a:chOff x="8934450" y="3310662"/>
          <a:chExt cx="463177" cy="2140980"/>
        </a:xfrm>
      </xdr:grpSpPr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48E5D1AE-E9D4-7EF3-72A8-26934DE550D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" name="Gerader Verbinder 8">
            <a:extLst>
              <a:ext uri="{FF2B5EF4-FFF2-40B4-BE49-F238E27FC236}">
                <a16:creationId xmlns:a16="http://schemas.microsoft.com/office/drawing/2014/main" id="{97AB5AFA-CF0A-FA89-42BD-AF67D5C1DF6A}"/>
              </a:ext>
            </a:extLst>
          </xdr:cNvPr>
          <xdr:cNvCxnSpPr>
            <a:endCxn id="8" idx="0"/>
          </xdr:cNvCxnSpPr>
        </xdr:nvCxnSpPr>
        <xdr:spPr>
          <a:xfrm flipH="1">
            <a:off x="9145588" y="3310662"/>
            <a:ext cx="3302" cy="467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Gerader Verbinder 9">
            <a:extLst>
              <a:ext uri="{FF2B5EF4-FFF2-40B4-BE49-F238E27FC236}">
                <a16:creationId xmlns:a16="http://schemas.microsoft.com/office/drawing/2014/main" id="{33E747D4-4D3F-7AB0-C551-B36A7E030ADE}"/>
              </a:ext>
            </a:extLst>
          </xdr:cNvPr>
          <xdr:cNvCxnSpPr>
            <a:stCxn id="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87139A27-4A55-AE34-1795-0B8312D7F5F7}"/>
              </a:ext>
            </a:extLst>
          </xdr:cNvPr>
          <xdr:cNvSpPr txBox="1"/>
        </xdr:nvSpPr>
        <xdr:spPr>
          <a:xfrm>
            <a:off x="8934450" y="4010025"/>
            <a:ext cx="463177" cy="419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3</a:t>
            </a:r>
          </a:p>
        </xdr:txBody>
      </xdr:sp>
    </xdr:grpSp>
    <xdr:clientData/>
  </xdr:twoCellAnchor>
  <xdr:twoCellAnchor>
    <xdr:from>
      <xdr:col>12</xdr:col>
      <xdr:colOff>171450</xdr:colOff>
      <xdr:row>16</xdr:row>
      <xdr:rowOff>30080</xdr:rowOff>
    </xdr:from>
    <xdr:to>
      <xdr:col>12</xdr:col>
      <xdr:colOff>627216</xdr:colOff>
      <xdr:row>28</xdr:row>
      <xdr:rowOff>9525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788D343F-5EC0-40EE-A54F-D5B5231A1561}"/>
            </a:ext>
          </a:extLst>
        </xdr:cNvPr>
        <xdr:cNvGrpSpPr/>
      </xdr:nvGrpSpPr>
      <xdr:grpSpPr>
        <a:xfrm>
          <a:off x="9315450" y="4443330"/>
          <a:ext cx="455766" cy="5313445"/>
          <a:chOff x="8934450" y="3378101"/>
          <a:chExt cx="455766" cy="2073541"/>
        </a:xfrm>
      </xdr:grpSpPr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2251E6FD-FC51-40A9-F7DE-15CAB986AC9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" name="Gerader Verbinder 13">
            <a:extLst>
              <a:ext uri="{FF2B5EF4-FFF2-40B4-BE49-F238E27FC236}">
                <a16:creationId xmlns:a16="http://schemas.microsoft.com/office/drawing/2014/main" id="{BAE997CA-FAAF-BF70-3A5C-60B1EEA5410F}"/>
              </a:ext>
            </a:extLst>
          </xdr:cNvPr>
          <xdr:cNvCxnSpPr>
            <a:endCxn id="13" idx="0"/>
          </xdr:cNvCxnSpPr>
        </xdr:nvCxnSpPr>
        <xdr:spPr>
          <a:xfrm>
            <a:off x="9144000" y="3378101"/>
            <a:ext cx="1588" cy="40014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Gerader Verbinder 14">
            <a:extLst>
              <a:ext uri="{FF2B5EF4-FFF2-40B4-BE49-F238E27FC236}">
                <a16:creationId xmlns:a16="http://schemas.microsoft.com/office/drawing/2014/main" id="{FBECA9A9-A515-7AB0-3E32-68E2318E196E}"/>
              </a:ext>
            </a:extLst>
          </xdr:cNvPr>
          <xdr:cNvCxnSpPr>
            <a:stCxn id="1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1EDCC6D-3C09-B382-201E-4981D438A986}"/>
              </a:ext>
            </a:extLst>
          </xdr:cNvPr>
          <xdr:cNvSpPr txBox="1"/>
        </xdr:nvSpPr>
        <xdr:spPr>
          <a:xfrm>
            <a:off x="8934450" y="4010025"/>
            <a:ext cx="455766" cy="4143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</a:t>
            </a:r>
          </a:p>
        </xdr:txBody>
      </xdr:sp>
    </xdr:grpSp>
    <xdr:clientData/>
  </xdr:twoCellAnchor>
  <xdr:twoCellAnchor>
    <xdr:from>
      <xdr:col>9</xdr:col>
      <xdr:colOff>533400</xdr:colOff>
      <xdr:row>16</xdr:row>
      <xdr:rowOff>11258</xdr:rowOff>
    </xdr:from>
    <xdr:to>
      <xdr:col>10</xdr:col>
      <xdr:colOff>227166</xdr:colOff>
      <xdr:row>39</xdr:row>
      <xdr:rowOff>183173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F651E0F5-4314-4A8D-934D-DDE6B8A595FC}"/>
            </a:ext>
          </a:extLst>
        </xdr:cNvPr>
        <xdr:cNvGrpSpPr/>
      </xdr:nvGrpSpPr>
      <xdr:grpSpPr>
        <a:xfrm>
          <a:off x="7391400" y="4424508"/>
          <a:ext cx="455766" cy="10395415"/>
          <a:chOff x="8934450" y="1116547"/>
          <a:chExt cx="455766" cy="4229676"/>
        </a:xfrm>
      </xdr:grpSpPr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CE726624-081B-9AB0-3B21-C2F2998B53CD}"/>
              </a:ext>
            </a:extLst>
          </xdr:cNvPr>
          <xdr:cNvCxnSpPr>
            <a:endCxn id="18" idx="0"/>
          </xdr:cNvCxnSpPr>
        </xdr:nvCxnSpPr>
        <xdr:spPr>
          <a:xfrm flipH="1">
            <a:off x="9196877" y="1116547"/>
            <a:ext cx="16396" cy="2593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BF118E1-F6D4-24A8-8781-4FD689DFBD85}"/>
              </a:ext>
            </a:extLst>
          </xdr:cNvPr>
          <xdr:cNvCxnSpPr>
            <a:stCxn id="18" idx="2"/>
          </xdr:cNvCxnSpPr>
        </xdr:nvCxnSpPr>
        <xdr:spPr>
          <a:xfrm>
            <a:off x="9196877" y="4786418"/>
            <a:ext cx="2808" cy="55980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5233C419-2A9E-DADC-770A-06F56ECC9B34}"/>
              </a:ext>
            </a:extLst>
          </xdr:cNvPr>
          <xdr:cNvSpPr txBox="1"/>
        </xdr:nvSpPr>
        <xdr:spPr>
          <a:xfrm>
            <a:off x="8934450" y="4010025"/>
            <a:ext cx="455766" cy="425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</a:t>
            </a:r>
          </a:p>
        </xdr:txBody>
      </xdr:sp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67683963-2CCB-8186-24FD-BD96F74267F2}"/>
              </a:ext>
            </a:extLst>
          </xdr:cNvPr>
          <xdr:cNvSpPr/>
        </xdr:nvSpPr>
        <xdr:spPr>
          <a:xfrm>
            <a:off x="9011139" y="371009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</xdr:grpSp>
    <xdr:clientData/>
  </xdr:twoCellAnchor>
  <xdr:twoCellAnchor>
    <xdr:from>
      <xdr:col>10</xdr:col>
      <xdr:colOff>542925</xdr:colOff>
      <xdr:row>16</xdr:row>
      <xdr:rowOff>6350</xdr:rowOff>
    </xdr:from>
    <xdr:to>
      <xdr:col>11</xdr:col>
      <xdr:colOff>236691</xdr:colOff>
      <xdr:row>39</xdr:row>
      <xdr:rowOff>171449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9D19D0B-4397-4318-A5E0-B0680656387E}"/>
            </a:ext>
          </a:extLst>
        </xdr:cNvPr>
        <xdr:cNvGrpSpPr/>
      </xdr:nvGrpSpPr>
      <xdr:grpSpPr>
        <a:xfrm>
          <a:off x="8162925" y="4419600"/>
          <a:ext cx="455766" cy="10388599"/>
          <a:chOff x="8934450" y="1108047"/>
          <a:chExt cx="455766" cy="4343595"/>
        </a:xfrm>
      </xdr:grpSpPr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2ED27C57-3DB1-D123-7053-DAB4DBE18751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BE8E08A-4CDB-C4FF-3DED-02CEC854EDDA}"/>
              </a:ext>
            </a:extLst>
          </xdr:cNvPr>
          <xdr:cNvCxnSpPr>
            <a:endCxn id="2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A448CB53-5326-BE33-D02D-16D56050692E}"/>
              </a:ext>
            </a:extLst>
          </xdr:cNvPr>
          <xdr:cNvCxnSpPr>
            <a:stCxn id="2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EAB4258E-F7EE-AA28-9EE1-36D27578D582}"/>
              </a:ext>
            </a:extLst>
          </xdr:cNvPr>
          <xdr:cNvSpPr txBox="1"/>
        </xdr:nvSpPr>
        <xdr:spPr>
          <a:xfrm>
            <a:off x="8934450" y="4010025"/>
            <a:ext cx="455766" cy="4280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5</a:t>
            </a:r>
          </a:p>
        </xdr:txBody>
      </xdr:sp>
    </xdr:grpSp>
    <xdr:clientData/>
  </xdr:twoCellAnchor>
  <xdr:twoCellAnchor>
    <xdr:from>
      <xdr:col>10</xdr:col>
      <xdr:colOff>561987</xdr:colOff>
      <xdr:row>4</xdr:row>
      <xdr:rowOff>21771</xdr:rowOff>
    </xdr:from>
    <xdr:to>
      <xdr:col>11</xdr:col>
      <xdr:colOff>255753</xdr:colOff>
      <xdr:row>16</xdr:row>
      <xdr:rowOff>9523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F79CA652-6F5D-4C5E-8E9A-BDE773339019}"/>
            </a:ext>
          </a:extLst>
        </xdr:cNvPr>
        <xdr:cNvGrpSpPr/>
      </xdr:nvGrpSpPr>
      <xdr:grpSpPr>
        <a:xfrm>
          <a:off x="8181987" y="926646"/>
          <a:ext cx="455766" cy="3496127"/>
          <a:chOff x="8934450" y="3281431"/>
          <a:chExt cx="448531" cy="2170211"/>
        </a:xfrm>
      </xdr:grpSpPr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14BA0D7C-CACA-ED52-BC5F-932A16CC5394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0729A5C8-1015-4CCC-2EF1-4C8BFF068AA2}"/>
              </a:ext>
            </a:extLst>
          </xdr:cNvPr>
          <xdr:cNvCxnSpPr>
            <a:endCxn id="2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8C3B192D-CB8A-B652-FBF0-F96670770175}"/>
              </a:ext>
            </a:extLst>
          </xdr:cNvPr>
          <xdr:cNvCxnSpPr>
            <a:stCxn id="2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21387352-0F71-091D-22C1-7B9CFC064E0D}"/>
              </a:ext>
            </a:extLst>
          </xdr:cNvPr>
          <xdr:cNvSpPr txBox="1"/>
        </xdr:nvSpPr>
        <xdr:spPr>
          <a:xfrm>
            <a:off x="8934450" y="4010025"/>
            <a:ext cx="448531" cy="401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</xdr:row>
      <xdr:rowOff>28575</xdr:rowOff>
    </xdr:from>
    <xdr:to>
      <xdr:col>5</xdr:col>
      <xdr:colOff>246216</xdr:colOff>
      <xdr:row>39</xdr:row>
      <xdr:rowOff>190500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671B817-CF8D-4FAF-9921-9C092ABAEEAC}"/>
            </a:ext>
          </a:extLst>
        </xdr:cNvPr>
        <xdr:cNvGrpSpPr/>
      </xdr:nvGrpSpPr>
      <xdr:grpSpPr>
        <a:xfrm>
          <a:off x="3600450" y="933450"/>
          <a:ext cx="455766" cy="13893800"/>
          <a:chOff x="8934450" y="1094414"/>
          <a:chExt cx="455766" cy="6412628"/>
        </a:xfrm>
      </xdr:grpSpPr>
      <xdr:sp macro="" textlink="">
        <xdr:nvSpPr>
          <xdr:cNvPr id="33" name="Rechteck 32">
            <a:extLst>
              <a:ext uri="{FF2B5EF4-FFF2-40B4-BE49-F238E27FC236}">
                <a16:creationId xmlns:a16="http://schemas.microsoft.com/office/drawing/2014/main" id="{9D5FC9B0-F3A7-F0CE-8E1F-1DEB6079290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E947AFAC-73E5-AB04-B621-64290E97DA26}"/>
              </a:ext>
            </a:extLst>
          </xdr:cNvPr>
          <xdr:cNvCxnSpPr>
            <a:endCxn id="3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DAA46AE3-DEBF-011D-4141-9145F3A4FDEE}"/>
              </a:ext>
            </a:extLst>
          </xdr:cNvPr>
          <xdr:cNvCxnSpPr>
            <a:stCxn id="33" idx="2"/>
          </xdr:cNvCxnSpPr>
        </xdr:nvCxnSpPr>
        <xdr:spPr>
          <a:xfrm flipH="1">
            <a:off x="9144000" y="4854575"/>
            <a:ext cx="1588" cy="265246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Textfeld 35">
            <a:extLst>
              <a:ext uri="{FF2B5EF4-FFF2-40B4-BE49-F238E27FC236}">
                <a16:creationId xmlns:a16="http://schemas.microsoft.com/office/drawing/2014/main" id="{36392F6D-AEE8-DF8D-768F-FFAB3C17A31B}"/>
              </a:ext>
            </a:extLst>
          </xdr:cNvPr>
          <xdr:cNvSpPr txBox="1"/>
        </xdr:nvSpPr>
        <xdr:spPr>
          <a:xfrm>
            <a:off x="8934450" y="4010025"/>
            <a:ext cx="455766" cy="4184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561975</xdr:colOff>
      <xdr:row>4</xdr:row>
      <xdr:rowOff>25400</xdr:rowOff>
    </xdr:from>
    <xdr:to>
      <xdr:col>6</xdr:col>
      <xdr:colOff>255741</xdr:colOff>
      <xdr:row>23</xdr:row>
      <xdr:rowOff>133349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11633B-30C4-4867-9D92-5E29F23A9E1F}"/>
            </a:ext>
          </a:extLst>
        </xdr:cNvPr>
        <xdr:cNvGrpSpPr/>
      </xdr:nvGrpSpPr>
      <xdr:grpSpPr>
        <a:xfrm>
          <a:off x="4371975" y="930275"/>
          <a:ext cx="455766" cy="6727824"/>
          <a:chOff x="8934450" y="1892573"/>
          <a:chExt cx="455766" cy="3559069"/>
        </a:xfrm>
      </xdr:grpSpPr>
      <xdr:sp macro="" textlink="">
        <xdr:nvSpPr>
          <xdr:cNvPr id="38" name="Rechteck 37">
            <a:extLst>
              <a:ext uri="{FF2B5EF4-FFF2-40B4-BE49-F238E27FC236}">
                <a16:creationId xmlns:a16="http://schemas.microsoft.com/office/drawing/2014/main" id="{85E8EA8B-4A70-7AB0-2ADD-743C1BECFD6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ADD912D7-1E6D-BF74-BBF4-8F18176E1D7D}"/>
              </a:ext>
            </a:extLst>
          </xdr:cNvPr>
          <xdr:cNvCxnSpPr>
            <a:endCxn id="38" idx="0"/>
          </xdr:cNvCxnSpPr>
        </xdr:nvCxnSpPr>
        <xdr:spPr>
          <a:xfrm flipH="1">
            <a:off x="9145588" y="1892573"/>
            <a:ext cx="1587" cy="188567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Gerader Verbinder 39">
            <a:extLst>
              <a:ext uri="{FF2B5EF4-FFF2-40B4-BE49-F238E27FC236}">
                <a16:creationId xmlns:a16="http://schemas.microsoft.com/office/drawing/2014/main" id="{E03DA228-80CC-DD14-39B8-669B28487188}"/>
              </a:ext>
            </a:extLst>
          </xdr:cNvPr>
          <xdr:cNvCxnSpPr>
            <a:stCxn id="3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Textfeld 40">
            <a:extLst>
              <a:ext uri="{FF2B5EF4-FFF2-40B4-BE49-F238E27FC236}">
                <a16:creationId xmlns:a16="http://schemas.microsoft.com/office/drawing/2014/main" id="{33373026-10FB-5FB6-511B-863BDFA78670}"/>
              </a:ext>
            </a:extLst>
          </xdr:cNvPr>
          <xdr:cNvSpPr txBox="1"/>
        </xdr:nvSpPr>
        <xdr:spPr>
          <a:xfrm>
            <a:off x="8934450" y="4010025"/>
            <a:ext cx="455766" cy="407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</a:t>
            </a:r>
          </a:p>
        </xdr:txBody>
      </xdr:sp>
    </xdr:grpSp>
    <xdr:clientData/>
  </xdr:twoCellAnchor>
  <xdr:twoCellAnchor>
    <xdr:from>
      <xdr:col>5</xdr:col>
      <xdr:colOff>561986</xdr:colOff>
      <xdr:row>23</xdr:row>
      <xdr:rowOff>107949</xdr:rowOff>
    </xdr:from>
    <xdr:to>
      <xdr:col>6</xdr:col>
      <xdr:colOff>255752</xdr:colOff>
      <xdr:row>39</xdr:row>
      <xdr:rowOff>190499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62206634-A6F7-4A16-8592-FE7DE7081C75}"/>
            </a:ext>
          </a:extLst>
        </xdr:cNvPr>
        <xdr:cNvGrpSpPr/>
      </xdr:nvGrpSpPr>
      <xdr:grpSpPr>
        <a:xfrm>
          <a:off x="4371986" y="7632699"/>
          <a:ext cx="455766" cy="7194550"/>
          <a:chOff x="8934450" y="3254331"/>
          <a:chExt cx="448588" cy="2885570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879F0E16-0A21-0B8A-F2A7-BFFAA1EF1C19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4" name="Gerader Verbinder 43">
            <a:extLst>
              <a:ext uri="{FF2B5EF4-FFF2-40B4-BE49-F238E27FC236}">
                <a16:creationId xmlns:a16="http://schemas.microsoft.com/office/drawing/2014/main" id="{1E91B0BB-92F4-B775-0005-2314E29141EE}"/>
              </a:ext>
            </a:extLst>
          </xdr:cNvPr>
          <xdr:cNvCxnSpPr>
            <a:endCxn id="4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Gerader Verbinder 44">
            <a:extLst>
              <a:ext uri="{FF2B5EF4-FFF2-40B4-BE49-F238E27FC236}">
                <a16:creationId xmlns:a16="http://schemas.microsoft.com/office/drawing/2014/main" id="{6BB156C4-E782-DA60-06B5-C739B052E842}"/>
              </a:ext>
            </a:extLst>
          </xdr:cNvPr>
          <xdr:cNvCxnSpPr>
            <a:stCxn id="43" idx="2"/>
          </xdr:cNvCxnSpPr>
        </xdr:nvCxnSpPr>
        <xdr:spPr>
          <a:xfrm>
            <a:off x="9145588" y="4854575"/>
            <a:ext cx="150" cy="12853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ED4AF75-0CB9-1AB2-EEFF-EDA4010E59D8}"/>
              </a:ext>
            </a:extLst>
          </xdr:cNvPr>
          <xdr:cNvSpPr txBox="1"/>
        </xdr:nvSpPr>
        <xdr:spPr>
          <a:xfrm>
            <a:off x="8934450" y="4010025"/>
            <a:ext cx="448588" cy="431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8</a:t>
            </a:r>
          </a:p>
        </xdr:txBody>
      </xdr:sp>
    </xdr:grpSp>
    <xdr:clientData/>
  </xdr:twoCellAnchor>
  <xdr:twoCellAnchor>
    <xdr:from>
      <xdr:col>1</xdr:col>
      <xdr:colOff>536074</xdr:colOff>
      <xdr:row>4</xdr:row>
      <xdr:rowOff>9525</xdr:rowOff>
    </xdr:from>
    <xdr:to>
      <xdr:col>2</xdr:col>
      <xdr:colOff>271390</xdr:colOff>
      <xdr:row>20</xdr:row>
      <xdr:rowOff>21772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BB70D6C6-7269-4E17-B54F-A59AFA12BB10}"/>
            </a:ext>
          </a:extLst>
        </xdr:cNvPr>
        <xdr:cNvGrpSpPr/>
      </xdr:nvGrpSpPr>
      <xdr:grpSpPr>
        <a:xfrm>
          <a:off x="1298074" y="914400"/>
          <a:ext cx="497316" cy="5298622"/>
          <a:chOff x="8911345" y="3254331"/>
          <a:chExt cx="497612" cy="3010540"/>
        </a:xfrm>
      </xdr:grpSpPr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F344003A-F92A-009A-8DFD-920D4C307DD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9" name="Gerader Verbinder 48">
            <a:extLst>
              <a:ext uri="{FF2B5EF4-FFF2-40B4-BE49-F238E27FC236}">
                <a16:creationId xmlns:a16="http://schemas.microsoft.com/office/drawing/2014/main" id="{F6454916-4ABF-F970-C9D4-E99D726CB2EA}"/>
              </a:ext>
            </a:extLst>
          </xdr:cNvPr>
          <xdr:cNvCxnSpPr>
            <a:endCxn id="4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Gerader Verbinder 49">
            <a:extLst>
              <a:ext uri="{FF2B5EF4-FFF2-40B4-BE49-F238E27FC236}">
                <a16:creationId xmlns:a16="http://schemas.microsoft.com/office/drawing/2014/main" id="{297E9592-4C63-8C57-85AC-1DBF373ADF8E}"/>
              </a:ext>
            </a:extLst>
          </xdr:cNvPr>
          <xdr:cNvCxnSpPr>
            <a:stCxn id="48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6C6A0C52-9FAF-E357-A0FC-82CC508FC418}"/>
              </a:ext>
            </a:extLst>
          </xdr:cNvPr>
          <xdr:cNvSpPr txBox="1"/>
        </xdr:nvSpPr>
        <xdr:spPr>
          <a:xfrm>
            <a:off x="8911345" y="3999822"/>
            <a:ext cx="497612" cy="3582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  <a:endParaRPr lang="de-CH" sz="1800" baseline="-25000"/>
          </a:p>
        </xdr:txBody>
      </xdr:sp>
    </xdr:grpSp>
    <xdr:clientData/>
  </xdr:twoCellAnchor>
  <xdr:twoCellAnchor>
    <xdr:from>
      <xdr:col>2</xdr:col>
      <xdr:colOff>6350</xdr:colOff>
      <xdr:row>4</xdr:row>
      <xdr:rowOff>6350</xdr:rowOff>
    </xdr:from>
    <xdr:to>
      <xdr:col>11</xdr:col>
      <xdr:colOff>9525</xdr:colOff>
      <xdr:row>4</xdr:row>
      <xdr:rowOff>19050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2A29466-BC73-4CA9-A4E5-FFA702BB7A43}"/>
            </a:ext>
          </a:extLst>
        </xdr:cNvPr>
        <xdr:cNvCxnSpPr/>
      </xdr:nvCxnSpPr>
      <xdr:spPr>
        <a:xfrm flipH="1" flipV="1">
          <a:off x="1533525" y="733425"/>
          <a:ext cx="685482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21</xdr:row>
      <xdr:rowOff>99332</xdr:rowOff>
    </xdr:from>
    <xdr:to>
      <xdr:col>2</xdr:col>
      <xdr:colOff>263534</xdr:colOff>
      <xdr:row>21</xdr:row>
      <xdr:rowOff>105682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DC7347B6-9D46-43A8-9AAB-2594136191F9}"/>
            </a:ext>
          </a:extLst>
        </xdr:cNvPr>
        <xdr:cNvCxnSpPr/>
      </xdr:nvCxnSpPr>
      <xdr:spPr>
        <a:xfrm flipH="1">
          <a:off x="1171575" y="3902982"/>
          <a:ext cx="6159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597354</xdr:colOff>
      <xdr:row>20</xdr:row>
      <xdr:rowOff>58512</xdr:rowOff>
    </xdr:from>
    <xdr:to>
      <xdr:col>2</xdr:col>
      <xdr:colOff>130629</xdr:colOff>
      <xdr:row>20</xdr:row>
      <xdr:rowOff>58512</xdr:rowOff>
    </xdr:to>
    <xdr:cxnSp macro="">
      <xdr:nvCxnSpPr>
        <xdr:cNvPr id="54" name="Gerader Verbinder 53">
          <a:extLst>
            <a:ext uri="{FF2B5EF4-FFF2-40B4-BE49-F238E27FC236}">
              <a16:creationId xmlns:a16="http://schemas.microsoft.com/office/drawing/2014/main" id="{EA27FEF3-E034-473F-9395-D916E386915E}"/>
            </a:ext>
          </a:extLst>
        </xdr:cNvPr>
        <xdr:cNvCxnSpPr/>
      </xdr:nvCxnSpPr>
      <xdr:spPr>
        <a:xfrm flipH="1">
          <a:off x="1362529" y="3678012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21</xdr:row>
      <xdr:rowOff>142875</xdr:rowOff>
    </xdr:from>
    <xdr:to>
      <xdr:col>2</xdr:col>
      <xdr:colOff>142875</xdr:colOff>
      <xdr:row>21</xdr:row>
      <xdr:rowOff>142875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070457DA-E664-47F4-A370-D5F10638D575}"/>
            </a:ext>
          </a:extLst>
        </xdr:cNvPr>
        <xdr:cNvCxnSpPr/>
      </xdr:nvCxnSpPr>
      <xdr:spPr>
        <a:xfrm flipH="1">
          <a:off x="1371600" y="3940175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21</xdr:row>
      <xdr:rowOff>161925</xdr:rowOff>
    </xdr:from>
    <xdr:to>
      <xdr:col>1</xdr:col>
      <xdr:colOff>754673</xdr:colOff>
      <xdr:row>39</xdr:row>
      <xdr:rowOff>190500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14548A64-0CF7-454E-ABBC-F55A03BF7373}"/>
            </a:ext>
          </a:extLst>
        </xdr:cNvPr>
        <xdr:cNvCxnSpPr/>
      </xdr:nvCxnSpPr>
      <xdr:spPr>
        <a:xfrm>
          <a:off x="1514475" y="6910021"/>
          <a:ext cx="2198" cy="807353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39</xdr:row>
      <xdr:rowOff>171450</xdr:rowOff>
    </xdr:from>
    <xdr:to>
      <xdr:col>12</xdr:col>
      <xdr:colOff>754673</xdr:colOff>
      <xdr:row>39</xdr:row>
      <xdr:rowOff>183173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CDEEFD75-09DE-4330-8962-E13A5C574883}"/>
            </a:ext>
          </a:extLst>
        </xdr:cNvPr>
        <xdr:cNvCxnSpPr/>
      </xdr:nvCxnSpPr>
      <xdr:spPr>
        <a:xfrm flipH="1" flipV="1">
          <a:off x="1504950" y="14964508"/>
          <a:ext cx="8393723" cy="117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16</xdr:row>
      <xdr:rowOff>25400</xdr:rowOff>
    </xdr:from>
    <xdr:to>
      <xdr:col>13</xdr:col>
      <xdr:colOff>581025</xdr:colOff>
      <xdr:row>16</xdr:row>
      <xdr:rowOff>28575</xdr:rowOff>
    </xdr:to>
    <xdr:cxnSp macro="">
      <xdr:nvCxnSpPr>
        <xdr:cNvPr id="58" name="Gerader Verbinder 57">
          <a:extLst>
            <a:ext uri="{FF2B5EF4-FFF2-40B4-BE49-F238E27FC236}">
              <a16:creationId xmlns:a16="http://schemas.microsoft.com/office/drawing/2014/main" id="{2744BDFE-FDE5-4E0B-9C5E-8D0199C6ECDF}"/>
            </a:ext>
          </a:extLst>
        </xdr:cNvPr>
        <xdr:cNvCxnSpPr/>
      </xdr:nvCxnSpPr>
      <xdr:spPr>
        <a:xfrm flipH="1" flipV="1">
          <a:off x="7591425" y="2924175"/>
          <a:ext cx="289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0</xdr:rowOff>
    </xdr:from>
    <xdr:to>
      <xdr:col>13</xdr:col>
      <xdr:colOff>571500</xdr:colOff>
      <xdr:row>28</xdr:row>
      <xdr:rowOff>6350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90159D6A-5C00-4FC8-A3B5-8C39E58A73A8}"/>
            </a:ext>
          </a:extLst>
        </xdr:cNvPr>
        <xdr:cNvCxnSpPr/>
      </xdr:nvCxnSpPr>
      <xdr:spPr>
        <a:xfrm flipH="1">
          <a:off x="9525000" y="5067300"/>
          <a:ext cx="9525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726167</xdr:colOff>
      <xdr:row>15</xdr:row>
      <xdr:rowOff>291353</xdr:rowOff>
    </xdr:from>
    <xdr:to>
      <xdr:col>11</xdr:col>
      <xdr:colOff>67234</xdr:colOff>
      <xdr:row>16</xdr:row>
      <xdr:rowOff>87539</xdr:rowOff>
    </xdr:to>
    <xdr:sp macro="" textlink="">
      <xdr:nvSpPr>
        <xdr:cNvPr id="62" name="Ellipse 61">
          <a:extLst>
            <a:ext uri="{FF2B5EF4-FFF2-40B4-BE49-F238E27FC236}">
              <a16:creationId xmlns:a16="http://schemas.microsoft.com/office/drawing/2014/main" id="{4BB271A2-30A8-477C-AE55-6FAA828A8FA3}"/>
            </a:ext>
          </a:extLst>
        </xdr:cNvPr>
        <xdr:cNvSpPr/>
      </xdr:nvSpPr>
      <xdr:spPr>
        <a:xfrm>
          <a:off x="8346167" y="4157382"/>
          <a:ext cx="103067" cy="9874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20</xdr:row>
      <xdr:rowOff>12246</xdr:rowOff>
    </xdr:from>
    <xdr:to>
      <xdr:col>2</xdr:col>
      <xdr:colOff>296191</xdr:colOff>
      <xdr:row>20</xdr:row>
      <xdr:rowOff>18596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D3FE5053-3D1E-4DFA-AA08-81E4579D4582}"/>
            </a:ext>
          </a:extLst>
        </xdr:cNvPr>
        <xdr:cNvCxnSpPr/>
      </xdr:nvCxnSpPr>
      <xdr:spPr>
        <a:xfrm flipH="1">
          <a:off x="1201057" y="3628571"/>
          <a:ext cx="615959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754289</xdr:colOff>
      <xdr:row>20</xdr:row>
      <xdr:rowOff>65314</xdr:rowOff>
    </xdr:from>
    <xdr:to>
      <xdr:col>2</xdr:col>
      <xdr:colOff>0</xdr:colOff>
      <xdr:row>21</xdr:row>
      <xdr:rowOff>106589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F7BC80C0-F92A-4FB5-BC69-CC352CC02D88}"/>
            </a:ext>
          </a:extLst>
        </xdr:cNvPr>
        <xdr:cNvCxnSpPr/>
      </xdr:nvCxnSpPr>
      <xdr:spPr>
        <a:xfrm flipH="1">
          <a:off x="1513114" y="3687989"/>
          <a:ext cx="10886" cy="21590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514649</xdr:colOff>
      <xdr:row>69</xdr:row>
      <xdr:rowOff>128186</xdr:rowOff>
    </xdr:from>
    <xdr:to>
      <xdr:col>13</xdr:col>
      <xdr:colOff>208415</xdr:colOff>
      <xdr:row>77</xdr:row>
      <xdr:rowOff>51831</xdr:rowOff>
    </xdr:to>
    <xdr:grpSp>
      <xdr:nvGrpSpPr>
        <xdr:cNvPr id="72" name="Gruppieren 71">
          <a:extLst>
            <a:ext uri="{FF2B5EF4-FFF2-40B4-BE49-F238E27FC236}">
              <a16:creationId xmlns:a16="http://schemas.microsoft.com/office/drawing/2014/main" id="{987A2552-79D4-4ABD-A7FC-602ACE4F2FEE}"/>
            </a:ext>
          </a:extLst>
        </xdr:cNvPr>
        <xdr:cNvGrpSpPr/>
      </xdr:nvGrpSpPr>
      <xdr:grpSpPr>
        <a:xfrm>
          <a:off x="9658649" y="22940561"/>
          <a:ext cx="455766" cy="1892145"/>
          <a:chOff x="8934450" y="3785005"/>
          <a:chExt cx="459441" cy="1387868"/>
        </a:xfrm>
      </xdr:grpSpPr>
      <xdr:sp macro="" textlink="">
        <xdr:nvSpPr>
          <xdr:cNvPr id="73" name="Rechteck 72">
            <a:extLst>
              <a:ext uri="{FF2B5EF4-FFF2-40B4-BE49-F238E27FC236}">
                <a16:creationId xmlns:a16="http://schemas.microsoft.com/office/drawing/2014/main" id="{B793B27C-39E9-13E0-6881-CCA9412F625C}"/>
              </a:ext>
            </a:extLst>
          </xdr:cNvPr>
          <xdr:cNvSpPr/>
        </xdr:nvSpPr>
        <xdr:spPr>
          <a:xfrm>
            <a:off x="8974482" y="378500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5" name="Gerader Verbinder 74">
            <a:extLst>
              <a:ext uri="{FF2B5EF4-FFF2-40B4-BE49-F238E27FC236}">
                <a16:creationId xmlns:a16="http://schemas.microsoft.com/office/drawing/2014/main" id="{AF0F45CF-5CFE-ED44-6C9D-51D6355DE5E7}"/>
              </a:ext>
            </a:extLst>
          </xdr:cNvPr>
          <xdr:cNvCxnSpPr>
            <a:stCxn id="73" idx="2"/>
            <a:endCxn id="121" idx="0"/>
          </xdr:cNvCxnSpPr>
        </xdr:nvCxnSpPr>
        <xdr:spPr>
          <a:xfrm>
            <a:off x="9160220" y="4861330"/>
            <a:ext cx="1213" cy="31154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feld 75">
            <a:extLst>
              <a:ext uri="{FF2B5EF4-FFF2-40B4-BE49-F238E27FC236}">
                <a16:creationId xmlns:a16="http://schemas.microsoft.com/office/drawing/2014/main" id="{007766BB-D102-A4F0-F05A-A88474491C25}"/>
              </a:ext>
            </a:extLst>
          </xdr:cNvPr>
          <xdr:cNvSpPr txBox="1"/>
        </xdr:nvSpPr>
        <xdr:spPr>
          <a:xfrm>
            <a:off x="8934450" y="4010025"/>
            <a:ext cx="459441" cy="4348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12</xdr:col>
      <xdr:colOff>566414</xdr:colOff>
      <xdr:row>56</xdr:row>
      <xdr:rowOff>74756</xdr:rowOff>
    </xdr:from>
    <xdr:to>
      <xdr:col>13</xdr:col>
      <xdr:colOff>292556</xdr:colOff>
      <xdr:row>69</xdr:row>
      <xdr:rowOff>128186</xdr:rowOff>
    </xdr:to>
    <xdr:grpSp>
      <xdr:nvGrpSpPr>
        <xdr:cNvPr id="77" name="Gruppieren 76">
          <a:extLst>
            <a:ext uri="{FF2B5EF4-FFF2-40B4-BE49-F238E27FC236}">
              <a16:creationId xmlns:a16="http://schemas.microsoft.com/office/drawing/2014/main" id="{3F5B8930-99D5-4424-B1DF-267DD02E87E0}"/>
            </a:ext>
          </a:extLst>
        </xdr:cNvPr>
        <xdr:cNvGrpSpPr/>
      </xdr:nvGrpSpPr>
      <xdr:grpSpPr>
        <a:xfrm>
          <a:off x="9710414" y="18759631"/>
          <a:ext cx="488142" cy="4180930"/>
          <a:chOff x="8959850" y="3254331"/>
          <a:chExt cx="481583" cy="2549202"/>
        </a:xfrm>
      </xdr:grpSpPr>
      <xdr:sp macro="" textlink="">
        <xdr:nvSpPr>
          <xdr:cNvPr id="78" name="Rechteck 77">
            <a:extLst>
              <a:ext uri="{FF2B5EF4-FFF2-40B4-BE49-F238E27FC236}">
                <a16:creationId xmlns:a16="http://schemas.microsoft.com/office/drawing/2014/main" id="{9AB7EDC7-D000-B0A3-B72C-4BEEC45CB717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9" name="Gerader Verbinder 78">
            <a:extLst>
              <a:ext uri="{FF2B5EF4-FFF2-40B4-BE49-F238E27FC236}">
                <a16:creationId xmlns:a16="http://schemas.microsoft.com/office/drawing/2014/main" id="{9625D2CE-DFB7-BFB5-2384-17525DB8574C}"/>
              </a:ext>
            </a:extLst>
          </xdr:cNvPr>
          <xdr:cNvCxnSpPr>
            <a:endCxn id="7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Gerader Verbinder 79">
            <a:extLst>
              <a:ext uri="{FF2B5EF4-FFF2-40B4-BE49-F238E27FC236}">
                <a16:creationId xmlns:a16="http://schemas.microsoft.com/office/drawing/2014/main" id="{3F970D69-8C36-319C-5E8F-BCB47E93C33B}"/>
              </a:ext>
            </a:extLst>
          </xdr:cNvPr>
          <xdr:cNvCxnSpPr>
            <a:stCxn id="78" idx="2"/>
            <a:endCxn id="73" idx="0"/>
          </xdr:cNvCxnSpPr>
        </xdr:nvCxnSpPr>
        <xdr:spPr>
          <a:xfrm flipH="1">
            <a:off x="9129735" y="4854575"/>
            <a:ext cx="15852" cy="94895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E82CE0F1-60BE-14C1-279F-B15C4DB16387}"/>
              </a:ext>
            </a:extLst>
          </xdr:cNvPr>
          <xdr:cNvSpPr txBox="1"/>
        </xdr:nvSpPr>
        <xdr:spPr>
          <a:xfrm rot="5400000">
            <a:off x="8956766" y="3991364"/>
            <a:ext cx="507609" cy="4617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23</a:t>
            </a:r>
          </a:p>
        </xdr:txBody>
      </xdr:sp>
    </xdr:grpSp>
    <xdr:clientData/>
  </xdr:twoCellAnchor>
  <xdr:twoCellAnchor>
    <xdr:from>
      <xdr:col>10</xdr:col>
      <xdr:colOff>577270</xdr:colOff>
      <xdr:row>56</xdr:row>
      <xdr:rowOff>52532</xdr:rowOff>
    </xdr:from>
    <xdr:to>
      <xdr:col>11</xdr:col>
      <xdr:colOff>283283</xdr:colOff>
      <xdr:row>77</xdr:row>
      <xdr:rowOff>150833</xdr:rowOff>
    </xdr:to>
    <xdr:grpSp>
      <xdr:nvGrpSpPr>
        <xdr:cNvPr id="82" name="Gruppieren 81">
          <a:extLst>
            <a:ext uri="{FF2B5EF4-FFF2-40B4-BE49-F238E27FC236}">
              <a16:creationId xmlns:a16="http://schemas.microsoft.com/office/drawing/2014/main" id="{F101B3AC-540A-403C-9E37-5AE22697C424}"/>
            </a:ext>
          </a:extLst>
        </xdr:cNvPr>
        <xdr:cNvGrpSpPr/>
      </xdr:nvGrpSpPr>
      <xdr:grpSpPr>
        <a:xfrm>
          <a:off x="8197270" y="18737407"/>
          <a:ext cx="468013" cy="6194301"/>
          <a:chOff x="8957189" y="1108047"/>
          <a:chExt cx="467002" cy="4074160"/>
        </a:xfrm>
      </xdr:grpSpPr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04AACBFD-C4D8-D17F-183F-0EF7BBD4C7A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4" name="Gerader Verbinder 83">
            <a:extLst>
              <a:ext uri="{FF2B5EF4-FFF2-40B4-BE49-F238E27FC236}">
                <a16:creationId xmlns:a16="http://schemas.microsoft.com/office/drawing/2014/main" id="{6D046719-DF66-124B-5D9C-A9AFB1452A12}"/>
              </a:ext>
            </a:extLst>
          </xdr:cNvPr>
          <xdr:cNvCxnSpPr>
            <a:endCxn id="8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Gerader Verbinder 84">
            <a:extLst>
              <a:ext uri="{FF2B5EF4-FFF2-40B4-BE49-F238E27FC236}">
                <a16:creationId xmlns:a16="http://schemas.microsoft.com/office/drawing/2014/main" id="{CB5DEA31-864A-CFEF-76FB-B91D0BFD7F47}"/>
              </a:ext>
            </a:extLst>
          </xdr:cNvPr>
          <xdr:cNvCxnSpPr>
            <a:stCxn id="83" idx="2"/>
            <a:endCxn id="120" idx="4"/>
          </xdr:cNvCxnSpPr>
        </xdr:nvCxnSpPr>
        <xdr:spPr>
          <a:xfrm>
            <a:off x="9145588" y="4854575"/>
            <a:ext cx="663" cy="32763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Textfeld 85">
            <a:extLst>
              <a:ext uri="{FF2B5EF4-FFF2-40B4-BE49-F238E27FC236}">
                <a16:creationId xmlns:a16="http://schemas.microsoft.com/office/drawing/2014/main" id="{F155BA14-CD05-3FEA-CD30-4260228381A1}"/>
              </a:ext>
            </a:extLst>
          </xdr:cNvPr>
          <xdr:cNvSpPr txBox="1"/>
        </xdr:nvSpPr>
        <xdr:spPr>
          <a:xfrm rot="5400000">
            <a:off x="8933428" y="3991616"/>
            <a:ext cx="514524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10</xdr:col>
      <xdr:colOff>565131</xdr:colOff>
      <xdr:row>46</xdr:row>
      <xdr:rowOff>21771</xdr:rowOff>
    </xdr:from>
    <xdr:to>
      <xdr:col>11</xdr:col>
      <xdr:colOff>258897</xdr:colOff>
      <xdr:row>58</xdr:row>
      <xdr:rowOff>9523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1D771FE0-DF60-4910-9BE9-E0CE03A66212}"/>
            </a:ext>
          </a:extLst>
        </xdr:cNvPr>
        <xdr:cNvGrpSpPr/>
      </xdr:nvGrpSpPr>
      <xdr:grpSpPr>
        <a:xfrm>
          <a:off x="8185131" y="16325396"/>
          <a:ext cx="455766" cy="2972252"/>
          <a:chOff x="8934450" y="3281431"/>
          <a:chExt cx="448997" cy="2170211"/>
        </a:xfrm>
      </xdr:grpSpPr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476E7D71-B534-BD27-8520-84A1FB39E0A2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9" name="Gerader Verbinder 88">
            <a:extLst>
              <a:ext uri="{FF2B5EF4-FFF2-40B4-BE49-F238E27FC236}">
                <a16:creationId xmlns:a16="http://schemas.microsoft.com/office/drawing/2014/main" id="{9C1B384A-6478-022D-329A-FC1D36C5302A}"/>
              </a:ext>
            </a:extLst>
          </xdr:cNvPr>
          <xdr:cNvCxnSpPr>
            <a:endCxn id="8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423F1F0A-6043-C7C4-6DE3-C5958326C924}"/>
              </a:ext>
            </a:extLst>
          </xdr:cNvPr>
          <xdr:cNvCxnSpPr>
            <a:stCxn id="8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D94A4C6-EBAA-6292-E64D-D2D2F3B7D99B}"/>
              </a:ext>
            </a:extLst>
          </xdr:cNvPr>
          <xdr:cNvSpPr txBox="1"/>
        </xdr:nvSpPr>
        <xdr:spPr>
          <a:xfrm>
            <a:off x="8934450" y="4010025"/>
            <a:ext cx="448997" cy="4292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46</xdr:row>
      <xdr:rowOff>28575</xdr:rowOff>
    </xdr:from>
    <xdr:to>
      <xdr:col>5</xdr:col>
      <xdr:colOff>246216</xdr:colOff>
      <xdr:row>77</xdr:row>
      <xdr:rowOff>156277</xdr:rowOff>
    </xdr:to>
    <xdr:grpSp>
      <xdr:nvGrpSpPr>
        <xdr:cNvPr id="92" name="Gruppieren 91">
          <a:extLst>
            <a:ext uri="{FF2B5EF4-FFF2-40B4-BE49-F238E27FC236}">
              <a16:creationId xmlns:a16="http://schemas.microsoft.com/office/drawing/2014/main" id="{E98F5540-E339-46FB-A3F5-31396610CE1A}"/>
            </a:ext>
          </a:extLst>
        </xdr:cNvPr>
        <xdr:cNvGrpSpPr/>
      </xdr:nvGrpSpPr>
      <xdr:grpSpPr>
        <a:xfrm>
          <a:off x="3600450" y="16332200"/>
          <a:ext cx="455766" cy="8604952"/>
          <a:chOff x="8934450" y="1094414"/>
          <a:chExt cx="455766" cy="5820587"/>
        </a:xfrm>
      </xdr:grpSpPr>
      <xdr:sp macro="" textlink="">
        <xdr:nvSpPr>
          <xdr:cNvPr id="93" name="Rechteck 92">
            <a:extLst>
              <a:ext uri="{FF2B5EF4-FFF2-40B4-BE49-F238E27FC236}">
                <a16:creationId xmlns:a16="http://schemas.microsoft.com/office/drawing/2014/main" id="{9DC4299E-9B33-C9E4-8523-59152E7C058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C6CD0426-8F9E-31D0-ED2C-158E153AA8CF}"/>
              </a:ext>
            </a:extLst>
          </xdr:cNvPr>
          <xdr:cNvCxnSpPr>
            <a:endCxn id="9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Gerader Verbinder 94">
            <a:extLst>
              <a:ext uri="{FF2B5EF4-FFF2-40B4-BE49-F238E27FC236}">
                <a16:creationId xmlns:a16="http://schemas.microsoft.com/office/drawing/2014/main" id="{BF44E216-47BD-6AAA-EEB6-C4E6E63DA4DC}"/>
              </a:ext>
            </a:extLst>
          </xdr:cNvPr>
          <xdr:cNvCxnSpPr>
            <a:stCxn id="93" idx="2"/>
            <a:endCxn id="119" idx="4"/>
          </xdr:cNvCxnSpPr>
        </xdr:nvCxnSpPr>
        <xdr:spPr>
          <a:xfrm flipH="1">
            <a:off x="9145566" y="4854575"/>
            <a:ext cx="22" cy="20604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775A4C14-A06E-021C-FA20-568825BDD35B}"/>
              </a:ext>
            </a:extLst>
          </xdr:cNvPr>
          <xdr:cNvSpPr txBox="1"/>
        </xdr:nvSpPr>
        <xdr:spPr>
          <a:xfrm>
            <a:off x="8934450" y="4010025"/>
            <a:ext cx="455766" cy="4294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564688</xdr:colOff>
      <xdr:row>46</xdr:row>
      <xdr:rowOff>57150</xdr:rowOff>
    </xdr:from>
    <xdr:to>
      <xdr:col>6</xdr:col>
      <xdr:colOff>302669</xdr:colOff>
      <xdr:row>77</xdr:row>
      <xdr:rowOff>161721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31E3BCD0-5084-4761-B50B-3578CB44EE0F}"/>
            </a:ext>
          </a:extLst>
        </xdr:cNvPr>
        <xdr:cNvGrpSpPr/>
      </xdr:nvGrpSpPr>
      <xdr:grpSpPr>
        <a:xfrm>
          <a:off x="4374688" y="16360775"/>
          <a:ext cx="499981" cy="8581821"/>
          <a:chOff x="8948330" y="1114406"/>
          <a:chExt cx="498901" cy="5842881"/>
        </a:xfrm>
      </xdr:grpSpPr>
      <xdr:sp macro="" textlink="">
        <xdr:nvSpPr>
          <xdr:cNvPr id="98" name="Rechteck 97">
            <a:extLst>
              <a:ext uri="{FF2B5EF4-FFF2-40B4-BE49-F238E27FC236}">
                <a16:creationId xmlns:a16="http://schemas.microsoft.com/office/drawing/2014/main" id="{5845AB6F-3134-8FBD-25E8-0814BA67B67D}"/>
              </a:ext>
            </a:extLst>
          </xdr:cNvPr>
          <xdr:cNvSpPr/>
        </xdr:nvSpPr>
        <xdr:spPr>
          <a:xfrm>
            <a:off x="8948330" y="3847567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9" name="Gerader Verbinder 98">
            <a:extLst>
              <a:ext uri="{FF2B5EF4-FFF2-40B4-BE49-F238E27FC236}">
                <a16:creationId xmlns:a16="http://schemas.microsoft.com/office/drawing/2014/main" id="{9CF2D7C0-E511-FEE5-F122-A1C141A051A0}"/>
              </a:ext>
            </a:extLst>
          </xdr:cNvPr>
          <xdr:cNvCxnSpPr>
            <a:stCxn id="115" idx="4"/>
            <a:endCxn id="98" idx="0"/>
          </xdr:cNvCxnSpPr>
        </xdr:nvCxnSpPr>
        <xdr:spPr>
          <a:xfrm flipH="1">
            <a:off x="9134068" y="1114406"/>
            <a:ext cx="20652" cy="273316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Gerader Verbinder 99">
            <a:extLst>
              <a:ext uri="{FF2B5EF4-FFF2-40B4-BE49-F238E27FC236}">
                <a16:creationId xmlns:a16="http://schemas.microsoft.com/office/drawing/2014/main" id="{B79B14ED-B3A8-BD66-AC70-9138A5FD51A7}"/>
              </a:ext>
            </a:extLst>
          </xdr:cNvPr>
          <xdr:cNvCxnSpPr>
            <a:stCxn id="98" idx="2"/>
            <a:endCxn id="118" idx="4"/>
          </xdr:cNvCxnSpPr>
        </xdr:nvCxnSpPr>
        <xdr:spPr>
          <a:xfrm>
            <a:off x="9134068" y="4923892"/>
            <a:ext cx="29004" cy="203339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feld 100">
            <a:extLst>
              <a:ext uri="{FF2B5EF4-FFF2-40B4-BE49-F238E27FC236}">
                <a16:creationId xmlns:a16="http://schemas.microsoft.com/office/drawing/2014/main" id="{9AC538A7-2036-A551-5A82-AEB6D55D9EF7}"/>
              </a:ext>
            </a:extLst>
          </xdr:cNvPr>
          <xdr:cNvSpPr txBox="1"/>
        </xdr:nvSpPr>
        <xdr:spPr>
          <a:xfrm rot="5400000">
            <a:off x="8955007" y="3992838"/>
            <a:ext cx="517445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</a:t>
            </a:r>
          </a:p>
        </xdr:txBody>
      </xdr:sp>
    </xdr:grpSp>
    <xdr:clientData/>
  </xdr:twoCellAnchor>
  <xdr:twoCellAnchor>
    <xdr:from>
      <xdr:col>1</xdr:col>
      <xdr:colOff>508148</xdr:colOff>
      <xdr:row>46</xdr:row>
      <xdr:rowOff>6350</xdr:rowOff>
    </xdr:from>
    <xdr:to>
      <xdr:col>2</xdr:col>
      <xdr:colOff>305548</xdr:colOff>
      <xdr:row>62</xdr:row>
      <xdr:rowOff>21772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6B8E58F5-F742-4F97-8E7D-7D3372AE8F9E}"/>
            </a:ext>
          </a:extLst>
        </xdr:cNvPr>
        <xdr:cNvGrpSpPr/>
      </xdr:nvGrpSpPr>
      <xdr:grpSpPr>
        <a:xfrm>
          <a:off x="1270148" y="16309975"/>
          <a:ext cx="559400" cy="4428672"/>
          <a:chOff x="8879803" y="3254331"/>
          <a:chExt cx="563543" cy="3010540"/>
        </a:xfrm>
      </xdr:grpSpPr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300EBCD0-EF4C-EB02-495B-FB7F0E5A26A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04" name="Gerader Verbinder 103">
            <a:extLst>
              <a:ext uri="{FF2B5EF4-FFF2-40B4-BE49-F238E27FC236}">
                <a16:creationId xmlns:a16="http://schemas.microsoft.com/office/drawing/2014/main" id="{82117A7C-CCE5-4C08-5630-446B95B34F1A}"/>
              </a:ext>
            </a:extLst>
          </xdr:cNvPr>
          <xdr:cNvCxnSpPr>
            <a:endCxn id="10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Gerader Verbinder 104">
            <a:extLst>
              <a:ext uri="{FF2B5EF4-FFF2-40B4-BE49-F238E27FC236}">
                <a16:creationId xmlns:a16="http://schemas.microsoft.com/office/drawing/2014/main" id="{E500007C-F407-2229-45FF-22641B917420}"/>
              </a:ext>
            </a:extLst>
          </xdr:cNvPr>
          <xdr:cNvCxnSpPr>
            <a:stCxn id="10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E8C28716-AF63-F1B8-ECED-AED65AAF6198}"/>
              </a:ext>
            </a:extLst>
          </xdr:cNvPr>
          <xdr:cNvSpPr txBox="1"/>
        </xdr:nvSpPr>
        <xdr:spPr>
          <a:xfrm rot="5400000">
            <a:off x="8942990" y="3925579"/>
            <a:ext cx="437170" cy="563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9525</xdr:colOff>
      <xdr:row>46</xdr:row>
      <xdr:rowOff>9525</xdr:rowOff>
    </xdr:from>
    <xdr:to>
      <xdr:col>11</xdr:col>
      <xdr:colOff>6350</xdr:colOff>
      <xdr:row>46</xdr:row>
      <xdr:rowOff>19050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CB505F4-2990-4FFA-8B5E-B0D9F85972E3}"/>
            </a:ext>
          </a:extLst>
        </xdr:cNvPr>
        <xdr:cNvCxnSpPr/>
      </xdr:nvCxnSpPr>
      <xdr:spPr>
        <a:xfrm flipH="1" flipV="1">
          <a:off x="1530350" y="9598025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63</xdr:row>
      <xdr:rowOff>102507</xdr:rowOff>
    </xdr:from>
    <xdr:to>
      <xdr:col>2</xdr:col>
      <xdr:colOff>263534</xdr:colOff>
      <xdr:row>63</xdr:row>
      <xdr:rowOff>102507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708F6FE9-59E8-4780-8592-0E432A8B9910}"/>
            </a:ext>
          </a:extLst>
        </xdr:cNvPr>
        <xdr:cNvCxnSpPr/>
      </xdr:nvCxnSpPr>
      <xdr:spPr>
        <a:xfrm flipH="1">
          <a:off x="1168400" y="1277393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600529</xdr:colOff>
      <xdr:row>62</xdr:row>
      <xdr:rowOff>58512</xdr:rowOff>
    </xdr:from>
    <xdr:to>
      <xdr:col>2</xdr:col>
      <xdr:colOff>130629</xdr:colOff>
      <xdr:row>62</xdr:row>
      <xdr:rowOff>58512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88514293-BAAC-47FA-BC0D-A2DC8B2E1C2E}"/>
            </a:ext>
          </a:extLst>
        </xdr:cNvPr>
        <xdr:cNvCxnSpPr/>
      </xdr:nvCxnSpPr>
      <xdr:spPr>
        <a:xfrm flipH="1">
          <a:off x="1359354" y="1254578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63</xdr:row>
      <xdr:rowOff>139700</xdr:rowOff>
    </xdr:from>
    <xdr:to>
      <xdr:col>2</xdr:col>
      <xdr:colOff>139700</xdr:colOff>
      <xdr:row>63</xdr:row>
      <xdr:rowOff>139700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33ED34F7-BBFD-4390-9B3A-305E0631D087}"/>
            </a:ext>
          </a:extLst>
        </xdr:cNvPr>
        <xdr:cNvCxnSpPr/>
      </xdr:nvCxnSpPr>
      <xdr:spPr>
        <a:xfrm flipH="1">
          <a:off x="1371600" y="12811125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63</xdr:row>
      <xdr:rowOff>161925</xdr:rowOff>
    </xdr:from>
    <xdr:to>
      <xdr:col>2</xdr:col>
      <xdr:colOff>0</xdr:colOff>
      <xdr:row>77</xdr:row>
      <xdr:rowOff>90714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DA84748A-8BBB-442E-8C1D-E75621BA4052}"/>
            </a:ext>
          </a:extLst>
        </xdr:cNvPr>
        <xdr:cNvCxnSpPr/>
      </xdr:nvCxnSpPr>
      <xdr:spPr>
        <a:xfrm>
          <a:off x="1514475" y="13681982"/>
          <a:ext cx="9525" cy="26719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754495</xdr:colOff>
      <xdr:row>77</xdr:row>
      <xdr:rowOff>90632</xdr:rowOff>
    </xdr:from>
    <xdr:to>
      <xdr:col>13</xdr:col>
      <xdr:colOff>11545</xdr:colOff>
      <xdr:row>77</xdr:row>
      <xdr:rowOff>115455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FF5D0390-03B8-40FB-801F-D144DEE82921}"/>
            </a:ext>
          </a:extLst>
        </xdr:cNvPr>
        <xdr:cNvCxnSpPr/>
      </xdr:nvCxnSpPr>
      <xdr:spPr>
        <a:xfrm flipH="1" flipV="1">
          <a:off x="1516495" y="16358177"/>
          <a:ext cx="8401050" cy="248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10349</xdr:colOff>
      <xdr:row>56</xdr:row>
      <xdr:rowOff>34884</xdr:rowOff>
    </xdr:from>
    <xdr:to>
      <xdr:col>12</xdr:col>
      <xdr:colOff>757381</xdr:colOff>
      <xdr:row>56</xdr:row>
      <xdr:rowOff>54161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9D7E7AD1-54B5-4A2D-8A52-ECC31915305F}"/>
            </a:ext>
          </a:extLst>
        </xdr:cNvPr>
        <xdr:cNvCxnSpPr/>
      </xdr:nvCxnSpPr>
      <xdr:spPr>
        <a:xfrm flipH="1">
          <a:off x="8392349" y="11557248"/>
          <a:ext cx="1509032" cy="192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45</xdr:row>
      <xdr:rowOff>139700</xdr:rowOff>
    </xdr:from>
    <xdr:to>
      <xdr:col>5</xdr:col>
      <xdr:colOff>47625</xdr:colOff>
      <xdr:row>46</xdr:row>
      <xdr:rowOff>66675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F44980E-FB55-42C6-9C9E-EAA1839A6D19}"/>
            </a:ext>
          </a:extLst>
        </xdr:cNvPr>
        <xdr:cNvSpPr/>
      </xdr:nvSpPr>
      <xdr:spPr>
        <a:xfrm>
          <a:off x="3759200" y="955357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45</xdr:row>
      <xdr:rowOff>130175</xdr:rowOff>
    </xdr:from>
    <xdr:to>
      <xdr:col>6</xdr:col>
      <xdr:colOff>57150</xdr:colOff>
      <xdr:row>46</xdr:row>
      <xdr:rowOff>57150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4877C00A-C081-4937-AB0D-892D3F40829C}"/>
            </a:ext>
          </a:extLst>
        </xdr:cNvPr>
        <xdr:cNvSpPr/>
      </xdr:nvSpPr>
      <xdr:spPr>
        <a:xfrm>
          <a:off x="4533900" y="954087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727610</xdr:colOff>
      <xdr:row>56</xdr:row>
      <xdr:rowOff>13392</xdr:rowOff>
    </xdr:from>
    <xdr:to>
      <xdr:col>11</xdr:col>
      <xdr:colOff>59417</xdr:colOff>
      <xdr:row>56</xdr:row>
      <xdr:rowOff>87539</xdr:rowOff>
    </xdr:to>
    <xdr:sp macro="" textlink="">
      <xdr:nvSpPr>
        <xdr:cNvPr id="116" name="Ellipse 115">
          <a:extLst>
            <a:ext uri="{FF2B5EF4-FFF2-40B4-BE49-F238E27FC236}">
              <a16:creationId xmlns:a16="http://schemas.microsoft.com/office/drawing/2014/main" id="{6B50278C-7605-4EFD-A71D-DE52B27B7303}"/>
            </a:ext>
          </a:extLst>
        </xdr:cNvPr>
        <xdr:cNvSpPr/>
      </xdr:nvSpPr>
      <xdr:spPr>
        <a:xfrm>
          <a:off x="8347610" y="11535756"/>
          <a:ext cx="93807" cy="74147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704271</xdr:colOff>
      <xdr:row>56</xdr:row>
      <xdr:rowOff>0</xdr:rowOff>
    </xdr:from>
    <xdr:to>
      <xdr:col>13</xdr:col>
      <xdr:colOff>36078</xdr:colOff>
      <xdr:row>56</xdr:row>
      <xdr:rowOff>75046</xdr:rowOff>
    </xdr:to>
    <xdr:sp macro="" textlink="">
      <xdr:nvSpPr>
        <xdr:cNvPr id="117" name="Ellipse 116">
          <a:extLst>
            <a:ext uri="{FF2B5EF4-FFF2-40B4-BE49-F238E27FC236}">
              <a16:creationId xmlns:a16="http://schemas.microsoft.com/office/drawing/2014/main" id="{B4E22A94-4E09-45B4-9F57-B27A1EA8EF11}"/>
            </a:ext>
          </a:extLst>
        </xdr:cNvPr>
        <xdr:cNvSpPr/>
      </xdr:nvSpPr>
      <xdr:spPr>
        <a:xfrm>
          <a:off x="9848271" y="11522364"/>
          <a:ext cx="93807" cy="7504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732270</xdr:colOff>
      <xdr:row>77</xdr:row>
      <xdr:rowOff>44822</xdr:rowOff>
    </xdr:from>
    <xdr:to>
      <xdr:col>6</xdr:col>
      <xdr:colOff>65520</xdr:colOff>
      <xdr:row>77</xdr:row>
      <xdr:rowOff>161720</xdr:rowOff>
    </xdr:to>
    <xdr:sp macro="" textlink="">
      <xdr:nvSpPr>
        <xdr:cNvPr id="118" name="Ellipse 117">
          <a:extLst>
            <a:ext uri="{FF2B5EF4-FFF2-40B4-BE49-F238E27FC236}">
              <a16:creationId xmlns:a16="http://schemas.microsoft.com/office/drawing/2014/main" id="{F39EBE4D-9C5A-4791-BFED-28486902CB51}"/>
            </a:ext>
          </a:extLst>
        </xdr:cNvPr>
        <xdr:cNvSpPr/>
      </xdr:nvSpPr>
      <xdr:spPr>
        <a:xfrm>
          <a:off x="4542270" y="16312367"/>
          <a:ext cx="95250" cy="11689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715941</xdr:colOff>
      <xdr:row>77</xdr:row>
      <xdr:rowOff>42554</xdr:rowOff>
    </xdr:from>
    <xdr:to>
      <xdr:col>5</xdr:col>
      <xdr:colOff>49191</xdr:colOff>
      <xdr:row>77</xdr:row>
      <xdr:rowOff>156277</xdr:rowOff>
    </xdr:to>
    <xdr:sp macro="" textlink="">
      <xdr:nvSpPr>
        <xdr:cNvPr id="119" name="Ellipse 118">
          <a:extLst>
            <a:ext uri="{FF2B5EF4-FFF2-40B4-BE49-F238E27FC236}">
              <a16:creationId xmlns:a16="http://schemas.microsoft.com/office/drawing/2014/main" id="{390E1B5C-8DAD-4793-8A0D-BCDFED8DF89B}"/>
            </a:ext>
          </a:extLst>
        </xdr:cNvPr>
        <xdr:cNvSpPr/>
      </xdr:nvSpPr>
      <xdr:spPr>
        <a:xfrm>
          <a:off x="3763941" y="16310099"/>
          <a:ext cx="95250" cy="11372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719116</xdr:colOff>
      <xdr:row>77</xdr:row>
      <xdr:rowOff>43461</xdr:rowOff>
    </xdr:from>
    <xdr:to>
      <xdr:col>11</xdr:col>
      <xdr:colOff>52366</xdr:colOff>
      <xdr:row>77</xdr:row>
      <xdr:rowOff>150834</xdr:rowOff>
    </xdr:to>
    <xdr:sp macro="" textlink="">
      <xdr:nvSpPr>
        <xdr:cNvPr id="120" name="Ellipse 119">
          <a:extLst>
            <a:ext uri="{FF2B5EF4-FFF2-40B4-BE49-F238E27FC236}">
              <a16:creationId xmlns:a16="http://schemas.microsoft.com/office/drawing/2014/main" id="{7E7F31BC-C44B-487C-A7DC-C7D2C09474BE}"/>
            </a:ext>
          </a:extLst>
        </xdr:cNvPr>
        <xdr:cNvSpPr/>
      </xdr:nvSpPr>
      <xdr:spPr>
        <a:xfrm>
          <a:off x="8339116" y="16311006"/>
          <a:ext cx="95250" cy="10737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692191</xdr:colOff>
      <xdr:row>77</xdr:row>
      <xdr:rowOff>51831</xdr:rowOff>
    </xdr:from>
    <xdr:to>
      <xdr:col>13</xdr:col>
      <xdr:colOff>25441</xdr:colOff>
      <xdr:row>77</xdr:row>
      <xdr:rowOff>162379</xdr:rowOff>
    </xdr:to>
    <xdr:sp macro="" textlink="">
      <xdr:nvSpPr>
        <xdr:cNvPr id="121" name="Ellipse 120">
          <a:extLst>
            <a:ext uri="{FF2B5EF4-FFF2-40B4-BE49-F238E27FC236}">
              <a16:creationId xmlns:a16="http://schemas.microsoft.com/office/drawing/2014/main" id="{BF084887-BBFA-41A5-A9F1-B79A4E9AF87B}"/>
            </a:ext>
          </a:extLst>
        </xdr:cNvPr>
        <xdr:cNvSpPr/>
      </xdr:nvSpPr>
      <xdr:spPr>
        <a:xfrm>
          <a:off x="9836191" y="16319376"/>
          <a:ext cx="95250" cy="11054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62</xdr:row>
      <xdr:rowOff>9071</xdr:rowOff>
    </xdr:from>
    <xdr:to>
      <xdr:col>2</xdr:col>
      <xdr:colOff>293016</xdr:colOff>
      <xdr:row>62</xdr:row>
      <xdr:rowOff>18596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8E203255-FE21-447A-9D10-6FA4F73B3D8D}"/>
            </a:ext>
          </a:extLst>
        </xdr:cNvPr>
        <xdr:cNvCxnSpPr/>
      </xdr:nvCxnSpPr>
      <xdr:spPr>
        <a:xfrm flipH="1">
          <a:off x="1201057" y="12499521"/>
          <a:ext cx="619134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751114</xdr:colOff>
      <xdr:row>62</xdr:row>
      <xdr:rowOff>68489</xdr:rowOff>
    </xdr:from>
    <xdr:to>
      <xdr:col>2</xdr:col>
      <xdr:colOff>0</xdr:colOff>
      <xdr:row>63</xdr:row>
      <xdr:rowOff>103414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B8C5A9E0-D4A2-4752-A434-6F29F959EE85}"/>
            </a:ext>
          </a:extLst>
        </xdr:cNvPr>
        <xdr:cNvCxnSpPr/>
      </xdr:nvCxnSpPr>
      <xdr:spPr>
        <a:xfrm flipH="1">
          <a:off x="1516289" y="12552589"/>
          <a:ext cx="7711" cy="22225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45</xdr:row>
      <xdr:rowOff>143329</xdr:rowOff>
    </xdr:from>
    <xdr:to>
      <xdr:col>11</xdr:col>
      <xdr:colOff>40822</xdr:colOff>
      <xdr:row>46</xdr:row>
      <xdr:rowOff>73479</xdr:rowOff>
    </xdr:to>
    <xdr:sp macro="" textlink="">
      <xdr:nvSpPr>
        <xdr:cNvPr id="124" name="Ellipse 123">
          <a:extLst>
            <a:ext uri="{FF2B5EF4-FFF2-40B4-BE49-F238E27FC236}">
              <a16:creationId xmlns:a16="http://schemas.microsoft.com/office/drawing/2014/main" id="{61F4DEDA-3D4A-44C0-98C7-C473C9FC99DF}"/>
            </a:ext>
          </a:extLst>
        </xdr:cNvPr>
        <xdr:cNvSpPr/>
      </xdr:nvSpPr>
      <xdr:spPr>
        <a:xfrm>
          <a:off x="8327572" y="9550854"/>
          <a:ext cx="95250" cy="1143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487671</xdr:colOff>
      <xdr:row>100</xdr:row>
      <xdr:rowOff>210002</xdr:rowOff>
    </xdr:from>
    <xdr:to>
      <xdr:col>13</xdr:col>
      <xdr:colOff>200034</xdr:colOff>
      <xdr:row>112</xdr:row>
      <xdr:rowOff>48298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9460CB2C-7072-4A21-B375-D1E0792DA4AF}"/>
            </a:ext>
          </a:extLst>
        </xdr:cNvPr>
        <xdr:cNvGrpSpPr/>
      </xdr:nvGrpSpPr>
      <xdr:grpSpPr>
        <a:xfrm>
          <a:off x="9631671" y="29372377"/>
          <a:ext cx="474363" cy="2521171"/>
          <a:chOff x="8920180" y="3499704"/>
          <a:chExt cx="480926" cy="1951938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DB0A9D0B-7DAD-B0F1-8EC3-FD2F0A94E06C}"/>
              </a:ext>
            </a:extLst>
          </xdr:cNvPr>
          <xdr:cNvSpPr/>
        </xdr:nvSpPr>
        <xdr:spPr>
          <a:xfrm>
            <a:off x="8959842" y="3778250"/>
            <a:ext cx="371474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A6B43988-0D8B-431B-FC48-AE22B0A6D96E}"/>
              </a:ext>
            </a:extLst>
          </xdr:cNvPr>
          <xdr:cNvCxnSpPr>
            <a:stCxn id="154" idx="0"/>
            <a:endCxn id="126" idx="0"/>
          </xdr:cNvCxnSpPr>
        </xdr:nvCxnSpPr>
        <xdr:spPr>
          <a:xfrm>
            <a:off x="9144272" y="3499704"/>
            <a:ext cx="1308" cy="278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Gerader Verbinder 127">
            <a:extLst>
              <a:ext uri="{FF2B5EF4-FFF2-40B4-BE49-F238E27FC236}">
                <a16:creationId xmlns:a16="http://schemas.microsoft.com/office/drawing/2014/main" id="{40D323D4-D9FA-7B48-344D-08A96DBBECB0}"/>
              </a:ext>
            </a:extLst>
          </xdr:cNvPr>
          <xdr:cNvCxnSpPr>
            <a:stCxn id="126" idx="2"/>
          </xdr:cNvCxnSpPr>
        </xdr:nvCxnSpPr>
        <xdr:spPr>
          <a:xfrm>
            <a:off x="9145589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E6B01E4-0556-509A-CB36-ABAB353354F9}"/>
              </a:ext>
            </a:extLst>
          </xdr:cNvPr>
          <xdr:cNvSpPr txBox="1"/>
        </xdr:nvSpPr>
        <xdr:spPr>
          <a:xfrm rot="5400000">
            <a:off x="8870650" y="3884124"/>
            <a:ext cx="579986" cy="4809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</a:t>
            </a:r>
          </a:p>
        </xdr:txBody>
      </xdr:sp>
    </xdr:grpSp>
    <xdr:clientData/>
  </xdr:twoCellAnchor>
  <xdr:twoCellAnchor>
    <xdr:from>
      <xdr:col>10</xdr:col>
      <xdr:colOff>521693</xdr:colOff>
      <xdr:row>100</xdr:row>
      <xdr:rowOff>261258</xdr:rowOff>
    </xdr:from>
    <xdr:to>
      <xdr:col>11</xdr:col>
      <xdr:colOff>221356</xdr:colOff>
      <xdr:row>111</xdr:row>
      <xdr:rowOff>152619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6944798E-DD9E-49C3-8AE2-77E230291A08}"/>
            </a:ext>
          </a:extLst>
        </xdr:cNvPr>
        <xdr:cNvGrpSpPr/>
      </xdr:nvGrpSpPr>
      <xdr:grpSpPr>
        <a:xfrm>
          <a:off x="8141693" y="29423633"/>
          <a:ext cx="461663" cy="2383736"/>
          <a:chOff x="9527870" y="3599470"/>
          <a:chExt cx="467002" cy="1797691"/>
        </a:xfrm>
      </xdr:grpSpPr>
      <xdr:sp macro="" textlink="">
        <xdr:nvSpPr>
          <xdr:cNvPr id="131" name="Rechteck 130">
            <a:extLst>
              <a:ext uri="{FF2B5EF4-FFF2-40B4-BE49-F238E27FC236}">
                <a16:creationId xmlns:a16="http://schemas.microsoft.com/office/drawing/2014/main" id="{4B81DC39-9301-60CA-DFDF-46F703EE25B6}"/>
              </a:ext>
            </a:extLst>
          </xdr:cNvPr>
          <xdr:cNvSpPr/>
        </xdr:nvSpPr>
        <xdr:spPr>
          <a:xfrm>
            <a:off x="9534648" y="3723771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2" name="Gerader Verbinder 131">
            <a:extLst>
              <a:ext uri="{FF2B5EF4-FFF2-40B4-BE49-F238E27FC236}">
                <a16:creationId xmlns:a16="http://schemas.microsoft.com/office/drawing/2014/main" id="{8E1EDB74-B1AC-14FB-8337-156909887074}"/>
              </a:ext>
            </a:extLst>
          </xdr:cNvPr>
          <xdr:cNvCxnSpPr>
            <a:stCxn id="153" idx="0"/>
            <a:endCxn id="131" idx="0"/>
          </xdr:cNvCxnSpPr>
        </xdr:nvCxnSpPr>
        <xdr:spPr>
          <a:xfrm flipH="1">
            <a:off x="9720386" y="3599470"/>
            <a:ext cx="16618" cy="12430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Gerader Verbinder 132">
            <a:extLst>
              <a:ext uri="{FF2B5EF4-FFF2-40B4-BE49-F238E27FC236}">
                <a16:creationId xmlns:a16="http://schemas.microsoft.com/office/drawing/2014/main" id="{B4175276-3923-E1FC-30CA-E446F215FB9A}"/>
              </a:ext>
            </a:extLst>
          </xdr:cNvPr>
          <xdr:cNvCxnSpPr>
            <a:stCxn id="131" idx="2"/>
          </xdr:cNvCxnSpPr>
        </xdr:nvCxnSpPr>
        <xdr:spPr>
          <a:xfrm>
            <a:off x="9720386" y="4800095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4" name="Textfeld 133">
            <a:extLst>
              <a:ext uri="{FF2B5EF4-FFF2-40B4-BE49-F238E27FC236}">
                <a16:creationId xmlns:a16="http://schemas.microsoft.com/office/drawing/2014/main" id="{2C6205FF-4C81-C732-0AFD-49DCBF9B373C}"/>
              </a:ext>
            </a:extLst>
          </xdr:cNvPr>
          <xdr:cNvSpPr txBox="1"/>
        </xdr:nvSpPr>
        <xdr:spPr>
          <a:xfrm rot="5400000">
            <a:off x="9521244" y="3790501"/>
            <a:ext cx="480253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5</xdr:col>
      <xdr:colOff>719508</xdr:colOff>
      <xdr:row>88</xdr:row>
      <xdr:rowOff>176646</xdr:rowOff>
    </xdr:from>
    <xdr:to>
      <xdr:col>6</xdr:col>
      <xdr:colOff>425521</xdr:colOff>
      <xdr:row>111</xdr:row>
      <xdr:rowOff>128164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200066EE-7AF6-453A-A371-BCF986E6EC48}"/>
            </a:ext>
          </a:extLst>
        </xdr:cNvPr>
        <xdr:cNvGrpSpPr/>
      </xdr:nvGrpSpPr>
      <xdr:grpSpPr>
        <a:xfrm>
          <a:off x="4529508" y="26481521"/>
          <a:ext cx="468013" cy="5301393"/>
          <a:chOff x="8941283" y="3264625"/>
          <a:chExt cx="469428" cy="4311071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F74C7D56-8712-6502-3DBE-AFC4196C3BEC}"/>
              </a:ext>
            </a:extLst>
          </xdr:cNvPr>
          <xdr:cNvSpPr/>
        </xdr:nvSpPr>
        <xdr:spPr>
          <a:xfrm>
            <a:off x="8959850" y="370602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7" name="Gerader Verbinder 136">
            <a:extLst>
              <a:ext uri="{FF2B5EF4-FFF2-40B4-BE49-F238E27FC236}">
                <a16:creationId xmlns:a16="http://schemas.microsoft.com/office/drawing/2014/main" id="{D2D4F756-F07C-0998-0EFA-9944FA002B1A}"/>
              </a:ext>
            </a:extLst>
          </xdr:cNvPr>
          <xdr:cNvCxnSpPr>
            <a:stCxn id="152" idx="4"/>
            <a:endCxn id="136" idx="0"/>
          </xdr:cNvCxnSpPr>
        </xdr:nvCxnSpPr>
        <xdr:spPr>
          <a:xfrm flipH="1">
            <a:off x="9145588" y="3264625"/>
            <a:ext cx="3910" cy="44139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8" name="Gerader Verbinder 137">
            <a:extLst>
              <a:ext uri="{FF2B5EF4-FFF2-40B4-BE49-F238E27FC236}">
                <a16:creationId xmlns:a16="http://schemas.microsoft.com/office/drawing/2014/main" id="{E312C5A4-5E87-5BE1-8656-6AC39A2A50B6}"/>
              </a:ext>
            </a:extLst>
          </xdr:cNvPr>
          <xdr:cNvCxnSpPr>
            <a:stCxn id="136" idx="2"/>
            <a:endCxn id="314" idx="7"/>
          </xdr:cNvCxnSpPr>
        </xdr:nvCxnSpPr>
        <xdr:spPr>
          <a:xfrm flipH="1">
            <a:off x="9136444" y="4782348"/>
            <a:ext cx="9144" cy="279334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9" name="Textfeld 138">
            <a:extLst>
              <a:ext uri="{FF2B5EF4-FFF2-40B4-BE49-F238E27FC236}">
                <a16:creationId xmlns:a16="http://schemas.microsoft.com/office/drawing/2014/main" id="{EE4EB164-6E18-7DA5-68EB-1B7A152E3316}"/>
              </a:ext>
            </a:extLst>
          </xdr:cNvPr>
          <xdr:cNvSpPr txBox="1"/>
        </xdr:nvSpPr>
        <xdr:spPr>
          <a:xfrm rot="5400000">
            <a:off x="8880795" y="3904822"/>
            <a:ext cx="590404" cy="4694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789</a:t>
            </a:r>
          </a:p>
        </xdr:txBody>
      </xdr:sp>
    </xdr:grpSp>
    <xdr:clientData/>
  </xdr:twoCellAnchor>
  <xdr:twoCellAnchor>
    <xdr:from>
      <xdr:col>1</xdr:col>
      <xdr:colOff>525997</xdr:colOff>
      <xdr:row>88</xdr:row>
      <xdr:rowOff>169857</xdr:rowOff>
    </xdr:from>
    <xdr:to>
      <xdr:col>2</xdr:col>
      <xdr:colOff>232011</xdr:colOff>
      <xdr:row>104</xdr:row>
      <xdr:rowOff>169404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05B30160-D525-41F2-84A2-DBCBF72533F6}"/>
            </a:ext>
          </a:extLst>
        </xdr:cNvPr>
        <xdr:cNvGrpSpPr/>
      </xdr:nvGrpSpPr>
      <xdr:grpSpPr>
        <a:xfrm>
          <a:off x="1287997" y="26474732"/>
          <a:ext cx="468014" cy="4015922"/>
          <a:chOff x="8945774" y="3254331"/>
          <a:chExt cx="471479" cy="3010540"/>
        </a:xfrm>
      </xdr:grpSpPr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2AF0EDE1-D50C-AE91-D8AD-FE038CC9914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2" name="Gerader Verbinder 141">
            <a:extLst>
              <a:ext uri="{FF2B5EF4-FFF2-40B4-BE49-F238E27FC236}">
                <a16:creationId xmlns:a16="http://schemas.microsoft.com/office/drawing/2014/main" id="{E869693A-F8FC-BA88-3242-F74A84CB883B}"/>
              </a:ext>
            </a:extLst>
          </xdr:cNvPr>
          <xdr:cNvCxnSpPr>
            <a:endCxn id="141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Gerader Verbinder 142">
            <a:extLst>
              <a:ext uri="{FF2B5EF4-FFF2-40B4-BE49-F238E27FC236}">
                <a16:creationId xmlns:a16="http://schemas.microsoft.com/office/drawing/2014/main" id="{1F8D820D-2879-5873-7B8B-2651B182FC18}"/>
              </a:ext>
            </a:extLst>
          </xdr:cNvPr>
          <xdr:cNvCxnSpPr>
            <a:stCxn id="141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4" name="Textfeld 143">
            <a:extLst>
              <a:ext uri="{FF2B5EF4-FFF2-40B4-BE49-F238E27FC236}">
                <a16:creationId xmlns:a16="http://schemas.microsoft.com/office/drawing/2014/main" id="{E47179F7-3F61-33EE-604C-DF1D5C1974D6}"/>
              </a:ext>
            </a:extLst>
          </xdr:cNvPr>
          <xdr:cNvSpPr txBox="1"/>
        </xdr:nvSpPr>
        <xdr:spPr>
          <a:xfrm rot="5400000">
            <a:off x="8942200" y="3826294"/>
            <a:ext cx="478628" cy="471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1</xdr:col>
      <xdr:colOff>720725</xdr:colOff>
      <xdr:row>88</xdr:row>
      <xdr:rowOff>169857</xdr:rowOff>
    </xdr:from>
    <xdr:to>
      <xdr:col>10</xdr:col>
      <xdr:colOff>723900</xdr:colOff>
      <xdr:row>88</xdr:row>
      <xdr:rowOff>179382</xdr:rowOff>
    </xdr:to>
    <xdr:cxnSp macro="">
      <xdr:nvCxnSpPr>
        <xdr:cNvPr id="145" name="Gerader Verbinder 144">
          <a:extLst>
            <a:ext uri="{FF2B5EF4-FFF2-40B4-BE49-F238E27FC236}">
              <a16:creationId xmlns:a16="http://schemas.microsoft.com/office/drawing/2014/main" id="{181822FE-F81A-4AB0-9474-8304ED2B2F7B}"/>
            </a:ext>
          </a:extLst>
        </xdr:cNvPr>
        <xdr:cNvCxnSpPr/>
      </xdr:nvCxnSpPr>
      <xdr:spPr>
        <a:xfrm flipH="1" flipV="1">
          <a:off x="1482725" y="18086382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358775</xdr:colOff>
      <xdr:row>106</xdr:row>
      <xdr:rowOff>53289</xdr:rowOff>
    </xdr:from>
    <xdr:to>
      <xdr:col>2</xdr:col>
      <xdr:colOff>219084</xdr:colOff>
      <xdr:row>106</xdr:row>
      <xdr:rowOff>53289</xdr:rowOff>
    </xdr:to>
    <xdr:cxnSp macro="">
      <xdr:nvCxnSpPr>
        <xdr:cNvPr id="146" name="Gerader Verbinder 145">
          <a:extLst>
            <a:ext uri="{FF2B5EF4-FFF2-40B4-BE49-F238E27FC236}">
              <a16:creationId xmlns:a16="http://schemas.microsoft.com/office/drawing/2014/main" id="{E65F5531-835A-474F-A1B9-40CD568489D6}"/>
            </a:ext>
          </a:extLst>
        </xdr:cNvPr>
        <xdr:cNvCxnSpPr/>
      </xdr:nvCxnSpPr>
      <xdr:spPr>
        <a:xfrm flipH="1">
          <a:off x="1120775" y="21224189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549729</xdr:colOff>
      <xdr:row>105</xdr:row>
      <xdr:rowOff>34694</xdr:rowOff>
    </xdr:from>
    <xdr:to>
      <xdr:col>2</xdr:col>
      <xdr:colOff>86179</xdr:colOff>
      <xdr:row>105</xdr:row>
      <xdr:rowOff>34694</xdr:rowOff>
    </xdr:to>
    <xdr:cxnSp macro="">
      <xdr:nvCxnSpPr>
        <xdr:cNvPr id="147" name="Gerader Verbinder 146">
          <a:extLst>
            <a:ext uri="{FF2B5EF4-FFF2-40B4-BE49-F238E27FC236}">
              <a16:creationId xmlns:a16="http://schemas.microsoft.com/office/drawing/2014/main" id="{C9F4872B-67B9-4B7C-8F79-F1C102821658}"/>
            </a:ext>
          </a:extLst>
        </xdr:cNvPr>
        <xdr:cNvCxnSpPr/>
      </xdr:nvCxnSpPr>
      <xdr:spPr>
        <a:xfrm flipH="1">
          <a:off x="1311729" y="21024619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106</xdr:row>
      <xdr:rowOff>103182</xdr:rowOff>
    </xdr:from>
    <xdr:to>
      <xdr:col>2</xdr:col>
      <xdr:colOff>95250</xdr:colOff>
      <xdr:row>106</xdr:row>
      <xdr:rowOff>103182</xdr:rowOff>
    </xdr:to>
    <xdr:cxnSp macro="">
      <xdr:nvCxnSpPr>
        <xdr:cNvPr id="148" name="Gerader Verbinder 147">
          <a:extLst>
            <a:ext uri="{FF2B5EF4-FFF2-40B4-BE49-F238E27FC236}">
              <a16:creationId xmlns:a16="http://schemas.microsoft.com/office/drawing/2014/main" id="{30AA35CF-6F5D-4DA2-82AA-211DD76BE7C2}"/>
            </a:ext>
          </a:extLst>
        </xdr:cNvPr>
        <xdr:cNvCxnSpPr/>
      </xdr:nvCxnSpPr>
      <xdr:spPr>
        <a:xfrm flipH="1">
          <a:off x="1323975" y="2128043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701675</xdr:colOff>
      <xdr:row>106</xdr:row>
      <xdr:rowOff>131757</xdr:rowOff>
    </xdr:from>
    <xdr:to>
      <xdr:col>1</xdr:col>
      <xdr:colOff>714375</xdr:colOff>
      <xdr:row>111</xdr:row>
      <xdr:rowOff>174625</xdr:rowOff>
    </xdr:to>
    <xdr:cxnSp macro="">
      <xdr:nvCxnSpPr>
        <xdr:cNvPr id="149" name="Gerader Verbinder 148">
          <a:extLst>
            <a:ext uri="{FF2B5EF4-FFF2-40B4-BE49-F238E27FC236}">
              <a16:creationId xmlns:a16="http://schemas.microsoft.com/office/drawing/2014/main" id="{E6B11A79-5F54-4CC3-8240-CC063668EF20}"/>
            </a:ext>
          </a:extLst>
        </xdr:cNvPr>
        <xdr:cNvCxnSpPr/>
      </xdr:nvCxnSpPr>
      <xdr:spPr>
        <a:xfrm>
          <a:off x="1463675" y="22150382"/>
          <a:ext cx="12700" cy="9953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726849</xdr:colOff>
      <xdr:row>100</xdr:row>
      <xdr:rowOff>258082</xdr:rowOff>
    </xdr:from>
    <xdr:to>
      <xdr:col>12</xdr:col>
      <xdr:colOff>674006</xdr:colOff>
      <xdr:row>100</xdr:row>
      <xdr:rowOff>273263</xdr:rowOff>
    </xdr:to>
    <xdr:cxnSp macro="">
      <xdr:nvCxnSpPr>
        <xdr:cNvPr id="151" name="Gerader Verbinder 150">
          <a:extLst>
            <a:ext uri="{FF2B5EF4-FFF2-40B4-BE49-F238E27FC236}">
              <a16:creationId xmlns:a16="http://schemas.microsoft.com/office/drawing/2014/main" id="{2A5F2E8A-8DC6-4A6A-B7A6-B7D2ABC5F127}"/>
            </a:ext>
          </a:extLst>
        </xdr:cNvPr>
        <xdr:cNvCxnSpPr>
          <a:stCxn id="154" idx="2"/>
          <a:endCxn id="153" idx="0"/>
        </xdr:cNvCxnSpPr>
      </xdr:nvCxnSpPr>
      <xdr:spPr>
        <a:xfrm flipH="1" flipV="1">
          <a:off x="8346849" y="22910264"/>
          <a:ext cx="1471157" cy="1518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88</xdr:row>
      <xdr:rowOff>127000</xdr:rowOff>
    </xdr:from>
    <xdr:to>
      <xdr:col>6</xdr:col>
      <xdr:colOff>234950</xdr:colOff>
      <xdr:row>89</xdr:row>
      <xdr:rowOff>38100</xdr:rowOff>
    </xdr:to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2BFCD440-4F1D-4B26-B010-7349B0B9D6E7}"/>
            </a:ext>
          </a:extLst>
        </xdr:cNvPr>
        <xdr:cNvSpPr/>
      </xdr:nvSpPr>
      <xdr:spPr>
        <a:xfrm>
          <a:off x="4667250" y="18751550"/>
          <a:ext cx="13970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678543</xdr:colOff>
      <xdr:row>100</xdr:row>
      <xdr:rowOff>261257</xdr:rowOff>
    </xdr:from>
    <xdr:to>
      <xdr:col>11</xdr:col>
      <xdr:colOff>16329</xdr:colOff>
      <xdr:row>101</xdr:row>
      <xdr:rowOff>66896</xdr:rowOff>
    </xdr:to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41944E40-0241-426F-88A5-2743A8AD3611}"/>
            </a:ext>
          </a:extLst>
        </xdr:cNvPr>
        <xdr:cNvSpPr/>
      </xdr:nvSpPr>
      <xdr:spPr>
        <a:xfrm>
          <a:off x="8298543" y="22489886"/>
          <a:ext cx="99786" cy="13765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670831</xdr:colOff>
      <xdr:row>100</xdr:row>
      <xdr:rowOff>210002</xdr:rowOff>
    </xdr:from>
    <xdr:to>
      <xdr:col>12</xdr:col>
      <xdr:colOff>743403</xdr:colOff>
      <xdr:row>101</xdr:row>
      <xdr:rowOff>4303</xdr:rowOff>
    </xdr:to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2DD53F97-06F9-4309-BB3A-8F46914F70BC}"/>
            </a:ext>
          </a:extLst>
        </xdr:cNvPr>
        <xdr:cNvSpPr/>
      </xdr:nvSpPr>
      <xdr:spPr>
        <a:xfrm>
          <a:off x="9814831" y="22438631"/>
          <a:ext cx="72572" cy="12631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388257</xdr:colOff>
      <xdr:row>104</xdr:row>
      <xdr:rowOff>169403</xdr:rowOff>
    </xdr:from>
    <xdr:to>
      <xdr:col>2</xdr:col>
      <xdr:colOff>248566</xdr:colOff>
      <xdr:row>104</xdr:row>
      <xdr:rowOff>178928</xdr:rowOff>
    </xdr:to>
    <xdr:cxnSp macro="">
      <xdr:nvCxnSpPr>
        <xdr:cNvPr id="158" name="Gerader Verbinder 157">
          <a:extLst>
            <a:ext uri="{FF2B5EF4-FFF2-40B4-BE49-F238E27FC236}">
              <a16:creationId xmlns:a16="http://schemas.microsoft.com/office/drawing/2014/main" id="{D3A4645F-56ED-495D-9594-AD493BE04380}"/>
            </a:ext>
          </a:extLst>
        </xdr:cNvPr>
        <xdr:cNvCxnSpPr/>
      </xdr:nvCxnSpPr>
      <xdr:spPr>
        <a:xfrm flipH="1">
          <a:off x="1153432" y="20981528"/>
          <a:ext cx="619134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706664</xdr:colOff>
      <xdr:row>105</xdr:row>
      <xdr:rowOff>25621</xdr:rowOff>
    </xdr:from>
    <xdr:to>
      <xdr:col>1</xdr:col>
      <xdr:colOff>711200</xdr:colOff>
      <xdr:row>106</xdr:row>
      <xdr:rowOff>73246</xdr:rowOff>
    </xdr:to>
    <xdr:cxnSp macro="">
      <xdr:nvCxnSpPr>
        <xdr:cNvPr id="159" name="Gerader Verbinder 158">
          <a:extLst>
            <a:ext uri="{FF2B5EF4-FFF2-40B4-BE49-F238E27FC236}">
              <a16:creationId xmlns:a16="http://schemas.microsoft.com/office/drawing/2014/main" id="{F04EA0E6-AB35-4F2A-BA9D-67B8CF441F13}"/>
            </a:ext>
          </a:extLst>
        </xdr:cNvPr>
        <xdr:cNvCxnSpPr/>
      </xdr:nvCxnSpPr>
      <xdr:spPr>
        <a:xfrm flipH="1">
          <a:off x="1468664" y="21021896"/>
          <a:ext cx="7711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656772</xdr:colOff>
      <xdr:row>88</xdr:row>
      <xdr:rowOff>97286</xdr:rowOff>
    </xdr:from>
    <xdr:to>
      <xdr:col>10</xdr:col>
      <xdr:colOff>752022</xdr:colOff>
      <xdr:row>89</xdr:row>
      <xdr:rowOff>52836</xdr:rowOff>
    </xdr:to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B2F0D5CB-F8C3-40C2-ADD8-D9E1EB452909}"/>
            </a:ext>
          </a:extLst>
        </xdr:cNvPr>
        <xdr:cNvSpPr/>
      </xdr:nvSpPr>
      <xdr:spPr>
        <a:xfrm>
          <a:off x="8279947" y="18013811"/>
          <a:ext cx="95250" cy="1333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520907</xdr:colOff>
      <xdr:row>89</xdr:row>
      <xdr:rowOff>27891</xdr:rowOff>
    </xdr:from>
    <xdr:to>
      <xdr:col>11</xdr:col>
      <xdr:colOff>214673</xdr:colOff>
      <xdr:row>101</xdr:row>
      <xdr:rowOff>42524</xdr:rowOff>
    </xdr:to>
    <xdr:grpSp>
      <xdr:nvGrpSpPr>
        <xdr:cNvPr id="161" name="Gruppieren 160">
          <a:extLst>
            <a:ext uri="{FF2B5EF4-FFF2-40B4-BE49-F238E27FC236}">
              <a16:creationId xmlns:a16="http://schemas.microsoft.com/office/drawing/2014/main" id="{B74431DE-8D5E-43E5-ADA6-24D7CAD55F4F}"/>
            </a:ext>
          </a:extLst>
        </xdr:cNvPr>
        <xdr:cNvGrpSpPr/>
      </xdr:nvGrpSpPr>
      <xdr:grpSpPr>
        <a:xfrm>
          <a:off x="8140907" y="26523266"/>
          <a:ext cx="455766" cy="3062633"/>
          <a:chOff x="8934450" y="3237320"/>
          <a:chExt cx="448997" cy="2214322"/>
        </a:xfrm>
      </xdr:grpSpPr>
      <xdr:sp macro="" textlink="">
        <xdr:nvSpPr>
          <xdr:cNvPr id="162" name="Rechteck 161">
            <a:extLst>
              <a:ext uri="{FF2B5EF4-FFF2-40B4-BE49-F238E27FC236}">
                <a16:creationId xmlns:a16="http://schemas.microsoft.com/office/drawing/2014/main" id="{952E1648-E0B0-B5FD-952E-D3ACFCC78FBE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3" name="Gerader Verbinder 162">
            <a:extLst>
              <a:ext uri="{FF2B5EF4-FFF2-40B4-BE49-F238E27FC236}">
                <a16:creationId xmlns:a16="http://schemas.microsoft.com/office/drawing/2014/main" id="{9F6A15A8-BC82-B15A-3141-AC4BDEC0B391}"/>
              </a:ext>
            </a:extLst>
          </xdr:cNvPr>
          <xdr:cNvCxnSpPr>
            <a:stCxn id="160" idx="4"/>
            <a:endCxn id="162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Gerader Verbinder 163">
            <a:extLst>
              <a:ext uri="{FF2B5EF4-FFF2-40B4-BE49-F238E27FC236}">
                <a16:creationId xmlns:a16="http://schemas.microsoft.com/office/drawing/2014/main" id="{69EEFAEE-B9BD-C7AC-B06E-BEF7AA59F286}"/>
              </a:ext>
            </a:extLst>
          </xdr:cNvPr>
          <xdr:cNvCxnSpPr>
            <a:stCxn id="162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feld 164">
            <a:extLst>
              <a:ext uri="{FF2B5EF4-FFF2-40B4-BE49-F238E27FC236}">
                <a16:creationId xmlns:a16="http://schemas.microsoft.com/office/drawing/2014/main" id="{540D5752-C2A3-42CC-4D04-E740F8C4AAD1}"/>
              </a:ext>
            </a:extLst>
          </xdr:cNvPr>
          <xdr:cNvSpPr txBox="1"/>
        </xdr:nvSpPr>
        <xdr:spPr>
          <a:xfrm>
            <a:off x="8934450" y="4010025"/>
            <a:ext cx="448997" cy="3758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11</xdr:col>
      <xdr:colOff>148640</xdr:colOff>
      <xdr:row>140</xdr:row>
      <xdr:rowOff>104215</xdr:rowOff>
    </xdr:from>
    <xdr:to>
      <xdr:col>11</xdr:col>
      <xdr:colOff>554072</xdr:colOff>
      <xdr:row>153</xdr:row>
      <xdr:rowOff>37645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DED18BFE-2598-4365-85C4-2DE46C73BC52}"/>
            </a:ext>
          </a:extLst>
        </xdr:cNvPr>
        <xdr:cNvGrpSpPr/>
      </xdr:nvGrpSpPr>
      <xdr:grpSpPr>
        <a:xfrm>
          <a:off x="8530640" y="36346840"/>
          <a:ext cx="405432" cy="3473555"/>
          <a:chOff x="8934017" y="3167408"/>
          <a:chExt cx="408386" cy="2284234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B0F52602-9E9F-629D-F459-2430C13345C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8" name="Gerader Verbinder 167">
            <a:extLst>
              <a:ext uri="{FF2B5EF4-FFF2-40B4-BE49-F238E27FC236}">
                <a16:creationId xmlns:a16="http://schemas.microsoft.com/office/drawing/2014/main" id="{FFFC0E3A-A979-2081-3195-8E8D419F933B}"/>
              </a:ext>
            </a:extLst>
          </xdr:cNvPr>
          <xdr:cNvCxnSpPr>
            <a:stCxn id="195" idx="2"/>
            <a:endCxn id="167" idx="0"/>
          </xdr:cNvCxnSpPr>
        </xdr:nvCxnSpPr>
        <xdr:spPr>
          <a:xfrm>
            <a:off x="9137573" y="3167408"/>
            <a:ext cx="8014" cy="61084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Gerader Verbinder 168">
            <a:extLst>
              <a:ext uri="{FF2B5EF4-FFF2-40B4-BE49-F238E27FC236}">
                <a16:creationId xmlns:a16="http://schemas.microsoft.com/office/drawing/2014/main" id="{20643A44-C672-7B77-5DD5-011F68448A99}"/>
              </a:ext>
            </a:extLst>
          </xdr:cNvPr>
          <xdr:cNvCxnSpPr>
            <a:stCxn id="167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feld 169">
            <a:extLst>
              <a:ext uri="{FF2B5EF4-FFF2-40B4-BE49-F238E27FC236}">
                <a16:creationId xmlns:a16="http://schemas.microsoft.com/office/drawing/2014/main" id="{FDC7320A-E1C8-BCBB-D8DB-BD3E005C95E1}"/>
              </a:ext>
            </a:extLst>
          </xdr:cNvPr>
          <xdr:cNvSpPr txBox="1"/>
        </xdr:nvSpPr>
        <xdr:spPr>
          <a:xfrm rot="5400000">
            <a:off x="8796809" y="4010254"/>
            <a:ext cx="682801" cy="4083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12345</a:t>
            </a:r>
          </a:p>
        </xdr:txBody>
      </xdr:sp>
    </xdr:grpSp>
    <xdr:clientData/>
  </xdr:twoCellAnchor>
  <xdr:twoCellAnchor>
    <xdr:from>
      <xdr:col>6</xdr:col>
      <xdr:colOff>163983</xdr:colOff>
      <xdr:row>131</xdr:row>
      <xdr:rowOff>102641</xdr:rowOff>
    </xdr:from>
    <xdr:to>
      <xdr:col>6</xdr:col>
      <xdr:colOff>563065</xdr:colOff>
      <xdr:row>153</xdr:row>
      <xdr:rowOff>117156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1220E730-6CB8-407E-8AE4-53CA8BA18EBB}"/>
            </a:ext>
          </a:extLst>
        </xdr:cNvPr>
        <xdr:cNvGrpSpPr/>
      </xdr:nvGrpSpPr>
      <xdr:grpSpPr>
        <a:xfrm>
          <a:off x="4735983" y="33710016"/>
          <a:ext cx="399082" cy="6189890"/>
          <a:chOff x="8947344" y="3293238"/>
          <a:chExt cx="410723" cy="3638269"/>
        </a:xfrm>
      </xdr:grpSpPr>
      <xdr:sp macro="" textlink="">
        <xdr:nvSpPr>
          <xdr:cNvPr id="172" name="Rechteck 171">
            <a:extLst>
              <a:ext uri="{FF2B5EF4-FFF2-40B4-BE49-F238E27FC236}">
                <a16:creationId xmlns:a16="http://schemas.microsoft.com/office/drawing/2014/main" id="{6294B1EB-5BD0-F2C2-09A1-5ECCB359C75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3" name="Gerader Verbinder 172">
            <a:extLst>
              <a:ext uri="{FF2B5EF4-FFF2-40B4-BE49-F238E27FC236}">
                <a16:creationId xmlns:a16="http://schemas.microsoft.com/office/drawing/2014/main" id="{4EEF60C1-7703-0D8E-4BBA-DC9E7C703790}"/>
              </a:ext>
            </a:extLst>
          </xdr:cNvPr>
          <xdr:cNvCxnSpPr>
            <a:stCxn id="187" idx="4"/>
            <a:endCxn id="172" idx="0"/>
          </xdr:cNvCxnSpPr>
        </xdr:nvCxnSpPr>
        <xdr:spPr>
          <a:xfrm>
            <a:off x="9138015" y="3293238"/>
            <a:ext cx="7573" cy="48501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Gerader Verbinder 173">
            <a:extLst>
              <a:ext uri="{FF2B5EF4-FFF2-40B4-BE49-F238E27FC236}">
                <a16:creationId xmlns:a16="http://schemas.microsoft.com/office/drawing/2014/main" id="{31DD2C80-B851-7A4B-0B05-09752D0BCB6F}"/>
              </a:ext>
            </a:extLst>
          </xdr:cNvPr>
          <xdr:cNvCxnSpPr>
            <a:stCxn id="172" idx="2"/>
            <a:endCxn id="189" idx="4"/>
          </xdr:cNvCxnSpPr>
        </xdr:nvCxnSpPr>
        <xdr:spPr>
          <a:xfrm>
            <a:off x="9145588" y="4854576"/>
            <a:ext cx="5498" cy="207693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5" name="Textfeld 174">
            <a:extLst>
              <a:ext uri="{FF2B5EF4-FFF2-40B4-BE49-F238E27FC236}">
                <a16:creationId xmlns:a16="http://schemas.microsoft.com/office/drawing/2014/main" id="{C3AFFFE3-FF50-58F5-F51A-B605EC30DD19}"/>
              </a:ext>
            </a:extLst>
          </xdr:cNvPr>
          <xdr:cNvSpPr txBox="1"/>
        </xdr:nvSpPr>
        <xdr:spPr>
          <a:xfrm rot="5400000">
            <a:off x="8886648" y="3924984"/>
            <a:ext cx="532116" cy="4107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183832</xdr:colOff>
      <xdr:row>131</xdr:row>
      <xdr:rowOff>69396</xdr:rowOff>
    </xdr:from>
    <xdr:to>
      <xdr:col>2</xdr:col>
      <xdr:colOff>595008</xdr:colOff>
      <xdr:row>147</xdr:row>
      <xdr:rowOff>68943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C46ACBA1-51A8-4F3D-A14F-F2BB06C039D9}"/>
            </a:ext>
          </a:extLst>
        </xdr:cNvPr>
        <xdr:cNvGrpSpPr/>
      </xdr:nvGrpSpPr>
      <xdr:grpSpPr>
        <a:xfrm>
          <a:off x="1707832" y="33676771"/>
          <a:ext cx="411176" cy="5031922"/>
          <a:chOff x="8959850" y="3254331"/>
          <a:chExt cx="416653" cy="3010540"/>
        </a:xfrm>
      </xdr:grpSpPr>
      <xdr:sp macro="" textlink="">
        <xdr:nvSpPr>
          <xdr:cNvPr id="177" name="Rechteck 176">
            <a:extLst>
              <a:ext uri="{FF2B5EF4-FFF2-40B4-BE49-F238E27FC236}">
                <a16:creationId xmlns:a16="http://schemas.microsoft.com/office/drawing/2014/main" id="{F41F6980-6838-F3F5-1A80-5CA10B535EE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8" name="Gerader Verbinder 177">
            <a:extLst>
              <a:ext uri="{FF2B5EF4-FFF2-40B4-BE49-F238E27FC236}">
                <a16:creationId xmlns:a16="http://schemas.microsoft.com/office/drawing/2014/main" id="{1D0E69A8-D0E3-D2DC-8AA7-887CCB2532BD}"/>
              </a:ext>
            </a:extLst>
          </xdr:cNvPr>
          <xdr:cNvCxnSpPr>
            <a:endCxn id="177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Gerader Verbinder 178">
            <a:extLst>
              <a:ext uri="{FF2B5EF4-FFF2-40B4-BE49-F238E27FC236}">
                <a16:creationId xmlns:a16="http://schemas.microsoft.com/office/drawing/2014/main" id="{B60F6529-C57E-873A-A659-224199F025C9}"/>
              </a:ext>
            </a:extLst>
          </xdr:cNvPr>
          <xdr:cNvCxnSpPr>
            <a:stCxn id="177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5F87FAA-71BA-6207-01FB-6A61BB8627B2}"/>
              </a:ext>
            </a:extLst>
          </xdr:cNvPr>
          <xdr:cNvSpPr txBox="1"/>
        </xdr:nvSpPr>
        <xdr:spPr>
          <a:xfrm rot="5400000">
            <a:off x="8937147" y="3982563"/>
            <a:ext cx="467880" cy="4108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131</xdr:row>
      <xdr:rowOff>72571</xdr:rowOff>
    </xdr:from>
    <xdr:to>
      <xdr:col>11</xdr:col>
      <xdr:colOff>365125</xdr:colOff>
      <xdr:row>131</xdr:row>
      <xdr:rowOff>88446</xdr:rowOff>
    </xdr:to>
    <xdr:cxnSp macro="">
      <xdr:nvCxnSpPr>
        <xdr:cNvPr id="181" name="Gerader Verbinder 180">
          <a:extLst>
            <a:ext uri="{FF2B5EF4-FFF2-40B4-BE49-F238E27FC236}">
              <a16:creationId xmlns:a16="http://schemas.microsoft.com/office/drawing/2014/main" id="{0882CC81-FE2F-43BC-AC2C-13C9BE654A11}"/>
            </a:ext>
          </a:extLst>
        </xdr:cNvPr>
        <xdr:cNvCxnSpPr/>
      </xdr:nvCxnSpPr>
      <xdr:spPr>
        <a:xfrm flipH="1" flipV="1">
          <a:off x="1885950" y="27758571"/>
          <a:ext cx="6864350" cy="15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148</xdr:row>
      <xdr:rowOff>128947</xdr:rowOff>
    </xdr:from>
    <xdr:to>
      <xdr:col>2</xdr:col>
      <xdr:colOff>622309</xdr:colOff>
      <xdr:row>148</xdr:row>
      <xdr:rowOff>128947</xdr:rowOff>
    </xdr:to>
    <xdr:cxnSp macro="">
      <xdr:nvCxnSpPr>
        <xdr:cNvPr id="182" name="Gerader Verbinder 181">
          <a:extLst>
            <a:ext uri="{FF2B5EF4-FFF2-40B4-BE49-F238E27FC236}">
              <a16:creationId xmlns:a16="http://schemas.microsoft.com/office/drawing/2014/main" id="{2BE0C322-B753-48A3-AB48-8D377290B5B8}"/>
            </a:ext>
          </a:extLst>
        </xdr:cNvPr>
        <xdr:cNvCxnSpPr/>
      </xdr:nvCxnSpPr>
      <xdr:spPr>
        <a:xfrm flipH="1">
          <a:off x="1524000" y="3089152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147</xdr:row>
      <xdr:rowOff>110352</xdr:rowOff>
    </xdr:from>
    <xdr:to>
      <xdr:col>2</xdr:col>
      <xdr:colOff>489404</xdr:colOff>
      <xdr:row>147</xdr:row>
      <xdr:rowOff>110352</xdr:rowOff>
    </xdr:to>
    <xdr:cxnSp macro="">
      <xdr:nvCxnSpPr>
        <xdr:cNvPr id="183" name="Gerader Verbinder 182">
          <a:extLst>
            <a:ext uri="{FF2B5EF4-FFF2-40B4-BE49-F238E27FC236}">
              <a16:creationId xmlns:a16="http://schemas.microsoft.com/office/drawing/2014/main" id="{38B2D312-D868-47FD-BD05-623B6FA73D85}"/>
            </a:ext>
          </a:extLst>
        </xdr:cNvPr>
        <xdr:cNvCxnSpPr/>
      </xdr:nvCxnSpPr>
      <xdr:spPr>
        <a:xfrm flipH="1">
          <a:off x="1714954" y="3069195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149</xdr:row>
      <xdr:rowOff>5896</xdr:rowOff>
    </xdr:from>
    <xdr:to>
      <xdr:col>2</xdr:col>
      <xdr:colOff>498475</xdr:colOff>
      <xdr:row>149</xdr:row>
      <xdr:rowOff>5896</xdr:rowOff>
    </xdr:to>
    <xdr:cxnSp macro="">
      <xdr:nvCxnSpPr>
        <xdr:cNvPr id="184" name="Gerader Verbinder 183">
          <a:extLst>
            <a:ext uri="{FF2B5EF4-FFF2-40B4-BE49-F238E27FC236}">
              <a16:creationId xmlns:a16="http://schemas.microsoft.com/office/drawing/2014/main" id="{CA232F66-062D-4968-A272-F06CEEC63614}"/>
            </a:ext>
          </a:extLst>
        </xdr:cNvPr>
        <xdr:cNvCxnSpPr/>
      </xdr:nvCxnSpPr>
      <xdr:spPr>
        <a:xfrm flipH="1">
          <a:off x="1720850" y="30955796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149</xdr:row>
      <xdr:rowOff>31296</xdr:rowOff>
    </xdr:from>
    <xdr:to>
      <xdr:col>2</xdr:col>
      <xdr:colOff>342900</xdr:colOff>
      <xdr:row>153</xdr:row>
      <xdr:rowOff>76200</xdr:rowOff>
    </xdr:to>
    <xdr:cxnSp macro="">
      <xdr:nvCxnSpPr>
        <xdr:cNvPr id="185" name="Gerader Verbinder 184">
          <a:extLst>
            <a:ext uri="{FF2B5EF4-FFF2-40B4-BE49-F238E27FC236}">
              <a16:creationId xmlns:a16="http://schemas.microsoft.com/office/drawing/2014/main" id="{7FA9236D-5E45-43D6-9D89-6BD7624E7ABB}"/>
            </a:ext>
          </a:extLst>
        </xdr:cNvPr>
        <xdr:cNvCxnSpPr/>
      </xdr:nvCxnSpPr>
      <xdr:spPr>
        <a:xfrm flipH="1">
          <a:off x="1857375" y="31530471"/>
          <a:ext cx="9525" cy="8450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153</xdr:row>
      <xdr:rowOff>50346</xdr:rowOff>
    </xdr:from>
    <xdr:to>
      <xdr:col>11</xdr:col>
      <xdr:colOff>402771</xdr:colOff>
      <xdr:row>153</xdr:row>
      <xdr:rowOff>65835</xdr:rowOff>
    </xdr:to>
    <xdr:cxnSp macro="">
      <xdr:nvCxnSpPr>
        <xdr:cNvPr id="186" name="Gerader Verbinder 185">
          <a:extLst>
            <a:ext uri="{FF2B5EF4-FFF2-40B4-BE49-F238E27FC236}">
              <a16:creationId xmlns:a16="http://schemas.microsoft.com/office/drawing/2014/main" id="{55F5153A-F1F6-4A1E-A247-9128DA598938}"/>
            </a:ext>
          </a:extLst>
        </xdr:cNvPr>
        <xdr:cNvCxnSpPr>
          <a:stCxn id="190" idx="6"/>
        </xdr:cNvCxnSpPr>
      </xdr:nvCxnSpPr>
      <xdr:spPr>
        <a:xfrm flipH="1" flipV="1">
          <a:off x="1866900" y="32349621"/>
          <a:ext cx="6917871" cy="154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131</xdr:row>
      <xdr:rowOff>5896</xdr:rowOff>
    </xdr:from>
    <xdr:to>
      <xdr:col>6</xdr:col>
      <xdr:colOff>409575</xdr:colOff>
      <xdr:row>131</xdr:row>
      <xdr:rowOff>108990</xdr:rowOff>
    </xdr:to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A5C8B922-181F-4467-A014-82AB5E7D788B}"/>
            </a:ext>
          </a:extLst>
        </xdr:cNvPr>
        <xdr:cNvSpPr/>
      </xdr:nvSpPr>
      <xdr:spPr>
        <a:xfrm>
          <a:off x="4883150" y="27698246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323850</xdr:colOff>
      <xdr:row>153</xdr:row>
      <xdr:rowOff>26761</xdr:rowOff>
    </xdr:from>
    <xdr:to>
      <xdr:col>6</xdr:col>
      <xdr:colOff>419100</xdr:colOff>
      <xdr:row>153</xdr:row>
      <xdr:rowOff>117155</xdr:rowOff>
    </xdr:to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36AFEAA0-DE57-4CCD-9170-A64F0F8461DA}"/>
            </a:ext>
          </a:extLst>
        </xdr:cNvPr>
        <xdr:cNvSpPr/>
      </xdr:nvSpPr>
      <xdr:spPr>
        <a:xfrm>
          <a:off x="4895850" y="32326036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304346</xdr:colOff>
      <xdr:row>153</xdr:row>
      <xdr:rowOff>19050</xdr:rowOff>
    </xdr:from>
    <xdr:to>
      <xdr:col>11</xdr:col>
      <xdr:colOff>399596</xdr:colOff>
      <xdr:row>153</xdr:row>
      <xdr:rowOff>106269</xdr:rowOff>
    </xdr:to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10DC8C68-7B25-4517-859F-D847D195EFBF}"/>
            </a:ext>
          </a:extLst>
        </xdr:cNvPr>
        <xdr:cNvSpPr/>
      </xdr:nvSpPr>
      <xdr:spPr>
        <a:xfrm>
          <a:off x="8686346" y="32318325"/>
          <a:ext cx="95250" cy="872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29308</xdr:colOff>
      <xdr:row>147</xdr:row>
      <xdr:rowOff>68942</xdr:rowOff>
    </xdr:from>
    <xdr:to>
      <xdr:col>2</xdr:col>
      <xdr:colOff>654966</xdr:colOff>
      <xdr:row>147</xdr:row>
      <xdr:rowOff>73269</xdr:rowOff>
    </xdr:to>
    <xdr:cxnSp macro="">
      <xdr:nvCxnSpPr>
        <xdr:cNvPr id="191" name="Gerader Verbinder 190">
          <a:extLst>
            <a:ext uri="{FF2B5EF4-FFF2-40B4-BE49-F238E27FC236}">
              <a16:creationId xmlns:a16="http://schemas.microsoft.com/office/drawing/2014/main" id="{D359FF8A-3BCF-40CD-A286-FBEB106141E3}"/>
            </a:ext>
          </a:extLst>
        </xdr:cNvPr>
        <xdr:cNvCxnSpPr/>
      </xdr:nvCxnSpPr>
      <xdr:spPr>
        <a:xfrm flipH="1">
          <a:off x="1550133" y="30650542"/>
          <a:ext cx="632008" cy="75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347889</xdr:colOff>
      <xdr:row>147</xdr:row>
      <xdr:rowOff>107629</xdr:rowOff>
    </xdr:from>
    <xdr:to>
      <xdr:col>2</xdr:col>
      <xdr:colOff>352425</xdr:colOff>
      <xdr:row>148</xdr:row>
      <xdr:rowOff>155254</xdr:rowOff>
    </xdr:to>
    <xdr:cxnSp macro="">
      <xdr:nvCxnSpPr>
        <xdr:cNvPr id="192" name="Gerader Verbinder 191">
          <a:extLst>
            <a:ext uri="{FF2B5EF4-FFF2-40B4-BE49-F238E27FC236}">
              <a16:creationId xmlns:a16="http://schemas.microsoft.com/office/drawing/2014/main" id="{6F854997-B5DA-4CE4-BFF8-CB4FB967F1C1}"/>
            </a:ext>
          </a:extLst>
        </xdr:cNvPr>
        <xdr:cNvCxnSpPr/>
      </xdr:nvCxnSpPr>
      <xdr:spPr>
        <a:xfrm flipH="1">
          <a:off x="1875064" y="30689229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297997</xdr:colOff>
      <xdr:row>131</xdr:row>
      <xdr:rowOff>0</xdr:rowOff>
    </xdr:from>
    <xdr:to>
      <xdr:col>11</xdr:col>
      <xdr:colOff>393247</xdr:colOff>
      <xdr:row>131</xdr:row>
      <xdr:rowOff>128494</xdr:rowOff>
    </xdr:to>
    <xdr:sp macro="" textlink="">
      <xdr:nvSpPr>
        <xdr:cNvPr id="193" name="Ellipse 192">
          <a:extLst>
            <a:ext uri="{FF2B5EF4-FFF2-40B4-BE49-F238E27FC236}">
              <a16:creationId xmlns:a16="http://schemas.microsoft.com/office/drawing/2014/main" id="{6C1AB6AD-1650-4BD6-BFD9-AE2763BC9FAE}"/>
            </a:ext>
          </a:extLst>
        </xdr:cNvPr>
        <xdr:cNvSpPr/>
      </xdr:nvSpPr>
      <xdr:spPr>
        <a:xfrm>
          <a:off x="8676822" y="27689175"/>
          <a:ext cx="95250" cy="1253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127874</xdr:colOff>
      <xdr:row>131</xdr:row>
      <xdr:rowOff>131669</xdr:rowOff>
    </xdr:from>
    <xdr:to>
      <xdr:col>11</xdr:col>
      <xdr:colOff>534566</xdr:colOff>
      <xdr:row>140</xdr:row>
      <xdr:rowOff>101896</xdr:rowOff>
    </xdr:to>
    <xdr:grpSp>
      <xdr:nvGrpSpPr>
        <xdr:cNvPr id="194" name="Gruppieren 193">
          <a:extLst>
            <a:ext uri="{FF2B5EF4-FFF2-40B4-BE49-F238E27FC236}">
              <a16:creationId xmlns:a16="http://schemas.microsoft.com/office/drawing/2014/main" id="{E306F9A4-271B-4656-A060-A29BBC3FA228}"/>
            </a:ext>
          </a:extLst>
        </xdr:cNvPr>
        <xdr:cNvGrpSpPr/>
      </xdr:nvGrpSpPr>
      <xdr:grpSpPr>
        <a:xfrm>
          <a:off x="8509874" y="33739044"/>
          <a:ext cx="406692" cy="2605477"/>
          <a:chOff x="8924231" y="3237320"/>
          <a:chExt cx="403919" cy="1617255"/>
        </a:xfrm>
      </xdr:grpSpPr>
      <xdr:sp macro="" textlink="">
        <xdr:nvSpPr>
          <xdr:cNvPr id="195" name="Rechteck 194">
            <a:extLst>
              <a:ext uri="{FF2B5EF4-FFF2-40B4-BE49-F238E27FC236}">
                <a16:creationId xmlns:a16="http://schemas.microsoft.com/office/drawing/2014/main" id="{A8F7CA95-0034-13CE-A862-0D2D43664E79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6" name="Gerader Verbinder 195">
            <a:extLst>
              <a:ext uri="{FF2B5EF4-FFF2-40B4-BE49-F238E27FC236}">
                <a16:creationId xmlns:a16="http://schemas.microsoft.com/office/drawing/2014/main" id="{9BEB0025-BEDF-112E-D29B-3EE27A39E6D6}"/>
              </a:ext>
            </a:extLst>
          </xdr:cNvPr>
          <xdr:cNvCxnSpPr>
            <a:stCxn id="193" idx="4"/>
            <a:endCxn id="195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Textfeld 197">
            <a:extLst>
              <a:ext uri="{FF2B5EF4-FFF2-40B4-BE49-F238E27FC236}">
                <a16:creationId xmlns:a16="http://schemas.microsoft.com/office/drawing/2014/main" id="{CED70750-9D26-F5FE-60DA-1D62C5107283}"/>
              </a:ext>
            </a:extLst>
          </xdr:cNvPr>
          <xdr:cNvSpPr txBox="1"/>
        </xdr:nvSpPr>
        <xdr:spPr>
          <a:xfrm rot="5400000">
            <a:off x="8938018" y="3980913"/>
            <a:ext cx="375094" cy="4026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6</a:t>
            </a:r>
          </a:p>
        </xdr:txBody>
      </xdr:sp>
    </xdr:grpSp>
    <xdr:clientData/>
  </xdr:twoCellAnchor>
  <xdr:twoCellAnchor>
    <xdr:from>
      <xdr:col>7</xdr:col>
      <xdr:colOff>614080</xdr:colOff>
      <xdr:row>171</xdr:row>
      <xdr:rowOff>105476</xdr:rowOff>
    </xdr:from>
    <xdr:to>
      <xdr:col>8</xdr:col>
      <xdr:colOff>328974</xdr:colOff>
      <xdr:row>191</xdr:row>
      <xdr:rowOff>120651</xdr:rowOff>
    </xdr:to>
    <xdr:grpSp>
      <xdr:nvGrpSpPr>
        <xdr:cNvPr id="199" name="Gruppieren 198">
          <a:extLst>
            <a:ext uri="{FF2B5EF4-FFF2-40B4-BE49-F238E27FC236}">
              <a16:creationId xmlns:a16="http://schemas.microsoft.com/office/drawing/2014/main" id="{F995D911-EDA8-4888-87BE-87FD6AC5D704}"/>
            </a:ext>
          </a:extLst>
        </xdr:cNvPr>
        <xdr:cNvGrpSpPr/>
      </xdr:nvGrpSpPr>
      <xdr:grpSpPr>
        <a:xfrm>
          <a:off x="5948080" y="41809101"/>
          <a:ext cx="476894" cy="5269800"/>
          <a:chOff x="8959850" y="3318320"/>
          <a:chExt cx="465916" cy="4346414"/>
        </a:xfrm>
      </xdr:grpSpPr>
      <xdr:sp macro="" textlink="">
        <xdr:nvSpPr>
          <xdr:cNvPr id="200" name="Rechteck 199">
            <a:extLst>
              <a:ext uri="{FF2B5EF4-FFF2-40B4-BE49-F238E27FC236}">
                <a16:creationId xmlns:a16="http://schemas.microsoft.com/office/drawing/2014/main" id="{D2F77EA9-22DC-40AF-295D-36B9DAD475C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1" name="Gerader Verbinder 200">
            <a:extLst>
              <a:ext uri="{FF2B5EF4-FFF2-40B4-BE49-F238E27FC236}">
                <a16:creationId xmlns:a16="http://schemas.microsoft.com/office/drawing/2014/main" id="{31A0BA4A-9D66-D66F-1846-34261AAA51C0}"/>
              </a:ext>
            </a:extLst>
          </xdr:cNvPr>
          <xdr:cNvCxnSpPr>
            <a:stCxn id="224" idx="4"/>
            <a:endCxn id="200" idx="0"/>
          </xdr:cNvCxnSpPr>
        </xdr:nvCxnSpPr>
        <xdr:spPr>
          <a:xfrm flipH="1">
            <a:off x="9145588" y="3318320"/>
            <a:ext cx="809" cy="459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Gerader Verbinder 201">
            <a:extLst>
              <a:ext uri="{FF2B5EF4-FFF2-40B4-BE49-F238E27FC236}">
                <a16:creationId xmlns:a16="http://schemas.microsoft.com/office/drawing/2014/main" id="{DD01A19C-C130-8A9A-064E-59EA887A392C}"/>
              </a:ext>
            </a:extLst>
          </xdr:cNvPr>
          <xdr:cNvCxnSpPr>
            <a:stCxn id="200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3" name="Textfeld 202">
            <a:extLst>
              <a:ext uri="{FF2B5EF4-FFF2-40B4-BE49-F238E27FC236}">
                <a16:creationId xmlns:a16="http://schemas.microsoft.com/office/drawing/2014/main" id="{36435FE7-C2D9-2BFA-2D75-AAF114A7CD53}"/>
              </a:ext>
            </a:extLst>
          </xdr:cNvPr>
          <xdr:cNvSpPr txBox="1"/>
        </xdr:nvSpPr>
        <xdr:spPr>
          <a:xfrm rot="5400000">
            <a:off x="8751998" y="4008615"/>
            <a:ext cx="884094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</a:t>
            </a:r>
          </a:p>
        </xdr:txBody>
      </xdr:sp>
    </xdr:grpSp>
    <xdr:clientData/>
  </xdr:twoCellAnchor>
  <xdr:twoCellAnchor>
    <xdr:from>
      <xdr:col>6</xdr:col>
      <xdr:colOff>172893</xdr:colOff>
      <xdr:row>171</xdr:row>
      <xdr:rowOff>102639</xdr:rowOff>
    </xdr:from>
    <xdr:to>
      <xdr:col>6</xdr:col>
      <xdr:colOff>592945</xdr:colOff>
      <xdr:row>191</xdr:row>
      <xdr:rowOff>85726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F38047DF-0EDF-4CE3-9A04-E68789210C06}"/>
            </a:ext>
          </a:extLst>
        </xdr:cNvPr>
        <xdr:cNvGrpSpPr/>
      </xdr:nvGrpSpPr>
      <xdr:grpSpPr>
        <a:xfrm>
          <a:off x="4744893" y="41806264"/>
          <a:ext cx="420052" cy="5237712"/>
          <a:chOff x="8962537" y="3292557"/>
          <a:chExt cx="411552" cy="3962878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32543ED6-E5FA-A2FE-3A58-149B428F9885}"/>
              </a:ext>
            </a:extLst>
          </xdr:cNvPr>
          <xdr:cNvSpPr/>
        </xdr:nvSpPr>
        <xdr:spPr>
          <a:xfrm>
            <a:off x="8962537" y="3779798"/>
            <a:ext cx="369068" cy="1075901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6" name="Gerader Verbinder 205">
            <a:extLst>
              <a:ext uri="{FF2B5EF4-FFF2-40B4-BE49-F238E27FC236}">
                <a16:creationId xmlns:a16="http://schemas.microsoft.com/office/drawing/2014/main" id="{CDBB4975-F86F-9934-9FA9-D7AD4EC39050}"/>
              </a:ext>
            </a:extLst>
          </xdr:cNvPr>
          <xdr:cNvCxnSpPr>
            <a:stCxn id="220" idx="4"/>
            <a:endCxn id="205" idx="0"/>
          </xdr:cNvCxnSpPr>
        </xdr:nvCxnSpPr>
        <xdr:spPr>
          <a:xfrm>
            <a:off x="9144658" y="3292557"/>
            <a:ext cx="2414" cy="48724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Gerader Verbinder 206">
            <a:extLst>
              <a:ext uri="{FF2B5EF4-FFF2-40B4-BE49-F238E27FC236}">
                <a16:creationId xmlns:a16="http://schemas.microsoft.com/office/drawing/2014/main" id="{A9A82670-0FDA-D367-7EE9-AB81D9FA1BE6}"/>
              </a:ext>
            </a:extLst>
          </xdr:cNvPr>
          <xdr:cNvCxnSpPr>
            <a:stCxn id="205" idx="2"/>
          </xdr:cNvCxnSpPr>
        </xdr:nvCxnSpPr>
        <xdr:spPr>
          <a:xfrm flipH="1">
            <a:off x="9129104" y="4855699"/>
            <a:ext cx="17968" cy="23997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8" name="Textfeld 207">
            <a:extLst>
              <a:ext uri="{FF2B5EF4-FFF2-40B4-BE49-F238E27FC236}">
                <a16:creationId xmlns:a16="http://schemas.microsoft.com/office/drawing/2014/main" id="{1E8E5C81-F876-E383-D588-ABCB45D0CB2C}"/>
              </a:ext>
            </a:extLst>
          </xdr:cNvPr>
          <xdr:cNvSpPr txBox="1"/>
        </xdr:nvSpPr>
        <xdr:spPr>
          <a:xfrm rot="5400000">
            <a:off x="8935183" y="3943138"/>
            <a:ext cx="477994" cy="3998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183822</xdr:colOff>
      <xdr:row>171</xdr:row>
      <xdr:rowOff>69396</xdr:rowOff>
    </xdr:from>
    <xdr:to>
      <xdr:col>2</xdr:col>
      <xdr:colOff>610530</xdr:colOff>
      <xdr:row>187</xdr:row>
      <xdr:rowOff>68943</xdr:rowOff>
    </xdr:to>
    <xdr:grpSp>
      <xdr:nvGrpSpPr>
        <xdr:cNvPr id="209" name="Gruppieren 208">
          <a:extLst>
            <a:ext uri="{FF2B5EF4-FFF2-40B4-BE49-F238E27FC236}">
              <a16:creationId xmlns:a16="http://schemas.microsoft.com/office/drawing/2014/main" id="{F5EC0718-07B1-4E57-B891-01B6A170B751}"/>
            </a:ext>
          </a:extLst>
        </xdr:cNvPr>
        <xdr:cNvGrpSpPr/>
      </xdr:nvGrpSpPr>
      <xdr:grpSpPr>
        <a:xfrm>
          <a:off x="1707822" y="41773021"/>
          <a:ext cx="426708" cy="4349297"/>
          <a:chOff x="8959850" y="3254331"/>
          <a:chExt cx="439393" cy="3010540"/>
        </a:xfrm>
      </xdr:grpSpPr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A3562E13-4177-5780-4738-FAEE497EF4F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11" name="Gerader Verbinder 210">
            <a:extLst>
              <a:ext uri="{FF2B5EF4-FFF2-40B4-BE49-F238E27FC236}">
                <a16:creationId xmlns:a16="http://schemas.microsoft.com/office/drawing/2014/main" id="{1F098B79-B118-B4FA-0B03-0D7FA586F417}"/>
              </a:ext>
            </a:extLst>
          </xdr:cNvPr>
          <xdr:cNvCxnSpPr>
            <a:endCxn id="210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2" name="Gerader Verbinder 211">
            <a:extLst>
              <a:ext uri="{FF2B5EF4-FFF2-40B4-BE49-F238E27FC236}">
                <a16:creationId xmlns:a16="http://schemas.microsoft.com/office/drawing/2014/main" id="{54BAEF03-DB82-CAAD-E0A7-72AB83C208D4}"/>
              </a:ext>
            </a:extLst>
          </xdr:cNvPr>
          <xdr:cNvCxnSpPr>
            <a:stCxn id="210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EAFF9617-70B5-EA95-6A3E-86CAF79EEE87}"/>
              </a:ext>
            </a:extLst>
          </xdr:cNvPr>
          <xdr:cNvSpPr txBox="1"/>
        </xdr:nvSpPr>
        <xdr:spPr>
          <a:xfrm rot="5400000">
            <a:off x="8969083" y="3981791"/>
            <a:ext cx="442835" cy="417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171</xdr:row>
      <xdr:rowOff>61377</xdr:rowOff>
    </xdr:from>
    <xdr:to>
      <xdr:col>8</xdr:col>
      <xdr:colOff>21375</xdr:colOff>
      <xdr:row>171</xdr:row>
      <xdr:rowOff>66221</xdr:rowOff>
    </xdr:to>
    <xdr:cxnSp macro="">
      <xdr:nvCxnSpPr>
        <xdr:cNvPr id="214" name="Gerader Verbinder 213">
          <a:extLst>
            <a:ext uri="{FF2B5EF4-FFF2-40B4-BE49-F238E27FC236}">
              <a16:creationId xmlns:a16="http://schemas.microsoft.com/office/drawing/2014/main" id="{7DC20548-4F80-4A87-8A97-D4C53159207A}"/>
            </a:ext>
          </a:extLst>
        </xdr:cNvPr>
        <xdr:cNvCxnSpPr>
          <a:stCxn id="224" idx="6"/>
        </xdr:cNvCxnSpPr>
      </xdr:nvCxnSpPr>
      <xdr:spPr>
        <a:xfrm flipH="1">
          <a:off x="1885950" y="35897602"/>
          <a:ext cx="4231425" cy="4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188</xdr:row>
      <xdr:rowOff>122597</xdr:rowOff>
    </xdr:from>
    <xdr:to>
      <xdr:col>2</xdr:col>
      <xdr:colOff>615959</xdr:colOff>
      <xdr:row>188</xdr:row>
      <xdr:rowOff>122597</xdr:rowOff>
    </xdr:to>
    <xdr:cxnSp macro="">
      <xdr:nvCxnSpPr>
        <xdr:cNvPr id="215" name="Gerader Verbinder 214">
          <a:extLst>
            <a:ext uri="{FF2B5EF4-FFF2-40B4-BE49-F238E27FC236}">
              <a16:creationId xmlns:a16="http://schemas.microsoft.com/office/drawing/2014/main" id="{ED87840F-5354-45CC-8184-5489CB61337D}"/>
            </a:ext>
          </a:extLst>
        </xdr:cNvPr>
        <xdr:cNvCxnSpPr/>
      </xdr:nvCxnSpPr>
      <xdr:spPr>
        <a:xfrm flipH="1">
          <a:off x="1524000" y="39035397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187</xdr:row>
      <xdr:rowOff>104002</xdr:rowOff>
    </xdr:from>
    <xdr:to>
      <xdr:col>2</xdr:col>
      <xdr:colOff>483054</xdr:colOff>
      <xdr:row>187</xdr:row>
      <xdr:rowOff>104002</xdr:rowOff>
    </xdr:to>
    <xdr:cxnSp macro="">
      <xdr:nvCxnSpPr>
        <xdr:cNvPr id="216" name="Gerader Verbinder 215">
          <a:extLst>
            <a:ext uri="{FF2B5EF4-FFF2-40B4-BE49-F238E27FC236}">
              <a16:creationId xmlns:a16="http://schemas.microsoft.com/office/drawing/2014/main" id="{0DDF0A28-C692-43FC-B3A4-C3F83F0DAC82}"/>
            </a:ext>
          </a:extLst>
        </xdr:cNvPr>
        <xdr:cNvCxnSpPr/>
      </xdr:nvCxnSpPr>
      <xdr:spPr>
        <a:xfrm flipH="1">
          <a:off x="1714954" y="3883582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188</xdr:row>
      <xdr:rowOff>170996</xdr:rowOff>
    </xdr:from>
    <xdr:to>
      <xdr:col>2</xdr:col>
      <xdr:colOff>476250</xdr:colOff>
      <xdr:row>188</xdr:row>
      <xdr:rowOff>170996</xdr:rowOff>
    </xdr:to>
    <xdr:cxnSp macro="">
      <xdr:nvCxnSpPr>
        <xdr:cNvPr id="217" name="Gerader Verbinder 216">
          <a:extLst>
            <a:ext uri="{FF2B5EF4-FFF2-40B4-BE49-F238E27FC236}">
              <a16:creationId xmlns:a16="http://schemas.microsoft.com/office/drawing/2014/main" id="{76C59095-DA85-428E-8640-7C5B9B517FF9}"/>
            </a:ext>
          </a:extLst>
        </xdr:cNvPr>
        <xdr:cNvCxnSpPr/>
      </xdr:nvCxnSpPr>
      <xdr:spPr>
        <a:xfrm flipH="1">
          <a:off x="1695450" y="40014071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188</xdr:row>
      <xdr:rowOff>190500</xdr:rowOff>
    </xdr:from>
    <xdr:to>
      <xdr:col>2</xdr:col>
      <xdr:colOff>354750</xdr:colOff>
      <xdr:row>191</xdr:row>
      <xdr:rowOff>95155</xdr:rowOff>
    </xdr:to>
    <xdr:cxnSp macro="">
      <xdr:nvCxnSpPr>
        <xdr:cNvPr id="218" name="Gerader Verbinder 217">
          <a:extLst>
            <a:ext uri="{FF2B5EF4-FFF2-40B4-BE49-F238E27FC236}">
              <a16:creationId xmlns:a16="http://schemas.microsoft.com/office/drawing/2014/main" id="{3AFA8C21-4AA7-4007-95DE-582BF8255A5D}"/>
            </a:ext>
          </a:extLst>
        </xdr:cNvPr>
        <xdr:cNvCxnSpPr>
          <a:endCxn id="226" idx="4"/>
        </xdr:cNvCxnSpPr>
      </xdr:nvCxnSpPr>
      <xdr:spPr>
        <a:xfrm>
          <a:off x="1876425" y="40033575"/>
          <a:ext cx="2325" cy="10095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191</xdr:row>
      <xdr:rowOff>69395</xdr:rowOff>
    </xdr:from>
    <xdr:to>
      <xdr:col>7</xdr:col>
      <xdr:colOff>715451</xdr:colOff>
      <xdr:row>191</xdr:row>
      <xdr:rowOff>106518</xdr:rowOff>
    </xdr:to>
    <xdr:cxnSp macro="">
      <xdr:nvCxnSpPr>
        <xdr:cNvPr id="219" name="Gerader Verbinder 218">
          <a:extLst>
            <a:ext uri="{FF2B5EF4-FFF2-40B4-BE49-F238E27FC236}">
              <a16:creationId xmlns:a16="http://schemas.microsoft.com/office/drawing/2014/main" id="{6B33C268-E793-489F-B53B-8E28197B5D0D}"/>
            </a:ext>
          </a:extLst>
        </xdr:cNvPr>
        <xdr:cNvCxnSpPr>
          <a:cxnSpLocks/>
          <a:stCxn id="225" idx="5"/>
        </xdr:cNvCxnSpPr>
      </xdr:nvCxnSpPr>
      <xdr:spPr>
        <a:xfrm flipH="1" flipV="1">
          <a:off x="1857375" y="41017370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171</xdr:row>
      <xdr:rowOff>12246</xdr:rowOff>
    </xdr:from>
    <xdr:to>
      <xdr:col>6</xdr:col>
      <xdr:colOff>409575</xdr:colOff>
      <xdr:row>171</xdr:row>
      <xdr:rowOff>102640</xdr:rowOff>
    </xdr:to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D4308A23-A7C1-4D63-AD96-3982ABD1D02E}"/>
            </a:ext>
          </a:extLst>
        </xdr:cNvPr>
        <xdr:cNvSpPr/>
      </xdr:nvSpPr>
      <xdr:spPr>
        <a:xfrm>
          <a:off x="4883150" y="35842121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314325</xdr:colOff>
      <xdr:row>191</xdr:row>
      <xdr:rowOff>45810</xdr:rowOff>
    </xdr:from>
    <xdr:to>
      <xdr:col>6</xdr:col>
      <xdr:colOff>409575</xdr:colOff>
      <xdr:row>191</xdr:row>
      <xdr:rowOff>136204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E174DE91-76D0-48A6-9EA1-4F500765EA3C}"/>
            </a:ext>
          </a:extLst>
        </xdr:cNvPr>
        <xdr:cNvSpPr/>
      </xdr:nvSpPr>
      <xdr:spPr>
        <a:xfrm>
          <a:off x="4886325" y="40993785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73269</xdr:colOff>
      <xdr:row>187</xdr:row>
      <xdr:rowOff>65943</xdr:rowOff>
    </xdr:from>
    <xdr:to>
      <xdr:col>2</xdr:col>
      <xdr:colOff>654966</xdr:colOff>
      <xdr:row>187</xdr:row>
      <xdr:rowOff>68942</xdr:rowOff>
    </xdr:to>
    <xdr:cxnSp macro="">
      <xdr:nvCxnSpPr>
        <xdr:cNvPr id="222" name="Gerader Verbinder 221">
          <a:extLst>
            <a:ext uri="{FF2B5EF4-FFF2-40B4-BE49-F238E27FC236}">
              <a16:creationId xmlns:a16="http://schemas.microsoft.com/office/drawing/2014/main" id="{CF2EFF0F-AC3E-453B-AC00-77A94185D518}"/>
            </a:ext>
          </a:extLst>
        </xdr:cNvPr>
        <xdr:cNvCxnSpPr/>
      </xdr:nvCxnSpPr>
      <xdr:spPr>
        <a:xfrm flipH="1" flipV="1">
          <a:off x="1597269" y="38797768"/>
          <a:ext cx="58487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351064</xdr:colOff>
      <xdr:row>187</xdr:row>
      <xdr:rowOff>104454</xdr:rowOff>
    </xdr:from>
    <xdr:to>
      <xdr:col>2</xdr:col>
      <xdr:colOff>352425</xdr:colOff>
      <xdr:row>188</xdr:row>
      <xdr:rowOff>123825</xdr:rowOff>
    </xdr:to>
    <xdr:cxnSp macro="">
      <xdr:nvCxnSpPr>
        <xdr:cNvPr id="223" name="Gerader Verbinder 222">
          <a:extLst>
            <a:ext uri="{FF2B5EF4-FFF2-40B4-BE49-F238E27FC236}">
              <a16:creationId xmlns:a16="http://schemas.microsoft.com/office/drawing/2014/main" id="{BD1D44ED-7BB7-45B9-ACB5-205DEF0BB48D}"/>
            </a:ext>
          </a:extLst>
        </xdr:cNvPr>
        <xdr:cNvCxnSpPr/>
      </xdr:nvCxnSpPr>
      <xdr:spPr>
        <a:xfrm>
          <a:off x="1875064" y="39566529"/>
          <a:ext cx="1361" cy="400371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171</xdr:row>
      <xdr:rowOff>17279</xdr:rowOff>
    </xdr:from>
    <xdr:to>
      <xdr:col>8</xdr:col>
      <xdr:colOff>21375</xdr:colOff>
      <xdr:row>171</xdr:row>
      <xdr:rowOff>102300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263255F5-61F7-4019-80D1-24664C605C6B}"/>
            </a:ext>
          </a:extLst>
        </xdr:cNvPr>
        <xdr:cNvSpPr/>
      </xdr:nvSpPr>
      <xdr:spPr>
        <a:xfrm>
          <a:off x="6022125" y="35850329"/>
          <a:ext cx="95250" cy="8819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637325</xdr:colOff>
      <xdr:row>191</xdr:row>
      <xdr:rowOff>18073</xdr:rowOff>
    </xdr:from>
    <xdr:to>
      <xdr:col>7</xdr:col>
      <xdr:colOff>732575</xdr:colOff>
      <xdr:row>191</xdr:row>
      <xdr:rowOff>122144</xdr:rowOff>
    </xdr:to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EA49E4E9-B81C-4465-9A2D-A5D621B664EE}"/>
            </a:ext>
          </a:extLst>
        </xdr:cNvPr>
        <xdr:cNvSpPr/>
      </xdr:nvSpPr>
      <xdr:spPr>
        <a:xfrm>
          <a:off x="5971325" y="40966048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190</xdr:row>
      <xdr:rowOff>381609</xdr:rowOff>
    </xdr:from>
    <xdr:to>
      <xdr:col>2</xdr:col>
      <xdr:colOff>402375</xdr:colOff>
      <xdr:row>191</xdr:row>
      <xdr:rowOff>95155</xdr:rowOff>
    </xdr:to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6E551A18-706D-436D-A9A5-D20C9745BD49}"/>
            </a:ext>
          </a:extLst>
        </xdr:cNvPr>
        <xdr:cNvSpPr/>
      </xdr:nvSpPr>
      <xdr:spPr>
        <a:xfrm>
          <a:off x="1831125" y="40939059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541573</xdr:colOff>
      <xdr:row>214</xdr:row>
      <xdr:rowOff>83704</xdr:rowOff>
    </xdr:from>
    <xdr:to>
      <xdr:col>8</xdr:col>
      <xdr:colOff>266550</xdr:colOff>
      <xdr:row>236</xdr:row>
      <xdr:rowOff>190500</xdr:rowOff>
    </xdr:to>
    <xdr:grpSp>
      <xdr:nvGrpSpPr>
        <xdr:cNvPr id="227" name="Gruppieren 226">
          <a:extLst>
            <a:ext uri="{FF2B5EF4-FFF2-40B4-BE49-F238E27FC236}">
              <a16:creationId xmlns:a16="http://schemas.microsoft.com/office/drawing/2014/main" id="{CE35614E-2981-4322-A02D-0976D488B0BA}"/>
            </a:ext>
          </a:extLst>
        </xdr:cNvPr>
        <xdr:cNvGrpSpPr/>
      </xdr:nvGrpSpPr>
      <xdr:grpSpPr>
        <a:xfrm>
          <a:off x="5875573" y="50232829"/>
          <a:ext cx="486977" cy="5551921"/>
          <a:chOff x="8959850" y="2289804"/>
          <a:chExt cx="495429" cy="5374930"/>
        </a:xfrm>
      </xdr:grpSpPr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5A711B8F-BB6C-A73F-62C8-77FC98DE0F76}"/>
              </a:ext>
            </a:extLst>
          </xdr:cNvPr>
          <xdr:cNvSpPr/>
        </xdr:nvSpPr>
        <xdr:spPr>
          <a:xfrm>
            <a:off x="8959850" y="3778250"/>
            <a:ext cx="396148" cy="1420372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29" name="Gerader Verbinder 228">
            <a:extLst>
              <a:ext uri="{FF2B5EF4-FFF2-40B4-BE49-F238E27FC236}">
                <a16:creationId xmlns:a16="http://schemas.microsoft.com/office/drawing/2014/main" id="{4CE35CA0-DBB8-F2FE-7BCE-B8D666ADFCAA}"/>
              </a:ext>
            </a:extLst>
          </xdr:cNvPr>
          <xdr:cNvCxnSpPr>
            <a:stCxn id="245" idx="4"/>
            <a:endCxn id="228" idx="0"/>
          </xdr:cNvCxnSpPr>
        </xdr:nvCxnSpPr>
        <xdr:spPr>
          <a:xfrm>
            <a:off x="9154515" y="2289804"/>
            <a:ext cx="3409" cy="14884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Gerader Verbinder 229">
            <a:extLst>
              <a:ext uri="{FF2B5EF4-FFF2-40B4-BE49-F238E27FC236}">
                <a16:creationId xmlns:a16="http://schemas.microsoft.com/office/drawing/2014/main" id="{F8E19461-3A15-4F10-9E6C-29D2173DC9D2}"/>
              </a:ext>
            </a:extLst>
          </xdr:cNvPr>
          <xdr:cNvCxnSpPr>
            <a:stCxn id="228" idx="2"/>
          </xdr:cNvCxnSpPr>
        </xdr:nvCxnSpPr>
        <xdr:spPr>
          <a:xfrm flipH="1">
            <a:off x="9123021" y="5198622"/>
            <a:ext cx="34903" cy="246611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1" name="Textfeld 230">
            <a:extLst>
              <a:ext uri="{FF2B5EF4-FFF2-40B4-BE49-F238E27FC236}">
                <a16:creationId xmlns:a16="http://schemas.microsoft.com/office/drawing/2014/main" id="{28B878FC-A94D-3D3E-2413-6B3F9F855466}"/>
              </a:ext>
            </a:extLst>
          </xdr:cNvPr>
          <xdr:cNvSpPr txBox="1"/>
        </xdr:nvSpPr>
        <xdr:spPr>
          <a:xfrm rot="5400000">
            <a:off x="8365960" y="4423745"/>
            <a:ext cx="1705171" cy="4734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123456789</a:t>
            </a:r>
          </a:p>
        </xdr:txBody>
      </xdr:sp>
    </xdr:grpSp>
    <xdr:clientData/>
  </xdr:twoCellAnchor>
  <xdr:twoCellAnchor>
    <xdr:from>
      <xdr:col>2</xdr:col>
      <xdr:colOff>164181</xdr:colOff>
      <xdr:row>214</xdr:row>
      <xdr:rowOff>53975</xdr:rowOff>
    </xdr:from>
    <xdr:to>
      <xdr:col>2</xdr:col>
      <xdr:colOff>637920</xdr:colOff>
      <xdr:row>230</xdr:row>
      <xdr:rowOff>50347</xdr:rowOff>
    </xdr:to>
    <xdr:grpSp>
      <xdr:nvGrpSpPr>
        <xdr:cNvPr id="232" name="Gruppieren 231">
          <a:extLst>
            <a:ext uri="{FF2B5EF4-FFF2-40B4-BE49-F238E27FC236}">
              <a16:creationId xmlns:a16="http://schemas.microsoft.com/office/drawing/2014/main" id="{162CA9EB-077B-435A-A434-4A3FEB5FF94B}"/>
            </a:ext>
          </a:extLst>
        </xdr:cNvPr>
        <xdr:cNvGrpSpPr/>
      </xdr:nvGrpSpPr>
      <xdr:grpSpPr>
        <a:xfrm>
          <a:off x="1688181" y="50203100"/>
          <a:ext cx="473739" cy="4092122"/>
          <a:chOff x="8939955" y="3254331"/>
          <a:chExt cx="487058" cy="3010540"/>
        </a:xfrm>
      </xdr:grpSpPr>
      <xdr:sp macro="" textlink="">
        <xdr:nvSpPr>
          <xdr:cNvPr id="233" name="Rechteck 232">
            <a:extLst>
              <a:ext uri="{FF2B5EF4-FFF2-40B4-BE49-F238E27FC236}">
                <a16:creationId xmlns:a16="http://schemas.microsoft.com/office/drawing/2014/main" id="{C702BAC5-E5F8-62C5-9A42-D08FB22E486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34" name="Gerader Verbinder 233">
            <a:extLst>
              <a:ext uri="{FF2B5EF4-FFF2-40B4-BE49-F238E27FC236}">
                <a16:creationId xmlns:a16="http://schemas.microsoft.com/office/drawing/2014/main" id="{03B1E5B0-8EA3-EB1D-9FD8-A8A14425E899}"/>
              </a:ext>
            </a:extLst>
          </xdr:cNvPr>
          <xdr:cNvCxnSpPr>
            <a:endCxn id="23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Gerader Verbinder 234">
            <a:extLst>
              <a:ext uri="{FF2B5EF4-FFF2-40B4-BE49-F238E27FC236}">
                <a16:creationId xmlns:a16="http://schemas.microsoft.com/office/drawing/2014/main" id="{27409DA4-3FD8-F4E3-8A31-BB3980E26573}"/>
              </a:ext>
            </a:extLst>
          </xdr:cNvPr>
          <xdr:cNvCxnSpPr>
            <a:stCxn id="23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feld 235">
            <a:extLst>
              <a:ext uri="{FF2B5EF4-FFF2-40B4-BE49-F238E27FC236}">
                <a16:creationId xmlns:a16="http://schemas.microsoft.com/office/drawing/2014/main" id="{CF1CE4F1-2705-51F4-4E46-D16FEBB6E4F1}"/>
              </a:ext>
            </a:extLst>
          </xdr:cNvPr>
          <xdr:cNvSpPr txBox="1"/>
        </xdr:nvSpPr>
        <xdr:spPr>
          <a:xfrm rot="5400000">
            <a:off x="8968748" y="3866702"/>
            <a:ext cx="429471" cy="487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214</xdr:row>
      <xdr:rowOff>55481</xdr:rowOff>
    </xdr:from>
    <xdr:to>
      <xdr:col>8</xdr:col>
      <xdr:colOff>21375</xdr:colOff>
      <xdr:row>214</xdr:row>
      <xdr:rowOff>55481</xdr:rowOff>
    </xdr:to>
    <xdr:cxnSp macro="">
      <xdr:nvCxnSpPr>
        <xdr:cNvPr id="237" name="Gerader Verbinder 236">
          <a:extLst>
            <a:ext uri="{FF2B5EF4-FFF2-40B4-BE49-F238E27FC236}">
              <a16:creationId xmlns:a16="http://schemas.microsoft.com/office/drawing/2014/main" id="{04ADF779-7DE1-473C-8750-C4237A57A0F0}"/>
            </a:ext>
          </a:extLst>
        </xdr:cNvPr>
        <xdr:cNvCxnSpPr>
          <a:stCxn id="245" idx="6"/>
        </xdr:cNvCxnSpPr>
      </xdr:nvCxnSpPr>
      <xdr:spPr>
        <a:xfrm flipH="1">
          <a:off x="1885950" y="45299231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231</xdr:row>
      <xdr:rowOff>110351</xdr:rowOff>
    </xdr:from>
    <xdr:to>
      <xdr:col>2</xdr:col>
      <xdr:colOff>615959</xdr:colOff>
      <xdr:row>231</xdr:row>
      <xdr:rowOff>110351</xdr:rowOff>
    </xdr:to>
    <xdr:cxnSp macro="">
      <xdr:nvCxnSpPr>
        <xdr:cNvPr id="238" name="Gerader Verbinder 237">
          <a:extLst>
            <a:ext uri="{FF2B5EF4-FFF2-40B4-BE49-F238E27FC236}">
              <a16:creationId xmlns:a16="http://schemas.microsoft.com/office/drawing/2014/main" id="{E40AFB32-7E1A-45C4-B2D3-F0F94F825461}"/>
            </a:ext>
          </a:extLst>
        </xdr:cNvPr>
        <xdr:cNvCxnSpPr/>
      </xdr:nvCxnSpPr>
      <xdr:spPr>
        <a:xfrm flipH="1">
          <a:off x="1524000" y="48427501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230</xdr:row>
      <xdr:rowOff>91756</xdr:rowOff>
    </xdr:from>
    <xdr:to>
      <xdr:col>2</xdr:col>
      <xdr:colOff>483054</xdr:colOff>
      <xdr:row>230</xdr:row>
      <xdr:rowOff>91756</xdr:rowOff>
    </xdr:to>
    <xdr:cxnSp macro="">
      <xdr:nvCxnSpPr>
        <xdr:cNvPr id="239" name="Gerader Verbinder 238">
          <a:extLst>
            <a:ext uri="{FF2B5EF4-FFF2-40B4-BE49-F238E27FC236}">
              <a16:creationId xmlns:a16="http://schemas.microsoft.com/office/drawing/2014/main" id="{A95FEC27-8A2A-43FE-B258-C11CC3D75A2C}"/>
            </a:ext>
          </a:extLst>
        </xdr:cNvPr>
        <xdr:cNvCxnSpPr/>
      </xdr:nvCxnSpPr>
      <xdr:spPr>
        <a:xfrm flipH="1">
          <a:off x="1714954" y="48227931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232</xdr:row>
      <xdr:rowOff>0</xdr:rowOff>
    </xdr:from>
    <xdr:to>
      <xdr:col>2</xdr:col>
      <xdr:colOff>504825</xdr:colOff>
      <xdr:row>232</xdr:row>
      <xdr:rowOff>0</xdr:rowOff>
    </xdr:to>
    <xdr:cxnSp macro="">
      <xdr:nvCxnSpPr>
        <xdr:cNvPr id="240" name="Gerader Verbinder 239">
          <a:extLst>
            <a:ext uri="{FF2B5EF4-FFF2-40B4-BE49-F238E27FC236}">
              <a16:creationId xmlns:a16="http://schemas.microsoft.com/office/drawing/2014/main" id="{B8CEDCF9-074A-4AA2-9C1F-E4FC2ACA2F16}"/>
            </a:ext>
          </a:extLst>
        </xdr:cNvPr>
        <xdr:cNvCxnSpPr/>
      </xdr:nvCxnSpPr>
      <xdr:spPr>
        <a:xfrm flipH="1">
          <a:off x="1720850" y="48501300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232</xdr:row>
      <xdr:rowOff>15875</xdr:rowOff>
    </xdr:from>
    <xdr:to>
      <xdr:col>2</xdr:col>
      <xdr:colOff>342900</xdr:colOff>
      <xdr:row>236</xdr:row>
      <xdr:rowOff>180975</xdr:rowOff>
    </xdr:to>
    <xdr:cxnSp macro="">
      <xdr:nvCxnSpPr>
        <xdr:cNvPr id="241" name="Gerader Verbinder 240">
          <a:extLst>
            <a:ext uri="{FF2B5EF4-FFF2-40B4-BE49-F238E27FC236}">
              <a16:creationId xmlns:a16="http://schemas.microsoft.com/office/drawing/2014/main" id="{C5986D69-4D56-4D8D-A63A-172E63E1F8FF}"/>
            </a:ext>
          </a:extLst>
        </xdr:cNvPr>
        <xdr:cNvCxnSpPr/>
      </xdr:nvCxnSpPr>
      <xdr:spPr>
        <a:xfrm flipH="1">
          <a:off x="1857375" y="49174400"/>
          <a:ext cx="9525" cy="965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236</xdr:row>
      <xdr:rowOff>155574</xdr:rowOff>
    </xdr:from>
    <xdr:to>
      <xdr:col>7</xdr:col>
      <xdr:colOff>715451</xdr:colOff>
      <xdr:row>236</xdr:row>
      <xdr:rowOff>192697</xdr:rowOff>
    </xdr:to>
    <xdr:cxnSp macro="">
      <xdr:nvCxnSpPr>
        <xdr:cNvPr id="242" name="Gerader Verbinder 241">
          <a:extLst>
            <a:ext uri="{FF2B5EF4-FFF2-40B4-BE49-F238E27FC236}">
              <a16:creationId xmlns:a16="http://schemas.microsoft.com/office/drawing/2014/main" id="{B818C33C-08AE-4644-BE1D-47736C300BD4}"/>
            </a:ext>
          </a:extLst>
        </xdr:cNvPr>
        <xdr:cNvCxnSpPr>
          <a:cxnSpLocks/>
        </xdr:cNvCxnSpPr>
      </xdr:nvCxnSpPr>
      <xdr:spPr>
        <a:xfrm flipH="1" flipV="1">
          <a:off x="1857375" y="49476024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51288</xdr:colOff>
      <xdr:row>230</xdr:row>
      <xdr:rowOff>50346</xdr:rowOff>
    </xdr:from>
    <xdr:to>
      <xdr:col>2</xdr:col>
      <xdr:colOff>654966</xdr:colOff>
      <xdr:row>230</xdr:row>
      <xdr:rowOff>51289</xdr:rowOff>
    </xdr:to>
    <xdr:cxnSp macro="">
      <xdr:nvCxnSpPr>
        <xdr:cNvPr id="243" name="Gerader Verbinder 242">
          <a:extLst>
            <a:ext uri="{FF2B5EF4-FFF2-40B4-BE49-F238E27FC236}">
              <a16:creationId xmlns:a16="http://schemas.microsoft.com/office/drawing/2014/main" id="{F5EDF239-C2A6-4BAC-A2C5-0024E87A77CD}"/>
            </a:ext>
          </a:extLst>
        </xdr:cNvPr>
        <xdr:cNvCxnSpPr/>
      </xdr:nvCxnSpPr>
      <xdr:spPr>
        <a:xfrm flipH="1">
          <a:off x="1572113" y="48186521"/>
          <a:ext cx="610028" cy="9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230</xdr:row>
      <xdr:rowOff>95383</xdr:rowOff>
    </xdr:from>
    <xdr:to>
      <xdr:col>2</xdr:col>
      <xdr:colOff>354239</xdr:colOff>
      <xdr:row>231</xdr:row>
      <xdr:rowOff>143008</xdr:rowOff>
    </xdr:to>
    <xdr:cxnSp macro="">
      <xdr:nvCxnSpPr>
        <xdr:cNvPr id="244" name="Gerader Verbinder 243">
          <a:extLst>
            <a:ext uri="{FF2B5EF4-FFF2-40B4-BE49-F238E27FC236}">
              <a16:creationId xmlns:a16="http://schemas.microsoft.com/office/drawing/2014/main" id="{D4CDCCB0-BF2B-4CEE-BEF2-B541FEBBF313}"/>
            </a:ext>
          </a:extLst>
        </xdr:cNvPr>
        <xdr:cNvCxnSpPr/>
      </xdr:nvCxnSpPr>
      <xdr:spPr>
        <a:xfrm flipH="1">
          <a:off x="1875064" y="48234733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214</xdr:row>
      <xdr:rowOff>5033</xdr:rowOff>
    </xdr:from>
    <xdr:to>
      <xdr:col>8</xdr:col>
      <xdr:colOff>21375</xdr:colOff>
      <xdr:row>214</xdr:row>
      <xdr:rowOff>90054</xdr:rowOff>
    </xdr:to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82B3B459-A157-41EC-A758-0CE5286039B0}"/>
            </a:ext>
          </a:extLst>
        </xdr:cNvPr>
        <xdr:cNvSpPr/>
      </xdr:nvSpPr>
      <xdr:spPr>
        <a:xfrm>
          <a:off x="6022125" y="45251958"/>
          <a:ext cx="95250" cy="786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656375</xdr:colOff>
      <xdr:row>236</xdr:row>
      <xdr:rowOff>113777</xdr:rowOff>
    </xdr:from>
    <xdr:to>
      <xdr:col>7</xdr:col>
      <xdr:colOff>751625</xdr:colOff>
      <xdr:row>237</xdr:row>
      <xdr:rowOff>17823</xdr:rowOff>
    </xdr:to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C984CF36-EE41-4B8B-8B35-81B6C93F960A}"/>
            </a:ext>
          </a:extLst>
        </xdr:cNvPr>
        <xdr:cNvSpPr/>
      </xdr:nvSpPr>
      <xdr:spPr>
        <a:xfrm>
          <a:off x="5990375" y="50072402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297600</xdr:colOff>
      <xdr:row>236</xdr:row>
      <xdr:rowOff>86788</xdr:rowOff>
    </xdr:from>
    <xdr:to>
      <xdr:col>2</xdr:col>
      <xdr:colOff>392850</xdr:colOff>
      <xdr:row>236</xdr:row>
      <xdr:rowOff>190859</xdr:rowOff>
    </xdr:to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247615D7-8CE4-43FB-A3C4-BE0CBA8A148D}"/>
            </a:ext>
          </a:extLst>
        </xdr:cNvPr>
        <xdr:cNvSpPr/>
      </xdr:nvSpPr>
      <xdr:spPr>
        <a:xfrm>
          <a:off x="1821600" y="50045413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542357</xdr:colOff>
      <xdr:row>265</xdr:row>
      <xdr:rowOff>66676</xdr:rowOff>
    </xdr:from>
    <xdr:to>
      <xdr:col>8</xdr:col>
      <xdr:colOff>254720</xdr:colOff>
      <xdr:row>279</xdr:row>
      <xdr:rowOff>177801</xdr:rowOff>
    </xdr:to>
    <xdr:grpSp>
      <xdr:nvGrpSpPr>
        <xdr:cNvPr id="248" name="Gruppieren 247">
          <a:extLst>
            <a:ext uri="{FF2B5EF4-FFF2-40B4-BE49-F238E27FC236}">
              <a16:creationId xmlns:a16="http://schemas.microsoft.com/office/drawing/2014/main" id="{9BC03B36-D2B5-4D26-87DA-4E416B13A31E}"/>
            </a:ext>
          </a:extLst>
        </xdr:cNvPr>
        <xdr:cNvGrpSpPr/>
      </xdr:nvGrpSpPr>
      <xdr:grpSpPr>
        <a:xfrm>
          <a:off x="5876357" y="58058051"/>
          <a:ext cx="474363" cy="3159125"/>
          <a:chOff x="8959665" y="2585803"/>
          <a:chExt cx="463443" cy="3651126"/>
        </a:xfrm>
      </xdr:grpSpPr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3622AEA-1518-178A-8723-C8349C2D6BEF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50" name="Gerader Verbinder 249">
            <a:extLst>
              <a:ext uri="{FF2B5EF4-FFF2-40B4-BE49-F238E27FC236}">
                <a16:creationId xmlns:a16="http://schemas.microsoft.com/office/drawing/2014/main" id="{D7FE6F77-F216-303A-6BB0-46191EF7AE20}"/>
              </a:ext>
            </a:extLst>
          </xdr:cNvPr>
          <xdr:cNvCxnSpPr>
            <a:endCxn id="249" idx="0"/>
          </xdr:cNvCxnSpPr>
        </xdr:nvCxnSpPr>
        <xdr:spPr>
          <a:xfrm flipH="1">
            <a:off x="9145587" y="2585803"/>
            <a:ext cx="10053" cy="119244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1" name="Gerader Verbinder 250">
            <a:extLst>
              <a:ext uri="{FF2B5EF4-FFF2-40B4-BE49-F238E27FC236}">
                <a16:creationId xmlns:a16="http://schemas.microsoft.com/office/drawing/2014/main" id="{D4E552A6-1188-4AC3-8B6F-B6E06BBAC693}"/>
              </a:ext>
            </a:extLst>
          </xdr:cNvPr>
          <xdr:cNvCxnSpPr>
            <a:stCxn id="249" idx="2"/>
          </xdr:cNvCxnSpPr>
        </xdr:nvCxnSpPr>
        <xdr:spPr>
          <a:xfrm flipH="1">
            <a:off x="9133927" y="4854576"/>
            <a:ext cx="11660" cy="138235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2" name="Textfeld 251">
            <a:extLst>
              <a:ext uri="{FF2B5EF4-FFF2-40B4-BE49-F238E27FC236}">
                <a16:creationId xmlns:a16="http://schemas.microsoft.com/office/drawing/2014/main" id="{73824CC5-EFD7-6BC4-40E9-F48E9657CFC4}"/>
              </a:ext>
            </a:extLst>
          </xdr:cNvPr>
          <xdr:cNvSpPr txBox="1"/>
        </xdr:nvSpPr>
        <xdr:spPr>
          <a:xfrm rot="5400000">
            <a:off x="8927696" y="4017507"/>
            <a:ext cx="527381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Tot</a:t>
            </a:r>
          </a:p>
        </xdr:txBody>
      </xdr:sp>
    </xdr:grpSp>
    <xdr:clientData/>
  </xdr:twoCellAnchor>
  <xdr:twoCellAnchor>
    <xdr:from>
      <xdr:col>2</xdr:col>
      <xdr:colOff>353493</xdr:colOff>
      <xdr:row>265</xdr:row>
      <xdr:rowOff>66675</xdr:rowOff>
    </xdr:from>
    <xdr:to>
      <xdr:col>2</xdr:col>
      <xdr:colOff>400050</xdr:colOff>
      <xdr:row>274</xdr:row>
      <xdr:rowOff>35790</xdr:rowOff>
    </xdr:to>
    <xdr:cxnSp macro="">
      <xdr:nvCxnSpPr>
        <xdr:cNvPr id="253" name="Gerader Verbinder 252">
          <a:extLst>
            <a:ext uri="{FF2B5EF4-FFF2-40B4-BE49-F238E27FC236}">
              <a16:creationId xmlns:a16="http://schemas.microsoft.com/office/drawing/2014/main" id="{DD9644D4-4AB1-4669-B0CE-5C144F167D8C}"/>
            </a:ext>
          </a:extLst>
        </xdr:cNvPr>
        <xdr:cNvCxnSpPr>
          <a:cxnSpLocks/>
        </xdr:cNvCxnSpPr>
      </xdr:nvCxnSpPr>
      <xdr:spPr>
        <a:xfrm flipH="1">
          <a:off x="1877493" y="55959375"/>
          <a:ext cx="46557" cy="2083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265</xdr:row>
      <xdr:rowOff>50448</xdr:rowOff>
    </xdr:from>
    <xdr:to>
      <xdr:col>7</xdr:col>
      <xdr:colOff>745275</xdr:colOff>
      <xdr:row>265</xdr:row>
      <xdr:rowOff>50448</xdr:rowOff>
    </xdr:to>
    <xdr:cxnSp macro="">
      <xdr:nvCxnSpPr>
        <xdr:cNvPr id="254" name="Gerader Verbinder 253">
          <a:extLst>
            <a:ext uri="{FF2B5EF4-FFF2-40B4-BE49-F238E27FC236}">
              <a16:creationId xmlns:a16="http://schemas.microsoft.com/office/drawing/2014/main" id="{577FFF10-EBFB-4F7B-9680-8412EB868DCD}"/>
            </a:ext>
          </a:extLst>
        </xdr:cNvPr>
        <xdr:cNvCxnSpPr/>
      </xdr:nvCxnSpPr>
      <xdr:spPr>
        <a:xfrm flipH="1">
          <a:off x="1847850" y="55943148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275</xdr:row>
      <xdr:rowOff>92618</xdr:rowOff>
    </xdr:from>
    <xdr:to>
      <xdr:col>2</xdr:col>
      <xdr:colOff>615959</xdr:colOff>
      <xdr:row>275</xdr:row>
      <xdr:rowOff>92618</xdr:rowOff>
    </xdr:to>
    <xdr:cxnSp macro="">
      <xdr:nvCxnSpPr>
        <xdr:cNvPr id="255" name="Gerader Verbinder 254">
          <a:extLst>
            <a:ext uri="{FF2B5EF4-FFF2-40B4-BE49-F238E27FC236}">
              <a16:creationId xmlns:a16="http://schemas.microsoft.com/office/drawing/2014/main" id="{2D350255-4570-44D9-9F3C-6CDEB5A3A08E}"/>
            </a:ext>
          </a:extLst>
        </xdr:cNvPr>
        <xdr:cNvCxnSpPr/>
      </xdr:nvCxnSpPr>
      <xdr:spPr>
        <a:xfrm flipH="1">
          <a:off x="1524000" y="56918768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274</xdr:row>
      <xdr:rowOff>74023</xdr:rowOff>
    </xdr:from>
    <xdr:to>
      <xdr:col>2</xdr:col>
      <xdr:colOff>483054</xdr:colOff>
      <xdr:row>274</xdr:row>
      <xdr:rowOff>74023</xdr:rowOff>
    </xdr:to>
    <xdr:cxnSp macro="">
      <xdr:nvCxnSpPr>
        <xdr:cNvPr id="256" name="Gerader Verbinder 255">
          <a:extLst>
            <a:ext uri="{FF2B5EF4-FFF2-40B4-BE49-F238E27FC236}">
              <a16:creationId xmlns:a16="http://schemas.microsoft.com/office/drawing/2014/main" id="{113DEC6E-45CD-4236-BA6F-0F735B7348DF}"/>
            </a:ext>
          </a:extLst>
        </xdr:cNvPr>
        <xdr:cNvCxnSpPr/>
      </xdr:nvCxnSpPr>
      <xdr:spPr>
        <a:xfrm flipH="1">
          <a:off x="1714954" y="56719198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275</xdr:row>
      <xdr:rowOff>179117</xdr:rowOff>
    </xdr:from>
    <xdr:to>
      <xdr:col>2</xdr:col>
      <xdr:colOff>504825</xdr:colOff>
      <xdr:row>275</xdr:row>
      <xdr:rowOff>179117</xdr:rowOff>
    </xdr:to>
    <xdr:cxnSp macro="">
      <xdr:nvCxnSpPr>
        <xdr:cNvPr id="257" name="Gerader Verbinder 256">
          <a:extLst>
            <a:ext uri="{FF2B5EF4-FFF2-40B4-BE49-F238E27FC236}">
              <a16:creationId xmlns:a16="http://schemas.microsoft.com/office/drawing/2014/main" id="{3941BCA9-7336-450E-B938-8C7CD608622C}"/>
            </a:ext>
          </a:extLst>
        </xdr:cNvPr>
        <xdr:cNvCxnSpPr/>
      </xdr:nvCxnSpPr>
      <xdr:spPr>
        <a:xfrm flipH="1">
          <a:off x="1720850" y="57008442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276</xdr:row>
      <xdr:rowOff>7667</xdr:rowOff>
    </xdr:from>
    <xdr:to>
      <xdr:col>2</xdr:col>
      <xdr:colOff>342900</xdr:colOff>
      <xdr:row>279</xdr:row>
      <xdr:rowOff>133350</xdr:rowOff>
    </xdr:to>
    <xdr:cxnSp macro="">
      <xdr:nvCxnSpPr>
        <xdr:cNvPr id="258" name="Gerader Verbinder 257">
          <a:extLst>
            <a:ext uri="{FF2B5EF4-FFF2-40B4-BE49-F238E27FC236}">
              <a16:creationId xmlns:a16="http://schemas.microsoft.com/office/drawing/2014/main" id="{D1F6B4C0-7EBB-4323-8F5B-82BFC30BF87A}"/>
            </a:ext>
          </a:extLst>
        </xdr:cNvPr>
        <xdr:cNvCxnSpPr/>
      </xdr:nvCxnSpPr>
      <xdr:spPr>
        <a:xfrm flipH="1">
          <a:off x="1857375" y="57957767"/>
          <a:ext cx="9525" cy="7257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346982</xdr:colOff>
      <xdr:row>279</xdr:row>
      <xdr:rowOff>106998</xdr:rowOff>
    </xdr:from>
    <xdr:to>
      <xdr:col>7</xdr:col>
      <xdr:colOff>729058</xdr:colOff>
      <xdr:row>279</xdr:row>
      <xdr:rowOff>157728</xdr:rowOff>
    </xdr:to>
    <xdr:cxnSp macro="">
      <xdr:nvCxnSpPr>
        <xdr:cNvPr id="259" name="Gerader Verbinder 258">
          <a:extLst>
            <a:ext uri="{FF2B5EF4-FFF2-40B4-BE49-F238E27FC236}">
              <a16:creationId xmlns:a16="http://schemas.microsoft.com/office/drawing/2014/main" id="{B370FA0F-A41E-4DEC-B831-3C3C1054A0A1}"/>
            </a:ext>
          </a:extLst>
        </xdr:cNvPr>
        <xdr:cNvCxnSpPr>
          <a:cxnSpLocks/>
        </xdr:cNvCxnSpPr>
      </xdr:nvCxnSpPr>
      <xdr:spPr>
        <a:xfrm flipH="1" flipV="1">
          <a:off x="1870982" y="59692677"/>
          <a:ext cx="4192076" cy="5073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44938</xdr:colOff>
      <xdr:row>274</xdr:row>
      <xdr:rowOff>38963</xdr:rowOff>
    </xdr:from>
    <xdr:to>
      <xdr:col>2</xdr:col>
      <xdr:colOff>654966</xdr:colOff>
      <xdr:row>274</xdr:row>
      <xdr:rowOff>38963</xdr:rowOff>
    </xdr:to>
    <xdr:cxnSp macro="">
      <xdr:nvCxnSpPr>
        <xdr:cNvPr id="260" name="Gerader Verbinder 259">
          <a:extLst>
            <a:ext uri="{FF2B5EF4-FFF2-40B4-BE49-F238E27FC236}">
              <a16:creationId xmlns:a16="http://schemas.microsoft.com/office/drawing/2014/main" id="{1D4A9766-A70A-47F1-A4D0-BA61141488DC}"/>
            </a:ext>
          </a:extLst>
        </xdr:cNvPr>
        <xdr:cNvCxnSpPr/>
      </xdr:nvCxnSpPr>
      <xdr:spPr>
        <a:xfrm flipH="1">
          <a:off x="1572113" y="56684138"/>
          <a:ext cx="61002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274</xdr:row>
      <xdr:rowOff>84000</xdr:rowOff>
    </xdr:from>
    <xdr:to>
      <xdr:col>2</xdr:col>
      <xdr:colOff>354239</xdr:colOff>
      <xdr:row>275</xdr:row>
      <xdr:rowOff>131625</xdr:rowOff>
    </xdr:to>
    <xdr:cxnSp macro="">
      <xdr:nvCxnSpPr>
        <xdr:cNvPr id="261" name="Gerader Verbinder 260">
          <a:extLst>
            <a:ext uri="{FF2B5EF4-FFF2-40B4-BE49-F238E27FC236}">
              <a16:creationId xmlns:a16="http://schemas.microsoft.com/office/drawing/2014/main" id="{0E24E3E8-9404-46C7-8009-4C826FBA90BC}"/>
            </a:ext>
          </a:extLst>
        </xdr:cNvPr>
        <xdr:cNvCxnSpPr/>
      </xdr:nvCxnSpPr>
      <xdr:spPr>
        <a:xfrm flipH="1">
          <a:off x="1875064" y="56732350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697650</xdr:colOff>
      <xdr:row>265</xdr:row>
      <xdr:rowOff>19050</xdr:rowOff>
    </xdr:from>
    <xdr:to>
      <xdr:col>8</xdr:col>
      <xdr:colOff>30900</xdr:colOff>
      <xdr:row>265</xdr:row>
      <xdr:rowOff>85021</xdr:rowOff>
    </xdr:to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F8714C43-9CE7-4303-B308-65BFE799591F}"/>
            </a:ext>
          </a:extLst>
        </xdr:cNvPr>
        <xdr:cNvSpPr/>
      </xdr:nvSpPr>
      <xdr:spPr>
        <a:xfrm>
          <a:off x="6031650" y="55911750"/>
          <a:ext cx="95250" cy="659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665900</xdr:colOff>
      <xdr:row>279</xdr:row>
      <xdr:rowOff>105569</xdr:rowOff>
    </xdr:from>
    <xdr:to>
      <xdr:col>7</xdr:col>
      <xdr:colOff>761150</xdr:colOff>
      <xdr:row>280</xdr:row>
      <xdr:rowOff>9615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3E2F0C3-69D2-4E76-8286-536B42FD4E0B}"/>
            </a:ext>
          </a:extLst>
        </xdr:cNvPr>
        <xdr:cNvSpPr/>
      </xdr:nvSpPr>
      <xdr:spPr>
        <a:xfrm>
          <a:off x="5999900" y="586557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292954</xdr:colOff>
      <xdr:row>279</xdr:row>
      <xdr:rowOff>48069</xdr:rowOff>
    </xdr:from>
    <xdr:to>
      <xdr:col>2</xdr:col>
      <xdr:colOff>388204</xdr:colOff>
      <xdr:row>279</xdr:row>
      <xdr:rowOff>152140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BE739B1A-7F2B-4B66-BBDA-67831122BBE7}"/>
            </a:ext>
          </a:extLst>
        </xdr:cNvPr>
        <xdr:cNvSpPr/>
      </xdr:nvSpPr>
      <xdr:spPr>
        <a:xfrm>
          <a:off x="1816954" y="585982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345457</xdr:colOff>
      <xdr:row>265</xdr:row>
      <xdr:rowOff>17114</xdr:rowOff>
    </xdr:from>
    <xdr:to>
      <xdr:col>2</xdr:col>
      <xdr:colOff>440707</xdr:colOff>
      <xdr:row>265</xdr:row>
      <xdr:rowOff>76735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A32B36B3-949E-4E22-A9BD-A01BC1BF26EA}"/>
            </a:ext>
          </a:extLst>
        </xdr:cNvPr>
        <xdr:cNvSpPr/>
      </xdr:nvSpPr>
      <xdr:spPr>
        <a:xfrm>
          <a:off x="1869457" y="55909814"/>
          <a:ext cx="95250" cy="596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470647</xdr:colOff>
      <xdr:row>1</xdr:row>
      <xdr:rowOff>67236</xdr:rowOff>
    </xdr:from>
    <xdr:to>
      <xdr:col>1</xdr:col>
      <xdr:colOff>440204</xdr:colOff>
      <xdr:row>3</xdr:row>
      <xdr:rowOff>145676</xdr:rowOff>
    </xdr:to>
    <xdr:sp macro="" textlink="">
      <xdr:nvSpPr>
        <xdr:cNvPr id="266" name="Pfeil: nach rechts 2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A57B2-6062-4514-876F-CB4DDC039A61}"/>
            </a:ext>
          </a:extLst>
        </xdr:cNvPr>
        <xdr:cNvSpPr/>
      </xdr:nvSpPr>
      <xdr:spPr>
        <a:xfrm rot="10800000">
          <a:off x="470647" y="246530"/>
          <a:ext cx="731557" cy="593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161636</xdr:colOff>
      <xdr:row>18</xdr:row>
      <xdr:rowOff>103909</xdr:rowOff>
    </xdr:from>
    <xdr:to>
      <xdr:col>1</xdr:col>
      <xdr:colOff>161636</xdr:colOff>
      <xdr:row>24</xdr:row>
      <xdr:rowOff>11546</xdr:rowOff>
    </xdr:to>
    <xdr:cxnSp macro="">
      <xdr:nvCxnSpPr>
        <xdr:cNvPr id="268" name="Gerade Verbindung mit Pfeil 267">
          <a:extLst>
            <a:ext uri="{FF2B5EF4-FFF2-40B4-BE49-F238E27FC236}">
              <a16:creationId xmlns:a16="http://schemas.microsoft.com/office/drawing/2014/main" id="{F3A7D8CD-E941-5137-ACD7-922F0F2F5C0A}"/>
            </a:ext>
          </a:extLst>
        </xdr:cNvPr>
        <xdr:cNvCxnSpPr/>
      </xdr:nvCxnSpPr>
      <xdr:spPr>
        <a:xfrm>
          <a:off x="923636" y="3810000"/>
          <a:ext cx="0" cy="1039091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181444</xdr:colOff>
      <xdr:row>18</xdr:row>
      <xdr:rowOff>217355</xdr:rowOff>
    </xdr:from>
    <xdr:to>
      <xdr:col>1</xdr:col>
      <xdr:colOff>135032</xdr:colOff>
      <xdr:row>21</xdr:row>
      <xdr:rowOff>161635</xdr:rowOff>
    </xdr:to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93219C76-B9DF-2E04-AB52-191B06151378}"/>
            </a:ext>
          </a:extLst>
        </xdr:cNvPr>
        <xdr:cNvSpPr txBox="1"/>
      </xdr:nvSpPr>
      <xdr:spPr>
        <a:xfrm>
          <a:off x="181444" y="4119719"/>
          <a:ext cx="715588" cy="55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2400">
              <a:solidFill>
                <a:srgbClr val="00B0F0"/>
              </a:solidFill>
            </a:rPr>
            <a:t>U</a:t>
          </a:r>
          <a:r>
            <a:rPr lang="de-CH" sz="24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684696</xdr:colOff>
      <xdr:row>16</xdr:row>
      <xdr:rowOff>11043</xdr:rowOff>
    </xdr:from>
    <xdr:to>
      <xdr:col>2</xdr:col>
      <xdr:colOff>77304</xdr:colOff>
      <xdr:row>17</xdr:row>
      <xdr:rowOff>16565</xdr:rowOff>
    </xdr:to>
    <xdr:sp macro="" textlink="">
      <xdr:nvSpPr>
        <xdr:cNvPr id="270" name="Pfeil: nach oben 269">
          <a:extLst>
            <a:ext uri="{FF2B5EF4-FFF2-40B4-BE49-F238E27FC236}">
              <a16:creationId xmlns:a16="http://schemas.microsoft.com/office/drawing/2014/main" id="{4C6E30B6-468A-B7D9-A641-3015509039B3}"/>
            </a:ext>
          </a:extLst>
        </xdr:cNvPr>
        <xdr:cNvSpPr/>
      </xdr:nvSpPr>
      <xdr:spPr>
        <a:xfrm>
          <a:off x="1446696" y="3296478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219365</xdr:colOff>
      <xdr:row>15</xdr:row>
      <xdr:rowOff>127001</xdr:rowOff>
    </xdr:from>
    <xdr:to>
      <xdr:col>1</xdr:col>
      <xdr:colOff>712305</xdr:colOff>
      <xdr:row>17</xdr:row>
      <xdr:rowOff>104914</xdr:rowOff>
    </xdr:to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131651E-981E-B454-E958-A65A4BCE859F}"/>
            </a:ext>
          </a:extLst>
        </xdr:cNvPr>
        <xdr:cNvSpPr txBox="1"/>
      </xdr:nvSpPr>
      <xdr:spPr>
        <a:xfrm>
          <a:off x="981365" y="3371274"/>
          <a:ext cx="492940" cy="416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171946</xdr:colOff>
      <xdr:row>60</xdr:row>
      <xdr:rowOff>43170</xdr:rowOff>
    </xdr:from>
    <xdr:to>
      <xdr:col>1</xdr:col>
      <xdr:colOff>171946</xdr:colOff>
      <xdr:row>65</xdr:row>
      <xdr:rowOff>160633</xdr:rowOff>
    </xdr:to>
    <xdr:cxnSp macro="">
      <xdr:nvCxnSpPr>
        <xdr:cNvPr id="272" name="Gerade Verbindung mit Pfeil 271">
          <a:extLst>
            <a:ext uri="{FF2B5EF4-FFF2-40B4-BE49-F238E27FC236}">
              <a16:creationId xmlns:a16="http://schemas.microsoft.com/office/drawing/2014/main" id="{C6B0644D-9831-4E3E-92BF-9D0078B9D217}"/>
            </a:ext>
          </a:extLst>
        </xdr:cNvPr>
        <xdr:cNvCxnSpPr/>
      </xdr:nvCxnSpPr>
      <xdr:spPr>
        <a:xfrm>
          <a:off x="933946" y="11578083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480391</xdr:colOff>
      <xdr:row>62</xdr:row>
      <xdr:rowOff>11043</xdr:rowOff>
    </xdr:from>
    <xdr:to>
      <xdr:col>1</xdr:col>
      <xdr:colOff>433979</xdr:colOff>
      <xdr:row>64</xdr:row>
      <xdr:rowOff>108857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5E557CF-1666-415D-BB2D-FE16D9CA3F3F}"/>
            </a:ext>
          </a:extLst>
        </xdr:cNvPr>
        <xdr:cNvSpPr txBox="1"/>
      </xdr:nvSpPr>
      <xdr:spPr>
        <a:xfrm>
          <a:off x="480391" y="13545614"/>
          <a:ext cx="715588" cy="49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695006</xdr:colOff>
      <xdr:row>57</xdr:row>
      <xdr:rowOff>77304</xdr:rowOff>
    </xdr:from>
    <xdr:to>
      <xdr:col>2</xdr:col>
      <xdr:colOff>87614</xdr:colOff>
      <xdr:row>58</xdr:row>
      <xdr:rowOff>110435</xdr:rowOff>
    </xdr:to>
    <xdr:sp macro="" textlink="">
      <xdr:nvSpPr>
        <xdr:cNvPr id="274" name="Pfeil: nach oben 273">
          <a:extLst>
            <a:ext uri="{FF2B5EF4-FFF2-40B4-BE49-F238E27FC236}">
              <a16:creationId xmlns:a16="http://schemas.microsoft.com/office/drawing/2014/main" id="{8DF85F41-C811-44D7-839A-B7B6D3384C68}"/>
            </a:ext>
          </a:extLst>
        </xdr:cNvPr>
        <xdr:cNvSpPr/>
      </xdr:nvSpPr>
      <xdr:spPr>
        <a:xfrm>
          <a:off x="1457006" y="11065565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172357</xdr:colOff>
      <xdr:row>57</xdr:row>
      <xdr:rowOff>71783</xdr:rowOff>
    </xdr:from>
    <xdr:to>
      <xdr:col>1</xdr:col>
      <xdr:colOff>722614</xdr:colOff>
      <xdr:row>58</xdr:row>
      <xdr:rowOff>281215</xdr:rowOff>
    </xdr:to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5DFBA3C-981D-4F0A-935D-F686A35DC39E}"/>
            </a:ext>
          </a:extLst>
        </xdr:cNvPr>
        <xdr:cNvSpPr txBox="1"/>
      </xdr:nvSpPr>
      <xdr:spPr>
        <a:xfrm>
          <a:off x="934357" y="12000712"/>
          <a:ext cx="550257" cy="545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122250</xdr:colOff>
      <xdr:row>103</xdr:row>
      <xdr:rowOff>15561</xdr:rowOff>
    </xdr:from>
    <xdr:to>
      <xdr:col>1</xdr:col>
      <xdr:colOff>122250</xdr:colOff>
      <xdr:row>108</xdr:row>
      <xdr:rowOff>133024</xdr:rowOff>
    </xdr:to>
    <xdr:cxnSp macro="">
      <xdr:nvCxnSpPr>
        <xdr:cNvPr id="276" name="Gerade Verbindung mit Pfeil 275">
          <a:extLst>
            <a:ext uri="{FF2B5EF4-FFF2-40B4-BE49-F238E27FC236}">
              <a16:creationId xmlns:a16="http://schemas.microsoft.com/office/drawing/2014/main" id="{AB8FFA72-51FB-46F9-9CA2-6C76883DC72E}"/>
            </a:ext>
          </a:extLst>
        </xdr:cNvPr>
        <xdr:cNvCxnSpPr/>
      </xdr:nvCxnSpPr>
      <xdr:spPr>
        <a:xfrm>
          <a:off x="884250" y="19534909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103</xdr:row>
      <xdr:rowOff>115454</xdr:rowOff>
    </xdr:from>
    <xdr:to>
      <xdr:col>1</xdr:col>
      <xdr:colOff>384283</xdr:colOff>
      <xdr:row>106</xdr:row>
      <xdr:rowOff>145071</xdr:rowOff>
    </xdr:to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FE44B1BC-840A-4A37-907C-5A6753FAB478}"/>
            </a:ext>
          </a:extLst>
        </xdr:cNvPr>
        <xdr:cNvSpPr txBox="1"/>
      </xdr:nvSpPr>
      <xdr:spPr>
        <a:xfrm>
          <a:off x="381000" y="22005636"/>
          <a:ext cx="765283" cy="618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645310</xdr:colOff>
      <xdr:row>100</xdr:row>
      <xdr:rowOff>49695</xdr:rowOff>
    </xdr:from>
    <xdr:to>
      <xdr:col>2</xdr:col>
      <xdr:colOff>37918</xdr:colOff>
      <xdr:row>101</xdr:row>
      <xdr:rowOff>82826</xdr:rowOff>
    </xdr:to>
    <xdr:sp macro="" textlink="">
      <xdr:nvSpPr>
        <xdr:cNvPr id="278" name="Pfeil: nach oben 277">
          <a:extLst>
            <a:ext uri="{FF2B5EF4-FFF2-40B4-BE49-F238E27FC236}">
              <a16:creationId xmlns:a16="http://schemas.microsoft.com/office/drawing/2014/main" id="{87024B88-BA3C-4472-9D8E-5A25A1092B2A}"/>
            </a:ext>
          </a:extLst>
        </xdr:cNvPr>
        <xdr:cNvSpPr/>
      </xdr:nvSpPr>
      <xdr:spPr>
        <a:xfrm>
          <a:off x="1407310" y="19022391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196273</xdr:colOff>
      <xdr:row>98</xdr:row>
      <xdr:rowOff>311727</xdr:rowOff>
    </xdr:from>
    <xdr:to>
      <xdr:col>1</xdr:col>
      <xdr:colOff>672918</xdr:colOff>
      <xdr:row>101</xdr:row>
      <xdr:rowOff>171174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9201322D-024F-4D64-B86B-D1FFB54C2D42}"/>
            </a:ext>
          </a:extLst>
        </xdr:cNvPr>
        <xdr:cNvSpPr txBox="1"/>
      </xdr:nvSpPr>
      <xdr:spPr>
        <a:xfrm>
          <a:off x="958273" y="21082000"/>
          <a:ext cx="476645" cy="586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145</xdr:row>
      <xdr:rowOff>54212</xdr:rowOff>
    </xdr:from>
    <xdr:to>
      <xdr:col>1</xdr:col>
      <xdr:colOff>525338</xdr:colOff>
      <xdr:row>150</xdr:row>
      <xdr:rowOff>171675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2C13523F-1EF9-4370-B6D9-3F6BFCAA25FB}"/>
            </a:ext>
          </a:extLst>
        </xdr:cNvPr>
        <xdr:cNvCxnSpPr/>
      </xdr:nvCxnSpPr>
      <xdr:spPr>
        <a:xfrm>
          <a:off x="1287338" y="27375777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14179</xdr:colOff>
      <xdr:row>146</xdr:row>
      <xdr:rowOff>171763</xdr:rowOff>
    </xdr:from>
    <xdr:to>
      <xdr:col>1</xdr:col>
      <xdr:colOff>736117</xdr:colOff>
      <xdr:row>148</xdr:row>
      <xdr:rowOff>151182</xdr:rowOff>
    </xdr:to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59210DCD-D4AC-489D-9FEB-4F183764D756}"/>
            </a:ext>
          </a:extLst>
        </xdr:cNvPr>
        <xdr:cNvSpPr txBox="1"/>
      </xdr:nvSpPr>
      <xdr:spPr>
        <a:xfrm>
          <a:off x="776179" y="31631477"/>
          <a:ext cx="721938" cy="387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142</xdr:row>
      <xdr:rowOff>88346</xdr:rowOff>
    </xdr:from>
    <xdr:to>
      <xdr:col>2</xdr:col>
      <xdr:colOff>441006</xdr:colOff>
      <xdr:row>143</xdr:row>
      <xdr:rowOff>121477</xdr:rowOff>
    </xdr:to>
    <xdr:sp macro="" textlink="">
      <xdr:nvSpPr>
        <xdr:cNvPr id="282" name="Pfeil: nach oben 281">
          <a:extLst>
            <a:ext uri="{FF2B5EF4-FFF2-40B4-BE49-F238E27FC236}">
              <a16:creationId xmlns:a16="http://schemas.microsoft.com/office/drawing/2014/main" id="{48C1510F-7897-4EAF-8963-AEA07F70D55A}"/>
            </a:ext>
          </a:extLst>
        </xdr:cNvPr>
        <xdr:cNvSpPr/>
      </xdr:nvSpPr>
      <xdr:spPr>
        <a:xfrm>
          <a:off x="1810398" y="26863259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141</xdr:row>
      <xdr:rowOff>149678</xdr:rowOff>
    </xdr:from>
    <xdr:to>
      <xdr:col>2</xdr:col>
      <xdr:colOff>317181</xdr:colOff>
      <xdr:row>144</xdr:row>
      <xdr:rowOff>30782</xdr:rowOff>
    </xdr:to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44BF3E1A-9638-4F63-A7C2-437D06AEB41A}"/>
            </a:ext>
          </a:extLst>
        </xdr:cNvPr>
        <xdr:cNvSpPr txBox="1"/>
      </xdr:nvSpPr>
      <xdr:spPr>
        <a:xfrm>
          <a:off x="1265464" y="30588857"/>
          <a:ext cx="575717" cy="49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185</xdr:row>
      <xdr:rowOff>37647</xdr:rowOff>
    </xdr:from>
    <xdr:to>
      <xdr:col>1</xdr:col>
      <xdr:colOff>525338</xdr:colOff>
      <xdr:row>190</xdr:row>
      <xdr:rowOff>155110</xdr:rowOff>
    </xdr:to>
    <xdr:cxnSp macro="">
      <xdr:nvCxnSpPr>
        <xdr:cNvPr id="284" name="Gerade Verbindung mit Pfeil 283">
          <a:extLst>
            <a:ext uri="{FF2B5EF4-FFF2-40B4-BE49-F238E27FC236}">
              <a16:creationId xmlns:a16="http://schemas.microsoft.com/office/drawing/2014/main" id="{31A24FC4-9BFB-4D73-97DE-9BF957E16EE9}"/>
            </a:ext>
          </a:extLst>
        </xdr:cNvPr>
        <xdr:cNvCxnSpPr/>
      </xdr:nvCxnSpPr>
      <xdr:spPr>
        <a:xfrm>
          <a:off x="1287338" y="34796995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27787</xdr:colOff>
      <xdr:row>186</xdr:row>
      <xdr:rowOff>144766</xdr:rowOff>
    </xdr:from>
    <xdr:to>
      <xdr:col>1</xdr:col>
      <xdr:colOff>749725</xdr:colOff>
      <xdr:row>188</xdr:row>
      <xdr:rowOff>82339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26B671C-1EF3-4D2A-B218-241A14112CDB}"/>
            </a:ext>
          </a:extLst>
        </xdr:cNvPr>
        <xdr:cNvSpPr txBox="1"/>
      </xdr:nvSpPr>
      <xdr:spPr>
        <a:xfrm>
          <a:off x="789787" y="39932052"/>
          <a:ext cx="721938" cy="359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182</xdr:row>
      <xdr:rowOff>71781</xdr:rowOff>
    </xdr:from>
    <xdr:to>
      <xdr:col>2</xdr:col>
      <xdr:colOff>441006</xdr:colOff>
      <xdr:row>183</xdr:row>
      <xdr:rowOff>104912</xdr:rowOff>
    </xdr:to>
    <xdr:sp macro="" textlink="">
      <xdr:nvSpPr>
        <xdr:cNvPr id="286" name="Pfeil: nach oben 285">
          <a:extLst>
            <a:ext uri="{FF2B5EF4-FFF2-40B4-BE49-F238E27FC236}">
              <a16:creationId xmlns:a16="http://schemas.microsoft.com/office/drawing/2014/main" id="{099C31F0-C8FF-4EC7-9F42-68FE57C137C8}"/>
            </a:ext>
          </a:extLst>
        </xdr:cNvPr>
        <xdr:cNvSpPr/>
      </xdr:nvSpPr>
      <xdr:spPr>
        <a:xfrm>
          <a:off x="1810398" y="34284477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181</xdr:row>
      <xdr:rowOff>190500</xdr:rowOff>
    </xdr:from>
    <xdr:to>
      <xdr:col>2</xdr:col>
      <xdr:colOff>317181</xdr:colOff>
      <xdr:row>184</xdr:row>
      <xdr:rowOff>7868</xdr:rowOff>
    </xdr:to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0678C1F-E980-418E-B1C1-95832E70CAE5}"/>
            </a:ext>
          </a:extLst>
        </xdr:cNvPr>
        <xdr:cNvSpPr txBox="1"/>
      </xdr:nvSpPr>
      <xdr:spPr>
        <a:xfrm>
          <a:off x="1265464" y="38957250"/>
          <a:ext cx="575717" cy="429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530860</xdr:colOff>
      <xdr:row>228</xdr:row>
      <xdr:rowOff>70778</xdr:rowOff>
    </xdr:from>
    <xdr:to>
      <xdr:col>1</xdr:col>
      <xdr:colOff>530860</xdr:colOff>
      <xdr:row>234</xdr:row>
      <xdr:rowOff>6024</xdr:rowOff>
    </xdr:to>
    <xdr:cxnSp macro="">
      <xdr:nvCxnSpPr>
        <xdr:cNvPr id="288" name="Gerade Verbindung mit Pfeil 287">
          <a:extLst>
            <a:ext uri="{FF2B5EF4-FFF2-40B4-BE49-F238E27FC236}">
              <a16:creationId xmlns:a16="http://schemas.microsoft.com/office/drawing/2014/main" id="{33BF8919-E250-4BB6-8530-5CD40966F287}"/>
            </a:ext>
          </a:extLst>
        </xdr:cNvPr>
        <xdr:cNvCxnSpPr/>
      </xdr:nvCxnSpPr>
      <xdr:spPr>
        <a:xfrm>
          <a:off x="1292860" y="42814561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36484</xdr:colOff>
      <xdr:row>229</xdr:row>
      <xdr:rowOff>188330</xdr:rowOff>
    </xdr:from>
    <xdr:to>
      <xdr:col>1</xdr:col>
      <xdr:colOff>748897</xdr:colOff>
      <xdr:row>231</xdr:row>
      <xdr:rowOff>167749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20D41A9B-C72D-4EAB-92F4-0904A11BED03}"/>
            </a:ext>
          </a:extLst>
        </xdr:cNvPr>
        <xdr:cNvSpPr txBox="1"/>
      </xdr:nvSpPr>
      <xdr:spPr>
        <a:xfrm>
          <a:off x="798484" y="48942723"/>
          <a:ext cx="712413" cy="387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291920</xdr:colOff>
      <xdr:row>225</xdr:row>
      <xdr:rowOff>104913</xdr:rowOff>
    </xdr:from>
    <xdr:to>
      <xdr:col>2</xdr:col>
      <xdr:colOff>446528</xdr:colOff>
      <xdr:row>226</xdr:row>
      <xdr:rowOff>138043</xdr:rowOff>
    </xdr:to>
    <xdr:sp macro="" textlink="">
      <xdr:nvSpPr>
        <xdr:cNvPr id="290" name="Pfeil: nach oben 289">
          <a:extLst>
            <a:ext uri="{FF2B5EF4-FFF2-40B4-BE49-F238E27FC236}">
              <a16:creationId xmlns:a16="http://schemas.microsoft.com/office/drawing/2014/main" id="{F1410EA6-A850-4B99-90F7-A7CFE196DEF4}"/>
            </a:ext>
          </a:extLst>
        </xdr:cNvPr>
        <xdr:cNvSpPr/>
      </xdr:nvSpPr>
      <xdr:spPr>
        <a:xfrm>
          <a:off x="1815920" y="42302043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544286</xdr:colOff>
      <xdr:row>225</xdr:row>
      <xdr:rowOff>13607</xdr:rowOff>
    </xdr:from>
    <xdr:to>
      <xdr:col>2</xdr:col>
      <xdr:colOff>316353</xdr:colOff>
      <xdr:row>227</xdr:row>
      <xdr:rowOff>47349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03072BE-3927-4B6D-B924-0C8F93B116C9}"/>
            </a:ext>
          </a:extLst>
        </xdr:cNvPr>
        <xdr:cNvSpPr txBox="1"/>
      </xdr:nvSpPr>
      <xdr:spPr>
        <a:xfrm>
          <a:off x="1306286" y="47924357"/>
          <a:ext cx="534067" cy="455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508773</xdr:colOff>
      <xdr:row>271</xdr:row>
      <xdr:rowOff>148083</xdr:rowOff>
    </xdr:from>
    <xdr:to>
      <xdr:col>1</xdr:col>
      <xdr:colOff>508773</xdr:colOff>
      <xdr:row>277</xdr:row>
      <xdr:rowOff>83328</xdr:rowOff>
    </xdr:to>
    <xdr:cxnSp macro="">
      <xdr:nvCxnSpPr>
        <xdr:cNvPr id="296" name="Gerade Verbindung mit Pfeil 295">
          <a:extLst>
            <a:ext uri="{FF2B5EF4-FFF2-40B4-BE49-F238E27FC236}">
              <a16:creationId xmlns:a16="http://schemas.microsoft.com/office/drawing/2014/main" id="{1328C720-FE39-40DC-9851-A6E29511DF01}"/>
            </a:ext>
          </a:extLst>
        </xdr:cNvPr>
        <xdr:cNvCxnSpPr/>
      </xdr:nvCxnSpPr>
      <xdr:spPr>
        <a:xfrm>
          <a:off x="1270773" y="50876300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789</xdr:colOff>
      <xdr:row>273</xdr:row>
      <xdr:rowOff>102349</xdr:rowOff>
    </xdr:from>
    <xdr:to>
      <xdr:col>1</xdr:col>
      <xdr:colOff>719552</xdr:colOff>
      <xdr:row>275</xdr:row>
      <xdr:rowOff>81768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8F9B733C-289E-436C-8E2B-00CFC0E240E5}"/>
            </a:ext>
          </a:extLst>
        </xdr:cNvPr>
        <xdr:cNvSpPr txBox="1"/>
      </xdr:nvSpPr>
      <xdr:spPr>
        <a:xfrm>
          <a:off x="762789" y="57987135"/>
          <a:ext cx="718763" cy="40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>
              <a:solidFill>
                <a:srgbClr val="00B0F0"/>
              </a:solidFill>
            </a:rPr>
            <a:t>U</a:t>
          </a:r>
          <a:r>
            <a:rPr lang="de-CH" sz="16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269833</xdr:colOff>
      <xdr:row>268</xdr:row>
      <xdr:rowOff>182217</xdr:rowOff>
    </xdr:from>
    <xdr:to>
      <xdr:col>2</xdr:col>
      <xdr:colOff>424441</xdr:colOff>
      <xdr:row>270</xdr:row>
      <xdr:rowOff>33130</xdr:rowOff>
    </xdr:to>
    <xdr:sp macro="" textlink="">
      <xdr:nvSpPr>
        <xdr:cNvPr id="298" name="Pfeil: nach oben 297">
          <a:extLst>
            <a:ext uri="{FF2B5EF4-FFF2-40B4-BE49-F238E27FC236}">
              <a16:creationId xmlns:a16="http://schemas.microsoft.com/office/drawing/2014/main" id="{A154736E-E81A-4FB7-B8F1-FF3086923150}"/>
            </a:ext>
          </a:extLst>
        </xdr:cNvPr>
        <xdr:cNvSpPr/>
      </xdr:nvSpPr>
      <xdr:spPr>
        <a:xfrm>
          <a:off x="1793833" y="50363782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462643</xdr:colOff>
      <xdr:row>268</xdr:row>
      <xdr:rowOff>81643</xdr:rowOff>
    </xdr:from>
    <xdr:to>
      <xdr:col>2</xdr:col>
      <xdr:colOff>294266</xdr:colOff>
      <xdr:row>270</xdr:row>
      <xdr:rowOff>124653</xdr:rowOff>
    </xdr:to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CB4C7DB5-A4E5-4034-897F-6AE2311B85CF}"/>
            </a:ext>
          </a:extLst>
        </xdr:cNvPr>
        <xdr:cNvSpPr txBox="1"/>
      </xdr:nvSpPr>
      <xdr:spPr>
        <a:xfrm>
          <a:off x="1224643" y="56932286"/>
          <a:ext cx="593623" cy="451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aseline="0">
              <a:solidFill>
                <a:srgbClr val="FF0000"/>
              </a:solidFill>
            </a:rPr>
            <a:t>I</a:t>
          </a:r>
          <a:r>
            <a:rPr lang="de-CH" sz="16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692150</xdr:colOff>
      <xdr:row>111</xdr:row>
      <xdr:rowOff>153982</xdr:rowOff>
    </xdr:from>
    <xdr:to>
      <xdr:col>12</xdr:col>
      <xdr:colOff>711200</xdr:colOff>
      <xdr:row>112</xdr:row>
      <xdr:rowOff>1582</xdr:rowOff>
    </xdr:to>
    <xdr:cxnSp macro="">
      <xdr:nvCxnSpPr>
        <xdr:cNvPr id="313" name="Gerader Verbinder 312">
          <a:extLst>
            <a:ext uri="{FF2B5EF4-FFF2-40B4-BE49-F238E27FC236}">
              <a16:creationId xmlns:a16="http://schemas.microsoft.com/office/drawing/2014/main" id="{19AF9F94-8328-CF17-7274-986CD7DFA080}"/>
            </a:ext>
          </a:extLst>
        </xdr:cNvPr>
        <xdr:cNvCxnSpPr/>
      </xdr:nvCxnSpPr>
      <xdr:spPr>
        <a:xfrm flipH="1" flipV="1">
          <a:off x="1454150" y="23125107"/>
          <a:ext cx="8401050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111</xdr:row>
      <xdr:rowOff>114300</xdr:rowOff>
    </xdr:from>
    <xdr:to>
      <xdr:col>6</xdr:col>
      <xdr:colOff>165100</xdr:colOff>
      <xdr:row>112</xdr:row>
      <xdr:rowOff>12701</xdr:rowOff>
    </xdr:to>
    <xdr:sp macro="" textlink="">
      <xdr:nvSpPr>
        <xdr:cNvPr id="314" name="Ellipse 313">
          <a:extLst>
            <a:ext uri="{FF2B5EF4-FFF2-40B4-BE49-F238E27FC236}">
              <a16:creationId xmlns:a16="http://schemas.microsoft.com/office/drawing/2014/main" id="{E6CB9E18-BF70-904C-AEA8-B50E029E19EF}"/>
            </a:ext>
          </a:extLst>
        </xdr:cNvPr>
        <xdr:cNvSpPr/>
      </xdr:nvSpPr>
      <xdr:spPr>
        <a:xfrm>
          <a:off x="4648200" y="23647400"/>
          <a:ext cx="88900" cy="9525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660400</xdr:colOff>
      <xdr:row>111</xdr:row>
      <xdr:rowOff>119743</xdr:rowOff>
    </xdr:from>
    <xdr:to>
      <xdr:col>10</xdr:col>
      <xdr:colOff>749300</xdr:colOff>
      <xdr:row>112</xdr:row>
      <xdr:rowOff>18144</xdr:rowOff>
    </xdr:to>
    <xdr:sp macro="" textlink="">
      <xdr:nvSpPr>
        <xdr:cNvPr id="332" name="Ellipse 331">
          <a:extLst>
            <a:ext uri="{FF2B5EF4-FFF2-40B4-BE49-F238E27FC236}">
              <a16:creationId xmlns:a16="http://schemas.microsoft.com/office/drawing/2014/main" id="{6E3A6A7D-3C60-B4C4-4EB5-AF4B036EA643}"/>
            </a:ext>
          </a:extLst>
        </xdr:cNvPr>
        <xdr:cNvSpPr/>
      </xdr:nvSpPr>
      <xdr:spPr>
        <a:xfrm>
          <a:off x="8280400" y="23563943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656771</xdr:colOff>
      <xdr:row>111</xdr:row>
      <xdr:rowOff>152400</xdr:rowOff>
    </xdr:from>
    <xdr:to>
      <xdr:col>12</xdr:col>
      <xdr:colOff>745671</xdr:colOff>
      <xdr:row>112</xdr:row>
      <xdr:rowOff>50801</xdr:rowOff>
    </xdr:to>
    <xdr:sp macro="" textlink="">
      <xdr:nvSpPr>
        <xdr:cNvPr id="333" name="Ellipse 332">
          <a:extLst>
            <a:ext uri="{FF2B5EF4-FFF2-40B4-BE49-F238E27FC236}">
              <a16:creationId xmlns:a16="http://schemas.microsoft.com/office/drawing/2014/main" id="{F189DBA0-5D9A-7849-BB6D-068C6D98CA39}"/>
            </a:ext>
          </a:extLst>
        </xdr:cNvPr>
        <xdr:cNvSpPr/>
      </xdr:nvSpPr>
      <xdr:spPr>
        <a:xfrm>
          <a:off x="9800771" y="23596600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330128</xdr:colOff>
      <xdr:row>15</xdr:row>
      <xdr:rowOff>284501</xdr:rowOff>
    </xdr:from>
    <xdr:to>
      <xdr:col>12</xdr:col>
      <xdr:colOff>430020</xdr:colOff>
      <xdr:row>16</xdr:row>
      <xdr:rowOff>74337</xdr:rowOff>
    </xdr:to>
    <xdr:sp macro="" textlink="">
      <xdr:nvSpPr>
        <xdr:cNvPr id="150" name="Ellipse 149">
          <a:extLst>
            <a:ext uri="{FF2B5EF4-FFF2-40B4-BE49-F238E27FC236}">
              <a16:creationId xmlns:a16="http://schemas.microsoft.com/office/drawing/2014/main" id="{DE367366-5C5F-32EF-4C47-3209D4B739F5}"/>
            </a:ext>
          </a:extLst>
        </xdr:cNvPr>
        <xdr:cNvSpPr/>
      </xdr:nvSpPr>
      <xdr:spPr>
        <a:xfrm>
          <a:off x="9474128" y="4164685"/>
          <a:ext cx="9989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518790</xdr:colOff>
      <xdr:row>15</xdr:row>
      <xdr:rowOff>289515</xdr:rowOff>
    </xdr:from>
    <xdr:to>
      <xdr:col>13</xdr:col>
      <xdr:colOff>612332</xdr:colOff>
      <xdr:row>16</xdr:row>
      <xdr:rowOff>79351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BCCAD656-3D18-00B8-D836-7465A6F38C3C}"/>
            </a:ext>
          </a:extLst>
        </xdr:cNvPr>
        <xdr:cNvSpPr/>
      </xdr:nvSpPr>
      <xdr:spPr>
        <a:xfrm>
          <a:off x="10424790" y="4169699"/>
          <a:ext cx="9354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727441</xdr:colOff>
      <xdr:row>3</xdr:row>
      <xdr:rowOff>172829</xdr:rowOff>
    </xdr:from>
    <xdr:to>
      <xdr:col>6</xdr:col>
      <xdr:colOff>58983</xdr:colOff>
      <xdr:row>4</xdr:row>
      <xdr:rowOff>67768</xdr:rowOff>
    </xdr:to>
    <xdr:sp macro="" textlink="">
      <xdr:nvSpPr>
        <xdr:cNvPr id="293" name="Ellipse 292">
          <a:extLst>
            <a:ext uri="{FF2B5EF4-FFF2-40B4-BE49-F238E27FC236}">
              <a16:creationId xmlns:a16="http://schemas.microsoft.com/office/drawing/2014/main" id="{22CDDD38-3204-8B35-B88C-5D68FC2E3E24}"/>
            </a:ext>
          </a:extLst>
        </xdr:cNvPr>
        <xdr:cNvSpPr/>
      </xdr:nvSpPr>
      <xdr:spPr>
        <a:xfrm>
          <a:off x="4537441" y="901984"/>
          <a:ext cx="93542" cy="9200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730616</xdr:colOff>
      <xdr:row>3</xdr:row>
      <xdr:rowOff>159691</xdr:rowOff>
    </xdr:from>
    <xdr:to>
      <xdr:col>5</xdr:col>
      <xdr:colOff>58983</xdr:colOff>
      <xdr:row>4</xdr:row>
      <xdr:rowOff>51455</xdr:rowOff>
    </xdr:to>
    <xdr:sp macro="" textlink="">
      <xdr:nvSpPr>
        <xdr:cNvPr id="300" name="Ellipse 299">
          <a:extLst>
            <a:ext uri="{FF2B5EF4-FFF2-40B4-BE49-F238E27FC236}">
              <a16:creationId xmlns:a16="http://schemas.microsoft.com/office/drawing/2014/main" id="{200CFCCA-5AE6-05FB-77E4-681D583B78C8}"/>
            </a:ext>
          </a:extLst>
        </xdr:cNvPr>
        <xdr:cNvSpPr/>
      </xdr:nvSpPr>
      <xdr:spPr>
        <a:xfrm>
          <a:off x="3778616" y="888846"/>
          <a:ext cx="90367" cy="8883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742854</xdr:colOff>
      <xdr:row>15</xdr:row>
      <xdr:rowOff>190499</xdr:rowOff>
    </xdr:from>
    <xdr:to>
      <xdr:col>10</xdr:col>
      <xdr:colOff>92075</xdr:colOff>
      <xdr:row>16</xdr:row>
      <xdr:rowOff>62877</xdr:rowOff>
    </xdr:to>
    <xdr:sp macro="" textlink="">
      <xdr:nvSpPr>
        <xdr:cNvPr id="60" name="Ellipse 59">
          <a:extLst>
            <a:ext uri="{FF2B5EF4-FFF2-40B4-BE49-F238E27FC236}">
              <a16:creationId xmlns:a16="http://schemas.microsoft.com/office/drawing/2014/main" id="{91091990-449F-3D28-C293-AD9F70AFD940}"/>
            </a:ext>
          </a:extLst>
        </xdr:cNvPr>
        <xdr:cNvSpPr/>
      </xdr:nvSpPr>
      <xdr:spPr>
        <a:xfrm>
          <a:off x="7600854" y="4435928"/>
          <a:ext cx="111221" cy="7648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709394</xdr:colOff>
      <xdr:row>3</xdr:row>
      <xdr:rowOff>190500</xdr:rowOff>
    </xdr:from>
    <xdr:to>
      <xdr:col>11</xdr:col>
      <xdr:colOff>55440</xdr:colOff>
      <xdr:row>4</xdr:row>
      <xdr:rowOff>66053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3E8292C-173F-648B-4C70-7E7FF3F7EF5C}"/>
            </a:ext>
          </a:extLst>
        </xdr:cNvPr>
        <xdr:cNvSpPr/>
      </xdr:nvSpPr>
      <xdr:spPr>
        <a:xfrm>
          <a:off x="8329394" y="923192"/>
          <a:ext cx="108046" cy="7338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718039</xdr:colOff>
      <xdr:row>27</xdr:row>
      <xdr:rowOff>417635</xdr:rowOff>
    </xdr:from>
    <xdr:to>
      <xdr:col>13</xdr:col>
      <xdr:colOff>62281</xdr:colOff>
      <xdr:row>28</xdr:row>
      <xdr:rowOff>53606</xdr:rowOff>
    </xdr:to>
    <xdr:sp macro="" textlink="">
      <xdr:nvSpPr>
        <xdr:cNvPr id="301" name="Ellipse 300">
          <a:extLst>
            <a:ext uri="{FF2B5EF4-FFF2-40B4-BE49-F238E27FC236}">
              <a16:creationId xmlns:a16="http://schemas.microsoft.com/office/drawing/2014/main" id="{E909EC2C-3A5B-5642-2406-5EDA22D3E5F4}"/>
            </a:ext>
          </a:extLst>
        </xdr:cNvPr>
        <xdr:cNvSpPr/>
      </xdr:nvSpPr>
      <xdr:spPr>
        <a:xfrm>
          <a:off x="9862039" y="9847385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703385</xdr:colOff>
      <xdr:row>39</xdr:row>
      <xdr:rowOff>131885</xdr:rowOff>
    </xdr:from>
    <xdr:to>
      <xdr:col>5</xdr:col>
      <xdr:colOff>47627</xdr:colOff>
      <xdr:row>39</xdr:row>
      <xdr:rowOff>214798</xdr:rowOff>
    </xdr:to>
    <xdr:sp macro="" textlink="">
      <xdr:nvSpPr>
        <xdr:cNvPr id="302" name="Ellipse 301">
          <a:extLst>
            <a:ext uri="{FF2B5EF4-FFF2-40B4-BE49-F238E27FC236}">
              <a16:creationId xmlns:a16="http://schemas.microsoft.com/office/drawing/2014/main" id="{278BA440-586D-5C8C-ACC1-C4DE6CE926B4}"/>
            </a:ext>
          </a:extLst>
        </xdr:cNvPr>
        <xdr:cNvSpPr/>
      </xdr:nvSpPr>
      <xdr:spPr>
        <a:xfrm>
          <a:off x="3751385" y="14924943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692884</xdr:colOff>
      <xdr:row>39</xdr:row>
      <xdr:rowOff>139212</xdr:rowOff>
    </xdr:from>
    <xdr:to>
      <xdr:col>13</xdr:col>
      <xdr:colOff>43476</xdr:colOff>
      <xdr:row>39</xdr:row>
      <xdr:rowOff>218950</xdr:rowOff>
    </xdr:to>
    <xdr:sp macro="" textlink="">
      <xdr:nvSpPr>
        <xdr:cNvPr id="303" name="Ellipse 302">
          <a:extLst>
            <a:ext uri="{FF2B5EF4-FFF2-40B4-BE49-F238E27FC236}">
              <a16:creationId xmlns:a16="http://schemas.microsoft.com/office/drawing/2014/main" id="{7F2DB4EF-7D64-14AD-3E4B-44469E1BC325}"/>
            </a:ext>
          </a:extLst>
        </xdr:cNvPr>
        <xdr:cNvSpPr/>
      </xdr:nvSpPr>
      <xdr:spPr>
        <a:xfrm>
          <a:off x="9836884" y="14932270"/>
          <a:ext cx="112592" cy="7973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696058</xdr:colOff>
      <xdr:row>39</xdr:row>
      <xdr:rowOff>117231</xdr:rowOff>
    </xdr:from>
    <xdr:to>
      <xdr:col>11</xdr:col>
      <xdr:colOff>43475</xdr:colOff>
      <xdr:row>39</xdr:row>
      <xdr:rowOff>203319</xdr:rowOff>
    </xdr:to>
    <xdr:sp macro="" textlink="">
      <xdr:nvSpPr>
        <xdr:cNvPr id="304" name="Ellipse 303">
          <a:extLst>
            <a:ext uri="{FF2B5EF4-FFF2-40B4-BE49-F238E27FC236}">
              <a16:creationId xmlns:a16="http://schemas.microsoft.com/office/drawing/2014/main" id="{76195015-FDA5-7FE8-56E7-C03FF2AD4DE9}"/>
            </a:ext>
          </a:extLst>
        </xdr:cNvPr>
        <xdr:cNvSpPr/>
      </xdr:nvSpPr>
      <xdr:spPr>
        <a:xfrm>
          <a:off x="8316058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732693</xdr:colOff>
      <xdr:row>39</xdr:row>
      <xdr:rowOff>109904</xdr:rowOff>
    </xdr:from>
    <xdr:to>
      <xdr:col>10</xdr:col>
      <xdr:colOff>80110</xdr:colOff>
      <xdr:row>39</xdr:row>
      <xdr:rowOff>195992</xdr:rowOff>
    </xdr:to>
    <xdr:sp macro="" textlink="">
      <xdr:nvSpPr>
        <xdr:cNvPr id="305" name="Ellipse 304">
          <a:extLst>
            <a:ext uri="{FF2B5EF4-FFF2-40B4-BE49-F238E27FC236}">
              <a16:creationId xmlns:a16="http://schemas.microsoft.com/office/drawing/2014/main" id="{8381E6AD-78CC-BBAD-2F59-403FC5151E14}"/>
            </a:ext>
          </a:extLst>
        </xdr:cNvPr>
        <xdr:cNvSpPr/>
      </xdr:nvSpPr>
      <xdr:spPr>
        <a:xfrm>
          <a:off x="7590693" y="14902962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718039</xdr:colOff>
      <xdr:row>39</xdr:row>
      <xdr:rowOff>117231</xdr:rowOff>
    </xdr:from>
    <xdr:to>
      <xdr:col>6</xdr:col>
      <xdr:colOff>65456</xdr:colOff>
      <xdr:row>39</xdr:row>
      <xdr:rowOff>203319</xdr:rowOff>
    </xdr:to>
    <xdr:sp macro="" textlink="">
      <xdr:nvSpPr>
        <xdr:cNvPr id="306" name="Ellipse 305">
          <a:extLst>
            <a:ext uri="{FF2B5EF4-FFF2-40B4-BE49-F238E27FC236}">
              <a16:creationId xmlns:a16="http://schemas.microsoft.com/office/drawing/2014/main" id="{A99482C0-BF57-B1AC-3C53-5BEF5CD93B7F}"/>
            </a:ext>
          </a:extLst>
        </xdr:cNvPr>
        <xdr:cNvSpPr/>
      </xdr:nvSpPr>
      <xdr:spPr>
        <a:xfrm>
          <a:off x="4528039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7"/>
  <sheetViews>
    <sheetView workbookViewId="0">
      <selection activeCell="C17" sqref="C17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45758</v>
      </c>
      <c r="C12" s="90" t="s">
        <v>198</v>
      </c>
    </row>
    <row r="13" spans="2:4" x14ac:dyDescent="0.35">
      <c r="B13" s="89">
        <v>45772</v>
      </c>
      <c r="C13" s="90" t="s">
        <v>352</v>
      </c>
    </row>
    <row r="14" spans="2:4" x14ac:dyDescent="0.35">
      <c r="B14" s="89">
        <v>45812</v>
      </c>
      <c r="C14" s="90" t="s">
        <v>350</v>
      </c>
    </row>
    <row r="15" spans="2:4" x14ac:dyDescent="0.35">
      <c r="B15" s="89">
        <v>45786</v>
      </c>
      <c r="C15" s="90" t="s">
        <v>252</v>
      </c>
    </row>
    <row r="16" spans="2:4" x14ac:dyDescent="0.35">
      <c r="B16" s="89">
        <v>45788</v>
      </c>
      <c r="C16" s="90" t="s">
        <v>331</v>
      </c>
    </row>
    <row r="17" spans="2:3" x14ac:dyDescent="0.35">
      <c r="B17" s="89">
        <v>45799</v>
      </c>
      <c r="C17" s="90" t="s">
        <v>342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5" location="Schiefeebene!A1" display="Schiefe Ebene" xr:uid="{ED253B79-5E32-4C6D-BC31-035CD76A77DC}"/>
    <hyperlink ref="C16" location="Sinus_Cosinus!A1" display="Sinus/Cosinus/Tangens" xr:uid="{9C72A74A-3681-4E08-BF54-03C3D64D9F80}"/>
    <hyperlink ref="C17" location="'Gemischte Schaltung'!A1" display="Gemischte Schaltungen" xr:uid="{F171CD12-4FA4-4323-8CBC-376135E9CBCD}"/>
    <hyperlink ref="C14" location="Vektor!A1" display="Vektor" xr:uid="{1D9A0842-7145-4C54-B55F-840F1885E41F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/>
  </sheetViews>
  <sheetFormatPr baseColWidth="10" defaultRowHeight="14.5" x14ac:dyDescent="0.35"/>
  <cols>
    <col min="2" max="2" width="26.90625" customWidth="1"/>
    <col min="8" max="8" width="13.1796875" customWidth="1"/>
    <col min="9" max="9" width="15.45312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221" t="s">
        <v>26</v>
      </c>
      <c r="D4" s="222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223" t="s">
        <v>27</v>
      </c>
      <c r="D5" s="224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219" t="s">
        <v>1</v>
      </c>
      <c r="D8" s="220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217" t="s">
        <v>24</v>
      </c>
      <c r="D9" s="217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218" t="s">
        <v>29</v>
      </c>
      <c r="D10" s="218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218" t="s">
        <v>56</v>
      </c>
      <c r="D11" s="218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236" t="str">
        <f>$O$8</f>
        <v>Anfangs-Geschwindigkeit</v>
      </c>
      <c r="D6" s="237"/>
      <c r="E6" s="240" t="str">
        <f>$O$9</f>
        <v>Geschwindigkeit</v>
      </c>
      <c r="F6" s="237"/>
      <c r="G6" s="240" t="str">
        <f>$O$10</f>
        <v>Strecke</v>
      </c>
      <c r="H6" s="237"/>
      <c r="I6" s="240" t="str">
        <f>$O$11</f>
        <v>Zeit</v>
      </c>
      <c r="J6" s="237"/>
      <c r="K6" s="240" t="str">
        <f>$O$12</f>
        <v>Beschleunigung</v>
      </c>
      <c r="L6" s="241"/>
    </row>
    <row r="7" spans="1:19" ht="15" thickBot="1" x14ac:dyDescent="0.4">
      <c r="B7" s="28" t="s">
        <v>43</v>
      </c>
      <c r="C7" s="238" t="str">
        <f>$P$8</f>
        <v>v0 [m/s]</v>
      </c>
      <c r="D7" s="239"/>
      <c r="E7" s="242" t="str">
        <f>$P$9</f>
        <v>v [m/s]</v>
      </c>
      <c r="F7" s="239"/>
      <c r="G7" s="242" t="str">
        <f>$P$10</f>
        <v>s [m]</v>
      </c>
      <c r="H7" s="239"/>
      <c r="I7" s="242" t="str">
        <f>$P$11</f>
        <v>t [s]</v>
      </c>
      <c r="J7" s="239"/>
      <c r="K7" s="242" t="str">
        <f>$P$12</f>
        <v>a [m/s2]</v>
      </c>
      <c r="L7" s="243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230">
        <v>119</v>
      </c>
      <c r="H8" s="231"/>
      <c r="I8" s="230">
        <v>7</v>
      </c>
      <c r="J8" s="231"/>
      <c r="K8" s="230">
        <v>2</v>
      </c>
      <c r="L8" s="235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227">
        <v>24</v>
      </c>
      <c r="F9" s="228"/>
      <c r="G9" s="31" t="s">
        <v>83</v>
      </c>
      <c r="H9" s="31">
        <f>E9*I9 - K9*I9^2/2</f>
        <v>119</v>
      </c>
      <c r="I9" s="227">
        <v>7</v>
      </c>
      <c r="J9" s="228"/>
      <c r="K9" s="227">
        <v>2</v>
      </c>
      <c r="L9" s="233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227">
        <v>24</v>
      </c>
      <c r="F10" s="228"/>
      <c r="G10" s="227">
        <v>119</v>
      </c>
      <c r="H10" s="228"/>
      <c r="I10" s="31" t="s">
        <v>84</v>
      </c>
      <c r="J10" s="31">
        <f>(E10 - SQRT(E10^2 - 2*K10*G10))/K10</f>
        <v>7</v>
      </c>
      <c r="K10" s="227">
        <v>2</v>
      </c>
      <c r="L10" s="233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227">
        <v>24</v>
      </c>
      <c r="F11" s="228"/>
      <c r="G11" s="227">
        <v>119</v>
      </c>
      <c r="H11" s="228"/>
      <c r="I11" s="227">
        <v>7</v>
      </c>
      <c r="J11" s="228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232">
        <v>10</v>
      </c>
      <c r="D12" s="228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227">
        <v>7</v>
      </c>
      <c r="J12" s="228"/>
      <c r="K12" s="227">
        <v>2</v>
      </c>
      <c r="L12" s="233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232">
        <v>10</v>
      </c>
      <c r="D13" s="228"/>
      <c r="E13" s="31" t="s">
        <v>88</v>
      </c>
      <c r="F13" s="31">
        <f>SQRT(C13^2 + 2*K13*G13)</f>
        <v>24</v>
      </c>
      <c r="G13" s="227">
        <v>119</v>
      </c>
      <c r="H13" s="228"/>
      <c r="I13" s="37" t="s">
        <v>62</v>
      </c>
      <c r="J13" s="31">
        <f xml:space="preserve"> (-C13 + SQRT(C13^2 + 2*K13*G13))/K13</f>
        <v>7</v>
      </c>
      <c r="K13" s="225">
        <v>2</v>
      </c>
      <c r="L13" s="233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232">
        <v>10</v>
      </c>
      <c r="D14" s="228"/>
      <c r="E14" s="31" t="s">
        <v>89</v>
      </c>
      <c r="F14" s="31">
        <f>2*G14/I14 - C14</f>
        <v>24</v>
      </c>
      <c r="G14" s="227">
        <v>119</v>
      </c>
      <c r="H14" s="228"/>
      <c r="I14" s="227">
        <v>7</v>
      </c>
      <c r="J14" s="234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232">
        <v>10</v>
      </c>
      <c r="D15" s="228"/>
      <c r="E15" s="227">
        <v>24</v>
      </c>
      <c r="F15" s="228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227">
        <v>2</v>
      </c>
      <c r="L15" s="233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232">
        <v>10</v>
      </c>
      <c r="D16" s="228"/>
      <c r="E16" s="227">
        <v>24</v>
      </c>
      <c r="F16" s="228"/>
      <c r="G16" s="31" t="s">
        <v>91</v>
      </c>
      <c r="H16" s="31">
        <f>(C16+E16)*I16/2</f>
        <v>119</v>
      </c>
      <c r="I16" s="227">
        <v>7</v>
      </c>
      <c r="J16" s="228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229">
        <v>10</v>
      </c>
      <c r="D17" s="226"/>
      <c r="E17" s="225">
        <v>24</v>
      </c>
      <c r="F17" s="226"/>
      <c r="G17" s="225">
        <v>119</v>
      </c>
      <c r="H17" s="226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244" t="str">
        <f>P13</f>
        <v>ω0 [rad/s]</v>
      </c>
      <c r="D18" s="245"/>
      <c r="E18" s="246" t="str">
        <f>P14</f>
        <v>ω [rad/s]</v>
      </c>
      <c r="F18" s="245"/>
      <c r="G18" s="246" t="str">
        <f>P15</f>
        <v>φ [rad]</v>
      </c>
      <c r="H18" s="245"/>
      <c r="I18" s="246" t="str">
        <f>P16</f>
        <v>t [s]</v>
      </c>
      <c r="J18" s="245"/>
      <c r="K18" s="246" t="str">
        <f>P17</f>
        <v>α [rad/s2]</v>
      </c>
      <c r="L18" s="247"/>
    </row>
    <row r="19" spans="1:16" ht="29" customHeight="1" thickBot="1" x14ac:dyDescent="0.4">
      <c r="C19" s="248" t="str">
        <f>O13</f>
        <v>Anfangs-Winkelgeschwindigkeit</v>
      </c>
      <c r="D19" s="249"/>
      <c r="E19" s="250" t="str">
        <f>O14</f>
        <v>Winkelgeschwindigkeit</v>
      </c>
      <c r="F19" s="249"/>
      <c r="G19" s="250" t="str">
        <f>O15</f>
        <v>Winkel</v>
      </c>
      <c r="H19" s="249"/>
      <c r="I19" s="250" t="str">
        <f>O16</f>
        <v>Zeit</v>
      </c>
      <c r="J19" s="249"/>
      <c r="K19" s="250" t="str">
        <f>O17</f>
        <v>Winkelbeschleunigung</v>
      </c>
      <c r="L19" s="251"/>
    </row>
  </sheetData>
  <mergeCells count="50">
    <mergeCell ref="C19:D19"/>
    <mergeCell ref="E19:F19"/>
    <mergeCell ref="G19:H19"/>
    <mergeCell ref="I19:J19"/>
    <mergeCell ref="K19:L19"/>
    <mergeCell ref="C18:D18"/>
    <mergeCell ref="E18:F18"/>
    <mergeCell ref="G18:H18"/>
    <mergeCell ref="I18:J18"/>
    <mergeCell ref="K18:L18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C6A7-D9CA-45C9-B9AD-2FD5B66265AC}">
  <sheetPr>
    <pageSetUpPr fitToPage="1"/>
  </sheetPr>
  <dimension ref="C1:AY21"/>
  <sheetViews>
    <sheetView showGridLines="0" zoomScale="40" zoomScaleNormal="40" workbookViewId="0"/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218" t="s">
        <v>81</v>
      </c>
      <c r="S7" s="218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252"/>
      <c r="D11" s="252"/>
      <c r="E11" s="252"/>
      <c r="F11" s="252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253" t="s">
        <v>67</v>
      </c>
      <c r="D12" s="253"/>
      <c r="E12" s="253"/>
      <c r="F12" s="253"/>
      <c r="G12" s="47"/>
      <c r="H12" s="47"/>
      <c r="J12" s="57" t="s">
        <v>70</v>
      </c>
      <c r="K12" s="38">
        <v>270</v>
      </c>
      <c r="L12" s="254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4.7123889803846897</v>
      </c>
      <c r="L13" s="255"/>
      <c r="M13" s="64">
        <f>PI()*M12/180</f>
        <v>0</v>
      </c>
      <c r="N13" s="64">
        <f t="shared" ref="N13:AY13" si="2">PI()*N12/180</f>
        <v>0.26179938779914941</v>
      </c>
      <c r="O13" s="64">
        <f t="shared" si="2"/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0.25881904510252074</v>
      </c>
      <c r="O14" s="54">
        <f t="shared" si="3"/>
        <v>0.49999999999999994</v>
      </c>
      <c r="P14" s="54">
        <f t="shared" si="3"/>
        <v>0.70710678118654746</v>
      </c>
      <c r="Q14" s="54">
        <f t="shared" si="3"/>
        <v>0.8660254037844386</v>
      </c>
      <c r="R14" s="54">
        <f t="shared" si="3"/>
        <v>0.96592582628906831</v>
      </c>
      <c r="S14" s="54">
        <f t="shared" si="3"/>
        <v>1</v>
      </c>
      <c r="T14" s="54">
        <f t="shared" si="3"/>
        <v>0.96592582628906831</v>
      </c>
      <c r="U14" s="54">
        <f t="shared" si="3"/>
        <v>0.86602540378443871</v>
      </c>
      <c r="V14" s="54">
        <f t="shared" si="3"/>
        <v>0.70710678118654757</v>
      </c>
      <c r="W14" s="54">
        <f t="shared" si="3"/>
        <v>0.49999999999999994</v>
      </c>
      <c r="X14" s="54">
        <f t="shared" si="3"/>
        <v>0.25881904510252102</v>
      </c>
      <c r="Y14" s="54">
        <f t="shared" si="3"/>
        <v>1.22514845490862E-16</v>
      </c>
      <c r="Z14" s="54">
        <f t="shared" si="3"/>
        <v>-0.25881904510252035</v>
      </c>
      <c r="AA14" s="54">
        <f t="shared" si="3"/>
        <v>-0.50000000000000011</v>
      </c>
      <c r="AB14" s="54">
        <f t="shared" si="3"/>
        <v>-0.70710678118654746</v>
      </c>
      <c r="AC14" s="54">
        <f t="shared" si="3"/>
        <v>-0.86602540378443837</v>
      </c>
      <c r="AD14" s="54">
        <f t="shared" si="3"/>
        <v>-0.96592582628906831</v>
      </c>
      <c r="AE14" s="54">
        <f t="shared" si="3"/>
        <v>-1</v>
      </c>
      <c r="AF14" s="54">
        <f t="shared" si="3"/>
        <v>-0.9659258262890682</v>
      </c>
      <c r="AG14" s="54">
        <f t="shared" si="3"/>
        <v>-0.8660254037844386</v>
      </c>
      <c r="AH14" s="54">
        <f t="shared" si="3"/>
        <v>-0.70710678118654768</v>
      </c>
      <c r="AI14" s="54">
        <f t="shared" si="3"/>
        <v>-0.50000000000000044</v>
      </c>
      <c r="AJ14" s="54">
        <f t="shared" si="3"/>
        <v>-0.25881904510252068</v>
      </c>
      <c r="AK14" s="54">
        <f t="shared" si="3"/>
        <v>-2.45029690981724E-16</v>
      </c>
      <c r="AL14" s="54">
        <f t="shared" si="3"/>
        <v>0.25881904510252024</v>
      </c>
      <c r="AM14" s="54">
        <f t="shared" si="3"/>
        <v>0.49999999999999928</v>
      </c>
      <c r="AN14" s="54">
        <f t="shared" si="3"/>
        <v>0.70710678118654668</v>
      </c>
      <c r="AO14" s="54">
        <f t="shared" si="3"/>
        <v>0.86602540378443882</v>
      </c>
      <c r="AP14" s="54">
        <f t="shared" si="3"/>
        <v>0.96592582628906831</v>
      </c>
      <c r="AQ14" s="54">
        <f t="shared" si="3"/>
        <v>1</v>
      </c>
      <c r="AR14" s="54">
        <f t="shared" si="3"/>
        <v>0.96592582628906842</v>
      </c>
      <c r="AS14" s="54">
        <f t="shared" si="3"/>
        <v>0.86602540378443915</v>
      </c>
      <c r="AT14" s="54">
        <f t="shared" si="3"/>
        <v>0.70710678118654713</v>
      </c>
      <c r="AU14" s="54">
        <f t="shared" si="3"/>
        <v>0.49999999999999978</v>
      </c>
      <c r="AV14" s="54">
        <f t="shared" si="3"/>
        <v>0.25881904510252079</v>
      </c>
      <c r="AW14" s="54">
        <f t="shared" si="3"/>
        <v>3.67544536472586E-16</v>
      </c>
      <c r="AX14" s="54">
        <f t="shared" si="3"/>
        <v>-0.25881904510252185</v>
      </c>
      <c r="AY14" s="54">
        <f t="shared" si="3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0.23570226039551581</v>
      </c>
      <c r="O15" s="55">
        <f t="shared" si="6"/>
        <v>0.33333333333333331</v>
      </c>
      <c r="P15" s="55">
        <f t="shared" si="6"/>
        <v>0.23570226039551584</v>
      </c>
      <c r="Q15" s="55">
        <f t="shared" si="6"/>
        <v>4.083828183028733E-17</v>
      </c>
      <c r="R15" s="55">
        <f t="shared" si="6"/>
        <v>-0.23570226039551581</v>
      </c>
      <c r="S15" s="55">
        <f t="shared" si="6"/>
        <v>-0.33333333333333331</v>
      </c>
      <c r="T15" s="55">
        <f t="shared" si="6"/>
        <v>-0.23570226039551567</v>
      </c>
      <c r="U15" s="55">
        <f t="shared" si="6"/>
        <v>-8.1676563660574659E-17</v>
      </c>
      <c r="V15" s="55">
        <f t="shared" si="6"/>
        <v>0.23570226039551578</v>
      </c>
      <c r="W15" s="55">
        <f t="shared" si="6"/>
        <v>0.33333333333333331</v>
      </c>
      <c r="X15" s="55">
        <f t="shared" si="6"/>
        <v>0.23570226039551612</v>
      </c>
      <c r="Y15" s="55">
        <f t="shared" si="6"/>
        <v>1.22514845490862E-16</v>
      </c>
      <c r="Z15" s="55">
        <f t="shared" si="6"/>
        <v>-0.23570226039551551</v>
      </c>
      <c r="AA15" s="55">
        <f t="shared" si="6"/>
        <v>-0.33333333333333331</v>
      </c>
      <c r="AB15" s="55">
        <f t="shared" si="6"/>
        <v>-0.23570226039551614</v>
      </c>
      <c r="AC15" s="55">
        <f t="shared" si="6"/>
        <v>-1.6335312732114932E-16</v>
      </c>
      <c r="AD15" s="55">
        <f t="shared" si="6"/>
        <v>0.23570226039551592</v>
      </c>
      <c r="AE15" s="55">
        <f t="shared" si="6"/>
        <v>0.33333333333333331</v>
      </c>
      <c r="AF15" s="55">
        <f t="shared" si="6"/>
        <v>0.23570226039551534</v>
      </c>
      <c r="AG15" s="55">
        <f t="shared" si="6"/>
        <v>2.0419140915143666E-16</v>
      </c>
      <c r="AH15" s="55">
        <f t="shared" si="6"/>
        <v>-0.23570226039551589</v>
      </c>
      <c r="AI15" s="55">
        <f t="shared" si="6"/>
        <v>-0.33333333333333331</v>
      </c>
      <c r="AJ15" s="55">
        <f t="shared" si="6"/>
        <v>-0.23570226039551537</v>
      </c>
      <c r="AK15" s="55">
        <f t="shared" si="6"/>
        <v>-2.45029690981724E-16</v>
      </c>
      <c r="AL15" s="55">
        <f t="shared" si="6"/>
        <v>0.23570226039551503</v>
      </c>
      <c r="AM15" s="55">
        <f t="shared" si="6"/>
        <v>0.33333333333333331</v>
      </c>
      <c r="AN15" s="55">
        <f t="shared" si="6"/>
        <v>0.23570226039551623</v>
      </c>
      <c r="AO15" s="55">
        <f t="shared" si="6"/>
        <v>-8.9836992012148897E-16</v>
      </c>
      <c r="AP15" s="55">
        <f t="shared" si="6"/>
        <v>-0.23570226039551584</v>
      </c>
      <c r="AQ15" s="55">
        <f t="shared" si="6"/>
        <v>-0.33333333333333331</v>
      </c>
      <c r="AR15" s="55">
        <f t="shared" si="6"/>
        <v>-0.23570226039551626</v>
      </c>
      <c r="AS15" s="55">
        <f t="shared" si="6"/>
        <v>-3.2670625464229864E-16</v>
      </c>
      <c r="AT15" s="55">
        <f t="shared" si="6"/>
        <v>0.23570226039551662</v>
      </c>
      <c r="AU15" s="55">
        <f t="shared" si="6"/>
        <v>0.33333333333333331</v>
      </c>
      <c r="AV15" s="55">
        <f t="shared" si="6"/>
        <v>0.23570226039551628</v>
      </c>
      <c r="AW15" s="55">
        <f t="shared" si="6"/>
        <v>3.67544536472586E-16</v>
      </c>
      <c r="AX15" s="55">
        <f t="shared" si="6"/>
        <v>-0.23570226039551662</v>
      </c>
      <c r="AY15" s="55">
        <f t="shared" si="6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0.19318516525781365</v>
      </c>
      <c r="O16" s="55">
        <f t="shared" si="7"/>
        <v>0.10000000000000007</v>
      </c>
      <c r="P16" s="55">
        <f t="shared" si="7"/>
        <v>-0.1414213562373095</v>
      </c>
      <c r="Q16" s="55">
        <f t="shared" si="7"/>
        <v>-0.17320508075688781</v>
      </c>
      <c r="R16" s="55">
        <f t="shared" si="7"/>
        <v>5.1763809020504217E-2</v>
      </c>
      <c r="S16" s="55">
        <f t="shared" si="7"/>
        <v>0.2</v>
      </c>
      <c r="T16" s="55">
        <f t="shared" si="7"/>
        <v>5.1763809020504162E-2</v>
      </c>
      <c r="U16" s="55">
        <f t="shared" si="7"/>
        <v>-0.17320508075688756</v>
      </c>
      <c r="V16" s="55">
        <f t="shared" si="7"/>
        <v>-0.1414213562373097</v>
      </c>
      <c r="W16" s="55">
        <f t="shared" si="7"/>
        <v>0.10000000000000012</v>
      </c>
      <c r="X16" s="55">
        <f t="shared" si="7"/>
        <v>0.19318516525781371</v>
      </c>
      <c r="Y16" s="55">
        <f t="shared" si="7"/>
        <v>1.22514845490862E-16</v>
      </c>
      <c r="Z16" s="55">
        <f t="shared" si="7"/>
        <v>-0.19318516525781348</v>
      </c>
      <c r="AA16" s="55">
        <f t="shared" si="7"/>
        <v>-0.10000000000000003</v>
      </c>
      <c r="AB16" s="55">
        <f t="shared" si="7"/>
        <v>0.14142135623730953</v>
      </c>
      <c r="AC16" s="55">
        <f t="shared" si="7"/>
        <v>0.17320508075688806</v>
      </c>
      <c r="AD16" s="55">
        <f t="shared" si="7"/>
        <v>-5.1763809020504273E-2</v>
      </c>
      <c r="AE16" s="55">
        <f t="shared" si="7"/>
        <v>-0.2</v>
      </c>
      <c r="AF16" s="55">
        <f t="shared" si="7"/>
        <v>-5.176380902050394E-2</v>
      </c>
      <c r="AG16" s="55">
        <f t="shared" si="7"/>
        <v>0.1732050807568879</v>
      </c>
      <c r="AH16" s="55">
        <f t="shared" si="7"/>
        <v>0.14142135623730978</v>
      </c>
      <c r="AI16" s="55">
        <f t="shared" si="7"/>
        <v>-9.99999999999997E-2</v>
      </c>
      <c r="AJ16" s="55">
        <f t="shared" si="7"/>
        <v>-0.19318516525781373</v>
      </c>
      <c r="AK16" s="55">
        <f t="shared" si="7"/>
        <v>-2.45029690981724E-16</v>
      </c>
      <c r="AL16" s="55">
        <f t="shared" si="7"/>
        <v>0.1931851652578136</v>
      </c>
      <c r="AM16" s="55">
        <f t="shared" si="7"/>
        <v>0.10000000000000137</v>
      </c>
      <c r="AN16" s="55">
        <f t="shared" si="7"/>
        <v>-0.14142135623730842</v>
      </c>
      <c r="AO16" s="55">
        <f t="shared" si="7"/>
        <v>-0.17320508075688779</v>
      </c>
      <c r="AP16" s="55">
        <f t="shared" si="7"/>
        <v>5.1763809020504148E-2</v>
      </c>
      <c r="AQ16" s="55">
        <f t="shared" si="7"/>
        <v>0.2</v>
      </c>
      <c r="AR16" s="55">
        <f t="shared" si="7"/>
        <v>5.1763809020505439E-2</v>
      </c>
      <c r="AS16" s="55">
        <f t="shared" si="7"/>
        <v>-0.17320508075688712</v>
      </c>
      <c r="AT16" s="55">
        <f t="shared" si="7"/>
        <v>-0.14142135623730936</v>
      </c>
      <c r="AU16" s="55">
        <f t="shared" si="7"/>
        <v>0.10000000000000023</v>
      </c>
      <c r="AV16" s="55">
        <f t="shared" si="7"/>
        <v>0.1931851652578136</v>
      </c>
      <c r="AW16" s="55">
        <f t="shared" si="7"/>
        <v>1.0780872722326862E-15</v>
      </c>
      <c r="AX16" s="55">
        <f t="shared" si="7"/>
        <v>-0.19318516525781415</v>
      </c>
      <c r="AY16" s="55">
        <f t="shared" si="7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0.13798940375558119</v>
      </c>
      <c r="O17" s="55">
        <f t="shared" si="8"/>
        <v>-7.1428571428571383E-2</v>
      </c>
      <c r="P17" s="55">
        <f t="shared" si="8"/>
        <v>-0.1010152544552211</v>
      </c>
      <c r="Q17" s="55">
        <f t="shared" si="8"/>
        <v>0.12371791482634834</v>
      </c>
      <c r="R17" s="55">
        <f t="shared" si="8"/>
        <v>3.697414930036011E-2</v>
      </c>
      <c r="S17" s="55">
        <f t="shared" si="8"/>
        <v>-0.14285714285714285</v>
      </c>
      <c r="T17" s="55">
        <f t="shared" si="8"/>
        <v>3.6974149300360241E-2</v>
      </c>
      <c r="U17" s="55">
        <f t="shared" si="8"/>
        <v>0.12371791482634846</v>
      </c>
      <c r="V17" s="55">
        <f t="shared" si="8"/>
        <v>-0.1010152544552211</v>
      </c>
      <c r="W17" s="55">
        <f t="shared" si="8"/>
        <v>-7.1428571428571438E-2</v>
      </c>
      <c r="X17" s="55">
        <f t="shared" si="8"/>
        <v>0.13798940375558116</v>
      </c>
      <c r="Y17" s="55">
        <f t="shared" si="8"/>
        <v>1.22514845490862E-16</v>
      </c>
      <c r="Z17" s="55">
        <f t="shared" si="8"/>
        <v>-0.13798940375558122</v>
      </c>
      <c r="AA17" s="55">
        <f t="shared" si="8"/>
        <v>7.1428571428571661E-2</v>
      </c>
      <c r="AB17" s="55">
        <f t="shared" si="8"/>
        <v>0.10101525445522126</v>
      </c>
      <c r="AC17" s="55">
        <f t="shared" si="8"/>
        <v>-0.12371791482634821</v>
      </c>
      <c r="AD17" s="55">
        <f t="shared" si="8"/>
        <v>-3.6974149300359985E-2</v>
      </c>
      <c r="AE17" s="55">
        <f t="shared" si="8"/>
        <v>0.14285714285714285</v>
      </c>
      <c r="AF17" s="55">
        <f t="shared" si="8"/>
        <v>-3.6974149300360609E-2</v>
      </c>
      <c r="AG17" s="55">
        <f t="shared" si="8"/>
        <v>-0.12371791482634839</v>
      </c>
      <c r="AH17" s="55">
        <f t="shared" si="8"/>
        <v>0.10101525445522065</v>
      </c>
      <c r="AI17" s="55">
        <f t="shared" si="8"/>
        <v>7.142857142857155E-2</v>
      </c>
      <c r="AJ17" s="55">
        <f t="shared" si="8"/>
        <v>-0.13798940375558125</v>
      </c>
      <c r="AK17" s="55">
        <f t="shared" si="8"/>
        <v>-2.45029690981724E-16</v>
      </c>
      <c r="AL17" s="55">
        <f t="shared" si="8"/>
        <v>0.13798940375558139</v>
      </c>
      <c r="AM17" s="55">
        <f t="shared" si="8"/>
        <v>-7.1428571428571119E-2</v>
      </c>
      <c r="AN17" s="55">
        <f t="shared" si="8"/>
        <v>-0.10101525445522171</v>
      </c>
      <c r="AO17" s="55">
        <f t="shared" si="8"/>
        <v>0.12371791482634865</v>
      </c>
      <c r="AP17" s="55">
        <f t="shared" si="8"/>
        <v>3.6974149300360103E-2</v>
      </c>
      <c r="AQ17" s="55">
        <f t="shared" si="8"/>
        <v>-0.14285714285714285</v>
      </c>
      <c r="AR17" s="55">
        <f t="shared" si="8"/>
        <v>3.6974149300360006E-2</v>
      </c>
      <c r="AS17" s="55">
        <f t="shared" si="8"/>
        <v>0.1237179148263487</v>
      </c>
      <c r="AT17" s="55">
        <f t="shared" si="8"/>
        <v>-0.10101525445522164</v>
      </c>
      <c r="AU17" s="55">
        <f t="shared" si="8"/>
        <v>-7.1428571428571216E-2</v>
      </c>
      <c r="AV17" s="55">
        <f t="shared" si="8"/>
        <v>0.13798940375558111</v>
      </c>
      <c r="AW17" s="55">
        <f t="shared" si="8"/>
        <v>-1.399859890703427E-16</v>
      </c>
      <c r="AX17" s="55">
        <f t="shared" si="8"/>
        <v>-0.13798940375558102</v>
      </c>
      <c r="AY17" s="55">
        <f t="shared" si="8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9">IF($L$20=$AI$7,SUM(N14:N17),0)</f>
        <v>0.82569587451143145</v>
      </c>
      <c r="O20" s="55">
        <f t="shared" si="9"/>
        <v>0.86190476190476195</v>
      </c>
      <c r="P20" s="55">
        <f t="shared" si="9"/>
        <v>0.70037243088953283</v>
      </c>
      <c r="Q20" s="55">
        <f t="shared" si="9"/>
        <v>0.81653823785389912</v>
      </c>
      <c r="R20" s="55">
        <f t="shared" si="9"/>
        <v>0.81896152421441692</v>
      </c>
      <c r="S20" s="55">
        <f t="shared" si="9"/>
        <v>0.7238095238095239</v>
      </c>
      <c r="T20" s="55">
        <f t="shared" si="9"/>
        <v>0.81896152421441704</v>
      </c>
      <c r="U20" s="55">
        <f t="shared" si="9"/>
        <v>0.81653823785389945</v>
      </c>
      <c r="V20" s="55">
        <f t="shared" si="9"/>
        <v>0.7003724308895326</v>
      </c>
      <c r="W20" s="55">
        <f t="shared" si="9"/>
        <v>0.86190476190476195</v>
      </c>
      <c r="X20" s="55">
        <f t="shared" si="9"/>
        <v>0.825695874511432</v>
      </c>
      <c r="Y20" s="55">
        <f t="shared" si="9"/>
        <v>4.90059381963448E-16</v>
      </c>
      <c r="Z20" s="55">
        <f t="shared" si="9"/>
        <v>-0.82569587451143056</v>
      </c>
      <c r="AA20" s="55">
        <f t="shared" si="9"/>
        <v>-0.86190476190476195</v>
      </c>
      <c r="AB20" s="55">
        <f t="shared" si="9"/>
        <v>-0.70037243088953272</v>
      </c>
      <c r="AC20" s="55">
        <f t="shared" si="9"/>
        <v>-0.81653823785389867</v>
      </c>
      <c r="AD20" s="55">
        <f t="shared" si="9"/>
        <v>-0.8189615242144167</v>
      </c>
      <c r="AE20" s="55">
        <f t="shared" si="9"/>
        <v>-0.7238095238095239</v>
      </c>
      <c r="AF20" s="55">
        <f t="shared" si="9"/>
        <v>-0.81896152421441737</v>
      </c>
      <c r="AG20" s="55">
        <f t="shared" si="9"/>
        <v>-0.8165382378538989</v>
      </c>
      <c r="AH20" s="55">
        <f t="shared" si="9"/>
        <v>-0.70037243088953316</v>
      </c>
      <c r="AI20" s="55">
        <f t="shared" si="9"/>
        <v>-0.86190476190476184</v>
      </c>
      <c r="AJ20" s="55">
        <f t="shared" si="9"/>
        <v>-0.825695874511431</v>
      </c>
      <c r="AK20" s="55">
        <f t="shared" si="9"/>
        <v>-9.8011876392689601E-16</v>
      </c>
      <c r="AL20" s="55">
        <f t="shared" si="9"/>
        <v>0.82569587451143023</v>
      </c>
      <c r="AM20" s="55">
        <f t="shared" si="9"/>
        <v>0.86190476190476284</v>
      </c>
      <c r="AN20" s="55">
        <f t="shared" si="9"/>
        <v>0.70037243088953272</v>
      </c>
      <c r="AO20" s="55">
        <f t="shared" si="9"/>
        <v>0.81653823785389879</v>
      </c>
      <c r="AP20" s="55">
        <f t="shared" si="9"/>
        <v>0.81896152421441681</v>
      </c>
      <c r="AQ20" s="55">
        <f t="shared" si="9"/>
        <v>0.7238095238095239</v>
      </c>
      <c r="AR20" s="55">
        <f t="shared" si="9"/>
        <v>0.8189615242144177</v>
      </c>
      <c r="AS20" s="55">
        <f t="shared" si="9"/>
        <v>0.81653823785390034</v>
      </c>
      <c r="AT20" s="55">
        <f t="shared" si="9"/>
        <v>0.70037243088953283</v>
      </c>
      <c r="AU20" s="55">
        <f t="shared" si="9"/>
        <v>0.86190476190476206</v>
      </c>
      <c r="AV20" s="55">
        <f t="shared" si="9"/>
        <v>0.82569587451143178</v>
      </c>
      <c r="AW20" s="55">
        <f t="shared" si="9"/>
        <v>1.6731903561075154E-15</v>
      </c>
      <c r="AX20" s="55">
        <f t="shared" si="9"/>
        <v>-0.82569587451143367</v>
      </c>
      <c r="AY20" s="55">
        <f t="shared" si="9"/>
        <v>-0.86190476190476129</v>
      </c>
    </row>
    <row r="21" spans="3:51" x14ac:dyDescent="0.35">
      <c r="J21" s="39"/>
      <c r="K21" s="39"/>
      <c r="L21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7 L20" xr:uid="{8FEC3F3A-F565-4E9B-9DC7-45C1A0000645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Z21"/>
  <sheetViews>
    <sheetView showGridLines="0" topLeftCell="A27" zoomScaleNormal="100" workbookViewId="0">
      <selection activeCell="D18" sqref="D18"/>
    </sheetView>
  </sheetViews>
  <sheetFormatPr baseColWidth="10" defaultColWidth="10.81640625" defaultRowHeight="14.5" x14ac:dyDescent="0.35"/>
  <cols>
    <col min="3" max="7" width="13.81640625" customWidth="1"/>
    <col min="8" max="10" width="3.26953125" customWidth="1"/>
    <col min="11" max="11" width="25.54296875" customWidth="1"/>
    <col min="12" max="12" width="19.90625" customWidth="1"/>
    <col min="13" max="13" width="9.7265625" customWidth="1"/>
    <col min="14" max="52" width="6.36328125" customWidth="1"/>
  </cols>
  <sheetData>
    <row r="1" spans="3:52" ht="21.75" customHeight="1" x14ac:dyDescent="0.35"/>
    <row r="2" spans="3:52" ht="26" x14ac:dyDescent="0.6">
      <c r="C2" s="44" t="s">
        <v>68</v>
      </c>
    </row>
    <row r="4" spans="3:52" x14ac:dyDescent="0.35">
      <c r="S4" s="5"/>
      <c r="T4" s="5" t="s">
        <v>76</v>
      </c>
      <c r="U4" s="5"/>
      <c r="V4" s="5"/>
      <c r="W4" s="5"/>
      <c r="X4" s="5"/>
      <c r="Y4" s="5"/>
    </row>
    <row r="5" spans="3:52" x14ac:dyDescent="0.35">
      <c r="S5" s="5"/>
      <c r="T5" s="19" t="s">
        <v>80</v>
      </c>
      <c r="U5" s="55">
        <f>MAX(L14:L20)</f>
        <v>1.2741327090615151E-14</v>
      </c>
      <c r="V5" s="5"/>
      <c r="W5" s="5"/>
      <c r="X5" s="5">
        <f>L12</f>
        <v>270</v>
      </c>
      <c r="Y5" s="5">
        <f>X5</f>
        <v>270</v>
      </c>
    </row>
    <row r="6" spans="3:52" x14ac:dyDescent="0.35">
      <c r="S6" s="5"/>
      <c r="T6" s="19" t="s">
        <v>79</v>
      </c>
      <c r="U6" s="55">
        <f>MIN(L14:L20)</f>
        <v>-3.6403791687471859E-15</v>
      </c>
      <c r="V6" s="5"/>
      <c r="W6" s="5"/>
      <c r="X6" s="5">
        <v>0</v>
      </c>
      <c r="Y6" s="5">
        <f>U7</f>
        <v>1.2741327090615151E-14</v>
      </c>
    </row>
    <row r="7" spans="3:52" x14ac:dyDescent="0.35">
      <c r="K7" t="s">
        <v>321</v>
      </c>
      <c r="L7" t="s">
        <v>323</v>
      </c>
      <c r="S7" s="218" t="s">
        <v>81</v>
      </c>
      <c r="T7" s="218"/>
      <c r="U7" s="5">
        <f>IF(ABS(U5)&gt;ABS(U6),U5,U6)</f>
        <v>1.2741327090615151E-14</v>
      </c>
      <c r="V7" s="5"/>
      <c r="W7" s="5"/>
      <c r="X7" s="5"/>
      <c r="Y7" s="5"/>
      <c r="AJ7" s="5" t="s">
        <v>72</v>
      </c>
    </row>
    <row r="8" spans="3:52" ht="16" customHeight="1" x14ac:dyDescent="0.35">
      <c r="K8" s="138" t="s">
        <v>321</v>
      </c>
      <c r="L8" t="s">
        <v>322</v>
      </c>
      <c r="S8" s="1"/>
      <c r="T8" s="39"/>
      <c r="AJ8" s="5" t="s">
        <v>73</v>
      </c>
    </row>
    <row r="9" spans="3:52" x14ac:dyDescent="0.35">
      <c r="K9" s="138" t="s">
        <v>325</v>
      </c>
      <c r="L9" t="s">
        <v>324</v>
      </c>
    </row>
    <row r="11" spans="3:52" ht="21" x14ac:dyDescent="0.35">
      <c r="C11" s="252"/>
      <c r="D11" s="252"/>
      <c r="E11" s="252"/>
      <c r="F11" s="252"/>
      <c r="G11" s="252"/>
      <c r="H11" s="47"/>
      <c r="I11" s="47"/>
      <c r="M11" s="43" t="s">
        <v>8</v>
      </c>
      <c r="N11" s="46">
        <v>15</v>
      </c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3:52" s="34" customFormat="1" ht="24" x14ac:dyDescent="0.35">
      <c r="C12" s="253" t="s">
        <v>330</v>
      </c>
      <c r="D12" s="253"/>
      <c r="E12" s="253"/>
      <c r="F12" s="253"/>
      <c r="G12" s="253"/>
      <c r="H12" s="47"/>
      <c r="I12" s="47"/>
      <c r="K12" s="57" t="s">
        <v>70</v>
      </c>
      <c r="L12" s="38">
        <v>270</v>
      </c>
      <c r="M12" s="254" t="s">
        <v>71</v>
      </c>
      <c r="N12" s="38">
        <v>0</v>
      </c>
      <c r="O12" s="75">
        <f>N12+$N$11</f>
        <v>15</v>
      </c>
      <c r="P12" s="75">
        <f t="shared" ref="P12:AZ12" si="0">O12+$N$11</f>
        <v>30</v>
      </c>
      <c r="Q12" s="75">
        <f t="shared" si="0"/>
        <v>45</v>
      </c>
      <c r="R12" s="75">
        <f t="shared" si="0"/>
        <v>60</v>
      </c>
      <c r="S12" s="75">
        <f t="shared" si="0"/>
        <v>75</v>
      </c>
      <c r="T12" s="75">
        <f t="shared" si="0"/>
        <v>90</v>
      </c>
      <c r="U12" s="75">
        <f t="shared" si="0"/>
        <v>105</v>
      </c>
      <c r="V12" s="75">
        <f t="shared" si="0"/>
        <v>120</v>
      </c>
      <c r="W12" s="75">
        <f t="shared" si="0"/>
        <v>135</v>
      </c>
      <c r="X12" s="75">
        <f t="shared" si="0"/>
        <v>150</v>
      </c>
      <c r="Y12" s="75">
        <f t="shared" si="0"/>
        <v>165</v>
      </c>
      <c r="Z12" s="75">
        <f t="shared" si="0"/>
        <v>180</v>
      </c>
      <c r="AA12" s="75">
        <f t="shared" si="0"/>
        <v>195</v>
      </c>
      <c r="AB12" s="75">
        <f t="shared" si="0"/>
        <v>210</v>
      </c>
      <c r="AC12" s="75">
        <f t="shared" si="0"/>
        <v>225</v>
      </c>
      <c r="AD12" s="75">
        <f t="shared" si="0"/>
        <v>240</v>
      </c>
      <c r="AE12" s="75">
        <f t="shared" si="0"/>
        <v>255</v>
      </c>
      <c r="AF12" s="75">
        <f t="shared" si="0"/>
        <v>270</v>
      </c>
      <c r="AG12" s="75">
        <f t="shared" si="0"/>
        <v>285</v>
      </c>
      <c r="AH12" s="75">
        <f t="shared" si="0"/>
        <v>300</v>
      </c>
      <c r="AI12" s="75">
        <f t="shared" si="0"/>
        <v>315</v>
      </c>
      <c r="AJ12" s="75">
        <f t="shared" si="0"/>
        <v>330</v>
      </c>
      <c r="AK12" s="75">
        <f t="shared" si="0"/>
        <v>345</v>
      </c>
      <c r="AL12" s="75">
        <f t="shared" si="0"/>
        <v>360</v>
      </c>
      <c r="AM12" s="75">
        <f t="shared" si="0"/>
        <v>375</v>
      </c>
      <c r="AN12" s="75">
        <f t="shared" si="0"/>
        <v>390</v>
      </c>
      <c r="AO12" s="75">
        <f t="shared" si="0"/>
        <v>405</v>
      </c>
      <c r="AP12" s="75">
        <f t="shared" si="0"/>
        <v>420</v>
      </c>
      <c r="AQ12" s="75">
        <f t="shared" si="0"/>
        <v>435</v>
      </c>
      <c r="AR12" s="75">
        <f t="shared" si="0"/>
        <v>450</v>
      </c>
      <c r="AS12" s="75">
        <f t="shared" si="0"/>
        <v>465</v>
      </c>
      <c r="AT12" s="75">
        <f t="shared" si="0"/>
        <v>480</v>
      </c>
      <c r="AU12" s="75">
        <f t="shared" si="0"/>
        <v>495</v>
      </c>
      <c r="AV12" s="75">
        <f t="shared" si="0"/>
        <v>510</v>
      </c>
      <c r="AW12" s="75">
        <f t="shared" si="0"/>
        <v>525</v>
      </c>
      <c r="AX12" s="75">
        <f t="shared" si="0"/>
        <v>540</v>
      </c>
      <c r="AY12" s="75">
        <f t="shared" si="0"/>
        <v>555</v>
      </c>
      <c r="AZ12" s="75">
        <f t="shared" si="0"/>
        <v>570</v>
      </c>
    </row>
    <row r="13" spans="3:52" s="34" customFormat="1" ht="43.5" x14ac:dyDescent="0.35">
      <c r="C13" s="62" t="s">
        <v>74</v>
      </c>
      <c r="D13" s="62" t="s">
        <v>326</v>
      </c>
      <c r="E13" s="62" t="s">
        <v>329</v>
      </c>
      <c r="F13" s="62" t="s">
        <v>327</v>
      </c>
      <c r="G13" s="62" t="s">
        <v>328</v>
      </c>
      <c r="H13" s="63"/>
      <c r="I13" s="63"/>
      <c r="K13" s="72" t="s">
        <v>69</v>
      </c>
      <c r="L13" s="65">
        <f t="shared" ref="L13" si="1">PI()*L12/180</f>
        <v>4.7123889803846897</v>
      </c>
      <c r="M13" s="255"/>
      <c r="N13" s="64">
        <f>PI()*N12/180</f>
        <v>0</v>
      </c>
      <c r="O13" s="64">
        <f t="shared" ref="O13:AZ13" si="2">PI()*O12/180</f>
        <v>0.26179938779914941</v>
      </c>
      <c r="P13" s="64">
        <f t="shared" si="2"/>
        <v>0.52359877559829882</v>
      </c>
      <c r="Q13" s="64">
        <f t="shared" si="2"/>
        <v>0.78539816339744828</v>
      </c>
      <c r="R13" s="64">
        <f t="shared" si="2"/>
        <v>1.0471975511965976</v>
      </c>
      <c r="S13" s="64">
        <f t="shared" si="2"/>
        <v>1.3089969389957472</v>
      </c>
      <c r="T13" s="64">
        <f t="shared" si="2"/>
        <v>1.5707963267948966</v>
      </c>
      <c r="U13" s="64">
        <f t="shared" si="2"/>
        <v>1.8325957145940461</v>
      </c>
      <c r="V13" s="64">
        <f t="shared" si="2"/>
        <v>2.0943951023931953</v>
      </c>
      <c r="W13" s="64">
        <f t="shared" si="2"/>
        <v>2.3561944901923448</v>
      </c>
      <c r="X13" s="64">
        <f t="shared" si="2"/>
        <v>2.6179938779914944</v>
      </c>
      <c r="Y13" s="64">
        <f t="shared" si="2"/>
        <v>2.8797932657906435</v>
      </c>
      <c r="Z13" s="64">
        <f t="shared" si="2"/>
        <v>3.1415926535897931</v>
      </c>
      <c r="AA13" s="64">
        <f t="shared" si="2"/>
        <v>3.4033920413889422</v>
      </c>
      <c r="AB13" s="64">
        <f t="shared" si="2"/>
        <v>3.6651914291880923</v>
      </c>
      <c r="AC13" s="64">
        <f t="shared" si="2"/>
        <v>3.9269908169872414</v>
      </c>
      <c r="AD13" s="64">
        <f t="shared" si="2"/>
        <v>4.1887902047863905</v>
      </c>
      <c r="AE13" s="64">
        <f t="shared" si="2"/>
        <v>4.4505895925855405</v>
      </c>
      <c r="AF13" s="64">
        <f t="shared" si="2"/>
        <v>4.7123889803846897</v>
      </c>
      <c r="AG13" s="64">
        <f t="shared" si="2"/>
        <v>4.9741883681838397</v>
      </c>
      <c r="AH13" s="64">
        <f t="shared" si="2"/>
        <v>5.2359877559829888</v>
      </c>
      <c r="AI13" s="64">
        <f t="shared" si="2"/>
        <v>5.497787143782138</v>
      </c>
      <c r="AJ13" s="64">
        <f t="shared" si="2"/>
        <v>5.7595865315812871</v>
      </c>
      <c r="AK13" s="64">
        <f t="shared" si="2"/>
        <v>6.0213859193804371</v>
      </c>
      <c r="AL13" s="64">
        <f t="shared" si="2"/>
        <v>6.2831853071795862</v>
      </c>
      <c r="AM13" s="64">
        <f t="shared" si="2"/>
        <v>6.5449846949787354</v>
      </c>
      <c r="AN13" s="64">
        <f t="shared" si="2"/>
        <v>6.8067840827778845</v>
      </c>
      <c r="AO13" s="64">
        <f t="shared" si="2"/>
        <v>7.0685834705770336</v>
      </c>
      <c r="AP13" s="64">
        <f t="shared" si="2"/>
        <v>7.3303828583761845</v>
      </c>
      <c r="AQ13" s="64">
        <f t="shared" si="2"/>
        <v>7.5921822461753337</v>
      </c>
      <c r="AR13" s="64">
        <f t="shared" si="2"/>
        <v>7.8539816339744828</v>
      </c>
      <c r="AS13" s="64">
        <f t="shared" si="2"/>
        <v>8.1157810217736319</v>
      </c>
      <c r="AT13" s="64">
        <f t="shared" si="2"/>
        <v>8.3775804095727811</v>
      </c>
      <c r="AU13" s="64">
        <f t="shared" si="2"/>
        <v>8.639379797371932</v>
      </c>
      <c r="AV13" s="64">
        <f t="shared" si="2"/>
        <v>8.9011791851710811</v>
      </c>
      <c r="AW13" s="64">
        <f t="shared" si="2"/>
        <v>9.1629785729702302</v>
      </c>
      <c r="AX13" s="64">
        <f t="shared" si="2"/>
        <v>9.4247779607693793</v>
      </c>
      <c r="AY13" s="64">
        <f t="shared" si="2"/>
        <v>9.6865773485685303</v>
      </c>
      <c r="AZ13" s="64">
        <f t="shared" si="2"/>
        <v>9.9483767363676794</v>
      </c>
    </row>
    <row r="14" spans="3:52" x14ac:dyDescent="0.35">
      <c r="C14" s="42">
        <v>1</v>
      </c>
      <c r="D14" s="42">
        <v>50</v>
      </c>
      <c r="E14" s="42">
        <f>2*PI()*D14/360</f>
        <v>0.87266462599716477</v>
      </c>
      <c r="F14" s="42">
        <v>0</v>
      </c>
      <c r="G14" s="73">
        <f>PI()*F14/180</f>
        <v>0</v>
      </c>
      <c r="H14" s="56"/>
      <c r="I14" s="56"/>
      <c r="K14" s="58" t="str">
        <f>_xlfn.CONCAT("y0 = ",IF(C14&lt;&gt;1,_xlfn.CONCAT(ROUND(C14,2)," *"),"")," sin(",IF(D14&lt;&gt;1,_xlfn.CONCAT(ROUND(D14,2),"*"),""),"x ",IF(G14&lt;&gt;0,_xlfn.CONCAT(" + ",ROUND(G14,2),""),""),") = ")</f>
        <v xml:space="preserve">y0 =  sin(50*x ) = </v>
      </c>
      <c r="L14" s="66">
        <f>IF($M$14=$AJ$7,$C$14*SIN($D$14*L13 + $G$14),"")</f>
        <v>1.2741327090615151E-14</v>
      </c>
      <c r="M14" s="48" t="s">
        <v>72</v>
      </c>
      <c r="N14" s="54">
        <f>IF($M$14=$AJ$7,$C$14*SIN($E$14*N13 + $G$14),"")</f>
        <v>0</v>
      </c>
      <c r="O14" s="54">
        <f t="shared" ref="O14:AZ14" si="3">IF($M$14=$AJ$7,$C$14*SIN($E$14*O13 + $G$14),"")</f>
        <v>0.2264807927470297</v>
      </c>
      <c r="P14" s="54">
        <f t="shared" si="3"/>
        <v>0.4411916647658925</v>
      </c>
      <c r="Q14" s="54">
        <f t="shared" si="3"/>
        <v>0.63297436324192113</v>
      </c>
      <c r="R14" s="54">
        <f t="shared" si="3"/>
        <v>0.79186218357858906</v>
      </c>
      <c r="S14" s="54">
        <f t="shared" si="3"/>
        <v>0.9095979264463151</v>
      </c>
      <c r="T14" s="54">
        <f t="shared" si="3"/>
        <v>0.98006301400184337</v>
      </c>
      <c r="U14" s="54">
        <f t="shared" si="3"/>
        <v>0.9995954646503008</v>
      </c>
      <c r="V14" s="54">
        <f t="shared" si="3"/>
        <v>0.96718020160318463</v>
      </c>
      <c r="W14" s="54">
        <f t="shared" si="3"/>
        <v>0.88450180513690446</v>
      </c>
      <c r="X14" s="54">
        <f t="shared" si="3"/>
        <v>0.7558569670836327</v>
      </c>
      <c r="Y14" s="54">
        <f t="shared" si="3"/>
        <v>0.58793119718399511</v>
      </c>
      <c r="Z14" s="54">
        <f t="shared" si="3"/>
        <v>0.38945138559040571</v>
      </c>
      <c r="AA14" s="54">
        <f t="shared" si="3"/>
        <v>0.1707322774088991</v>
      </c>
      <c r="AB14" s="54">
        <f t="shared" si="3"/>
        <v>-5.6859571575342521E-2</v>
      </c>
      <c r="AC14" s="54">
        <f t="shared" si="3"/>
        <v>-0.28149650044489249</v>
      </c>
      <c r="AD14" s="54">
        <f t="shared" si="3"/>
        <v>-0.49150441174828846</v>
      </c>
      <c r="AE14" s="54">
        <f t="shared" si="3"/>
        <v>-0.67596945959887422</v>
      </c>
      <c r="AF14" s="54">
        <f t="shared" si="3"/>
        <v>-0.82530522846010546</v>
      </c>
      <c r="AG14" s="54">
        <f t="shared" si="3"/>
        <v>-0.93175092705225615</v>
      </c>
      <c r="AH14" s="54">
        <f t="shared" si="3"/>
        <v>-0.98977470687246749</v>
      </c>
      <c r="AI14" s="54">
        <f t="shared" si="3"/>
        <v>-0.99636114537408982</v>
      </c>
      <c r="AJ14" s="54">
        <f t="shared" si="3"/>
        <v>-0.95116795366761209</v>
      </c>
      <c r="AK14" s="54">
        <f t="shared" si="3"/>
        <v>-0.85654376484189831</v>
      </c>
      <c r="AL14" s="54">
        <f t="shared" si="3"/>
        <v>-0.71740607846915339</v>
      </c>
      <c r="AM14" s="54">
        <f t="shared" si="3"/>
        <v>-0.54098570436350835</v>
      </c>
      <c r="AN14" s="54">
        <f t="shared" si="3"/>
        <v>-0.33645098652831829</v>
      </c>
      <c r="AO14" s="54">
        <f t="shared" si="3"/>
        <v>-0.11443133589895869</v>
      </c>
      <c r="AP14" s="54">
        <f t="shared" si="3"/>
        <v>0.11353516671733102</v>
      </c>
      <c r="AQ14" s="54">
        <f t="shared" si="3"/>
        <v>0.33560139012709572</v>
      </c>
      <c r="AR14" s="54">
        <f t="shared" si="3"/>
        <v>0.54022683319452769</v>
      </c>
      <c r="AS14" s="54">
        <f t="shared" si="3"/>
        <v>0.71677737010852471</v>
      </c>
      <c r="AT14" s="54">
        <f t="shared" si="3"/>
        <v>0.85607789246899491</v>
      </c>
      <c r="AU14" s="54">
        <f t="shared" si="3"/>
        <v>0.95088912808120352</v>
      </c>
      <c r="AV14" s="54">
        <f t="shared" si="3"/>
        <v>0.99628385678771347</v>
      </c>
      <c r="AW14" s="54">
        <f t="shared" si="3"/>
        <v>0.98990297187633303</v>
      </c>
      <c r="AX14" s="54">
        <f t="shared" si="3"/>
        <v>0.93207807987612579</v>
      </c>
      <c r="AY14" s="54">
        <f t="shared" si="3"/>
        <v>0.82581426738495356</v>
      </c>
      <c r="AZ14" s="54">
        <f t="shared" si="3"/>
        <v>0.67663393051475051</v>
      </c>
    </row>
    <row r="15" spans="3:52" x14ac:dyDescent="0.35">
      <c r="C15" s="42">
        <f>1/3</f>
        <v>0.33333333333333331</v>
      </c>
      <c r="D15" s="42">
        <v>150</v>
      </c>
      <c r="E15" s="42">
        <f t="shared" ref="E15:E17" si="4">2*PI()*D15/360</f>
        <v>2.6179938779914944</v>
      </c>
      <c r="F15" s="42">
        <v>0</v>
      </c>
      <c r="G15" s="73">
        <f t="shared" ref="G15:G17" si="5">PI()*F15/180</f>
        <v>0</v>
      </c>
      <c r="H15" s="56"/>
      <c r="I15" s="56"/>
      <c r="K15" s="59" t="str">
        <f t="shared" ref="K15:K17" si="6">_xlfn.CONCAT("y0 = ",IF(C15&lt;&gt;1,_xlfn.CONCAT(ROUND(C15,2)," *"),"")," sin(",IF(D15&lt;&gt;1,_xlfn.CONCAT(ROUND(D15,2),"*"),""),"x ",IF(G15&lt;&gt;0,_xlfn.CONCAT(" + ",ROUND(G15,2),""),""),") = ")</f>
        <v xml:space="preserve">y0 = 0.33 * sin(150*x ) = </v>
      </c>
      <c r="L15" s="67" t="str">
        <f>IF($M$15=$AJ$7,$C$15*SIN($D$15*L13 + $G$15),"")</f>
        <v/>
      </c>
      <c r="M15" s="49" t="s">
        <v>73</v>
      </c>
      <c r="N15" s="55" t="str">
        <f>IF($M$15=$AJ$7,$C$15*SIN($E$15*N13 + $G$15),"")</f>
        <v/>
      </c>
      <c r="O15" s="55" t="str">
        <f t="shared" ref="O15:AZ15" si="7">IF($M$15=$AJ$7,$C$15*SIN($E$15*O13 + $G$15),"")</f>
        <v/>
      </c>
      <c r="P15" s="55" t="str">
        <f t="shared" si="7"/>
        <v/>
      </c>
      <c r="Q15" s="55" t="str">
        <f t="shared" si="7"/>
        <v/>
      </c>
      <c r="R15" s="55" t="str">
        <f t="shared" si="7"/>
        <v/>
      </c>
      <c r="S15" s="55" t="str">
        <f t="shared" si="7"/>
        <v/>
      </c>
      <c r="T15" s="55" t="str">
        <f t="shared" si="7"/>
        <v/>
      </c>
      <c r="U15" s="55" t="str">
        <f t="shared" si="7"/>
        <v/>
      </c>
      <c r="V15" s="55" t="str">
        <f t="shared" si="7"/>
        <v/>
      </c>
      <c r="W15" s="55" t="str">
        <f t="shared" si="7"/>
        <v/>
      </c>
      <c r="X15" s="55" t="str">
        <f t="shared" si="7"/>
        <v/>
      </c>
      <c r="Y15" s="55" t="str">
        <f t="shared" si="7"/>
        <v/>
      </c>
      <c r="Z15" s="55" t="str">
        <f t="shared" si="7"/>
        <v/>
      </c>
      <c r="AA15" s="55" t="str">
        <f t="shared" si="7"/>
        <v/>
      </c>
      <c r="AB15" s="55" t="str">
        <f t="shared" si="7"/>
        <v/>
      </c>
      <c r="AC15" s="55" t="str">
        <f t="shared" si="7"/>
        <v/>
      </c>
      <c r="AD15" s="55" t="str">
        <f t="shared" si="7"/>
        <v/>
      </c>
      <c r="AE15" s="55" t="str">
        <f t="shared" si="7"/>
        <v/>
      </c>
      <c r="AF15" s="55" t="str">
        <f t="shared" si="7"/>
        <v/>
      </c>
      <c r="AG15" s="55" t="str">
        <f t="shared" si="7"/>
        <v/>
      </c>
      <c r="AH15" s="55" t="str">
        <f t="shared" si="7"/>
        <v/>
      </c>
      <c r="AI15" s="55" t="str">
        <f t="shared" si="7"/>
        <v/>
      </c>
      <c r="AJ15" s="55" t="str">
        <f t="shared" si="7"/>
        <v/>
      </c>
      <c r="AK15" s="55" t="str">
        <f t="shared" si="7"/>
        <v/>
      </c>
      <c r="AL15" s="55" t="str">
        <f t="shared" si="7"/>
        <v/>
      </c>
      <c r="AM15" s="55" t="str">
        <f t="shared" si="7"/>
        <v/>
      </c>
      <c r="AN15" s="55" t="str">
        <f t="shared" si="7"/>
        <v/>
      </c>
      <c r="AO15" s="55" t="str">
        <f t="shared" si="7"/>
        <v/>
      </c>
      <c r="AP15" s="55" t="str">
        <f t="shared" si="7"/>
        <v/>
      </c>
      <c r="AQ15" s="55" t="str">
        <f t="shared" si="7"/>
        <v/>
      </c>
      <c r="AR15" s="55" t="str">
        <f t="shared" si="7"/>
        <v/>
      </c>
      <c r="AS15" s="55" t="str">
        <f t="shared" si="7"/>
        <v/>
      </c>
      <c r="AT15" s="55" t="str">
        <f t="shared" si="7"/>
        <v/>
      </c>
      <c r="AU15" s="55" t="str">
        <f t="shared" si="7"/>
        <v/>
      </c>
      <c r="AV15" s="55" t="str">
        <f t="shared" si="7"/>
        <v/>
      </c>
      <c r="AW15" s="55" t="str">
        <f t="shared" si="7"/>
        <v/>
      </c>
      <c r="AX15" s="55" t="str">
        <f t="shared" si="7"/>
        <v/>
      </c>
      <c r="AY15" s="55" t="str">
        <f t="shared" si="7"/>
        <v/>
      </c>
      <c r="AZ15" s="55" t="str">
        <f t="shared" si="7"/>
        <v/>
      </c>
    </row>
    <row r="16" spans="3:52" x14ac:dyDescent="0.35">
      <c r="C16" s="42">
        <f>1/5</f>
        <v>0.2</v>
      </c>
      <c r="D16" s="42">
        <v>250</v>
      </c>
      <c r="E16" s="42">
        <f t="shared" si="4"/>
        <v>4.3633231299858233</v>
      </c>
      <c r="F16" s="42">
        <v>0</v>
      </c>
      <c r="G16" s="73">
        <f t="shared" si="5"/>
        <v>0</v>
      </c>
      <c r="H16" s="56"/>
      <c r="I16" s="56"/>
      <c r="K16" s="60" t="str">
        <f t="shared" si="6"/>
        <v xml:space="preserve">y0 = 0.2 * sin(250*x ) = </v>
      </c>
      <c r="L16" s="68" t="str">
        <f>IF($M$16=$AJ$7,$C$16*SIN($D$16*L13 + $G$16),"")</f>
        <v/>
      </c>
      <c r="M16" s="50" t="s">
        <v>73</v>
      </c>
      <c r="N16" s="55" t="str">
        <f>IF($M$16=$AJ$7,$C$16*SIN($E$16*N13 + $G$16),"")</f>
        <v/>
      </c>
      <c r="O16" s="55" t="str">
        <f t="shared" ref="O16:AZ16" si="8">IF($M$16=$AJ$7,$C$16*SIN($E$16*O13 + $G$16),"")</f>
        <v/>
      </c>
      <c r="P16" s="55" t="str">
        <f t="shared" si="8"/>
        <v/>
      </c>
      <c r="Q16" s="55" t="str">
        <f t="shared" si="8"/>
        <v/>
      </c>
      <c r="R16" s="55" t="str">
        <f t="shared" si="8"/>
        <v/>
      </c>
      <c r="S16" s="55" t="str">
        <f t="shared" si="8"/>
        <v/>
      </c>
      <c r="T16" s="55" t="str">
        <f t="shared" si="8"/>
        <v/>
      </c>
      <c r="U16" s="55" t="str">
        <f t="shared" si="8"/>
        <v/>
      </c>
      <c r="V16" s="55" t="str">
        <f t="shared" si="8"/>
        <v/>
      </c>
      <c r="W16" s="55" t="str">
        <f t="shared" si="8"/>
        <v/>
      </c>
      <c r="X16" s="55" t="str">
        <f t="shared" si="8"/>
        <v/>
      </c>
      <c r="Y16" s="55" t="str">
        <f t="shared" si="8"/>
        <v/>
      </c>
      <c r="Z16" s="55" t="str">
        <f t="shared" si="8"/>
        <v/>
      </c>
      <c r="AA16" s="55" t="str">
        <f t="shared" si="8"/>
        <v/>
      </c>
      <c r="AB16" s="55" t="str">
        <f t="shared" si="8"/>
        <v/>
      </c>
      <c r="AC16" s="55" t="str">
        <f t="shared" si="8"/>
        <v/>
      </c>
      <c r="AD16" s="55" t="str">
        <f t="shared" si="8"/>
        <v/>
      </c>
      <c r="AE16" s="55" t="str">
        <f t="shared" si="8"/>
        <v/>
      </c>
      <c r="AF16" s="55" t="str">
        <f t="shared" si="8"/>
        <v/>
      </c>
      <c r="AG16" s="55" t="str">
        <f t="shared" si="8"/>
        <v/>
      </c>
      <c r="AH16" s="55" t="str">
        <f t="shared" si="8"/>
        <v/>
      </c>
      <c r="AI16" s="55" t="str">
        <f t="shared" si="8"/>
        <v/>
      </c>
      <c r="AJ16" s="55" t="str">
        <f t="shared" si="8"/>
        <v/>
      </c>
      <c r="AK16" s="55" t="str">
        <f t="shared" si="8"/>
        <v/>
      </c>
      <c r="AL16" s="55" t="str">
        <f t="shared" si="8"/>
        <v/>
      </c>
      <c r="AM16" s="55" t="str">
        <f t="shared" si="8"/>
        <v/>
      </c>
      <c r="AN16" s="55" t="str">
        <f t="shared" si="8"/>
        <v/>
      </c>
      <c r="AO16" s="55" t="str">
        <f t="shared" si="8"/>
        <v/>
      </c>
      <c r="AP16" s="55" t="str">
        <f t="shared" si="8"/>
        <v/>
      </c>
      <c r="AQ16" s="55" t="str">
        <f t="shared" si="8"/>
        <v/>
      </c>
      <c r="AR16" s="55" t="str">
        <f t="shared" si="8"/>
        <v/>
      </c>
      <c r="AS16" s="55" t="str">
        <f t="shared" si="8"/>
        <v/>
      </c>
      <c r="AT16" s="55" t="str">
        <f t="shared" si="8"/>
        <v/>
      </c>
      <c r="AU16" s="55" t="str">
        <f t="shared" si="8"/>
        <v/>
      </c>
      <c r="AV16" s="55" t="str">
        <f t="shared" si="8"/>
        <v/>
      </c>
      <c r="AW16" s="55" t="str">
        <f t="shared" si="8"/>
        <v/>
      </c>
      <c r="AX16" s="55" t="str">
        <f t="shared" si="8"/>
        <v/>
      </c>
      <c r="AY16" s="55" t="str">
        <f t="shared" si="8"/>
        <v/>
      </c>
      <c r="AZ16" s="55" t="str">
        <f t="shared" si="8"/>
        <v/>
      </c>
    </row>
    <row r="17" spans="3:52" x14ac:dyDescent="0.35">
      <c r="C17" s="42">
        <f>1/7</f>
        <v>0.14285714285714285</v>
      </c>
      <c r="D17" s="42">
        <v>100</v>
      </c>
      <c r="E17" s="42">
        <f t="shared" si="4"/>
        <v>1.7453292519943295</v>
      </c>
      <c r="F17" s="42">
        <v>0</v>
      </c>
      <c r="G17" s="73">
        <f t="shared" si="5"/>
        <v>0</v>
      </c>
      <c r="H17" s="56"/>
      <c r="I17" s="56"/>
      <c r="K17" s="61" t="str">
        <f t="shared" si="6"/>
        <v xml:space="preserve">y0 = 0.14 * sin(100*x ) = </v>
      </c>
      <c r="L17" s="69">
        <f>IF($M$17=$AJ$7,$C$17*SIN($D$17*L13 + $G$17),"")</f>
        <v>-3.6403791687471859E-15</v>
      </c>
      <c r="M17" s="51" t="s">
        <v>72</v>
      </c>
      <c r="N17" s="55">
        <f>IF($M$17=$AJ$7,$C$17*SIN($E$17*N13 + $G$17),"")</f>
        <v>0</v>
      </c>
      <c r="O17" s="55">
        <f t="shared" ref="O17:AZ17" si="9">IF($M$17=$AJ$7,$C$17*SIN($E$17*O13 + $G$17),"")</f>
        <v>6.302738068084178E-2</v>
      </c>
      <c r="P17" s="55">
        <f t="shared" si="9"/>
        <v>0.11312316908265557</v>
      </c>
      <c r="Q17" s="55">
        <f t="shared" si="9"/>
        <v>0.14000900200026334</v>
      </c>
      <c r="R17" s="55">
        <f t="shared" si="9"/>
        <v>0.13816860022902636</v>
      </c>
      <c r="S17" s="55">
        <f t="shared" si="9"/>
        <v>0.10797956672623324</v>
      </c>
      <c r="T17" s="55">
        <f t="shared" si="9"/>
        <v>5.5635912227200809E-2</v>
      </c>
      <c r="U17" s="55">
        <f t="shared" si="9"/>
        <v>-8.1227959393346452E-3</v>
      </c>
      <c r="V17" s="55">
        <f t="shared" si="9"/>
        <v>-7.0214915964041211E-2</v>
      </c>
      <c r="W17" s="55">
        <f t="shared" si="9"/>
        <v>-0.1179007469228722</v>
      </c>
      <c r="X17" s="55">
        <f t="shared" si="9"/>
        <v>-0.14139638669606677</v>
      </c>
      <c r="Y17" s="55">
        <f t="shared" si="9"/>
        <v>-0.13588113623823028</v>
      </c>
      <c r="Z17" s="55">
        <f t="shared" si="9"/>
        <v>-0.10248658263845048</v>
      </c>
      <c r="AA17" s="55">
        <f t="shared" si="9"/>
        <v>-4.8064426646902608E-2</v>
      </c>
      <c r="AB17" s="55">
        <f t="shared" si="9"/>
        <v>1.6219309531047287E-2</v>
      </c>
      <c r="AC17" s="55">
        <f t="shared" si="9"/>
        <v>7.7175261884932525E-2</v>
      </c>
      <c r="AD17" s="55">
        <f t="shared" si="9"/>
        <v>0.12229684178128498</v>
      </c>
      <c r="AE17" s="55">
        <f t="shared" si="9"/>
        <v>0.14232626525538764</v>
      </c>
      <c r="AF17" s="55">
        <f t="shared" si="9"/>
        <v>0.1331540114108751</v>
      </c>
      <c r="AG17" s="55">
        <f t="shared" si="9"/>
        <v>9.6661990073535778E-2</v>
      </c>
      <c r="AH17" s="55">
        <f t="shared" si="9"/>
        <v>4.0337422452223125E-2</v>
      </c>
      <c r="AI17" s="55">
        <f t="shared" si="9"/>
        <v>-2.4263343467420984E-2</v>
      </c>
      <c r="AJ17" s="55">
        <f t="shared" si="9"/>
        <v>-8.3885897351956784E-2</v>
      </c>
      <c r="AK17" s="55">
        <f t="shared" si="9"/>
        <v>-0.12629722952939074</v>
      </c>
      <c r="AL17" s="55">
        <f t="shared" si="9"/>
        <v>-0.14279562893693476</v>
      </c>
      <c r="AM17" s="55">
        <f t="shared" si="9"/>
        <v>-0.12999604970896328</v>
      </c>
      <c r="AN17" s="55">
        <f t="shared" si="9"/>
        <v>-9.0524635247459032E-2</v>
      </c>
      <c r="AO17" s="55">
        <f t="shared" si="9"/>
        <v>-3.2479901355853415E-2</v>
      </c>
      <c r="AP17" s="55">
        <f t="shared" si="9"/>
        <v>3.2228870245392137E-2</v>
      </c>
      <c r="AQ17" s="55">
        <f t="shared" si="9"/>
        <v>9.0325109243742763E-2</v>
      </c>
      <c r="AR17" s="55">
        <f t="shared" si="9"/>
        <v>0.12988896639977168</v>
      </c>
      <c r="AS17" s="55">
        <f t="shared" si="9"/>
        <v>0.14280295905434306</v>
      </c>
      <c r="AT17" s="55">
        <f t="shared" si="9"/>
        <v>0.12641746912243892</v>
      </c>
      <c r="AU17" s="55">
        <f t="shared" si="9"/>
        <v>8.4094376358581413E-2</v>
      </c>
      <c r="AV17" s="55">
        <f t="shared" si="9"/>
        <v>2.4517287374651871E-2</v>
      </c>
      <c r="AW17" s="55">
        <f t="shared" si="9"/>
        <v>-4.0090116381872105E-2</v>
      </c>
      <c r="AX17" s="55">
        <f t="shared" si="9"/>
        <v>-9.6472062664693131E-2</v>
      </c>
      <c r="AY17" s="55">
        <f t="shared" si="9"/>
        <v>-0.13306043086731539</v>
      </c>
      <c r="AZ17" s="55">
        <f t="shared" si="9"/>
        <v>-0.14234823189007792</v>
      </c>
    </row>
    <row r="18" spans="3:52" ht="8.5" customHeight="1" x14ac:dyDescent="0.35">
      <c r="K18" s="41"/>
      <c r="L18" s="70"/>
      <c r="M18" s="52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3:52" ht="8.5" customHeight="1" x14ac:dyDescent="0.35">
      <c r="K19" s="41"/>
      <c r="L19" s="70"/>
      <c r="M19" s="52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3:52" ht="16.5" x14ac:dyDescent="0.35">
      <c r="K20" s="40" t="s">
        <v>66</v>
      </c>
      <c r="L20" s="71" t="str">
        <f>IF($M$20=$AJ$7,SUM(L14:L17),"")</f>
        <v/>
      </c>
      <c r="M20" s="53" t="s">
        <v>73</v>
      </c>
      <c r="N20" s="55">
        <f>IF($M$20=$AJ$7,SUM(N14:N17),0)</f>
        <v>0</v>
      </c>
      <c r="O20" s="55">
        <f t="shared" ref="O20:AZ20" si="10">IF($M$20=$AJ$7,SUM(O14:O17),0)</f>
        <v>0</v>
      </c>
      <c r="P20" s="55">
        <f t="shared" si="10"/>
        <v>0</v>
      </c>
      <c r="Q20" s="55">
        <f t="shared" si="10"/>
        <v>0</v>
      </c>
      <c r="R20" s="55">
        <f t="shared" si="10"/>
        <v>0</v>
      </c>
      <c r="S20" s="55">
        <f t="shared" si="10"/>
        <v>0</v>
      </c>
      <c r="T20" s="55">
        <f t="shared" si="10"/>
        <v>0</v>
      </c>
      <c r="U20" s="55">
        <f t="shared" si="10"/>
        <v>0</v>
      </c>
      <c r="V20" s="55">
        <f t="shared" si="10"/>
        <v>0</v>
      </c>
      <c r="W20" s="55">
        <f t="shared" si="10"/>
        <v>0</v>
      </c>
      <c r="X20" s="55">
        <f t="shared" si="10"/>
        <v>0</v>
      </c>
      <c r="Y20" s="55">
        <f t="shared" si="10"/>
        <v>0</v>
      </c>
      <c r="Z20" s="55">
        <f t="shared" si="10"/>
        <v>0</v>
      </c>
      <c r="AA20" s="55">
        <f t="shared" si="10"/>
        <v>0</v>
      </c>
      <c r="AB20" s="55">
        <f t="shared" si="10"/>
        <v>0</v>
      </c>
      <c r="AC20" s="55">
        <f t="shared" si="10"/>
        <v>0</v>
      </c>
      <c r="AD20" s="55">
        <f t="shared" si="10"/>
        <v>0</v>
      </c>
      <c r="AE20" s="55">
        <f t="shared" si="10"/>
        <v>0</v>
      </c>
      <c r="AF20" s="55">
        <f t="shared" si="10"/>
        <v>0</v>
      </c>
      <c r="AG20" s="55">
        <f t="shared" si="10"/>
        <v>0</v>
      </c>
      <c r="AH20" s="55">
        <f t="shared" si="10"/>
        <v>0</v>
      </c>
      <c r="AI20" s="55">
        <f t="shared" si="10"/>
        <v>0</v>
      </c>
      <c r="AJ20" s="55">
        <f t="shared" si="10"/>
        <v>0</v>
      </c>
      <c r="AK20" s="55">
        <f t="shared" si="10"/>
        <v>0</v>
      </c>
      <c r="AL20" s="55">
        <f t="shared" si="10"/>
        <v>0</v>
      </c>
      <c r="AM20" s="55">
        <f t="shared" si="10"/>
        <v>0</v>
      </c>
      <c r="AN20" s="55">
        <f t="shared" si="10"/>
        <v>0</v>
      </c>
      <c r="AO20" s="55">
        <f t="shared" si="10"/>
        <v>0</v>
      </c>
      <c r="AP20" s="55">
        <f t="shared" si="10"/>
        <v>0</v>
      </c>
      <c r="AQ20" s="55">
        <f t="shared" si="10"/>
        <v>0</v>
      </c>
      <c r="AR20" s="55">
        <f t="shared" si="10"/>
        <v>0</v>
      </c>
      <c r="AS20" s="55">
        <f t="shared" si="10"/>
        <v>0</v>
      </c>
      <c r="AT20" s="55">
        <f t="shared" si="10"/>
        <v>0</v>
      </c>
      <c r="AU20" s="55">
        <f t="shared" si="10"/>
        <v>0</v>
      </c>
      <c r="AV20" s="55">
        <f t="shared" si="10"/>
        <v>0</v>
      </c>
      <c r="AW20" s="55">
        <f t="shared" si="10"/>
        <v>0</v>
      </c>
      <c r="AX20" s="55">
        <f t="shared" si="10"/>
        <v>0</v>
      </c>
      <c r="AY20" s="55">
        <f t="shared" si="10"/>
        <v>0</v>
      </c>
      <c r="AZ20" s="55">
        <f t="shared" si="10"/>
        <v>0</v>
      </c>
    </row>
    <row r="21" spans="3:52" x14ac:dyDescent="0.35">
      <c r="K21" s="39"/>
      <c r="L21" s="39"/>
      <c r="M21" s="39"/>
    </row>
  </sheetData>
  <mergeCells count="4">
    <mergeCell ref="C11:G11"/>
    <mergeCell ref="C12:G12"/>
    <mergeCell ref="M12:M13"/>
    <mergeCell ref="S7:T7"/>
  </mergeCells>
  <dataValidations count="1">
    <dataValidation type="list" allowBlank="1" showInputMessage="1" showErrorMessage="1" sqref="M14:M17 M20" xr:uid="{14030FAE-C205-4F99-A125-F98CBE2B09BD}">
      <formula1>$AJ$7:$AJ$8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C2" sqref="C2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20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20</v>
      </c>
    </row>
    <row r="7" spans="3:51" x14ac:dyDescent="0.35">
      <c r="R7" s="218" t="s">
        <v>81</v>
      </c>
      <c r="S7" s="218"/>
      <c r="T7" s="5">
        <f>IF(ABS(T5)&gt;ABS(T6),T5,T6)</f>
        <v>20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252"/>
      <c r="D11" s="252"/>
      <c r="E11" s="252"/>
      <c r="F11" s="252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253" t="s">
        <v>67</v>
      </c>
      <c r="D12" s="253"/>
      <c r="E12" s="253"/>
      <c r="F12" s="253"/>
      <c r="G12" s="47"/>
      <c r="H12" s="47"/>
      <c r="J12" s="57" t="s">
        <v>70</v>
      </c>
      <c r="K12" s="38">
        <v>210</v>
      </c>
      <c r="L12" s="254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3.6651914291880923</v>
      </c>
      <c r="L13" s="255"/>
      <c r="M13" s="64">
        <f>PI()*M12/180</f>
        <v>0</v>
      </c>
      <c r="N13" s="64">
        <f>PI()*N12/180</f>
        <v>0.26179938779914941</v>
      </c>
      <c r="O13" s="64">
        <f t="shared" ref="O13:AY13" si="2">PI()*O12/180</f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20</v>
      </c>
      <c r="D14" s="42">
        <v>50</v>
      </c>
      <c r="E14" s="42">
        <v>30</v>
      </c>
      <c r="F14" s="73">
        <f>PI()*E14/180</f>
        <v>0.52359877559829882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+ 0.52) = </v>
      </c>
      <c r="K14" s="66">
        <f>IF($L$14=$AI$7,$C$14*SIN($D$14*K13 + $F$14),0)</f>
        <v>20</v>
      </c>
      <c r="L14" s="48" t="s">
        <v>72</v>
      </c>
      <c r="M14" s="54">
        <f>IF($L$14=$AI$7,$C$14*SIN($D$14*M13 + $F$14),0)</f>
        <v>9.9999999999999982</v>
      </c>
      <c r="N14" s="54">
        <f t="shared" ref="N14:AY14" si="3">IF($L$14=$AI$7,$C$14*SIN($D$14*N13 + $F$14),0)</f>
        <v>17.320508075688757</v>
      </c>
      <c r="O14" s="54">
        <f t="shared" si="3"/>
        <v>20</v>
      </c>
      <c r="P14" s="54">
        <f t="shared" si="3"/>
        <v>17.320508075688743</v>
      </c>
      <c r="Q14" s="54">
        <f t="shared" si="3"/>
        <v>10.000000000000025</v>
      </c>
      <c r="R14" s="54">
        <f t="shared" si="3"/>
        <v>-1.9598038469847978E-14</v>
      </c>
      <c r="S14" s="54">
        <f t="shared" si="3"/>
        <v>-10.00000000000006</v>
      </c>
      <c r="T14" s="54">
        <f t="shared" si="3"/>
        <v>-17.320508075688831</v>
      </c>
      <c r="U14" s="54">
        <f t="shared" si="3"/>
        <v>-20</v>
      </c>
      <c r="V14" s="54">
        <f t="shared" si="3"/>
        <v>-17.320508075688807</v>
      </c>
      <c r="W14" s="54">
        <f t="shared" si="3"/>
        <v>-10.000000000000263</v>
      </c>
      <c r="X14" s="54">
        <f t="shared" si="3"/>
        <v>-2.5482220500361308E-13</v>
      </c>
      <c r="Y14" s="54">
        <f t="shared" si="3"/>
        <v>9.9999999999998206</v>
      </c>
      <c r="Z14" s="54">
        <f t="shared" si="3"/>
        <v>17.320508075688409</v>
      </c>
      <c r="AA14" s="54">
        <f t="shared" si="3"/>
        <v>20</v>
      </c>
      <c r="AB14" s="54">
        <f t="shared" si="3"/>
        <v>17.320508075689087</v>
      </c>
      <c r="AC14" s="54">
        <f t="shared" si="3"/>
        <v>10.000000000000501</v>
      </c>
      <c r="AD14" s="54">
        <f t="shared" si="3"/>
        <v>-3.9191740131006014E-14</v>
      </c>
      <c r="AE14" s="54">
        <f t="shared" si="3"/>
        <v>-9.9999999999995843</v>
      </c>
      <c r="AF14" s="54">
        <f t="shared" si="3"/>
        <v>-17.320508075688842</v>
      </c>
      <c r="AG14" s="54">
        <f t="shared" si="3"/>
        <v>-20</v>
      </c>
      <c r="AH14" s="54">
        <f t="shared" si="3"/>
        <v>-17.320508075688938</v>
      </c>
      <c r="AI14" s="54">
        <f t="shared" si="3"/>
        <v>-9.9999999999997531</v>
      </c>
      <c r="AJ14" s="54">
        <f t="shared" si="3"/>
        <v>9.0163987387370526E-13</v>
      </c>
      <c r="AK14" s="54">
        <f t="shared" si="3"/>
        <v>10.00000000000033</v>
      </c>
      <c r="AL14" s="54">
        <f t="shared" si="3"/>
        <v>17.320508075688707</v>
      </c>
      <c r="AM14" s="54">
        <f t="shared" si="3"/>
        <v>20</v>
      </c>
      <c r="AN14" s="54">
        <f t="shared" si="3"/>
        <v>17.320508075689361</v>
      </c>
      <c r="AO14" s="54">
        <f t="shared" si="3"/>
        <v>9.9999999999994991</v>
      </c>
      <c r="AP14" s="54">
        <f t="shared" si="3"/>
        <v>-5.878544179216405E-14</v>
      </c>
      <c r="AQ14" s="54">
        <f t="shared" si="3"/>
        <v>-9.9999999999996021</v>
      </c>
      <c r="AR14" s="54">
        <f t="shared" si="3"/>
        <v>-17.320508075688853</v>
      </c>
      <c r="AS14" s="54">
        <f t="shared" si="3"/>
        <v>-20</v>
      </c>
      <c r="AT14" s="54">
        <f t="shared" si="3"/>
        <v>-17.320508075688078</v>
      </c>
      <c r="AU14" s="54">
        <f t="shared" si="3"/>
        <v>-9.999999999999245</v>
      </c>
      <c r="AV14" s="54">
        <f t="shared" si="3"/>
        <v>3.5279938692678314E-13</v>
      </c>
      <c r="AW14" s="54">
        <f t="shared" si="3"/>
        <v>9.9999999999998561</v>
      </c>
      <c r="AX14" s="54">
        <f t="shared" si="3"/>
        <v>17.320508075689567</v>
      </c>
      <c r="AY14" s="54">
        <f t="shared" si="3"/>
        <v>20</v>
      </c>
    </row>
    <row r="15" spans="3:51" x14ac:dyDescent="0.35">
      <c r="C15" s="42">
        <v>1</v>
      </c>
      <c r="D15" s="42">
        <v>50</v>
      </c>
      <c r="E15" s="42">
        <v>0</v>
      </c>
      <c r="F15" s="73">
        <f t="shared" ref="F15" si="4"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5">IF($L$15=$AI$7,$C$15*SIN($D$15*N13 + $F$15),0)</f>
        <v>0.49999999999999906</v>
      </c>
      <c r="O15" s="55">
        <f t="shared" si="5"/>
        <v>0.8660254037844376</v>
      </c>
      <c r="P15" s="55">
        <f t="shared" si="5"/>
        <v>1</v>
      </c>
      <c r="Q15" s="55">
        <f t="shared" si="5"/>
        <v>0.86602540378444082</v>
      </c>
      <c r="R15" s="55">
        <f t="shared" si="5"/>
        <v>0.50000000000000167</v>
      </c>
      <c r="S15" s="55">
        <f t="shared" si="5"/>
        <v>-4.898425415289509E-16</v>
      </c>
      <c r="T15" s="55">
        <f t="shared" si="5"/>
        <v>-0.50000000000000255</v>
      </c>
      <c r="U15" s="55">
        <f t="shared" si="5"/>
        <v>-0.86602540378443427</v>
      </c>
      <c r="V15" s="55">
        <f t="shared" si="5"/>
        <v>-1</v>
      </c>
      <c r="W15" s="55">
        <f t="shared" si="5"/>
        <v>-0.86602540378444059</v>
      </c>
      <c r="X15" s="55">
        <f t="shared" si="5"/>
        <v>-0.50000000000000122</v>
      </c>
      <c r="Y15" s="55">
        <f t="shared" si="5"/>
        <v>9.7968508305790181E-16</v>
      </c>
      <c r="Z15" s="55">
        <f t="shared" si="5"/>
        <v>0.49999999999997835</v>
      </c>
      <c r="AA15" s="55">
        <f t="shared" si="5"/>
        <v>0.86602540378444159</v>
      </c>
      <c r="AB15" s="55">
        <f t="shared" si="5"/>
        <v>1</v>
      </c>
      <c r="AC15" s="55">
        <f t="shared" si="5"/>
        <v>0.86602540378444748</v>
      </c>
      <c r="AD15" s="55">
        <f t="shared" si="5"/>
        <v>0.49999999999998856</v>
      </c>
      <c r="AE15" s="55">
        <f t="shared" si="5"/>
        <v>1.2741327090615151E-14</v>
      </c>
      <c r="AF15" s="55">
        <f t="shared" si="5"/>
        <v>-0.50000000000001565</v>
      </c>
      <c r="AG15" s="55">
        <f t="shared" si="5"/>
        <v>-0.86602540378443471</v>
      </c>
      <c r="AH15" s="55">
        <f t="shared" si="5"/>
        <v>-1</v>
      </c>
      <c r="AI15" s="55">
        <f t="shared" si="5"/>
        <v>-0.86602540378444015</v>
      </c>
      <c r="AJ15" s="55">
        <f t="shared" si="5"/>
        <v>-0.4999999999999758</v>
      </c>
      <c r="AK15" s="55">
        <f t="shared" si="5"/>
        <v>1.9593701661158036E-15</v>
      </c>
      <c r="AL15" s="55">
        <f t="shared" si="5"/>
        <v>0.49999999999997918</v>
      </c>
      <c r="AM15" s="55">
        <f t="shared" si="5"/>
        <v>0.86602540378441362</v>
      </c>
      <c r="AN15" s="55">
        <f t="shared" si="5"/>
        <v>1</v>
      </c>
      <c r="AO15" s="55">
        <f t="shared" si="5"/>
        <v>0.86602540378443271</v>
      </c>
      <c r="AP15" s="55">
        <f t="shared" si="5"/>
        <v>0.50000000000001232</v>
      </c>
      <c r="AQ15" s="55">
        <f t="shared" si="5"/>
        <v>4.0183351437961257E-14</v>
      </c>
      <c r="AR15" s="55">
        <f t="shared" si="5"/>
        <v>-0.49999999999999195</v>
      </c>
      <c r="AS15" s="55">
        <f t="shared" si="5"/>
        <v>-0.86602540378442106</v>
      </c>
      <c r="AT15" s="55">
        <f t="shared" si="5"/>
        <v>-1</v>
      </c>
      <c r="AU15" s="55">
        <f t="shared" si="5"/>
        <v>-0.86602540378442538</v>
      </c>
      <c r="AV15" s="55">
        <f t="shared" si="5"/>
        <v>-0.49999999999999956</v>
      </c>
      <c r="AW15" s="55">
        <f t="shared" si="5"/>
        <v>-2.5482654181230302E-14</v>
      </c>
      <c r="AX15" s="55">
        <f t="shared" si="5"/>
        <v>0.50000000000005385</v>
      </c>
      <c r="AY15" s="55">
        <f t="shared" si="5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ht="16.5" x14ac:dyDescent="0.35">
      <c r="J18" s="100" t="s">
        <v>130</v>
      </c>
      <c r="K18" s="101">
        <f>IF($L$18=$AI$7,K14*K15,"")</f>
        <v>17.320508075688831</v>
      </c>
      <c r="L18" s="102" t="s">
        <v>72</v>
      </c>
      <c r="M18" s="55">
        <f>IF($L$18=$AI$7,M14*M15,0)</f>
        <v>0</v>
      </c>
      <c r="N18" s="55">
        <f t="shared" ref="N18:AY18" si="6">IF($L$18=$AI$7,N14*N15,0)</f>
        <v>8.6602540378443624</v>
      </c>
      <c r="O18" s="55">
        <f t="shared" si="6"/>
        <v>17.320508075688753</v>
      </c>
      <c r="P18" s="55">
        <f t="shared" si="6"/>
        <v>17.320508075688743</v>
      </c>
      <c r="Q18" s="55">
        <f t="shared" si="6"/>
        <v>8.6602540378444299</v>
      </c>
      <c r="R18" s="55">
        <f t="shared" si="6"/>
        <v>-9.7990192349240222E-15</v>
      </c>
      <c r="S18" s="55">
        <f t="shared" si="6"/>
        <v>4.898425415289539E-15</v>
      </c>
      <c r="T18" s="55">
        <f t="shared" si="6"/>
        <v>8.6602540378444601</v>
      </c>
      <c r="U18" s="55">
        <f t="shared" si="6"/>
        <v>17.320508075688686</v>
      </c>
      <c r="V18" s="55">
        <f t="shared" si="6"/>
        <v>17.320508075688807</v>
      </c>
      <c r="W18" s="55">
        <f t="shared" si="6"/>
        <v>8.6602540378446342</v>
      </c>
      <c r="X18" s="55">
        <f t="shared" si="6"/>
        <v>1.2741110250180684E-13</v>
      </c>
      <c r="Y18" s="55">
        <f t="shared" si="6"/>
        <v>9.7968508305788429E-15</v>
      </c>
      <c r="Z18" s="55">
        <f t="shared" si="6"/>
        <v>8.6602540378438295</v>
      </c>
      <c r="AA18" s="55">
        <f t="shared" si="6"/>
        <v>17.320508075688831</v>
      </c>
      <c r="AB18" s="55">
        <f t="shared" si="6"/>
        <v>17.320508075689087</v>
      </c>
      <c r="AC18" s="55">
        <f t="shared" si="6"/>
        <v>8.6602540378449078</v>
      </c>
      <c r="AD18" s="55">
        <f t="shared" si="6"/>
        <v>-1.9595870065502559E-14</v>
      </c>
      <c r="AE18" s="55">
        <f t="shared" si="6"/>
        <v>-1.2741327090614621E-13</v>
      </c>
      <c r="AF18" s="55">
        <f t="shared" si="6"/>
        <v>8.6602540378446928</v>
      </c>
      <c r="AG18" s="55">
        <f t="shared" si="6"/>
        <v>17.320508075688693</v>
      </c>
      <c r="AH18" s="55">
        <f t="shared" si="6"/>
        <v>17.320508075688938</v>
      </c>
      <c r="AI18" s="55">
        <f t="shared" si="6"/>
        <v>8.6602540378441883</v>
      </c>
      <c r="AJ18" s="55">
        <f t="shared" si="6"/>
        <v>-4.5081993693683082E-13</v>
      </c>
      <c r="AK18" s="55">
        <f t="shared" si="6"/>
        <v>1.9593701661158683E-14</v>
      </c>
      <c r="AL18" s="55">
        <f t="shared" si="6"/>
        <v>8.6602540378439929</v>
      </c>
      <c r="AM18" s="55">
        <f t="shared" si="6"/>
        <v>17.320508075688274</v>
      </c>
      <c r="AN18" s="55">
        <f t="shared" si="6"/>
        <v>17.320508075689361</v>
      </c>
      <c r="AO18" s="55">
        <f t="shared" si="6"/>
        <v>8.6602540378438935</v>
      </c>
      <c r="AP18" s="55">
        <f t="shared" si="6"/>
        <v>-2.9392720896082751E-14</v>
      </c>
      <c r="AQ18" s="55">
        <f t="shared" si="6"/>
        <v>-4.0183351437959656E-13</v>
      </c>
      <c r="AR18" s="55">
        <f t="shared" si="6"/>
        <v>8.6602540378442878</v>
      </c>
      <c r="AS18" s="55">
        <f t="shared" si="6"/>
        <v>17.320508075688423</v>
      </c>
      <c r="AT18" s="55">
        <f t="shared" si="6"/>
        <v>17.320508075688078</v>
      </c>
      <c r="AU18" s="55">
        <f t="shared" si="6"/>
        <v>8.6602540378436004</v>
      </c>
      <c r="AV18" s="55">
        <f t="shared" si="6"/>
        <v>-1.7639969346339142E-13</v>
      </c>
      <c r="AW18" s="55">
        <f t="shared" si="6"/>
        <v>-2.5482654181229933E-13</v>
      </c>
      <c r="AX18" s="55">
        <f t="shared" si="6"/>
        <v>8.660254037845716</v>
      </c>
      <c r="AY18" s="55">
        <f t="shared" si="6"/>
        <v>17.320508075689137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3B9-96CB-466D-8D95-4B5F44B0AC67}">
  <sheetPr>
    <pageSetUpPr fitToPage="1"/>
  </sheetPr>
  <dimension ref="C2:AC273"/>
  <sheetViews>
    <sheetView showGridLines="0" tabSelected="1" topLeftCell="F1" zoomScale="40" zoomScaleNormal="70" zoomScalePageLayoutView="25" workbookViewId="0">
      <selection activeCell="AE18" sqref="AE18"/>
    </sheetView>
  </sheetViews>
  <sheetFormatPr baseColWidth="10" defaultRowHeight="15.5" x14ac:dyDescent="0.35"/>
  <cols>
    <col min="16" max="16" width="50.54296875" style="141" customWidth="1"/>
    <col min="17" max="17" width="4.90625" style="171" customWidth="1"/>
    <col min="18" max="18" width="24.6328125" style="142" customWidth="1"/>
    <col min="19" max="19" width="3.81640625" style="167" customWidth="1"/>
    <col min="20" max="20" width="12" customWidth="1"/>
    <col min="21" max="21" width="50.54296875" style="1" customWidth="1"/>
    <col min="22" max="22" width="4.90625" style="52" customWidth="1"/>
    <col min="23" max="23" width="24.6328125" customWidth="1"/>
    <col min="24" max="24" width="3.81640625" style="256" customWidth="1"/>
    <col min="26" max="26" width="50.54296875" customWidth="1"/>
    <col min="27" max="27" width="4.90625" style="74" customWidth="1"/>
    <col min="28" max="28" width="24.6328125" customWidth="1"/>
    <col min="29" max="29" width="3.81640625" style="256" customWidth="1"/>
  </cols>
  <sheetData>
    <row r="2" spans="3:29" ht="26" x14ac:dyDescent="0.6">
      <c r="C2" s="44" t="s">
        <v>342</v>
      </c>
    </row>
    <row r="5" spans="3:29" ht="24" x14ac:dyDescent="0.65">
      <c r="P5" s="160" t="s">
        <v>354</v>
      </c>
      <c r="Q5" s="159" t="s">
        <v>353</v>
      </c>
      <c r="R5" s="143">
        <v>0.5</v>
      </c>
      <c r="S5" s="199" t="s">
        <v>341</v>
      </c>
      <c r="U5" s="197" t="str">
        <f>U59</f>
        <v>U1</v>
      </c>
      <c r="V5" s="272" t="str">
        <f t="shared" ref="V5:X5" si="0">V59</f>
        <v xml:space="preserve"> =</v>
      </c>
      <c r="W5" s="197">
        <f t="shared" si="0"/>
        <v>0.38502673796791448</v>
      </c>
      <c r="X5" s="257" t="str">
        <f t="shared" si="0"/>
        <v>V</v>
      </c>
      <c r="Z5" s="209" t="str">
        <f>U98</f>
        <v>I1 = I23 = I123</v>
      </c>
      <c r="AA5" s="208" t="str">
        <f t="shared" ref="AA5:AC5" si="1">V98</f>
        <v xml:space="preserve"> =</v>
      </c>
      <c r="AB5" s="209">
        <f t="shared" si="1"/>
        <v>0.77005347593582896</v>
      </c>
      <c r="AC5" s="281" t="str">
        <f t="shared" si="1"/>
        <v>A</v>
      </c>
    </row>
    <row r="6" spans="3:29" ht="24" x14ac:dyDescent="0.65">
      <c r="P6" s="160" t="s">
        <v>355</v>
      </c>
      <c r="Q6" s="159" t="s">
        <v>353</v>
      </c>
      <c r="R6" s="143">
        <v>0.5</v>
      </c>
      <c r="S6" s="199" t="s">
        <v>341</v>
      </c>
      <c r="U6" s="197" t="str">
        <f>U62</f>
        <v>U1 = U2 = U23</v>
      </c>
      <c r="V6" s="272" t="str">
        <f t="shared" ref="V6:X6" si="2">V62</f>
        <v xml:space="preserve"> =</v>
      </c>
      <c r="W6" s="197">
        <f t="shared" si="2"/>
        <v>0.25668449197860965</v>
      </c>
      <c r="X6" s="257" t="str">
        <f t="shared" si="2"/>
        <v>V</v>
      </c>
      <c r="Z6" s="209" t="str">
        <f>U18</f>
        <v>I2</v>
      </c>
      <c r="AA6" s="208" t="str">
        <f t="shared" ref="AA6:AC6" si="3">V18</f>
        <v xml:space="preserve"> =</v>
      </c>
      <c r="AB6" s="207">
        <f t="shared" si="3"/>
        <v>0.5133689839572193</v>
      </c>
      <c r="AC6" s="281" t="str">
        <f t="shared" si="3"/>
        <v>A</v>
      </c>
    </row>
    <row r="7" spans="3:29" ht="24" x14ac:dyDescent="0.65">
      <c r="P7" s="160" t="s">
        <v>356</v>
      </c>
      <c r="Q7" s="159" t="s">
        <v>353</v>
      </c>
      <c r="R7" s="143">
        <v>1</v>
      </c>
      <c r="S7" s="199" t="s">
        <v>341</v>
      </c>
      <c r="U7" s="197" t="str">
        <f>U62</f>
        <v>U1 = U2 = U23</v>
      </c>
      <c r="V7" s="272" t="str">
        <f t="shared" ref="V7:X7" si="4">V62</f>
        <v xml:space="preserve"> =</v>
      </c>
      <c r="W7" s="197">
        <f t="shared" si="4"/>
        <v>0.25668449197860965</v>
      </c>
      <c r="X7" s="257" t="str">
        <f t="shared" si="4"/>
        <v>V</v>
      </c>
      <c r="Z7" s="209" t="str">
        <f>U21</f>
        <v>I3</v>
      </c>
      <c r="AA7" s="208" t="str">
        <f t="shared" ref="AA7:AC7" si="5">V21</f>
        <v xml:space="preserve"> =</v>
      </c>
      <c r="AB7" s="209">
        <f t="shared" si="5"/>
        <v>0.25668449197860965</v>
      </c>
      <c r="AC7" s="281" t="str">
        <f t="shared" si="5"/>
        <v>A</v>
      </c>
    </row>
    <row r="8" spans="3:29" ht="24" x14ac:dyDescent="0.65">
      <c r="P8" s="160" t="s">
        <v>357</v>
      </c>
      <c r="Q8" s="159" t="s">
        <v>353</v>
      </c>
      <c r="R8" s="143">
        <v>1</v>
      </c>
      <c r="S8" s="199" t="s">
        <v>341</v>
      </c>
      <c r="U8" s="197" t="str">
        <f>U88</f>
        <v>U4 = U5 = U123 = U12345</v>
      </c>
      <c r="V8" s="272" t="str">
        <f t="shared" ref="V8:X8" si="6">V88</f>
        <v xml:space="preserve"> =</v>
      </c>
      <c r="W8" s="197">
        <f t="shared" si="6"/>
        <v>0.64171122994652408</v>
      </c>
      <c r="X8" s="257" t="str">
        <f t="shared" si="6"/>
        <v>V</v>
      </c>
      <c r="Z8" s="209" t="str">
        <f>U24</f>
        <v>I4</v>
      </c>
      <c r="AA8" s="208" t="str">
        <f t="shared" ref="AA8:AC8" si="7">V24</f>
        <v xml:space="preserve"> =</v>
      </c>
      <c r="AB8" s="209">
        <f t="shared" si="7"/>
        <v>0.64171122994652408</v>
      </c>
      <c r="AC8" s="281" t="str">
        <f t="shared" si="7"/>
        <v>A</v>
      </c>
    </row>
    <row r="9" spans="3:29" ht="24" x14ac:dyDescent="0.65">
      <c r="P9" s="160" t="s">
        <v>358</v>
      </c>
      <c r="Q9" s="159" t="s">
        <v>353</v>
      </c>
      <c r="R9" s="143">
        <v>2</v>
      </c>
      <c r="S9" s="199" t="s">
        <v>341</v>
      </c>
      <c r="U9" s="197" t="str">
        <f>U88</f>
        <v>U4 = U5 = U123 = U12345</v>
      </c>
      <c r="V9" s="272" t="str">
        <f t="shared" ref="V9:X9" si="8">V88</f>
        <v xml:space="preserve"> =</v>
      </c>
      <c r="W9" s="197">
        <f t="shared" si="8"/>
        <v>0.64171122994652408</v>
      </c>
      <c r="X9" s="257" t="str">
        <f t="shared" si="8"/>
        <v>V</v>
      </c>
      <c r="Z9" s="209" t="str">
        <f>U27</f>
        <v>I5</v>
      </c>
      <c r="AA9" s="208" t="str">
        <f t="shared" ref="AA9:AC9" si="9">V27</f>
        <v xml:space="preserve"> =</v>
      </c>
      <c r="AB9" s="209">
        <f t="shared" si="9"/>
        <v>0.32085561497326204</v>
      </c>
      <c r="AC9" s="281" t="str">
        <f t="shared" si="9"/>
        <v>A</v>
      </c>
    </row>
    <row r="10" spans="3:29" ht="24" x14ac:dyDescent="0.65">
      <c r="P10" s="160" t="s">
        <v>359</v>
      </c>
      <c r="Q10" s="159" t="s">
        <v>353</v>
      </c>
      <c r="R10" s="143">
        <v>2</v>
      </c>
      <c r="S10" s="199" t="s">
        <v>341</v>
      </c>
      <c r="U10" s="197" t="str">
        <f>U144</f>
        <v>U6</v>
      </c>
      <c r="V10" s="272" t="str">
        <f t="shared" ref="V10:X10" si="10">V144</f>
        <v xml:space="preserve"> =</v>
      </c>
      <c r="W10" s="197">
        <f t="shared" si="10"/>
        <v>3.4652406417112305</v>
      </c>
      <c r="X10" s="257" t="str">
        <f t="shared" si="10"/>
        <v>V</v>
      </c>
      <c r="Z10" s="209" t="str">
        <f>U183</f>
        <v>I6 = I12345 = I123456</v>
      </c>
      <c r="AA10" s="208" t="str">
        <f t="shared" ref="AA10:AC10" si="11">V183</f>
        <v xml:space="preserve"> =</v>
      </c>
      <c r="AB10" s="209">
        <f t="shared" si="11"/>
        <v>1.7326203208556152</v>
      </c>
      <c r="AC10" s="281" t="str">
        <f t="shared" si="11"/>
        <v>A</v>
      </c>
    </row>
    <row r="11" spans="3:29" ht="24" x14ac:dyDescent="0.65">
      <c r="P11" s="160" t="s">
        <v>360</v>
      </c>
      <c r="Q11" s="159" t="s">
        <v>353</v>
      </c>
      <c r="R11" s="143">
        <v>0.5</v>
      </c>
      <c r="S11" s="199" t="s">
        <v>341</v>
      </c>
      <c r="U11" s="197" t="str">
        <f>U31</f>
        <v>U7</v>
      </c>
      <c r="V11" s="272" t="str">
        <f t="shared" ref="V11:X11" si="12">V31</f>
        <v xml:space="preserve"> =</v>
      </c>
      <c r="W11" s="197">
        <f t="shared" si="12"/>
        <v>2.0534759358288772</v>
      </c>
      <c r="X11" s="257" t="str">
        <f t="shared" si="12"/>
        <v>V</v>
      </c>
      <c r="Z11" s="209" t="str">
        <f>U68</f>
        <v>I7 = I8 = I78</v>
      </c>
      <c r="AA11" s="208" t="str">
        <f t="shared" ref="AA11:AC11" si="13">V68</f>
        <v xml:space="preserve"> =</v>
      </c>
      <c r="AB11" s="209">
        <f t="shared" si="13"/>
        <v>4.1069518716577544</v>
      </c>
      <c r="AC11" s="281" t="str">
        <f t="shared" si="13"/>
        <v>A</v>
      </c>
    </row>
    <row r="12" spans="3:29" ht="24" x14ac:dyDescent="0.65">
      <c r="P12" s="160" t="s">
        <v>361</v>
      </c>
      <c r="Q12" s="159" t="s">
        <v>353</v>
      </c>
      <c r="R12" s="143">
        <v>0.5</v>
      </c>
      <c r="S12" s="199" t="s">
        <v>341</v>
      </c>
      <c r="U12" s="197" t="str">
        <f>U34</f>
        <v>U8</v>
      </c>
      <c r="V12" s="272" t="str">
        <f t="shared" ref="V12:X12" si="14">V34</f>
        <v xml:space="preserve"> =</v>
      </c>
      <c r="W12" s="197">
        <f t="shared" si="14"/>
        <v>2.0534759358288772</v>
      </c>
      <c r="X12" s="257" t="str">
        <f t="shared" si="14"/>
        <v>V</v>
      </c>
      <c r="Z12" s="209" t="str">
        <f>U68</f>
        <v>I7 = I8 = I78</v>
      </c>
      <c r="AA12" s="208" t="str">
        <f t="shared" ref="AA12:AC12" si="15">V68</f>
        <v xml:space="preserve"> =</v>
      </c>
      <c r="AB12" s="209">
        <f t="shared" si="15"/>
        <v>4.1069518716577544</v>
      </c>
      <c r="AC12" s="281" t="str">
        <f t="shared" si="15"/>
        <v>A</v>
      </c>
    </row>
    <row r="13" spans="3:29" ht="24" x14ac:dyDescent="0.65">
      <c r="P13" s="160" t="s">
        <v>362</v>
      </c>
      <c r="Q13" s="159" t="s">
        <v>353</v>
      </c>
      <c r="R13" s="143">
        <v>2</v>
      </c>
      <c r="S13" s="199" t="s">
        <v>341</v>
      </c>
      <c r="U13" s="197" t="str">
        <f>U172</f>
        <v>U9 = U123456789 = U78 = U123456</v>
      </c>
      <c r="V13" s="272" t="str">
        <f t="shared" ref="V13:X13" si="16">V172</f>
        <v xml:space="preserve"> =</v>
      </c>
      <c r="W13" s="197">
        <f t="shared" si="16"/>
        <v>4.1069518716577544</v>
      </c>
      <c r="X13" s="257" t="str">
        <f t="shared" si="16"/>
        <v>V</v>
      </c>
      <c r="Z13" s="209" t="str">
        <f>U65</f>
        <v>I9</v>
      </c>
      <c r="AA13" s="208" t="str">
        <f t="shared" ref="AA13:AC13" si="17">V65</f>
        <v xml:space="preserve"> =</v>
      </c>
      <c r="AB13" s="209">
        <f t="shared" si="17"/>
        <v>2.0534759358288772</v>
      </c>
      <c r="AC13" s="281" t="str">
        <f t="shared" si="17"/>
        <v>A</v>
      </c>
    </row>
    <row r="14" spans="3:29" ht="24" x14ac:dyDescent="0.65">
      <c r="P14" s="160" t="s">
        <v>363</v>
      </c>
      <c r="Q14" s="159" t="s">
        <v>353</v>
      </c>
      <c r="R14" s="143">
        <v>1</v>
      </c>
      <c r="S14" s="199" t="s">
        <v>341</v>
      </c>
      <c r="U14" s="197" t="str">
        <f>U229</f>
        <v>U10</v>
      </c>
      <c r="V14" s="272" t="str">
        <f t="shared" ref="V14:X14" si="18">V229</f>
        <v xml:space="preserve"> =</v>
      </c>
      <c r="W14" s="197">
        <f t="shared" si="18"/>
        <v>7.8930481283422456</v>
      </c>
      <c r="X14" s="257" t="str">
        <f t="shared" si="18"/>
        <v>V</v>
      </c>
      <c r="Z14" s="209" t="str">
        <f>U273</f>
        <v>I10 = I123456789 = ITot</v>
      </c>
      <c r="AA14" s="208" t="str">
        <f t="shared" ref="AA14:AC14" si="19">V273</f>
        <v xml:space="preserve"> =</v>
      </c>
      <c r="AB14" s="209">
        <f t="shared" si="19"/>
        <v>7.8930481283422456</v>
      </c>
      <c r="AC14" s="281" t="str">
        <f t="shared" si="19"/>
        <v>A</v>
      </c>
    </row>
    <row r="15" spans="3:29" ht="24" x14ac:dyDescent="0.65">
      <c r="P15" s="194" t="s">
        <v>423</v>
      </c>
      <c r="Q15" s="195" t="s">
        <v>353</v>
      </c>
      <c r="R15" s="196">
        <f>R273</f>
        <v>1.5203252032520327</v>
      </c>
      <c r="S15" s="200" t="s">
        <v>340</v>
      </c>
      <c r="U15" s="161" t="s">
        <v>422</v>
      </c>
      <c r="V15" s="273" t="s">
        <v>353</v>
      </c>
      <c r="W15" s="143">
        <v>12</v>
      </c>
      <c r="X15" s="258" t="s">
        <v>340</v>
      </c>
      <c r="Z15" s="209" t="str">
        <f>U273</f>
        <v>I10 = I123456789 = ITot</v>
      </c>
      <c r="AA15" s="208" t="str">
        <f t="shared" ref="AA15:AC15" si="20">V273</f>
        <v xml:space="preserve"> =</v>
      </c>
      <c r="AB15" s="207">
        <f t="shared" si="20"/>
        <v>7.8930481283422456</v>
      </c>
      <c r="AC15" s="281" t="str">
        <f t="shared" si="20"/>
        <v>A</v>
      </c>
    </row>
    <row r="16" spans="3:29" x14ac:dyDescent="0.35">
      <c r="G16" s="140"/>
    </row>
    <row r="17" spans="16:24" ht="35.5" customHeight="1" x14ac:dyDescent="0.8">
      <c r="U17" s="148" t="s">
        <v>410</v>
      </c>
      <c r="V17" s="273" t="s">
        <v>353</v>
      </c>
      <c r="W17" s="173" t="s">
        <v>416</v>
      </c>
      <c r="X17" s="259"/>
    </row>
    <row r="18" spans="16:24" ht="35.5" customHeight="1" x14ac:dyDescent="0.8">
      <c r="P18" s="210" t="str">
        <f>P59</f>
        <v>R23</v>
      </c>
      <c r="Q18" s="211" t="str">
        <f t="shared" ref="Q18:S18" si="21">Q59</f>
        <v xml:space="preserve"> =</v>
      </c>
      <c r="R18" s="210">
        <f t="shared" si="21"/>
        <v>0.33333333333333331</v>
      </c>
      <c r="S18" s="212" t="str">
        <f t="shared" si="21"/>
        <v>Ω</v>
      </c>
      <c r="U18" s="179" t="s">
        <v>410</v>
      </c>
      <c r="V18" s="274" t="s">
        <v>353</v>
      </c>
      <c r="W18" s="180">
        <f>W62/R6</f>
        <v>0.5133689839572193</v>
      </c>
      <c r="X18" s="260" t="s">
        <v>44</v>
      </c>
    </row>
    <row r="19" spans="16:24" ht="35.5" customHeight="1" x14ac:dyDescent="0.35">
      <c r="P19" s="210" t="str">
        <f>P62</f>
        <v>R45</v>
      </c>
      <c r="Q19" s="211" t="str">
        <f t="shared" ref="Q19:S19" si="22">Q62</f>
        <v xml:space="preserve"> =</v>
      </c>
      <c r="R19" s="210">
        <f t="shared" si="22"/>
        <v>0.66666666666666663</v>
      </c>
      <c r="S19" s="212" t="str">
        <f t="shared" si="22"/>
        <v>Ω</v>
      </c>
    </row>
    <row r="20" spans="16:24" ht="35.5" customHeight="1" x14ac:dyDescent="0.8">
      <c r="P20" s="210" t="str">
        <f>P65</f>
        <v>R78</v>
      </c>
      <c r="Q20" s="211" t="str">
        <f t="shared" ref="Q20:S20" si="23">Q65</f>
        <v xml:space="preserve"> =</v>
      </c>
      <c r="R20" s="210">
        <f t="shared" si="23"/>
        <v>1</v>
      </c>
      <c r="S20" s="212" t="str">
        <f t="shared" si="23"/>
        <v>Ω</v>
      </c>
      <c r="U20" s="148" t="s">
        <v>411</v>
      </c>
      <c r="V20" s="273" t="s">
        <v>353</v>
      </c>
      <c r="W20" s="173" t="s">
        <v>417</v>
      </c>
      <c r="X20" s="259"/>
    </row>
    <row r="21" spans="16:24" ht="35.5" customHeight="1" x14ac:dyDescent="0.8">
      <c r="U21" s="179" t="s">
        <v>411</v>
      </c>
      <c r="V21" s="274" t="s">
        <v>353</v>
      </c>
      <c r="W21" s="180">
        <f>W62/R7</f>
        <v>0.25668449197860965</v>
      </c>
      <c r="X21" s="260" t="s">
        <v>44</v>
      </c>
    </row>
    <row r="22" spans="16:24" ht="35.5" customHeight="1" x14ac:dyDescent="0.35">
      <c r="P22" s="210" t="str">
        <f>P98</f>
        <v>R123</v>
      </c>
      <c r="Q22" s="211" t="str">
        <f t="shared" ref="Q22:S22" si="24">Q98</f>
        <v xml:space="preserve"> =</v>
      </c>
      <c r="R22" s="210">
        <f t="shared" si="24"/>
        <v>0.83333333333333326</v>
      </c>
      <c r="S22" s="212" t="str">
        <f t="shared" si="24"/>
        <v>Ω</v>
      </c>
    </row>
    <row r="23" spans="16:24" ht="35.5" customHeight="1" x14ac:dyDescent="0.8">
      <c r="P23" s="210" t="str">
        <f>P101</f>
        <v>R789</v>
      </c>
      <c r="Q23" s="211" t="str">
        <f t="shared" ref="Q23:S23" si="25">Q101</f>
        <v xml:space="preserve"> =</v>
      </c>
      <c r="R23" s="210">
        <f t="shared" si="25"/>
        <v>0.66666666666666663</v>
      </c>
      <c r="S23" s="212" t="str">
        <f t="shared" si="25"/>
        <v>Ω</v>
      </c>
      <c r="U23" s="148" t="s">
        <v>412</v>
      </c>
      <c r="V23" s="273" t="s">
        <v>353</v>
      </c>
      <c r="W23" s="173" t="s">
        <v>418</v>
      </c>
      <c r="X23" s="259"/>
    </row>
    <row r="24" spans="16:24" ht="35.5" customHeight="1" x14ac:dyDescent="0.8">
      <c r="U24" s="179" t="s">
        <v>412</v>
      </c>
      <c r="V24" s="274" t="s">
        <v>353</v>
      </c>
      <c r="W24" s="180">
        <f>W88/R8</f>
        <v>0.64171122994652408</v>
      </c>
      <c r="X24" s="260" t="s">
        <v>44</v>
      </c>
    </row>
    <row r="25" spans="16:24" ht="35.5" customHeight="1" x14ac:dyDescent="0.35">
      <c r="P25" s="210" t="str">
        <f>P141</f>
        <v>R12345</v>
      </c>
      <c r="Q25" s="211" t="str">
        <f t="shared" ref="Q25:S25" si="26">Q141</f>
        <v xml:space="preserve"> =</v>
      </c>
      <c r="R25" s="210">
        <f t="shared" si="26"/>
        <v>0.37037037037037035</v>
      </c>
      <c r="S25" s="212" t="str">
        <f t="shared" si="26"/>
        <v>Ω</v>
      </c>
    </row>
    <row r="26" spans="16:24" ht="35.5" customHeight="1" x14ac:dyDescent="0.8">
      <c r="U26" s="148" t="s">
        <v>413</v>
      </c>
      <c r="V26" s="273" t="s">
        <v>353</v>
      </c>
      <c r="W26" s="173" t="s">
        <v>419</v>
      </c>
      <c r="X26" s="259"/>
    </row>
    <row r="27" spans="16:24" ht="35.5" customHeight="1" x14ac:dyDescent="0.8">
      <c r="P27" s="210" t="str">
        <f>P180</f>
        <v>R123456</v>
      </c>
      <c r="Q27" s="211" t="str">
        <f t="shared" ref="Q27:S27" si="27">Q180</f>
        <v xml:space="preserve"> =</v>
      </c>
      <c r="R27" s="210">
        <f t="shared" si="27"/>
        <v>2.3703703703703702</v>
      </c>
      <c r="S27" s="212" t="str">
        <f t="shared" si="27"/>
        <v>Ω</v>
      </c>
      <c r="U27" s="179" t="s">
        <v>413</v>
      </c>
      <c r="V27" s="274" t="s">
        <v>353</v>
      </c>
      <c r="W27" s="180">
        <f>W88/R9</f>
        <v>0.32085561497326204</v>
      </c>
      <c r="X27" s="260" t="s">
        <v>44</v>
      </c>
    </row>
    <row r="28" spans="16:24" ht="35.5" customHeight="1" x14ac:dyDescent="0.35"/>
    <row r="29" spans="16:24" ht="35.5" customHeight="1" x14ac:dyDescent="0.35">
      <c r="P29" s="210" t="str">
        <f>P226</f>
        <v>R123456789</v>
      </c>
      <c r="Q29" s="211" t="str">
        <f t="shared" ref="Q29:S29" si="28">Q226</f>
        <v xml:space="preserve"> =</v>
      </c>
      <c r="R29" s="210">
        <f t="shared" si="28"/>
        <v>0.52032520325203258</v>
      </c>
      <c r="S29" s="212" t="str">
        <f t="shared" si="28"/>
        <v>Ω</v>
      </c>
    </row>
    <row r="30" spans="16:24" ht="35.5" customHeight="1" x14ac:dyDescent="0.85">
      <c r="U30" s="184" t="s">
        <v>414</v>
      </c>
      <c r="V30" s="273" t="s">
        <v>353</v>
      </c>
      <c r="W30" s="186" t="s">
        <v>420</v>
      </c>
      <c r="X30" s="261"/>
    </row>
    <row r="31" spans="16:24" ht="35.5" customHeight="1" x14ac:dyDescent="0.85">
      <c r="P31" s="210" t="str">
        <f>P273</f>
        <v>RTot</v>
      </c>
      <c r="Q31" s="211" t="str">
        <f t="shared" ref="Q31:S31" si="29">Q273</f>
        <v xml:space="preserve"> =</v>
      </c>
      <c r="R31" s="210">
        <f t="shared" si="29"/>
        <v>1.5203252032520327</v>
      </c>
      <c r="S31" s="212" t="str">
        <f t="shared" si="29"/>
        <v>Ω</v>
      </c>
      <c r="U31" s="189" t="s">
        <v>414</v>
      </c>
      <c r="V31" s="274" t="s">
        <v>353</v>
      </c>
      <c r="W31" s="190">
        <f>W68*R11</f>
        <v>2.0534759358288772</v>
      </c>
      <c r="X31" s="262" t="s">
        <v>340</v>
      </c>
    </row>
    <row r="32" spans="16:24" ht="35.5" customHeight="1" x14ac:dyDescent="0.35"/>
    <row r="33" spans="3:24" ht="35.5" customHeight="1" x14ac:dyDescent="0.85">
      <c r="U33" s="184" t="s">
        <v>415</v>
      </c>
      <c r="V33" s="273" t="s">
        <v>353</v>
      </c>
      <c r="W33" s="186" t="s">
        <v>421</v>
      </c>
      <c r="X33" s="261"/>
    </row>
    <row r="34" spans="3:24" ht="35.5" customHeight="1" x14ac:dyDescent="0.85">
      <c r="U34" s="189" t="s">
        <v>415</v>
      </c>
      <c r="V34" s="274" t="s">
        <v>353</v>
      </c>
      <c r="W34" s="190">
        <f>W68*R12</f>
        <v>2.0534759358288772</v>
      </c>
      <c r="X34" s="262" t="s">
        <v>340</v>
      </c>
    </row>
    <row r="35" spans="3:24" ht="35.5" customHeight="1" x14ac:dyDescent="0.35"/>
    <row r="36" spans="3:24" ht="35.5" customHeight="1" x14ac:dyDescent="0.35"/>
    <row r="37" spans="3:24" ht="35.5" customHeight="1" x14ac:dyDescent="0.35"/>
    <row r="38" spans="3:24" ht="35.5" customHeight="1" x14ac:dyDescent="0.35"/>
    <row r="39" spans="3:24" ht="35.5" customHeight="1" x14ac:dyDescent="0.35"/>
    <row r="40" spans="3:24" ht="35.5" customHeight="1" x14ac:dyDescent="0.35"/>
    <row r="41" spans="3:24" ht="13" customHeight="1" x14ac:dyDescent="0.35"/>
    <row r="42" spans="3:24" ht="13" customHeight="1" x14ac:dyDescent="0.35"/>
    <row r="45" spans="3:24" ht="26" x14ac:dyDescent="0.6">
      <c r="C45" s="44" t="s">
        <v>343</v>
      </c>
    </row>
    <row r="46" spans="3:24" x14ac:dyDescent="0.35">
      <c r="R46" s="141"/>
    </row>
    <row r="47" spans="3:24" x14ac:dyDescent="0.35">
      <c r="R47" s="141"/>
    </row>
    <row r="48" spans="3:24" ht="21" x14ac:dyDescent="0.5">
      <c r="P48" s="162" t="str">
        <f t="shared" ref="P48:S51" si="30">P6</f>
        <v>R2</v>
      </c>
      <c r="Q48" s="174" t="str">
        <f t="shared" si="30"/>
        <v xml:space="preserve"> =</v>
      </c>
      <c r="R48" s="162">
        <f t="shared" si="30"/>
        <v>0.5</v>
      </c>
      <c r="S48" s="166" t="str">
        <f t="shared" si="30"/>
        <v>Ω</v>
      </c>
      <c r="U48" s="13" t="str">
        <f>U98</f>
        <v>I1 = I23 = I123</v>
      </c>
      <c r="V48" s="275" t="str">
        <f t="shared" ref="V48:X48" si="31">V98</f>
        <v xml:space="preserve"> =</v>
      </c>
      <c r="W48" s="13">
        <f t="shared" si="31"/>
        <v>0.77005347593582896</v>
      </c>
      <c r="X48" s="263" t="str">
        <f t="shared" si="31"/>
        <v>A</v>
      </c>
    </row>
    <row r="49" spans="16:24" ht="21" x14ac:dyDescent="0.5">
      <c r="P49" s="162" t="str">
        <f t="shared" si="30"/>
        <v>R3</v>
      </c>
      <c r="Q49" s="174" t="str">
        <f t="shared" si="30"/>
        <v xml:space="preserve"> =</v>
      </c>
      <c r="R49" s="162">
        <f t="shared" si="30"/>
        <v>1</v>
      </c>
      <c r="S49" s="166" t="str">
        <f t="shared" si="30"/>
        <v>Ω</v>
      </c>
      <c r="U49" s="187" t="str">
        <f>U226</f>
        <v>U9 = U123456789 = U78 = U123456</v>
      </c>
      <c r="V49" s="276" t="str">
        <f t="shared" ref="V49:X49" si="32">V226</f>
        <v xml:space="preserve"> =</v>
      </c>
      <c r="W49" s="187">
        <f t="shared" si="32"/>
        <v>4.1069518716577544</v>
      </c>
      <c r="X49" s="264" t="str">
        <f t="shared" si="32"/>
        <v>V</v>
      </c>
    </row>
    <row r="50" spans="16:24" ht="21" x14ac:dyDescent="0.5">
      <c r="P50" s="162" t="str">
        <f t="shared" si="30"/>
        <v>R4</v>
      </c>
      <c r="Q50" s="174" t="str">
        <f t="shared" si="30"/>
        <v xml:space="preserve"> =</v>
      </c>
      <c r="R50" s="162">
        <f t="shared" si="30"/>
        <v>1</v>
      </c>
      <c r="S50" s="166" t="str">
        <f t="shared" si="30"/>
        <v>Ω</v>
      </c>
      <c r="U50" s="1" t="str">
        <f>P5</f>
        <v>R1</v>
      </c>
      <c r="V50" s="52" t="str">
        <f>Q5</f>
        <v xml:space="preserve"> =</v>
      </c>
      <c r="W50" s="1">
        <f>R5</f>
        <v>0.5</v>
      </c>
      <c r="X50" s="256" t="str">
        <f>S5</f>
        <v>Ω</v>
      </c>
    </row>
    <row r="51" spans="16:24" ht="21" x14ac:dyDescent="0.5">
      <c r="P51" s="162" t="str">
        <f t="shared" si="30"/>
        <v>R5</v>
      </c>
      <c r="Q51" s="174" t="str">
        <f t="shared" si="30"/>
        <v xml:space="preserve"> =</v>
      </c>
      <c r="R51" s="162">
        <f t="shared" si="30"/>
        <v>2</v>
      </c>
      <c r="S51" s="166" t="str">
        <f t="shared" si="30"/>
        <v>Ω</v>
      </c>
      <c r="U51" s="1" t="str">
        <f>P59</f>
        <v>R23</v>
      </c>
      <c r="V51" s="52" t="str">
        <f t="shared" ref="V51:X51" si="33">Q59</f>
        <v xml:space="preserve"> =</v>
      </c>
      <c r="W51" s="1">
        <f t="shared" si="33"/>
        <v>0.33333333333333331</v>
      </c>
      <c r="X51" s="256" t="str">
        <f t="shared" si="33"/>
        <v>Ω</v>
      </c>
    </row>
    <row r="52" spans="16:24" ht="21" x14ac:dyDescent="0.5">
      <c r="P52" s="162" t="str">
        <f t="shared" ref="P52:S53" si="34">P11</f>
        <v>R7</v>
      </c>
      <c r="Q52" s="174" t="str">
        <f t="shared" si="34"/>
        <v xml:space="preserve"> =</v>
      </c>
      <c r="R52" s="162">
        <f t="shared" si="34"/>
        <v>0.5</v>
      </c>
      <c r="S52" s="166" t="str">
        <f t="shared" si="34"/>
        <v>Ω</v>
      </c>
      <c r="U52" s="1" t="str">
        <f>P65</f>
        <v>R78</v>
      </c>
      <c r="V52" s="52" t="str">
        <f t="shared" ref="V52:X52" si="35">Q65</f>
        <v xml:space="preserve"> =</v>
      </c>
      <c r="W52" s="1">
        <f t="shared" si="35"/>
        <v>1</v>
      </c>
      <c r="X52" s="256" t="str">
        <f t="shared" si="35"/>
        <v>Ω</v>
      </c>
    </row>
    <row r="53" spans="16:24" ht="21" x14ac:dyDescent="0.5">
      <c r="P53" s="162" t="str">
        <f t="shared" si="34"/>
        <v>R8</v>
      </c>
      <c r="Q53" s="174" t="str">
        <f t="shared" si="34"/>
        <v xml:space="preserve"> =</v>
      </c>
      <c r="R53" s="162">
        <f t="shared" si="34"/>
        <v>0.5</v>
      </c>
      <c r="S53" s="166" t="str">
        <f t="shared" si="34"/>
        <v>Ω</v>
      </c>
      <c r="U53" s="1" t="str">
        <f>P13</f>
        <v>R9</v>
      </c>
      <c r="V53" s="52" t="str">
        <f>Q13</f>
        <v xml:space="preserve"> =</v>
      </c>
      <c r="W53" s="1">
        <f>R13</f>
        <v>2</v>
      </c>
      <c r="X53" s="256" t="str">
        <f>S13</f>
        <v>Ω</v>
      </c>
    </row>
    <row r="54" spans="16:24" x14ac:dyDescent="0.35">
      <c r="R54" s="141"/>
    </row>
    <row r="55" spans="16:24" x14ac:dyDescent="0.35">
      <c r="R55" s="141"/>
    </row>
    <row r="58" spans="16:24" ht="32.5" x14ac:dyDescent="0.85">
      <c r="P58" s="144" t="s">
        <v>364</v>
      </c>
      <c r="Q58" s="159" t="s">
        <v>353</v>
      </c>
      <c r="R58" s="145" t="s">
        <v>368</v>
      </c>
      <c r="S58" s="201"/>
      <c r="U58" s="184" t="s">
        <v>404</v>
      </c>
      <c r="V58" s="273" t="s">
        <v>353</v>
      </c>
      <c r="W58" s="186" t="s">
        <v>406</v>
      </c>
      <c r="X58" s="261"/>
    </row>
    <row r="59" spans="16:24" ht="32.5" x14ac:dyDescent="0.85">
      <c r="P59" s="163" t="s">
        <v>364</v>
      </c>
      <c r="Q59" s="164" t="s">
        <v>353</v>
      </c>
      <c r="R59" s="165">
        <f>1/(1/R6+1/R7)</f>
        <v>0.33333333333333331</v>
      </c>
      <c r="S59" s="202" t="s">
        <v>341</v>
      </c>
      <c r="U59" s="189" t="s">
        <v>404</v>
      </c>
      <c r="V59" s="274" t="s">
        <v>353</v>
      </c>
      <c r="W59" s="190">
        <f>W48*W50</f>
        <v>0.38502673796791448</v>
      </c>
      <c r="X59" s="262" t="s">
        <v>340</v>
      </c>
    </row>
    <row r="61" spans="16:24" ht="32.5" x14ac:dyDescent="0.85">
      <c r="P61" s="144" t="s">
        <v>365</v>
      </c>
      <c r="Q61" s="159" t="s">
        <v>353</v>
      </c>
      <c r="R61" s="145" t="s">
        <v>369</v>
      </c>
      <c r="S61" s="201"/>
      <c r="U61" s="184" t="s">
        <v>405</v>
      </c>
      <c r="V61" s="273" t="s">
        <v>353</v>
      </c>
      <c r="W61" s="186" t="s">
        <v>407</v>
      </c>
      <c r="X61" s="261"/>
    </row>
    <row r="62" spans="16:24" ht="32.5" x14ac:dyDescent="0.85">
      <c r="P62" s="163" t="s">
        <v>365</v>
      </c>
      <c r="Q62" s="164" t="s">
        <v>353</v>
      </c>
      <c r="R62" s="165">
        <f>1/(1/R8+1/R9)</f>
        <v>0.66666666666666663</v>
      </c>
      <c r="S62" s="202" t="s">
        <v>341</v>
      </c>
      <c r="U62" s="189" t="s">
        <v>429</v>
      </c>
      <c r="V62" s="274" t="s">
        <v>353</v>
      </c>
      <c r="W62" s="190">
        <f>W48*W51</f>
        <v>0.25668449197860965</v>
      </c>
      <c r="X62" s="262" t="s">
        <v>340</v>
      </c>
    </row>
    <row r="64" spans="16:24" ht="30" x14ac:dyDescent="0.8">
      <c r="P64" s="144" t="s">
        <v>366</v>
      </c>
      <c r="Q64" s="159" t="s">
        <v>353</v>
      </c>
      <c r="R64" s="145" t="s">
        <v>370</v>
      </c>
      <c r="S64" s="201"/>
      <c r="U64" s="148" t="s">
        <v>403</v>
      </c>
      <c r="V64" s="273" t="s">
        <v>353</v>
      </c>
      <c r="W64" s="173" t="s">
        <v>408</v>
      </c>
      <c r="X64" s="259"/>
    </row>
    <row r="65" spans="16:24" ht="30" x14ac:dyDescent="0.8">
      <c r="P65" s="163" t="s">
        <v>366</v>
      </c>
      <c r="Q65" s="164" t="s">
        <v>353</v>
      </c>
      <c r="R65" s="165">
        <f>R11+R12</f>
        <v>1</v>
      </c>
      <c r="S65" s="202" t="s">
        <v>341</v>
      </c>
      <c r="U65" s="179" t="s">
        <v>403</v>
      </c>
      <c r="V65" s="274" t="s">
        <v>353</v>
      </c>
      <c r="W65" s="180">
        <f>W49/W53</f>
        <v>2.0534759358288772</v>
      </c>
      <c r="X65" s="260" t="s">
        <v>44</v>
      </c>
    </row>
    <row r="67" spans="16:24" ht="30" x14ac:dyDescent="0.8">
      <c r="U67" s="148" t="s">
        <v>402</v>
      </c>
      <c r="V67" s="273" t="s">
        <v>353</v>
      </c>
      <c r="W67" s="173" t="s">
        <v>409</v>
      </c>
      <c r="X67" s="259"/>
    </row>
    <row r="68" spans="16:24" ht="30" x14ac:dyDescent="0.8">
      <c r="U68" s="179" t="s">
        <v>430</v>
      </c>
      <c r="V68" s="274" t="s">
        <v>353</v>
      </c>
      <c r="W68" s="180">
        <f>W49/W52</f>
        <v>4.1069518716577544</v>
      </c>
      <c r="X68" s="260" t="s">
        <v>44</v>
      </c>
    </row>
    <row r="70" spans="16:24" ht="16" thickBot="1" x14ac:dyDescent="0.4"/>
    <row r="71" spans="16:24" ht="33" thickBot="1" x14ac:dyDescent="0.9">
      <c r="U71" s="155" t="s">
        <v>425</v>
      </c>
      <c r="V71" s="277">
        <f>IF(W59+W62=W88,1,-1)</f>
        <v>1</v>
      </c>
    </row>
    <row r="72" spans="16:24" ht="16" thickBot="1" x14ac:dyDescent="0.4"/>
    <row r="73" spans="16:24" ht="30.5" thickBot="1" x14ac:dyDescent="0.85">
      <c r="U73" s="151" t="s">
        <v>426</v>
      </c>
      <c r="V73" s="278">
        <f>IF(W65+W68=W180,1,-1)</f>
        <v>1</v>
      </c>
    </row>
    <row r="79" spans="16:24" ht="3.5" customHeight="1" x14ac:dyDescent="0.35"/>
    <row r="80" spans="16:24" ht="3.5" customHeight="1" x14ac:dyDescent="0.35"/>
    <row r="81" spans="3:24" ht="3.5" customHeight="1" x14ac:dyDescent="0.35"/>
    <row r="82" spans="3:24" ht="3.5" customHeight="1" x14ac:dyDescent="0.35"/>
    <row r="83" spans="3:24" ht="3.5" customHeight="1" x14ac:dyDescent="0.35"/>
    <row r="88" spans="3:24" ht="26" x14ac:dyDescent="0.6">
      <c r="C88" s="44" t="s">
        <v>348</v>
      </c>
      <c r="P88" s="141" t="str">
        <f>P5</f>
        <v>R1</v>
      </c>
      <c r="Q88" s="171" t="str">
        <f>Q5</f>
        <v xml:space="preserve"> =</v>
      </c>
      <c r="R88" s="141">
        <f>R5</f>
        <v>0.5</v>
      </c>
      <c r="S88" s="167" t="str">
        <f>S5</f>
        <v>Ω</v>
      </c>
      <c r="U88" s="187" t="str">
        <f>U141</f>
        <v>U4 = U5 = U123 = U12345</v>
      </c>
      <c r="V88" s="276" t="str">
        <f t="shared" ref="V88:X88" si="36">V141</f>
        <v xml:space="preserve"> =</v>
      </c>
      <c r="W88" s="187">
        <f t="shared" si="36"/>
        <v>0.64171122994652408</v>
      </c>
      <c r="X88" s="264" t="str">
        <f t="shared" si="36"/>
        <v>V</v>
      </c>
    </row>
    <row r="89" spans="3:24" x14ac:dyDescent="0.35">
      <c r="P89" s="141" t="str">
        <f>P13</f>
        <v>R9</v>
      </c>
      <c r="Q89" s="171" t="str">
        <f>Q13</f>
        <v xml:space="preserve"> =</v>
      </c>
      <c r="R89" s="141">
        <f>R13</f>
        <v>2</v>
      </c>
      <c r="S89" s="167" t="str">
        <f>S13</f>
        <v>Ω</v>
      </c>
      <c r="U89" s="1" t="str">
        <f>P98</f>
        <v>R123</v>
      </c>
      <c r="V89" s="52" t="str">
        <f t="shared" ref="V89:X89" si="37">Q98</f>
        <v xml:space="preserve"> =</v>
      </c>
      <c r="W89" s="1">
        <f t="shared" si="37"/>
        <v>0.83333333333333326</v>
      </c>
      <c r="X89" s="256" t="str">
        <f t="shared" si="37"/>
        <v>Ω</v>
      </c>
    </row>
    <row r="90" spans="3:24" x14ac:dyDescent="0.35">
      <c r="P90" s="141" t="str">
        <f>P59</f>
        <v>R23</v>
      </c>
      <c r="Q90" s="171" t="str">
        <f>Q59</f>
        <v xml:space="preserve"> =</v>
      </c>
      <c r="R90" s="141">
        <f>R59</f>
        <v>0.33333333333333331</v>
      </c>
      <c r="S90" s="167" t="str">
        <f>S59</f>
        <v>Ω</v>
      </c>
      <c r="U90" s="1" t="str">
        <f>P135</f>
        <v>R45</v>
      </c>
      <c r="V90" s="52" t="str">
        <f t="shared" ref="V90:X90" si="38">Q135</f>
        <v xml:space="preserve"> =</v>
      </c>
      <c r="W90" s="1">
        <f t="shared" si="38"/>
        <v>0.66666666666666663</v>
      </c>
      <c r="X90" s="256" t="str">
        <f t="shared" si="38"/>
        <v>Ω</v>
      </c>
    </row>
    <row r="91" spans="3:24" x14ac:dyDescent="0.35">
      <c r="P91" s="141" t="str">
        <f>P65</f>
        <v>R78</v>
      </c>
      <c r="Q91" s="171" t="str">
        <f t="shared" ref="Q91:S91" si="39">Q65</f>
        <v xml:space="preserve"> =</v>
      </c>
      <c r="R91" s="141">
        <f t="shared" si="39"/>
        <v>1</v>
      </c>
      <c r="S91" s="167" t="str">
        <f t="shared" si="39"/>
        <v>Ω</v>
      </c>
    </row>
    <row r="97" spans="16:24" ht="30" x14ac:dyDescent="0.8">
      <c r="P97" s="144" t="s">
        <v>367</v>
      </c>
      <c r="Q97" s="159" t="s">
        <v>353</v>
      </c>
      <c r="R97" s="145" t="s">
        <v>371</v>
      </c>
      <c r="S97" s="201"/>
      <c r="U97" s="148" t="s">
        <v>398</v>
      </c>
      <c r="V97" s="273" t="s">
        <v>353</v>
      </c>
      <c r="W97" s="173" t="s">
        <v>399</v>
      </c>
      <c r="X97" s="259"/>
    </row>
    <row r="98" spans="16:24" ht="30" x14ac:dyDescent="0.8">
      <c r="P98" s="163" t="s">
        <v>367</v>
      </c>
      <c r="Q98" s="164" t="s">
        <v>353</v>
      </c>
      <c r="R98" s="165">
        <f>R90+R88</f>
        <v>0.83333333333333326</v>
      </c>
      <c r="S98" s="202" t="s">
        <v>341</v>
      </c>
      <c r="U98" s="179" t="s">
        <v>433</v>
      </c>
      <c r="V98" s="274" t="s">
        <v>353</v>
      </c>
      <c r="W98" s="180">
        <f>W88/W89</f>
        <v>0.77005347593582896</v>
      </c>
      <c r="X98" s="260" t="s">
        <v>44</v>
      </c>
    </row>
    <row r="100" spans="16:24" ht="30" x14ac:dyDescent="0.8">
      <c r="P100" s="144" t="s">
        <v>372</v>
      </c>
      <c r="Q100" s="159" t="s">
        <v>353</v>
      </c>
      <c r="R100" s="145" t="s">
        <v>373</v>
      </c>
      <c r="S100" s="201"/>
      <c r="U100" s="148" t="s">
        <v>400</v>
      </c>
      <c r="V100" s="273" t="s">
        <v>353</v>
      </c>
      <c r="W100" s="173" t="s">
        <v>401</v>
      </c>
      <c r="X100" s="259"/>
    </row>
    <row r="101" spans="16:24" ht="30" x14ac:dyDescent="0.8">
      <c r="P101" s="163" t="s">
        <v>372</v>
      </c>
      <c r="Q101" s="164" t="s">
        <v>353</v>
      </c>
      <c r="R101" s="165">
        <f>1/(1/R89+1/R91)</f>
        <v>0.66666666666666663</v>
      </c>
      <c r="S101" s="202" t="s">
        <v>341</v>
      </c>
      <c r="U101" s="179" t="s">
        <v>400</v>
      </c>
      <c r="V101" s="274" t="s">
        <v>353</v>
      </c>
      <c r="W101" s="180">
        <f>W88/W90</f>
        <v>0.96256684491978617</v>
      </c>
      <c r="X101" s="260" t="s">
        <v>44</v>
      </c>
    </row>
    <row r="103" spans="16:24" ht="16" thickBot="1" x14ac:dyDescent="0.4"/>
    <row r="104" spans="16:24" ht="30.5" thickBot="1" x14ac:dyDescent="0.85">
      <c r="U104" s="151" t="s">
        <v>424</v>
      </c>
      <c r="V104" s="278">
        <f>IF(W98+W101=W137,1,-1)</f>
        <v>1</v>
      </c>
    </row>
    <row r="114" ht="3.5" customHeight="1" x14ac:dyDescent="0.35"/>
    <row r="115" ht="3.5" customHeight="1" x14ac:dyDescent="0.35"/>
    <row r="116" ht="3.5" customHeight="1" x14ac:dyDescent="0.35"/>
    <row r="117" ht="3.5" customHeight="1" x14ac:dyDescent="0.35"/>
    <row r="118" ht="3.5" customHeight="1" x14ac:dyDescent="0.35"/>
    <row r="119" ht="3.5" customHeight="1" x14ac:dyDescent="0.35"/>
    <row r="120" ht="3.5" customHeight="1" x14ac:dyDescent="0.35"/>
    <row r="121" ht="3.5" customHeight="1" x14ac:dyDescent="0.35"/>
    <row r="122" ht="3.5" customHeight="1" x14ac:dyDescent="0.35"/>
    <row r="123" ht="3.5" customHeight="1" x14ac:dyDescent="0.35"/>
    <row r="124" ht="3.5" customHeight="1" x14ac:dyDescent="0.35"/>
    <row r="125" ht="3.5" customHeight="1" x14ac:dyDescent="0.35"/>
    <row r="126" ht="3.5" customHeight="1" x14ac:dyDescent="0.35"/>
    <row r="127" ht="3.5" customHeight="1" x14ac:dyDescent="0.35"/>
    <row r="130" spans="3:24" ht="26" x14ac:dyDescent="0.6">
      <c r="C130" s="44" t="s">
        <v>347</v>
      </c>
    </row>
    <row r="134" spans="3:24" ht="28.5" x14ac:dyDescent="0.65">
      <c r="T134" s="153"/>
    </row>
    <row r="135" spans="3:24" ht="28.5" x14ac:dyDescent="0.65">
      <c r="P135" s="141" t="str">
        <f>P62</f>
        <v>R45</v>
      </c>
      <c r="Q135" s="171" t="str">
        <f t="shared" ref="Q135:S135" si="40">Q62</f>
        <v xml:space="preserve"> =</v>
      </c>
      <c r="R135" s="141">
        <f t="shared" si="40"/>
        <v>0.66666666666666663</v>
      </c>
      <c r="S135" s="167" t="str">
        <f t="shared" si="40"/>
        <v>Ω</v>
      </c>
      <c r="T135" s="153"/>
      <c r="U135" s="1" t="str">
        <f>P141</f>
        <v>R12345</v>
      </c>
      <c r="V135" s="52" t="str">
        <f t="shared" ref="V135:X135" si="41">Q141</f>
        <v xml:space="preserve"> =</v>
      </c>
      <c r="W135" s="1">
        <f t="shared" si="41"/>
        <v>0.37037037037037035</v>
      </c>
      <c r="X135" s="256" t="str">
        <f t="shared" si="41"/>
        <v>Ω</v>
      </c>
    </row>
    <row r="136" spans="3:24" ht="28.5" x14ac:dyDescent="0.65">
      <c r="P136" s="141" t="str">
        <f>P98</f>
        <v>R123</v>
      </c>
      <c r="Q136" s="171" t="str">
        <f t="shared" ref="Q136:S136" si="42">Q98</f>
        <v xml:space="preserve"> =</v>
      </c>
      <c r="R136" s="141">
        <f t="shared" si="42"/>
        <v>0.83333333333333326</v>
      </c>
      <c r="S136" s="167" t="str">
        <f t="shared" si="42"/>
        <v>Ω</v>
      </c>
      <c r="T136" s="153"/>
      <c r="U136" s="1" t="str">
        <f>P172</f>
        <v>R6</v>
      </c>
      <c r="V136" s="52" t="str">
        <f t="shared" ref="V136:X136" si="43">Q172</f>
        <v xml:space="preserve"> =</v>
      </c>
      <c r="W136" s="1">
        <f t="shared" si="43"/>
        <v>2</v>
      </c>
      <c r="X136" s="256" t="str">
        <f t="shared" si="43"/>
        <v>Ω</v>
      </c>
    </row>
    <row r="137" spans="3:24" ht="28.5" x14ac:dyDescent="0.65">
      <c r="P137" s="154"/>
      <c r="Q137" s="172"/>
      <c r="R137" s="153"/>
      <c r="S137" s="191"/>
      <c r="T137" s="153"/>
      <c r="U137" s="13" t="str">
        <f>U183</f>
        <v>I6 = I12345 = I123456</v>
      </c>
      <c r="V137" s="275" t="str">
        <f t="shared" ref="V137:X137" si="44">V183</f>
        <v xml:space="preserve"> =</v>
      </c>
      <c r="W137" s="13">
        <f t="shared" si="44"/>
        <v>1.7326203208556152</v>
      </c>
      <c r="X137" s="263" t="str">
        <f t="shared" si="44"/>
        <v>A</v>
      </c>
    </row>
    <row r="140" spans="3:24" ht="32.5" x14ac:dyDescent="0.85">
      <c r="P140" s="152" t="s">
        <v>374</v>
      </c>
      <c r="Q140" s="159" t="s">
        <v>353</v>
      </c>
      <c r="R140" s="145" t="s">
        <v>375</v>
      </c>
      <c r="S140" s="203"/>
      <c r="U140" s="184" t="s">
        <v>395</v>
      </c>
      <c r="V140" s="273" t="s">
        <v>353</v>
      </c>
      <c r="W140" s="186" t="s">
        <v>389</v>
      </c>
      <c r="X140" s="261"/>
    </row>
    <row r="141" spans="3:24" ht="32.5" x14ac:dyDescent="0.85">
      <c r="P141" s="168" t="s">
        <v>374</v>
      </c>
      <c r="Q141" s="164" t="s">
        <v>353</v>
      </c>
      <c r="R141" s="169">
        <f>1/(1/R135+1/R136)</f>
        <v>0.37037037037037035</v>
      </c>
      <c r="S141" s="204" t="s">
        <v>341</v>
      </c>
      <c r="U141" s="189" t="s">
        <v>428</v>
      </c>
      <c r="V141" s="274" t="s">
        <v>353</v>
      </c>
      <c r="W141" s="190">
        <f>W137*W135</f>
        <v>0.64171122994652408</v>
      </c>
      <c r="X141" s="262" t="s">
        <v>340</v>
      </c>
    </row>
    <row r="143" spans="3:24" ht="32.5" x14ac:dyDescent="0.85">
      <c r="U143" s="184" t="s">
        <v>396</v>
      </c>
      <c r="V143" s="273" t="s">
        <v>353</v>
      </c>
      <c r="W143" s="186" t="s">
        <v>391</v>
      </c>
      <c r="X143" s="261"/>
    </row>
    <row r="144" spans="3:24" ht="32.5" x14ac:dyDescent="0.85">
      <c r="U144" s="189" t="s">
        <v>396</v>
      </c>
      <c r="V144" s="274" t="s">
        <v>353</v>
      </c>
      <c r="W144" s="190">
        <f>W137*W136</f>
        <v>3.4652406417112305</v>
      </c>
      <c r="X144" s="262" t="s">
        <v>340</v>
      </c>
    </row>
    <row r="145" spans="21:24" ht="29" thickBot="1" x14ac:dyDescent="0.7">
      <c r="W145" s="177"/>
      <c r="X145" s="265"/>
    </row>
    <row r="146" spans="21:24" ht="33" thickBot="1" x14ac:dyDescent="0.9">
      <c r="U146" s="155" t="s">
        <v>397</v>
      </c>
      <c r="V146" s="277">
        <f>IF(W144+W141=W172,1,-1)</f>
        <v>1</v>
      </c>
    </row>
    <row r="155" spans="21:24" ht="5" customHeight="1" x14ac:dyDescent="0.35"/>
    <row r="156" spans="21:24" ht="5" customHeight="1" x14ac:dyDescent="0.35"/>
    <row r="157" spans="21:24" ht="5" customHeight="1" x14ac:dyDescent="0.35"/>
    <row r="158" spans="21:24" ht="5" customHeight="1" x14ac:dyDescent="0.35"/>
    <row r="159" spans="21:24" ht="5" customHeight="1" x14ac:dyDescent="0.35"/>
    <row r="160" spans="21:24" ht="5" customHeight="1" x14ac:dyDescent="0.35"/>
    <row r="161" spans="3:24" ht="5" customHeight="1" x14ac:dyDescent="0.35"/>
    <row r="162" spans="3:24" ht="5" customHeight="1" x14ac:dyDescent="0.35"/>
    <row r="163" spans="3:24" ht="5" customHeight="1" x14ac:dyDescent="0.35"/>
    <row r="164" spans="3:24" ht="5" customHeight="1" x14ac:dyDescent="0.35"/>
    <row r="165" spans="3:24" ht="5" customHeight="1" x14ac:dyDescent="0.35"/>
    <row r="166" spans="3:24" ht="5" customHeight="1" x14ac:dyDescent="0.35"/>
    <row r="167" spans="3:24" ht="5" customHeight="1" x14ac:dyDescent="0.35"/>
    <row r="170" spans="3:24" ht="26" x14ac:dyDescent="0.6">
      <c r="C170" s="44" t="s">
        <v>346</v>
      </c>
    </row>
    <row r="171" spans="3:24" x14ac:dyDescent="0.35">
      <c r="E171" s="192">
        <f>$W$273</f>
        <v>7.8930481283422456</v>
      </c>
    </row>
    <row r="172" spans="3:24" ht="18.5" customHeight="1" x14ac:dyDescent="0.6">
      <c r="P172" s="141" t="str">
        <f>P10</f>
        <v>R6</v>
      </c>
      <c r="Q172" s="171" t="str">
        <f>Q10</f>
        <v xml:space="preserve"> =</v>
      </c>
      <c r="R172" s="141">
        <f>R10</f>
        <v>2</v>
      </c>
      <c r="S172" s="167" t="str">
        <f>S10</f>
        <v>Ω</v>
      </c>
      <c r="T172" s="149"/>
      <c r="U172" s="187" t="str">
        <f>U226</f>
        <v>U9 = U123456789 = U78 = U123456</v>
      </c>
      <c r="V172" s="276" t="str">
        <f t="shared" ref="V172:X172" si="45">V226</f>
        <v xml:space="preserve"> =</v>
      </c>
      <c r="W172" s="187">
        <f t="shared" si="45"/>
        <v>4.1069518716577544</v>
      </c>
      <c r="X172" s="264" t="str">
        <f t="shared" si="45"/>
        <v>V</v>
      </c>
    </row>
    <row r="173" spans="3:24" ht="26" x14ac:dyDescent="0.6">
      <c r="P173" s="141" t="str">
        <f>P141</f>
        <v>R12345</v>
      </c>
      <c r="Q173" s="171" t="str">
        <f>Q141</f>
        <v xml:space="preserve"> =</v>
      </c>
      <c r="R173" s="141">
        <f>R141</f>
        <v>0.37037037037037035</v>
      </c>
      <c r="S173" s="167" t="str">
        <f>S141</f>
        <v>Ω</v>
      </c>
      <c r="T173" s="149"/>
      <c r="U173" s="1" t="str">
        <f>P180</f>
        <v>R123456</v>
      </c>
      <c r="V173" s="52" t="str">
        <f t="shared" ref="V173:X173" si="46">Q180</f>
        <v xml:space="preserve"> =</v>
      </c>
      <c r="W173" s="1">
        <f t="shared" si="46"/>
        <v>2.3703703703703702</v>
      </c>
      <c r="X173" s="256" t="str">
        <f t="shared" si="46"/>
        <v>Ω</v>
      </c>
    </row>
    <row r="174" spans="3:24" x14ac:dyDescent="0.35">
      <c r="U174" s="1" t="str">
        <f>P217</f>
        <v>R789</v>
      </c>
      <c r="V174" s="52" t="str">
        <f t="shared" ref="V174:X174" si="47">Q217</f>
        <v xml:space="preserve"> =</v>
      </c>
      <c r="W174" s="1">
        <f t="shared" si="47"/>
        <v>0.66666666666666663</v>
      </c>
      <c r="X174" s="256" t="str">
        <f t="shared" si="47"/>
        <v>Ω</v>
      </c>
    </row>
    <row r="175" spans="3:24" x14ac:dyDescent="0.35">
      <c r="U175" s="1" t="str">
        <f>P267</f>
        <v>R10</v>
      </c>
      <c r="V175" s="52" t="str">
        <f>Q267</f>
        <v xml:space="preserve"> =</v>
      </c>
      <c r="W175" s="1">
        <f>R267</f>
        <v>1</v>
      </c>
      <c r="X175" s="256" t="str">
        <f>S267</f>
        <v>Ω</v>
      </c>
    </row>
    <row r="176" spans="3:24" x14ac:dyDescent="0.35">
      <c r="U176" s="13" t="str">
        <f>U217</f>
        <v>I10 = I123456789 = ITot</v>
      </c>
      <c r="V176" s="275" t="str">
        <f t="shared" ref="V176:X176" si="48">V217</f>
        <v xml:space="preserve"> =</v>
      </c>
      <c r="W176" s="13">
        <f t="shared" si="48"/>
        <v>7.8930481283422456</v>
      </c>
      <c r="X176" s="263" t="str">
        <f t="shared" si="48"/>
        <v>A</v>
      </c>
    </row>
    <row r="177" spans="4:24" x14ac:dyDescent="0.35">
      <c r="F177" s="187"/>
    </row>
    <row r="178" spans="4:24" x14ac:dyDescent="0.35">
      <c r="F178" s="187">
        <f>$W$226</f>
        <v>4.1069518716577544</v>
      </c>
      <c r="I178" s="187">
        <f>$W$226</f>
        <v>4.1069518716577544</v>
      </c>
    </row>
    <row r="179" spans="4:24" ht="30" x14ac:dyDescent="0.8">
      <c r="D179" s="193">
        <f>$W$229</f>
        <v>7.8930481283422456</v>
      </c>
      <c r="P179" s="146" t="s">
        <v>376</v>
      </c>
      <c r="Q179" s="159" t="s">
        <v>353</v>
      </c>
      <c r="R179" s="147" t="s">
        <v>377</v>
      </c>
      <c r="S179" s="205"/>
      <c r="U179" s="148" t="s">
        <v>386</v>
      </c>
      <c r="V179" s="273" t="s">
        <v>353</v>
      </c>
      <c r="W179" s="173" t="s">
        <v>385</v>
      </c>
      <c r="X179" s="266"/>
    </row>
    <row r="180" spans="4:24" ht="30" x14ac:dyDescent="0.8">
      <c r="P180" s="175" t="s">
        <v>376</v>
      </c>
      <c r="Q180" s="164" t="s">
        <v>353</v>
      </c>
      <c r="R180" s="176">
        <f>R172+R173</f>
        <v>2.3703703703703702</v>
      </c>
      <c r="S180" s="206" t="s">
        <v>341</v>
      </c>
      <c r="U180" s="179" t="s">
        <v>386</v>
      </c>
      <c r="V180" s="274" t="s">
        <v>353</v>
      </c>
      <c r="W180" s="180">
        <f>W172/W174</f>
        <v>6.1604278074866317</v>
      </c>
      <c r="X180" s="260" t="s">
        <v>44</v>
      </c>
    </row>
    <row r="182" spans="4:24" ht="30" x14ac:dyDescent="0.8">
      <c r="U182" s="148" t="s">
        <v>388</v>
      </c>
      <c r="V182" s="273" t="s">
        <v>353</v>
      </c>
      <c r="W182" s="173" t="s">
        <v>387</v>
      </c>
      <c r="X182" s="266"/>
    </row>
    <row r="183" spans="4:24" ht="30" x14ac:dyDescent="0.8">
      <c r="U183" s="179" t="s">
        <v>432</v>
      </c>
      <c r="V183" s="274" t="s">
        <v>353</v>
      </c>
      <c r="W183" s="180">
        <f>W172/W173</f>
        <v>1.7326203208556152</v>
      </c>
      <c r="X183" s="260" t="s">
        <v>44</v>
      </c>
    </row>
    <row r="185" spans="4:24" ht="16" thickBot="1" x14ac:dyDescent="0.4"/>
    <row r="186" spans="4:24" ht="30.5" thickBot="1" x14ac:dyDescent="0.85">
      <c r="U186" s="151" t="s">
        <v>349</v>
      </c>
      <c r="V186" s="278">
        <f>IF(W180+W183=W273,1,-1)</f>
        <v>1</v>
      </c>
      <c r="W186" s="198"/>
      <c r="X186" s="267"/>
    </row>
    <row r="187" spans="4:24" ht="26" x14ac:dyDescent="0.6">
      <c r="G187" s="192">
        <f>W180</f>
        <v>6.1604278074866317</v>
      </c>
      <c r="I187" s="192">
        <f>$W$183</f>
        <v>1.7326203208556152</v>
      </c>
      <c r="U187" s="213"/>
      <c r="V187" s="279"/>
      <c r="W187" s="214"/>
      <c r="X187" s="267"/>
    </row>
    <row r="188" spans="4:24" ht="26" x14ac:dyDescent="0.6">
      <c r="W188" s="178"/>
      <c r="X188" s="268"/>
    </row>
    <row r="194" ht="8" customHeight="1" x14ac:dyDescent="0.35"/>
    <row r="195" ht="8" customHeight="1" x14ac:dyDescent="0.35"/>
    <row r="196" ht="8" customHeight="1" x14ac:dyDescent="0.35"/>
    <row r="197" ht="8" customHeight="1" x14ac:dyDescent="0.35"/>
    <row r="198" ht="8" customHeight="1" x14ac:dyDescent="0.35"/>
    <row r="199" ht="8" customHeight="1" x14ac:dyDescent="0.35"/>
    <row r="200" ht="8" customHeight="1" x14ac:dyDescent="0.35"/>
    <row r="201" ht="8" customHeight="1" x14ac:dyDescent="0.35"/>
    <row r="202" ht="8" customHeight="1" x14ac:dyDescent="0.35"/>
    <row r="203" ht="8" customHeight="1" x14ac:dyDescent="0.35"/>
    <row r="204" ht="8" customHeight="1" x14ac:dyDescent="0.35"/>
    <row r="205" ht="8" customHeight="1" x14ac:dyDescent="0.35"/>
    <row r="206" ht="8" customHeight="1" x14ac:dyDescent="0.35"/>
    <row r="207" ht="8" customHeight="1" x14ac:dyDescent="0.35"/>
    <row r="213" spans="3:24" ht="26" x14ac:dyDescent="0.6">
      <c r="C213" s="44" t="s">
        <v>345</v>
      </c>
    </row>
    <row r="217" spans="3:24" x14ac:dyDescent="0.35">
      <c r="P217" s="141" t="str">
        <f>P101</f>
        <v>R789</v>
      </c>
      <c r="Q217" s="171" t="str">
        <f>Q101</f>
        <v xml:space="preserve"> =</v>
      </c>
      <c r="R217" s="141">
        <f>R101</f>
        <v>0.66666666666666663</v>
      </c>
      <c r="S217" s="167" t="str">
        <f>S101</f>
        <v>Ω</v>
      </c>
      <c r="U217" s="13" t="str">
        <f>U273</f>
        <v>I10 = I123456789 = ITot</v>
      </c>
      <c r="V217" s="275" t="str">
        <f t="shared" ref="V217:X217" si="49">V273</f>
        <v xml:space="preserve"> =</v>
      </c>
      <c r="W217" s="13">
        <f t="shared" si="49"/>
        <v>7.8930481283422456</v>
      </c>
      <c r="X217" s="263" t="str">
        <f t="shared" si="49"/>
        <v>A</v>
      </c>
    </row>
    <row r="218" spans="3:24" x14ac:dyDescent="0.35">
      <c r="P218" s="141" t="str">
        <f>P180</f>
        <v>R123456</v>
      </c>
      <c r="Q218" s="171" t="str">
        <f>Q180</f>
        <v xml:space="preserve"> =</v>
      </c>
      <c r="R218" s="141">
        <f>R180</f>
        <v>2.3703703703703702</v>
      </c>
      <c r="S218" s="167" t="str">
        <f>S180</f>
        <v>Ω</v>
      </c>
      <c r="U218" s="1" t="str">
        <f>P226</f>
        <v>R123456789</v>
      </c>
      <c r="V218" s="52" t="str">
        <f t="shared" ref="V218:X218" si="50">Q226</f>
        <v xml:space="preserve"> =</v>
      </c>
      <c r="W218" s="1">
        <f t="shared" si="50"/>
        <v>0.52032520325203258</v>
      </c>
      <c r="X218" s="256" t="str">
        <f t="shared" si="50"/>
        <v>Ω</v>
      </c>
    </row>
    <row r="219" spans="3:24" x14ac:dyDescent="0.35">
      <c r="H219" s="192">
        <f>$W$273</f>
        <v>7.8930481283422456</v>
      </c>
      <c r="U219" s="1" t="str">
        <f>P267</f>
        <v>R10</v>
      </c>
      <c r="V219" s="52" t="str">
        <f>Q267</f>
        <v xml:space="preserve"> =</v>
      </c>
      <c r="W219" s="1">
        <f>R267</f>
        <v>1</v>
      </c>
      <c r="X219" s="256" t="str">
        <f>S267</f>
        <v>Ω</v>
      </c>
    </row>
    <row r="221" spans="3:24" x14ac:dyDescent="0.35">
      <c r="D221" s="193">
        <f>$W$229</f>
        <v>7.8930481283422456</v>
      </c>
    </row>
    <row r="225" spans="9:24" ht="30" x14ac:dyDescent="0.8">
      <c r="I225" s="187">
        <f>$W$226</f>
        <v>4.1069518716577544</v>
      </c>
      <c r="P225" s="146" t="s">
        <v>378</v>
      </c>
      <c r="Q225" s="159" t="s">
        <v>353</v>
      </c>
      <c r="R225" s="147" t="s">
        <v>379</v>
      </c>
      <c r="S225" s="205"/>
      <c r="T225" s="149"/>
      <c r="U225" s="181" t="s">
        <v>393</v>
      </c>
      <c r="V225" s="273" t="s">
        <v>353</v>
      </c>
      <c r="W225" s="185" t="s">
        <v>383</v>
      </c>
      <c r="X225" s="269"/>
    </row>
    <row r="226" spans="9:24" ht="30" x14ac:dyDescent="0.8">
      <c r="P226" s="175" t="s">
        <v>378</v>
      </c>
      <c r="Q226" s="164" t="s">
        <v>353</v>
      </c>
      <c r="R226" s="176">
        <f>1/(1/R217+1/R218)</f>
        <v>0.52032520325203258</v>
      </c>
      <c r="S226" s="206" t="s">
        <v>341</v>
      </c>
      <c r="T226" s="149"/>
      <c r="U226" s="182" t="s">
        <v>427</v>
      </c>
      <c r="V226" s="274" t="s">
        <v>353</v>
      </c>
      <c r="W226" s="183">
        <f>W218*W217</f>
        <v>4.1069518716577544</v>
      </c>
      <c r="X226" s="270" t="s">
        <v>340</v>
      </c>
    </row>
    <row r="227" spans="9:24" ht="26" x14ac:dyDescent="0.6">
      <c r="P227" s="150"/>
      <c r="Q227" s="198"/>
      <c r="R227" s="149"/>
      <c r="S227" s="170"/>
      <c r="T227" s="149"/>
    </row>
    <row r="228" spans="9:24" ht="30" x14ac:dyDescent="0.8">
      <c r="P228" s="150"/>
      <c r="Q228" s="198"/>
      <c r="R228" s="149"/>
      <c r="S228" s="170"/>
      <c r="T228" s="149"/>
      <c r="U228" s="181" t="s">
        <v>392</v>
      </c>
      <c r="V228" s="273" t="s">
        <v>353</v>
      </c>
      <c r="W228" s="173" t="s">
        <v>384</v>
      </c>
      <c r="X228" s="269"/>
    </row>
    <row r="229" spans="9:24" ht="30" x14ac:dyDescent="0.8">
      <c r="U229" s="182" t="s">
        <v>392</v>
      </c>
      <c r="V229" s="274" t="s">
        <v>353</v>
      </c>
      <c r="W229" s="183">
        <f>W217*W219</f>
        <v>7.8930481283422456</v>
      </c>
      <c r="X229" s="270" t="s">
        <v>340</v>
      </c>
    </row>
    <row r="230" spans="9:24" ht="26" x14ac:dyDescent="0.6">
      <c r="W230" s="178"/>
      <c r="X230" s="268"/>
    </row>
    <row r="231" spans="9:24" ht="16" thickBot="1" x14ac:dyDescent="0.4"/>
    <row r="232" spans="9:24" ht="30.5" thickBot="1" x14ac:dyDescent="0.85">
      <c r="U232" s="151" t="s">
        <v>394</v>
      </c>
      <c r="V232" s="278">
        <f>IF(W226+W229=W267,1,-1)</f>
        <v>1</v>
      </c>
    </row>
    <row r="239" spans="9:24" ht="4" customHeight="1" x14ac:dyDescent="0.35"/>
    <row r="240" spans="9:24" ht="4" customHeight="1" x14ac:dyDescent="0.35"/>
    <row r="241" ht="4" customHeight="1" x14ac:dyDescent="0.35"/>
    <row r="242" ht="4" customHeight="1" x14ac:dyDescent="0.35"/>
    <row r="243" ht="4" customHeight="1" x14ac:dyDescent="0.35"/>
    <row r="244" ht="4" customHeight="1" x14ac:dyDescent="0.35"/>
    <row r="245" ht="4" customHeight="1" x14ac:dyDescent="0.35"/>
    <row r="246" ht="4" customHeight="1" x14ac:dyDescent="0.35"/>
    <row r="247" ht="4" customHeight="1" x14ac:dyDescent="0.35"/>
    <row r="248" ht="4" customHeight="1" x14ac:dyDescent="0.35"/>
    <row r="249" ht="4" customHeight="1" x14ac:dyDescent="0.35"/>
    <row r="250" ht="4" customHeight="1" x14ac:dyDescent="0.35"/>
    <row r="251" ht="4" customHeight="1" x14ac:dyDescent="0.35"/>
    <row r="252" ht="4" customHeight="1" x14ac:dyDescent="0.35"/>
    <row r="253" ht="4" customHeight="1" x14ac:dyDescent="0.35"/>
    <row r="254" ht="4" customHeight="1" x14ac:dyDescent="0.35"/>
    <row r="255" ht="4" customHeight="1" x14ac:dyDescent="0.35"/>
    <row r="257" spans="3:24" ht="26" x14ac:dyDescent="0.6">
      <c r="C257" s="44" t="s">
        <v>344</v>
      </c>
    </row>
    <row r="258" spans="3:24" ht="6.5" customHeight="1" x14ac:dyDescent="0.35"/>
    <row r="259" spans="3:24" ht="6.5" customHeight="1" x14ac:dyDescent="0.35"/>
    <row r="260" spans="3:24" ht="6.5" customHeight="1" x14ac:dyDescent="0.35"/>
    <row r="261" spans="3:24" ht="6.5" customHeight="1" x14ac:dyDescent="0.35"/>
    <row r="262" spans="3:24" ht="6.5" customHeight="1" x14ac:dyDescent="0.35"/>
    <row r="263" spans="3:24" ht="7" customHeight="1" x14ac:dyDescent="0.35"/>
    <row r="264" spans="3:24" ht="7" customHeight="1" x14ac:dyDescent="0.35"/>
    <row r="265" spans="3:24" ht="7" customHeight="1" x14ac:dyDescent="0.35"/>
    <row r="267" spans="3:24" x14ac:dyDescent="0.35">
      <c r="P267" s="141" t="str">
        <f>P14</f>
        <v>R10</v>
      </c>
      <c r="Q267" s="171" t="str">
        <f>Q14</f>
        <v xml:space="preserve"> =</v>
      </c>
      <c r="R267" s="141">
        <f>R14</f>
        <v>1</v>
      </c>
      <c r="S267" s="167" t="str">
        <f>S14</f>
        <v>Ω</v>
      </c>
      <c r="U267" s="187" t="str">
        <f>U15</f>
        <v>UTot</v>
      </c>
      <c r="V267" s="276" t="str">
        <f t="shared" ref="V267:X267" si="51">V15</f>
        <v xml:space="preserve"> =</v>
      </c>
      <c r="W267" s="187">
        <f t="shared" si="51"/>
        <v>12</v>
      </c>
      <c r="X267" s="264" t="str">
        <f t="shared" si="51"/>
        <v>V</v>
      </c>
    </row>
    <row r="268" spans="3:24" x14ac:dyDescent="0.35">
      <c r="H268" s="192">
        <f>$W$273</f>
        <v>7.8930481283422456</v>
      </c>
      <c r="P268" s="141" t="str">
        <f>P226</f>
        <v>R123456789</v>
      </c>
      <c r="Q268" s="171" t="str">
        <f>Q226</f>
        <v xml:space="preserve"> =</v>
      </c>
      <c r="R268" s="141">
        <f>R226</f>
        <v>0.52032520325203258</v>
      </c>
      <c r="S268" s="167" t="str">
        <f>S226</f>
        <v>Ω</v>
      </c>
      <c r="U268" s="1" t="str">
        <f>P273</f>
        <v>RTot</v>
      </c>
      <c r="V268" s="52" t="str">
        <f>Q273</f>
        <v xml:space="preserve"> =</v>
      </c>
      <c r="W268" s="1">
        <f>R273</f>
        <v>1.5203252032520327</v>
      </c>
      <c r="X268" s="256" t="str">
        <f>S273</f>
        <v>Ω</v>
      </c>
    </row>
    <row r="272" spans="3:24" ht="30" x14ac:dyDescent="0.8">
      <c r="P272" s="146" t="s">
        <v>382</v>
      </c>
      <c r="Q272" s="159" t="s">
        <v>353</v>
      </c>
      <c r="R272" s="147" t="s">
        <v>380</v>
      </c>
      <c r="S272" s="205"/>
      <c r="U272" s="148" t="s">
        <v>381</v>
      </c>
      <c r="V272" s="273" t="s">
        <v>353</v>
      </c>
      <c r="W272" s="173" t="s">
        <v>390</v>
      </c>
      <c r="X272" s="271"/>
    </row>
    <row r="273" spans="9:24" ht="30" x14ac:dyDescent="0.8">
      <c r="I273" s="188">
        <f>W267</f>
        <v>12</v>
      </c>
      <c r="P273" s="175" t="s">
        <v>382</v>
      </c>
      <c r="Q273" s="164" t="s">
        <v>353</v>
      </c>
      <c r="R273" s="176">
        <f>R267+R268</f>
        <v>1.5203252032520327</v>
      </c>
      <c r="S273" s="206" t="s">
        <v>341</v>
      </c>
      <c r="U273" s="179" t="s">
        <v>431</v>
      </c>
      <c r="V273" s="280" t="s">
        <v>353</v>
      </c>
      <c r="W273" s="180">
        <f>W267/W268</f>
        <v>7.8930481283422456</v>
      </c>
      <c r="X273" s="260" t="s">
        <v>44</v>
      </c>
    </row>
  </sheetData>
  <phoneticPr fontId="37" type="noConversion"/>
  <pageMargins left="0.7" right="0.7" top="0.78740157499999996" bottom="0.78740157499999996" header="0.3" footer="0.3"/>
  <pageSetup paperSize="9" scale="29" fitToHeight="0" orientation="landscape" r:id="rId1"/>
  <rowBreaks count="6" manualBreakCount="6">
    <brk id="42" max="16383" man="1"/>
    <brk id="84" max="16383" man="1"/>
    <brk id="128" max="16383" man="1"/>
    <brk id="168" max="16383" man="1"/>
    <brk id="208" max="16383" man="1"/>
    <brk id="25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36F2A5-8C1D-40CF-BBEB-88B8D834F6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V71</xm:sqref>
        </x14:conditionalFormatting>
        <x14:conditionalFormatting xmlns:xm="http://schemas.microsoft.com/office/excel/2006/main">
          <x14:cfRule type="iconSet" priority="1" id="{682C245C-22CA-4DE8-918D-2E0FF5E833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V73</xm:sqref>
        </x14:conditionalFormatting>
        <x14:conditionalFormatting xmlns:xm="http://schemas.microsoft.com/office/excel/2006/main">
          <x14:cfRule type="iconSet" priority="3" id="{F101D5F7-D8FC-46EB-B942-4BC484C320B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V104</xm:sqref>
        </x14:conditionalFormatting>
        <x14:conditionalFormatting xmlns:xm="http://schemas.microsoft.com/office/excel/2006/main">
          <x14:cfRule type="iconSet" priority="5" id="{32AB14EA-5B3A-42DB-B05D-966679FDE6A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V146 W145</xm:sqref>
        </x14:conditionalFormatting>
        <x14:conditionalFormatting xmlns:xm="http://schemas.microsoft.com/office/excel/2006/main">
          <x14:cfRule type="iconSet" priority="6" id="{05FC7307-54D5-4D5F-9882-B7C2DE9B33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V186 W188</xm:sqref>
        </x14:conditionalFormatting>
        <x14:conditionalFormatting xmlns:xm="http://schemas.microsoft.com/office/excel/2006/main">
          <x14:cfRule type="iconSet" priority="4" id="{3AAAB7CD-4632-4DFF-946B-879C4481A5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W230 V232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6AE-9875-4C47-A8F2-B20D10B6BD57}">
  <dimension ref="C1:AU11"/>
  <sheetViews>
    <sheetView topLeftCell="A2" workbookViewId="0"/>
  </sheetViews>
  <sheetFormatPr baseColWidth="10" defaultRowHeight="14.5" x14ac:dyDescent="0.35"/>
  <sheetData>
    <row r="1" spans="3:47" ht="38" customHeight="1" x14ac:dyDescent="0.35"/>
    <row r="2" spans="3:47" ht="26" x14ac:dyDescent="0.6">
      <c r="C2" s="44" t="s">
        <v>332</v>
      </c>
    </row>
    <row r="6" spans="3:47" x14ac:dyDescent="0.35">
      <c r="D6" s="1" t="s">
        <v>335</v>
      </c>
      <c r="E6">
        <v>10</v>
      </c>
    </row>
    <row r="7" spans="3:47" x14ac:dyDescent="0.35">
      <c r="D7" s="1" t="s">
        <v>312</v>
      </c>
      <c r="E7" s="139">
        <v>0</v>
      </c>
      <c r="F7">
        <f>E7+$E$6</f>
        <v>10</v>
      </c>
      <c r="G7">
        <f t="shared" ref="G7:AU7" si="0">F7+$E$6</f>
        <v>20</v>
      </c>
      <c r="H7">
        <f t="shared" si="0"/>
        <v>30</v>
      </c>
      <c r="I7">
        <f t="shared" si="0"/>
        <v>40</v>
      </c>
      <c r="J7">
        <f t="shared" si="0"/>
        <v>50</v>
      </c>
      <c r="K7">
        <f t="shared" si="0"/>
        <v>60</v>
      </c>
      <c r="L7">
        <f t="shared" si="0"/>
        <v>70</v>
      </c>
      <c r="M7">
        <f t="shared" si="0"/>
        <v>80</v>
      </c>
      <c r="N7">
        <f t="shared" si="0"/>
        <v>90</v>
      </c>
      <c r="O7">
        <f t="shared" si="0"/>
        <v>100</v>
      </c>
      <c r="P7">
        <f t="shared" si="0"/>
        <v>110</v>
      </c>
      <c r="Q7">
        <f t="shared" si="0"/>
        <v>120</v>
      </c>
      <c r="R7">
        <f t="shared" si="0"/>
        <v>130</v>
      </c>
      <c r="S7">
        <f t="shared" si="0"/>
        <v>140</v>
      </c>
      <c r="T7">
        <f t="shared" si="0"/>
        <v>150</v>
      </c>
      <c r="U7">
        <f t="shared" si="0"/>
        <v>160</v>
      </c>
      <c r="V7">
        <f t="shared" si="0"/>
        <v>170</v>
      </c>
      <c r="W7">
        <f t="shared" si="0"/>
        <v>180</v>
      </c>
      <c r="X7">
        <f t="shared" si="0"/>
        <v>190</v>
      </c>
      <c r="Y7">
        <f t="shared" si="0"/>
        <v>200</v>
      </c>
      <c r="Z7">
        <f t="shared" si="0"/>
        <v>210</v>
      </c>
      <c r="AA7">
        <f t="shared" si="0"/>
        <v>220</v>
      </c>
      <c r="AB7">
        <f t="shared" si="0"/>
        <v>230</v>
      </c>
      <c r="AC7">
        <f t="shared" si="0"/>
        <v>240</v>
      </c>
      <c r="AD7">
        <f t="shared" si="0"/>
        <v>250</v>
      </c>
      <c r="AE7">
        <f t="shared" si="0"/>
        <v>260</v>
      </c>
      <c r="AF7">
        <f t="shared" si="0"/>
        <v>270</v>
      </c>
      <c r="AG7">
        <f t="shared" si="0"/>
        <v>280</v>
      </c>
      <c r="AH7">
        <f t="shared" si="0"/>
        <v>290</v>
      </c>
      <c r="AI7">
        <f t="shared" si="0"/>
        <v>300</v>
      </c>
      <c r="AJ7">
        <f t="shared" si="0"/>
        <v>310</v>
      </c>
      <c r="AK7">
        <f t="shared" si="0"/>
        <v>320</v>
      </c>
      <c r="AL7">
        <f t="shared" si="0"/>
        <v>330</v>
      </c>
      <c r="AM7">
        <f t="shared" si="0"/>
        <v>340</v>
      </c>
      <c r="AN7">
        <f t="shared" si="0"/>
        <v>350</v>
      </c>
      <c r="AO7">
        <f t="shared" si="0"/>
        <v>360</v>
      </c>
      <c r="AP7">
        <f t="shared" si="0"/>
        <v>370</v>
      </c>
      <c r="AQ7">
        <f t="shared" si="0"/>
        <v>380</v>
      </c>
      <c r="AR7">
        <f t="shared" si="0"/>
        <v>390</v>
      </c>
      <c r="AS7">
        <f t="shared" si="0"/>
        <v>400</v>
      </c>
      <c r="AT7">
        <f t="shared" si="0"/>
        <v>410</v>
      </c>
      <c r="AU7">
        <f t="shared" si="0"/>
        <v>420</v>
      </c>
    </row>
    <row r="8" spans="3:47" x14ac:dyDescent="0.35">
      <c r="D8" s="1" t="s">
        <v>314</v>
      </c>
      <c r="E8">
        <f>E7*PI()/180</f>
        <v>0</v>
      </c>
      <c r="F8">
        <f t="shared" ref="F8:AU8" si="1">F7*PI()/180</f>
        <v>0.17453292519943295</v>
      </c>
      <c r="G8">
        <f t="shared" si="1"/>
        <v>0.3490658503988659</v>
      </c>
      <c r="H8">
        <f t="shared" si="1"/>
        <v>0.52359877559829882</v>
      </c>
      <c r="I8">
        <f t="shared" si="1"/>
        <v>0.69813170079773179</v>
      </c>
      <c r="J8">
        <f t="shared" si="1"/>
        <v>0.87266462599716477</v>
      </c>
      <c r="K8">
        <f t="shared" si="1"/>
        <v>1.0471975511965976</v>
      </c>
      <c r="L8">
        <f t="shared" si="1"/>
        <v>1.2217304763960306</v>
      </c>
      <c r="M8">
        <f t="shared" si="1"/>
        <v>1.3962634015954636</v>
      </c>
      <c r="N8">
        <f t="shared" si="1"/>
        <v>1.5707963267948966</v>
      </c>
      <c r="O8">
        <f t="shared" si="1"/>
        <v>1.7453292519943295</v>
      </c>
      <c r="P8">
        <f t="shared" si="1"/>
        <v>1.9198621771937625</v>
      </c>
      <c r="Q8">
        <f t="shared" si="1"/>
        <v>2.0943951023931953</v>
      </c>
      <c r="R8">
        <f t="shared" si="1"/>
        <v>2.2689280275926285</v>
      </c>
      <c r="S8">
        <f t="shared" si="1"/>
        <v>2.4434609527920612</v>
      </c>
      <c r="T8">
        <f t="shared" si="1"/>
        <v>2.6179938779914944</v>
      </c>
      <c r="U8">
        <f t="shared" si="1"/>
        <v>2.7925268031909272</v>
      </c>
      <c r="V8">
        <f t="shared" si="1"/>
        <v>2.9670597283903604</v>
      </c>
      <c r="W8">
        <f t="shared" si="1"/>
        <v>3.1415926535897931</v>
      </c>
      <c r="X8">
        <f t="shared" si="1"/>
        <v>3.3161255787892263</v>
      </c>
      <c r="Y8">
        <f t="shared" si="1"/>
        <v>3.4906585039886591</v>
      </c>
      <c r="Z8">
        <f t="shared" si="1"/>
        <v>3.6651914291880923</v>
      </c>
      <c r="AA8">
        <f t="shared" si="1"/>
        <v>3.839724354387525</v>
      </c>
      <c r="AB8">
        <f t="shared" si="1"/>
        <v>4.0142572795869578</v>
      </c>
      <c r="AC8">
        <f t="shared" si="1"/>
        <v>4.1887902047863905</v>
      </c>
      <c r="AD8">
        <f t="shared" si="1"/>
        <v>4.3633231299858233</v>
      </c>
      <c r="AE8">
        <f t="shared" si="1"/>
        <v>4.5378560551852569</v>
      </c>
      <c r="AF8">
        <f t="shared" si="1"/>
        <v>4.7123889803846897</v>
      </c>
      <c r="AG8">
        <f t="shared" si="1"/>
        <v>4.8869219055841224</v>
      </c>
      <c r="AH8">
        <f t="shared" si="1"/>
        <v>5.0614548307835552</v>
      </c>
      <c r="AI8">
        <f t="shared" si="1"/>
        <v>5.2359877559829888</v>
      </c>
      <c r="AJ8">
        <f t="shared" si="1"/>
        <v>5.4105206811824216</v>
      </c>
      <c r="AK8">
        <f t="shared" si="1"/>
        <v>5.5850536063818543</v>
      </c>
      <c r="AL8">
        <f t="shared" si="1"/>
        <v>5.7595865315812871</v>
      </c>
      <c r="AM8">
        <f t="shared" si="1"/>
        <v>5.9341194567807207</v>
      </c>
      <c r="AN8">
        <f t="shared" si="1"/>
        <v>6.1086523819801526</v>
      </c>
      <c r="AO8">
        <f t="shared" si="1"/>
        <v>6.2831853071795862</v>
      </c>
      <c r="AP8">
        <f t="shared" si="1"/>
        <v>6.457718232379019</v>
      </c>
      <c r="AQ8">
        <f t="shared" si="1"/>
        <v>6.6322511575784526</v>
      </c>
      <c r="AR8">
        <f t="shared" si="1"/>
        <v>6.8067840827778845</v>
      </c>
      <c r="AS8">
        <f t="shared" si="1"/>
        <v>6.9813170079773181</v>
      </c>
      <c r="AT8">
        <f t="shared" si="1"/>
        <v>7.1558499331767509</v>
      </c>
      <c r="AU8">
        <f t="shared" si="1"/>
        <v>7.3303828583761845</v>
      </c>
    </row>
    <row r="9" spans="3:47" x14ac:dyDescent="0.35">
      <c r="C9" s="1" t="s">
        <v>333</v>
      </c>
      <c r="D9" t="s">
        <v>334</v>
      </c>
      <c r="E9">
        <f>SIN(E8)</f>
        <v>0</v>
      </c>
      <c r="F9">
        <f t="shared" ref="F9:AU9" si="2">SIN(F8)</f>
        <v>0.17364817766693033</v>
      </c>
      <c r="G9">
        <f t="shared" si="2"/>
        <v>0.34202014332566871</v>
      </c>
      <c r="H9">
        <f t="shared" si="2"/>
        <v>0.49999999999999994</v>
      </c>
      <c r="I9">
        <f t="shared" si="2"/>
        <v>0.64278760968653925</v>
      </c>
      <c r="J9">
        <f t="shared" si="2"/>
        <v>0.76604444311897801</v>
      </c>
      <c r="K9">
        <f t="shared" si="2"/>
        <v>0.8660254037844386</v>
      </c>
      <c r="L9">
        <f t="shared" si="2"/>
        <v>0.93969262078590832</v>
      </c>
      <c r="M9">
        <f t="shared" si="2"/>
        <v>0.98480775301220802</v>
      </c>
      <c r="N9">
        <f t="shared" si="2"/>
        <v>1</v>
      </c>
      <c r="O9">
        <f t="shared" si="2"/>
        <v>0.98480775301220802</v>
      </c>
      <c r="P9">
        <f t="shared" si="2"/>
        <v>0.93969262078590843</v>
      </c>
      <c r="Q9">
        <f t="shared" si="2"/>
        <v>0.86602540378443871</v>
      </c>
      <c r="R9">
        <f t="shared" si="2"/>
        <v>0.76604444311897801</v>
      </c>
      <c r="S9">
        <f t="shared" si="2"/>
        <v>0.64278760968653947</v>
      </c>
      <c r="T9">
        <f t="shared" si="2"/>
        <v>0.49999999999999994</v>
      </c>
      <c r="U9">
        <f t="shared" si="2"/>
        <v>0.34202014332566888</v>
      </c>
      <c r="V9">
        <f t="shared" si="2"/>
        <v>0.17364817766693028</v>
      </c>
      <c r="W9">
        <f t="shared" si="2"/>
        <v>1.22514845490862E-16</v>
      </c>
      <c r="X9">
        <f t="shared" si="2"/>
        <v>-0.17364817766693047</v>
      </c>
      <c r="Y9">
        <f t="shared" si="2"/>
        <v>-0.34202014332566866</v>
      </c>
      <c r="Z9">
        <f t="shared" si="2"/>
        <v>-0.50000000000000011</v>
      </c>
      <c r="AA9">
        <f t="shared" si="2"/>
        <v>-0.64278760968653925</v>
      </c>
      <c r="AB9">
        <f t="shared" si="2"/>
        <v>-0.7660444431189779</v>
      </c>
      <c r="AC9">
        <f t="shared" si="2"/>
        <v>-0.86602540378443837</v>
      </c>
      <c r="AD9">
        <f t="shared" si="2"/>
        <v>-0.93969262078590821</v>
      </c>
      <c r="AE9">
        <f t="shared" si="2"/>
        <v>-0.98480775301220802</v>
      </c>
      <c r="AF9">
        <f t="shared" si="2"/>
        <v>-1</v>
      </c>
      <c r="AG9">
        <f t="shared" si="2"/>
        <v>-0.98480775301220813</v>
      </c>
      <c r="AH9">
        <f t="shared" si="2"/>
        <v>-0.93969262078590854</v>
      </c>
      <c r="AI9">
        <f t="shared" si="2"/>
        <v>-0.8660254037844386</v>
      </c>
      <c r="AJ9">
        <f t="shared" si="2"/>
        <v>-0.76604444311897812</v>
      </c>
      <c r="AK9">
        <f t="shared" si="2"/>
        <v>-0.64278760968653958</v>
      </c>
      <c r="AL9">
        <f t="shared" si="2"/>
        <v>-0.50000000000000044</v>
      </c>
      <c r="AM9">
        <f t="shared" si="2"/>
        <v>-0.3420201433256686</v>
      </c>
      <c r="AN9">
        <f t="shared" si="2"/>
        <v>-0.17364817766693127</v>
      </c>
      <c r="AO9">
        <f t="shared" si="2"/>
        <v>-2.45029690981724E-16</v>
      </c>
      <c r="AP9">
        <f t="shared" si="2"/>
        <v>0.17364817766692991</v>
      </c>
      <c r="AQ9">
        <f t="shared" si="2"/>
        <v>0.34202014332566893</v>
      </c>
      <c r="AR9">
        <f t="shared" si="2"/>
        <v>0.49999999999999928</v>
      </c>
      <c r="AS9">
        <f t="shared" si="2"/>
        <v>0.64278760968653914</v>
      </c>
      <c r="AT9">
        <f t="shared" si="2"/>
        <v>0.76604444311897779</v>
      </c>
      <c r="AU9">
        <f t="shared" si="2"/>
        <v>0.86602540378443882</v>
      </c>
    </row>
    <row r="10" spans="3:47" x14ac:dyDescent="0.35">
      <c r="C10" s="1" t="s">
        <v>338</v>
      </c>
      <c r="D10" t="s">
        <v>336</v>
      </c>
      <c r="E10">
        <f>COS(E8)</f>
        <v>1</v>
      </c>
      <c r="F10">
        <f t="shared" ref="F10:AU10" si="3">COS(F8)</f>
        <v>0.98480775301220802</v>
      </c>
      <c r="G10">
        <f t="shared" si="3"/>
        <v>0.93969262078590843</v>
      </c>
      <c r="H10">
        <f t="shared" si="3"/>
        <v>0.86602540378443871</v>
      </c>
      <c r="I10">
        <f t="shared" si="3"/>
        <v>0.76604444311897801</v>
      </c>
      <c r="J10">
        <f t="shared" si="3"/>
        <v>0.64278760968653936</v>
      </c>
      <c r="K10">
        <f t="shared" si="3"/>
        <v>0.50000000000000011</v>
      </c>
      <c r="L10">
        <f t="shared" si="3"/>
        <v>0.34202014332566882</v>
      </c>
      <c r="M10">
        <f t="shared" si="3"/>
        <v>0.17364817766693041</v>
      </c>
      <c r="N10">
        <f t="shared" si="3"/>
        <v>6.1257422745431001E-17</v>
      </c>
      <c r="O10">
        <f t="shared" si="3"/>
        <v>-0.1736481776669303</v>
      </c>
      <c r="P10">
        <f t="shared" si="3"/>
        <v>-0.34202014332566871</v>
      </c>
      <c r="Q10">
        <f t="shared" si="3"/>
        <v>-0.49999999999999978</v>
      </c>
      <c r="R10">
        <f t="shared" si="3"/>
        <v>-0.64278760968653936</v>
      </c>
      <c r="S10">
        <f t="shared" si="3"/>
        <v>-0.7660444431189779</v>
      </c>
      <c r="T10">
        <f t="shared" si="3"/>
        <v>-0.86602540378443871</v>
      </c>
      <c r="U10">
        <f t="shared" si="3"/>
        <v>-0.93969262078590832</v>
      </c>
      <c r="V10">
        <f t="shared" si="3"/>
        <v>-0.98480775301220802</v>
      </c>
      <c r="W10">
        <f t="shared" si="3"/>
        <v>-1</v>
      </c>
      <c r="X10">
        <f t="shared" si="3"/>
        <v>-0.98480775301220802</v>
      </c>
      <c r="Y10">
        <f t="shared" si="3"/>
        <v>-0.93969262078590843</v>
      </c>
      <c r="Z10">
        <f t="shared" si="3"/>
        <v>-0.8660254037844386</v>
      </c>
      <c r="AA10">
        <f t="shared" si="3"/>
        <v>-0.76604444311897801</v>
      </c>
      <c r="AB10">
        <f t="shared" si="3"/>
        <v>-0.64278760968653947</v>
      </c>
      <c r="AC10">
        <f t="shared" si="3"/>
        <v>-0.50000000000000044</v>
      </c>
      <c r="AD10">
        <f t="shared" si="3"/>
        <v>-0.34202014332566938</v>
      </c>
      <c r="AE10">
        <f t="shared" si="3"/>
        <v>-0.17364817766693033</v>
      </c>
      <c r="AF10">
        <f t="shared" si="3"/>
        <v>-1.83772268236293E-16</v>
      </c>
      <c r="AG10">
        <f t="shared" si="3"/>
        <v>0.17364817766692997</v>
      </c>
      <c r="AH10">
        <f t="shared" si="3"/>
        <v>0.34202014332566816</v>
      </c>
      <c r="AI10">
        <f t="shared" si="3"/>
        <v>0.50000000000000011</v>
      </c>
      <c r="AJ10">
        <f t="shared" si="3"/>
        <v>0.64278760968653925</v>
      </c>
      <c r="AK10">
        <f t="shared" si="3"/>
        <v>0.76604444311897779</v>
      </c>
      <c r="AL10">
        <f t="shared" si="3"/>
        <v>0.86602540378443837</v>
      </c>
      <c r="AM10">
        <f t="shared" si="3"/>
        <v>0.93969262078590843</v>
      </c>
      <c r="AN10">
        <f t="shared" si="3"/>
        <v>0.98480775301220791</v>
      </c>
      <c r="AO10">
        <f t="shared" si="3"/>
        <v>1</v>
      </c>
      <c r="AP10">
        <f t="shared" si="3"/>
        <v>0.98480775301220813</v>
      </c>
      <c r="AQ10">
        <f t="shared" si="3"/>
        <v>0.93969262078590832</v>
      </c>
      <c r="AR10">
        <f t="shared" si="3"/>
        <v>0.86602540378443904</v>
      </c>
      <c r="AS10">
        <f t="shared" si="3"/>
        <v>0.76604444311897812</v>
      </c>
      <c r="AT10">
        <f t="shared" si="3"/>
        <v>0.64278760968653958</v>
      </c>
      <c r="AU10">
        <f t="shared" si="3"/>
        <v>0.49999999999999972</v>
      </c>
    </row>
    <row r="11" spans="3:47" x14ac:dyDescent="0.35">
      <c r="C11" s="1" t="s">
        <v>339</v>
      </c>
      <c r="D11" t="s">
        <v>337</v>
      </c>
      <c r="E11">
        <f>TAN(E8)</f>
        <v>0</v>
      </c>
      <c r="F11">
        <f t="shared" ref="F11:AU11" si="4">TAN(F8)</f>
        <v>0.17632698070846498</v>
      </c>
      <c r="G11">
        <f t="shared" si="4"/>
        <v>0.36397023426620234</v>
      </c>
      <c r="H11">
        <f t="shared" si="4"/>
        <v>0.57735026918962573</v>
      </c>
      <c r="I11">
        <f t="shared" si="4"/>
        <v>0.83909963117727993</v>
      </c>
      <c r="J11">
        <f t="shared" si="4"/>
        <v>1.19175359259421</v>
      </c>
      <c r="K11">
        <f t="shared" si="4"/>
        <v>1.7320508075688767</v>
      </c>
      <c r="L11">
        <f t="shared" si="4"/>
        <v>2.7474774194546216</v>
      </c>
      <c r="M11">
        <f t="shared" si="4"/>
        <v>5.6712818196177066</v>
      </c>
      <c r="N11">
        <f t="shared" si="4"/>
        <v>1.6324552277619072E+16</v>
      </c>
      <c r="O11">
        <f t="shared" si="4"/>
        <v>-5.6712818196177111</v>
      </c>
      <c r="P11">
        <f t="shared" si="4"/>
        <v>-2.7474774194546225</v>
      </c>
      <c r="Q11">
        <f t="shared" si="4"/>
        <v>-1.7320508075688783</v>
      </c>
      <c r="R11">
        <f t="shared" si="4"/>
        <v>-1.19175359259421</v>
      </c>
      <c r="S11">
        <f t="shared" si="4"/>
        <v>-0.83909963117728037</v>
      </c>
      <c r="T11">
        <f t="shared" si="4"/>
        <v>-0.57735026918962573</v>
      </c>
      <c r="U11">
        <f t="shared" si="4"/>
        <v>-0.36397023426620256</v>
      </c>
      <c r="V11">
        <f t="shared" si="4"/>
        <v>-0.17632698070846489</v>
      </c>
      <c r="W11">
        <f t="shared" si="4"/>
        <v>-1.22514845490862E-16</v>
      </c>
      <c r="X11">
        <f t="shared" si="4"/>
        <v>0.17632698070846509</v>
      </c>
      <c r="Y11">
        <f t="shared" si="4"/>
        <v>0.36397023426620229</v>
      </c>
      <c r="Z11">
        <f t="shared" si="4"/>
        <v>0.57735026918962595</v>
      </c>
      <c r="AA11">
        <f t="shared" si="4"/>
        <v>0.83909963117727993</v>
      </c>
      <c r="AB11">
        <f t="shared" si="4"/>
        <v>1.1917535925942093</v>
      </c>
      <c r="AC11">
        <f t="shared" si="4"/>
        <v>1.7320508075688754</v>
      </c>
      <c r="AD11">
        <f t="shared" si="4"/>
        <v>2.7474774194546168</v>
      </c>
      <c r="AE11">
        <f t="shared" si="4"/>
        <v>5.6712818196177102</v>
      </c>
      <c r="AF11">
        <f t="shared" si="4"/>
        <v>5441517425873024</v>
      </c>
      <c r="AG11">
        <f t="shared" si="4"/>
        <v>-5.6712818196177226</v>
      </c>
      <c r="AH11">
        <f t="shared" si="4"/>
        <v>-2.7474774194546274</v>
      </c>
      <c r="AI11">
        <f t="shared" si="4"/>
        <v>-1.732050807568877</v>
      </c>
      <c r="AJ11">
        <f t="shared" si="4"/>
        <v>-1.1917535925942102</v>
      </c>
      <c r="AK11">
        <f t="shared" si="4"/>
        <v>-0.83909963117728059</v>
      </c>
      <c r="AL11">
        <f t="shared" si="4"/>
        <v>-0.57735026918962651</v>
      </c>
      <c r="AM11">
        <f t="shared" si="4"/>
        <v>-0.36397023426620218</v>
      </c>
      <c r="AN11">
        <f t="shared" si="4"/>
        <v>-0.17632698070846592</v>
      </c>
      <c r="AO11">
        <f t="shared" si="4"/>
        <v>-2.45029690981724E-16</v>
      </c>
      <c r="AP11">
        <f t="shared" si="4"/>
        <v>0.1763269807084645</v>
      </c>
      <c r="AQ11">
        <f t="shared" si="4"/>
        <v>0.36397023426620262</v>
      </c>
      <c r="AR11">
        <f t="shared" si="4"/>
        <v>0.57735026918962462</v>
      </c>
      <c r="AS11">
        <f t="shared" si="4"/>
        <v>0.8390996311772797</v>
      </c>
      <c r="AT11">
        <f t="shared" si="4"/>
        <v>1.1917535925942091</v>
      </c>
      <c r="AU11">
        <f t="shared" si="4"/>
        <v>1.7320508075688785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opLeftCell="A16" zoomScaleNormal="100" workbookViewId="0">
      <selection activeCell="O28" sqref="O28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252</v>
      </c>
      <c r="D2" s="44"/>
      <c r="L2" s="125" t="s">
        <v>268</v>
      </c>
      <c r="M2" s="126" t="s">
        <v>271</v>
      </c>
      <c r="N2" s="111"/>
    </row>
    <row r="3" spans="3:25" x14ac:dyDescent="0.35">
      <c r="L3" s="115" t="s">
        <v>215</v>
      </c>
      <c r="M3" s="115" t="s">
        <v>273</v>
      </c>
      <c r="T3" s="85"/>
      <c r="X3" s="119"/>
      <c r="Y3" s="119"/>
    </row>
    <row r="4" spans="3:25" x14ac:dyDescent="0.35">
      <c r="L4" s="115" t="s">
        <v>216</v>
      </c>
      <c r="M4" s="115" t="s">
        <v>272</v>
      </c>
      <c r="T4" s="85"/>
    </row>
    <row r="5" spans="3:25" x14ac:dyDescent="0.35">
      <c r="L5" s="115"/>
      <c r="M5" s="115" t="s">
        <v>261</v>
      </c>
      <c r="T5" s="85"/>
    </row>
    <row r="6" spans="3:25" x14ac:dyDescent="0.35">
      <c r="L6" s="115"/>
      <c r="M6" s="115" t="s">
        <v>270</v>
      </c>
    </row>
    <row r="20" spans="4:35" x14ac:dyDescent="0.35">
      <c r="D20" s="5" t="s">
        <v>258</v>
      </c>
      <c r="E20" s="19" t="s">
        <v>259</v>
      </c>
      <c r="F20" s="94">
        <v>5</v>
      </c>
      <c r="G20" s="4" t="s">
        <v>272</v>
      </c>
      <c r="I20" s="119"/>
      <c r="K20" s="5" t="s">
        <v>276</v>
      </c>
      <c r="L20" s="5"/>
    </row>
    <row r="21" spans="4:35" x14ac:dyDescent="0.35">
      <c r="D21" s="5" t="s">
        <v>266</v>
      </c>
      <c r="E21" s="19" t="s">
        <v>267</v>
      </c>
      <c r="F21" s="94">
        <v>31</v>
      </c>
      <c r="G21" s="4" t="s">
        <v>215</v>
      </c>
      <c r="I21" s="119"/>
      <c r="K21" s="19" t="s">
        <v>279</v>
      </c>
      <c r="L21" s="133">
        <v>0.6</v>
      </c>
    </row>
    <row r="22" spans="4:35" x14ac:dyDescent="0.35">
      <c r="D22" s="127"/>
      <c r="E22" s="19" t="str">
        <f>E21</f>
        <v xml:space="preserve">α = </v>
      </c>
      <c r="F22" s="128">
        <f>IF(G21=G22,F21,F21*180/PI())</f>
        <v>31</v>
      </c>
      <c r="G22" s="127" t="str">
        <f>L3</f>
        <v>°</v>
      </c>
      <c r="I22" s="119"/>
      <c r="K22" s="19" t="s">
        <v>280</v>
      </c>
      <c r="L22" s="135">
        <v>0.2</v>
      </c>
    </row>
    <row r="23" spans="4:35" x14ac:dyDescent="0.35">
      <c r="D23" s="127"/>
      <c r="E23" s="19" t="str">
        <f>E21</f>
        <v xml:space="preserve">α = </v>
      </c>
      <c r="F23" s="128">
        <f>IF(G21=G23,F21,F21*PI()/180)</f>
        <v>0.54105206811824214</v>
      </c>
      <c r="G23" s="127" t="str">
        <f>L4</f>
        <v>rad</v>
      </c>
      <c r="I23" s="119"/>
      <c r="K23" s="5" t="s">
        <v>311</v>
      </c>
      <c r="L23" s="134">
        <f>DEGREES(ATAN(L21))</f>
        <v>30.963756532073521</v>
      </c>
      <c r="M23" s="5" t="s">
        <v>312</v>
      </c>
      <c r="O23" s="5">
        <f>L23*PI()/180</f>
        <v>0.54041950027058416</v>
      </c>
      <c r="P23" s="5" t="s">
        <v>314</v>
      </c>
    </row>
    <row r="24" spans="4:35" ht="16.5" x14ac:dyDescent="0.35">
      <c r="D24" s="5" t="s">
        <v>260</v>
      </c>
      <c r="E24" s="19" t="s">
        <v>316</v>
      </c>
      <c r="F24" s="93">
        <v>9.81</v>
      </c>
      <c r="G24" s="5" t="s">
        <v>262</v>
      </c>
      <c r="K24" s="5" t="s">
        <v>313</v>
      </c>
      <c r="L24" s="134">
        <f>DEGREES(ATAN(L22))</f>
        <v>11.309932474020215</v>
      </c>
      <c r="M24" s="5" t="s">
        <v>312</v>
      </c>
      <c r="O24" s="5">
        <f>L24*PI()/180</f>
        <v>0.1973955598498808</v>
      </c>
      <c r="P24" s="5" t="s">
        <v>314</v>
      </c>
    </row>
    <row r="26" spans="4:35" ht="16.5" x14ac:dyDescent="0.45">
      <c r="D26" s="5" t="s">
        <v>269</v>
      </c>
      <c r="E26" s="19" t="s">
        <v>253</v>
      </c>
      <c r="F26" s="5" t="s">
        <v>263</v>
      </c>
      <c r="G26" s="93">
        <f>$F$20*$F$24</f>
        <v>49.050000000000004</v>
      </c>
      <c r="H26" s="5" t="str">
        <f>IF($G$20=$M$5,"N",IF($G$20=$M$6,"kN",IF($G$20=$M$4,"mN",IF($G$20=$M$3,"Mikro N",""))))</f>
        <v>mN</v>
      </c>
    </row>
    <row r="27" spans="4:35" ht="16.5" x14ac:dyDescent="0.45">
      <c r="D27" s="5" t="s">
        <v>254</v>
      </c>
      <c r="E27" s="19" t="s">
        <v>256</v>
      </c>
      <c r="F27" s="5" t="s">
        <v>265</v>
      </c>
      <c r="G27" s="93">
        <f>$G$26*SIN($F$23)</f>
        <v>25.262617574338158</v>
      </c>
      <c r="H27" s="5" t="str">
        <f>H26</f>
        <v>mN</v>
      </c>
    </row>
    <row r="28" spans="4:35" ht="16.5" x14ac:dyDescent="0.45">
      <c r="D28" s="5" t="s">
        <v>255</v>
      </c>
      <c r="E28" s="19" t="s">
        <v>257</v>
      </c>
      <c r="F28" s="5" t="s">
        <v>264</v>
      </c>
      <c r="G28" s="93">
        <f>$G$26*COS($F$23)</f>
        <v>42.044056099438613</v>
      </c>
      <c r="H28" s="5" t="str">
        <f>H27</f>
        <v>mN</v>
      </c>
    </row>
    <row r="29" spans="4:35" x14ac:dyDescent="0.35">
      <c r="D29" s="5"/>
      <c r="E29" s="19"/>
      <c r="F29" s="5"/>
      <c r="G29" s="93"/>
      <c r="H29" s="5"/>
    </row>
    <row r="30" spans="4:35" ht="16.5" x14ac:dyDescent="0.45">
      <c r="D30" s="5" t="s">
        <v>296</v>
      </c>
      <c r="E30" s="19" t="s">
        <v>300</v>
      </c>
      <c r="F30" s="5" t="s">
        <v>295</v>
      </c>
      <c r="G30" s="93">
        <f>$G$28*$L$21</f>
        <v>25.226433659663169</v>
      </c>
      <c r="H30" s="5" t="str">
        <f>H28</f>
        <v>mN</v>
      </c>
    </row>
    <row r="31" spans="4:35" ht="16" customHeight="1" x14ac:dyDescent="0.45">
      <c r="D31" s="5" t="s">
        <v>297</v>
      </c>
      <c r="E31" s="19" t="s">
        <v>305</v>
      </c>
      <c r="F31" s="5" t="s">
        <v>301</v>
      </c>
      <c r="G31" s="93">
        <f>$G$27-G30</f>
        <v>3.6183914674989381E-2</v>
      </c>
      <c r="H31" s="5" t="str">
        <f>H30</f>
        <v>mN</v>
      </c>
      <c r="I31" t="str">
        <f>IF(G31&gt;0,"Gleiten","Haftet")</f>
        <v>Gleiten</v>
      </c>
      <c r="K31" s="132" t="s">
        <v>281</v>
      </c>
      <c r="L31" s="132" t="s">
        <v>277</v>
      </c>
      <c r="M31" s="132" t="s">
        <v>278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299</v>
      </c>
      <c r="E32" s="19" t="s">
        <v>302</v>
      </c>
      <c r="F32" s="5" t="s">
        <v>298</v>
      </c>
      <c r="G32" s="93">
        <f>$G$28*$L$22</f>
        <v>8.4088112198877223</v>
      </c>
      <c r="H32" s="5" t="str">
        <f>H31</f>
        <v>mN</v>
      </c>
      <c r="K32" s="131" t="s">
        <v>282</v>
      </c>
      <c r="L32" s="131" t="s">
        <v>283</v>
      </c>
      <c r="M32" s="131" t="s">
        <v>284</v>
      </c>
      <c r="O32" s="136" t="s">
        <v>267</v>
      </c>
      <c r="P32" s="136" t="s">
        <v>308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F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ref="AG32:AI32" si="2">AF32+$S$31</f>
        <v>80</v>
      </c>
      <c r="AH32" s="5">
        <f t="shared" si="2"/>
        <v>85</v>
      </c>
      <c r="AI32" s="5">
        <f t="shared" si="2"/>
        <v>90</v>
      </c>
    </row>
    <row r="33" spans="4:37" ht="16" customHeight="1" x14ac:dyDescent="0.45">
      <c r="D33" s="5" t="s">
        <v>303</v>
      </c>
      <c r="E33" s="19" t="s">
        <v>306</v>
      </c>
      <c r="F33" s="5" t="s">
        <v>304</v>
      </c>
      <c r="G33" s="93">
        <f>$G$27-G32</f>
        <v>16.853806354450434</v>
      </c>
      <c r="H33" s="5" t="str">
        <f>H32</f>
        <v>mN</v>
      </c>
      <c r="K33" s="131" t="s">
        <v>285</v>
      </c>
      <c r="L33" s="131" t="s">
        <v>286</v>
      </c>
      <c r="M33" s="131" t="s">
        <v>287</v>
      </c>
      <c r="O33" s="136" t="s">
        <v>267</v>
      </c>
      <c r="P33" s="136" t="s">
        <v>309</v>
      </c>
      <c r="Q33" s="5">
        <f>Q32*PI()/180</f>
        <v>0</v>
      </c>
      <c r="R33" s="5">
        <f>R32*PI()/180</f>
        <v>8.7266462599716474E-2</v>
      </c>
      <c r="S33" s="5">
        <f t="shared" ref="S33:AA33" si="3">S32*PI()/180</f>
        <v>0.17453292519943295</v>
      </c>
      <c r="T33" s="5">
        <f t="shared" si="3"/>
        <v>0.26179938779914941</v>
      </c>
      <c r="U33" s="5">
        <f t="shared" si="3"/>
        <v>0.3490658503988659</v>
      </c>
      <c r="V33" s="5">
        <f t="shared" si="3"/>
        <v>0.43633231299858238</v>
      </c>
      <c r="W33" s="5">
        <f t="shared" si="3"/>
        <v>0.52359877559829882</v>
      </c>
      <c r="X33" s="5">
        <f t="shared" si="3"/>
        <v>0.6108652381980153</v>
      </c>
      <c r="Y33" s="5">
        <f t="shared" si="3"/>
        <v>0.69813170079773179</v>
      </c>
      <c r="Z33" s="5">
        <f t="shared" si="3"/>
        <v>0.78539816339744828</v>
      </c>
      <c r="AA33" s="5">
        <f t="shared" si="3"/>
        <v>0.87266462599716477</v>
      </c>
      <c r="AB33" s="5">
        <f t="shared" ref="AB33" si="4">AB32*PI()/180</f>
        <v>0.95993108859688125</v>
      </c>
      <c r="AC33" s="5">
        <f t="shared" ref="AC33" si="5">AC32*PI()/180</f>
        <v>1.0471975511965976</v>
      </c>
      <c r="AD33" s="5">
        <f t="shared" ref="AD33" si="6">AD32*PI()/180</f>
        <v>1.1344640137963142</v>
      </c>
      <c r="AE33" s="5">
        <f t="shared" ref="AE33" si="7">AE32*PI()/180</f>
        <v>1.2217304763960306</v>
      </c>
      <c r="AF33" s="5">
        <f t="shared" ref="AF33" si="8">AF32*PI()/180</f>
        <v>1.3089969389957472</v>
      </c>
      <c r="AG33" s="5">
        <f t="shared" ref="AG33" si="9">AG32*PI()/180</f>
        <v>1.3962634015954636</v>
      </c>
      <c r="AH33" s="5">
        <f t="shared" ref="AH33" si="10">AH32*PI()/180</f>
        <v>1.4835298641951802</v>
      </c>
      <c r="AI33" s="5">
        <f t="shared" ref="AI33" si="11">AI32*PI()/180</f>
        <v>1.5707963267948966</v>
      </c>
    </row>
    <row r="34" spans="4:37" ht="16" customHeight="1" x14ac:dyDescent="0.45">
      <c r="K34" s="131" t="s">
        <v>288</v>
      </c>
      <c r="L34" s="131" t="s">
        <v>287</v>
      </c>
      <c r="M34" s="131" t="s">
        <v>289</v>
      </c>
      <c r="O34" s="19" t="s">
        <v>256</v>
      </c>
      <c r="P34" s="19" t="str">
        <f>H26</f>
        <v>mN</v>
      </c>
      <c r="Q34" s="5">
        <f>$F$20*SIN(Q33)*$F$24</f>
        <v>0</v>
      </c>
      <c r="R34" s="5">
        <f t="shared" ref="R34:AI34" si="12">$F$20*SIN(R33)*$F$24</f>
        <v>4.2749891817726331</v>
      </c>
      <c r="S34" s="5">
        <f t="shared" si="12"/>
        <v>8.5174431145629335</v>
      </c>
      <c r="T34" s="5">
        <f t="shared" si="12"/>
        <v>12.695074162278642</v>
      </c>
      <c r="U34" s="5">
        <f t="shared" si="12"/>
        <v>16.77608803012405</v>
      </c>
      <c r="V34" s="5">
        <f t="shared" si="12"/>
        <v>20.729425738381309</v>
      </c>
      <c r="W34" s="5">
        <f t="shared" si="12"/>
        <v>24.524999999999999</v>
      </c>
      <c r="X34" s="5">
        <f t="shared" si="12"/>
        <v>28.133924203018811</v>
      </c>
      <c r="Y34" s="5">
        <f t="shared" si="12"/>
        <v>31.528732255124751</v>
      </c>
      <c r="Z34" s="5">
        <f t="shared" si="12"/>
        <v>34.683587617200153</v>
      </c>
      <c r="AA34" s="5">
        <f t="shared" si="12"/>
        <v>37.574479934985874</v>
      </c>
      <c r="AB34" s="5">
        <f t="shared" si="12"/>
        <v>40.179407772375043</v>
      </c>
      <c r="AC34" s="5">
        <f t="shared" si="12"/>
        <v>42.478546055626715</v>
      </c>
      <c r="AD34" s="5">
        <f t="shared" si="12"/>
        <v>44.454396954147676</v>
      </c>
      <c r="AE34" s="5">
        <f t="shared" si="12"/>
        <v>46.091923049548804</v>
      </c>
      <c r="AF34" s="5">
        <f t="shared" si="12"/>
        <v>47.378661779478804</v>
      </c>
      <c r="AG34" s="5">
        <f t="shared" si="12"/>
        <v>48.304820285248802</v>
      </c>
      <c r="AH34" s="5">
        <f t="shared" si="12"/>
        <v>48.863349941400116</v>
      </c>
      <c r="AI34" s="5">
        <f t="shared" si="12"/>
        <v>49.050000000000004</v>
      </c>
    </row>
    <row r="35" spans="4:37" ht="16" customHeight="1" x14ac:dyDescent="0.45">
      <c r="K35" s="131" t="s">
        <v>290</v>
      </c>
      <c r="L35" s="131" t="s">
        <v>291</v>
      </c>
      <c r="M35" s="131" t="s">
        <v>292</v>
      </c>
      <c r="O35" s="19" t="s">
        <v>300</v>
      </c>
      <c r="P35" s="19" t="str">
        <f>P34</f>
        <v>mN</v>
      </c>
      <c r="Q35" s="5">
        <f>$F$20*$F$24*COS(Q33)*$L$21</f>
        <v>29.43</v>
      </c>
      <c r="R35" s="5">
        <f t="shared" ref="R35:AI35" si="13">$F$20*$F$24*COS(R33)*$L$21</f>
        <v>29.318009964840073</v>
      </c>
      <c r="S35" s="5">
        <f t="shared" si="13"/>
        <v>28.982892171149285</v>
      </c>
      <c r="T35" s="5">
        <f t="shared" si="13"/>
        <v>28.427197067687281</v>
      </c>
      <c r="U35" s="5">
        <f t="shared" si="13"/>
        <v>27.655153829729286</v>
      </c>
      <c r="V35" s="5">
        <f t="shared" si="13"/>
        <v>26.672638172488607</v>
      </c>
      <c r="W35" s="5">
        <f t="shared" si="13"/>
        <v>25.487127633376033</v>
      </c>
      <c r="X35" s="5">
        <f t="shared" si="13"/>
        <v>24.107644663425031</v>
      </c>
      <c r="Y35" s="5">
        <f t="shared" si="13"/>
        <v>22.544687960991524</v>
      </c>
      <c r="Z35" s="5">
        <f t="shared" si="13"/>
        <v>20.810152570320096</v>
      </c>
      <c r="AA35" s="5">
        <f t="shared" si="13"/>
        <v>18.917239353074855</v>
      </c>
      <c r="AB35" s="5">
        <f t="shared" si="13"/>
        <v>16.880354521811292</v>
      </c>
      <c r="AC35" s="5">
        <f t="shared" si="13"/>
        <v>14.715000000000005</v>
      </c>
      <c r="AD35" s="5">
        <f t="shared" si="13"/>
        <v>12.437655443028785</v>
      </c>
      <c r="AE35" s="5">
        <f t="shared" si="13"/>
        <v>10.065652818074435</v>
      </c>
      <c r="AF35" s="5">
        <f t="shared" si="13"/>
        <v>7.6170444973671856</v>
      </c>
      <c r="AG35" s="5">
        <f t="shared" si="13"/>
        <v>5.1104658687377622</v>
      </c>
      <c r="AH35" s="5">
        <f t="shared" si="13"/>
        <v>2.5649935090635791</v>
      </c>
      <c r="AI35" s="5">
        <f t="shared" si="13"/>
        <v>1.8028059513980344E-15</v>
      </c>
    </row>
    <row r="36" spans="4:37" ht="16" customHeight="1" x14ac:dyDescent="0.45">
      <c r="K36" s="131" t="s">
        <v>293</v>
      </c>
      <c r="L36" s="131" t="s">
        <v>294</v>
      </c>
      <c r="M36" s="131" t="s">
        <v>294</v>
      </c>
      <c r="O36" s="19" t="s">
        <v>302</v>
      </c>
      <c r="P36" s="19" t="str">
        <f t="shared" ref="P36:P38" si="14">P35</f>
        <v>mN</v>
      </c>
      <c r="Q36" s="5">
        <f>$F$20*$F$24*COS(Q33)*$L$22</f>
        <v>9.8100000000000023</v>
      </c>
      <c r="R36" s="5">
        <f t="shared" ref="R36:AI36" si="15">$F$20*$F$24*COS(R33)*$L$22</f>
        <v>9.7726699882800254</v>
      </c>
      <c r="S36" s="5">
        <f t="shared" si="15"/>
        <v>9.6609640570497621</v>
      </c>
      <c r="T36" s="5">
        <f t="shared" si="15"/>
        <v>9.4757323558957616</v>
      </c>
      <c r="U36" s="5">
        <f t="shared" si="15"/>
        <v>9.2183846099097622</v>
      </c>
      <c r="V36" s="5">
        <f t="shared" si="15"/>
        <v>8.8908793908295376</v>
      </c>
      <c r="W36" s="5">
        <f t="shared" si="15"/>
        <v>8.4957092111253445</v>
      </c>
      <c r="X36" s="5">
        <f t="shared" si="15"/>
        <v>8.0358815544750097</v>
      </c>
      <c r="Y36" s="5">
        <f t="shared" si="15"/>
        <v>7.5148959869971748</v>
      </c>
      <c r="Z36" s="5">
        <f t="shared" si="15"/>
        <v>6.9367175234400325</v>
      </c>
      <c r="AA36" s="5">
        <f t="shared" si="15"/>
        <v>6.3057464510249517</v>
      </c>
      <c r="AB36" s="5">
        <f t="shared" si="15"/>
        <v>5.6267848406037642</v>
      </c>
      <c r="AC36" s="5">
        <f t="shared" si="15"/>
        <v>4.905000000000002</v>
      </c>
      <c r="AD36" s="5">
        <f t="shared" si="15"/>
        <v>4.1458851476762622</v>
      </c>
      <c r="AE36" s="5">
        <f t="shared" si="15"/>
        <v>3.3552176060248118</v>
      </c>
      <c r="AF36" s="5">
        <f t="shared" si="15"/>
        <v>2.5390148324557291</v>
      </c>
      <c r="AG36" s="5">
        <f t="shared" si="15"/>
        <v>1.7034886229125874</v>
      </c>
      <c r="AH36" s="5">
        <f t="shared" si="15"/>
        <v>0.85499783635452653</v>
      </c>
      <c r="AI36" s="5">
        <f t="shared" si="15"/>
        <v>6.0093531713267827E-16</v>
      </c>
    </row>
    <row r="37" spans="4:37" ht="16.5" x14ac:dyDescent="0.45">
      <c r="O37" s="19" t="s">
        <v>305</v>
      </c>
      <c r="P37" s="19" t="str">
        <f t="shared" si="14"/>
        <v>mN</v>
      </c>
      <c r="Q37" s="5">
        <f>Q34-Q35</f>
        <v>-29.43</v>
      </c>
      <c r="R37" s="5">
        <f t="shared" ref="R37:AI37" si="16">R34-R35</f>
        <v>-25.043020783067441</v>
      </c>
      <c r="S37" s="5">
        <f t="shared" si="16"/>
        <v>-20.465449056586351</v>
      </c>
      <c r="T37" s="5">
        <f t="shared" si="16"/>
        <v>-15.732122905408639</v>
      </c>
      <c r="U37" s="5">
        <f t="shared" si="16"/>
        <v>-10.879065799605236</v>
      </c>
      <c r="V37" s="5">
        <f t="shared" si="16"/>
        <v>-5.9432124341072985</v>
      </c>
      <c r="W37" s="5">
        <f t="shared" si="16"/>
        <v>-0.96212763337603491</v>
      </c>
      <c r="X37" s="5">
        <f t="shared" si="16"/>
        <v>4.02627953959378</v>
      </c>
      <c r="Y37" s="5">
        <f t="shared" si="16"/>
        <v>8.984044294133227</v>
      </c>
      <c r="Z37" s="5">
        <f t="shared" si="16"/>
        <v>13.873435046880058</v>
      </c>
      <c r="AA37" s="5">
        <f t="shared" si="16"/>
        <v>18.657240581911019</v>
      </c>
      <c r="AB37" s="5">
        <f t="shared" si="16"/>
        <v>23.299053250563752</v>
      </c>
      <c r="AC37" s="5">
        <f t="shared" si="16"/>
        <v>27.763546055626712</v>
      </c>
      <c r="AD37" s="5">
        <f t="shared" si="16"/>
        <v>32.016741511118894</v>
      </c>
      <c r="AE37" s="5">
        <f t="shared" si="16"/>
        <v>36.026270231474371</v>
      </c>
      <c r="AF37" s="5">
        <f t="shared" si="16"/>
        <v>39.761617282111615</v>
      </c>
      <c r="AG37" s="5">
        <f t="shared" si="16"/>
        <v>43.19435441651104</v>
      </c>
      <c r="AH37" s="5">
        <f t="shared" si="16"/>
        <v>46.29835643233654</v>
      </c>
      <c r="AI37" s="5">
        <f t="shared" si="16"/>
        <v>49.050000000000004</v>
      </c>
    </row>
    <row r="38" spans="4:37" ht="16.5" x14ac:dyDescent="0.45">
      <c r="O38" s="19" t="s">
        <v>306</v>
      </c>
      <c r="P38" s="19" t="str">
        <f t="shared" si="14"/>
        <v>mN</v>
      </c>
      <c r="Q38" s="5">
        <f>Q34-Q36</f>
        <v>-9.8100000000000023</v>
      </c>
      <c r="R38" s="5">
        <f t="shared" ref="R38:AI38" si="17">R34-R36</f>
        <v>-5.4976808065073923</v>
      </c>
      <c r="S38" s="5">
        <f t="shared" si="17"/>
        <v>-1.1435209424868287</v>
      </c>
      <c r="T38" s="5">
        <f t="shared" si="17"/>
        <v>3.2193418063828805</v>
      </c>
      <c r="U38" s="5">
        <f t="shared" si="17"/>
        <v>7.5577034202142883</v>
      </c>
      <c r="V38" s="5">
        <f t="shared" si="17"/>
        <v>11.838546347551771</v>
      </c>
      <c r="W38" s="5">
        <f t="shared" si="17"/>
        <v>16.029290788874654</v>
      </c>
      <c r="X38" s="5">
        <f t="shared" si="17"/>
        <v>20.098042648543803</v>
      </c>
      <c r="Y38" s="5">
        <f t="shared" si="17"/>
        <v>24.013836268127577</v>
      </c>
      <c r="Z38" s="5">
        <f t="shared" si="17"/>
        <v>27.746870093760123</v>
      </c>
      <c r="AA38" s="5">
        <f t="shared" si="17"/>
        <v>31.268733483960922</v>
      </c>
      <c r="AB38" s="5">
        <f t="shared" si="17"/>
        <v>34.552622931771282</v>
      </c>
      <c r="AC38" s="5">
        <f t="shared" si="17"/>
        <v>37.573546055626714</v>
      </c>
      <c r="AD38" s="5">
        <f t="shared" si="17"/>
        <v>40.308511806471415</v>
      </c>
      <c r="AE38" s="5">
        <f t="shared" si="17"/>
        <v>42.736705443523995</v>
      </c>
      <c r="AF38" s="5">
        <f t="shared" si="17"/>
        <v>44.839646947023077</v>
      </c>
      <c r="AG38" s="5">
        <f t="shared" si="17"/>
        <v>46.601331662336214</v>
      </c>
      <c r="AH38" s="5">
        <f t="shared" si="17"/>
        <v>48.008352105045589</v>
      </c>
      <c r="AI38" s="5">
        <f t="shared" si="17"/>
        <v>49.050000000000004</v>
      </c>
    </row>
    <row r="39" spans="4:37" ht="16.5" x14ac:dyDescent="0.45">
      <c r="O39" s="19" t="s">
        <v>307</v>
      </c>
      <c r="P39" s="19"/>
      <c r="Q39" s="5">
        <f>IF(Q38&gt;0,Q38/$F$20,0)</f>
        <v>0</v>
      </c>
      <c r="R39" s="5">
        <f t="shared" ref="R39:AI39" si="18">IF(R38&gt;0,R38/$F$20,0)</f>
        <v>0</v>
      </c>
      <c r="S39" s="5">
        <f t="shared" si="18"/>
        <v>0</v>
      </c>
      <c r="T39" s="5">
        <f t="shared" si="18"/>
        <v>0.6438683612765761</v>
      </c>
      <c r="U39" s="5">
        <f t="shared" si="18"/>
        <v>1.5115406840428576</v>
      </c>
      <c r="V39" s="5">
        <f t="shared" si="18"/>
        <v>2.3677092695103541</v>
      </c>
      <c r="W39" s="5">
        <f t="shared" si="18"/>
        <v>3.205858157774931</v>
      </c>
      <c r="X39" s="5">
        <f t="shared" si="18"/>
        <v>4.0196085297087603</v>
      </c>
      <c r="Y39" s="5">
        <f t="shared" si="18"/>
        <v>4.8027672536255155</v>
      </c>
      <c r="Z39" s="5">
        <f t="shared" si="18"/>
        <v>5.5493740187520242</v>
      </c>
      <c r="AA39" s="5">
        <f t="shared" si="18"/>
        <v>6.2537466967921844</v>
      </c>
      <c r="AB39" s="5">
        <f t="shared" si="18"/>
        <v>6.9105245863542564</v>
      </c>
      <c r="AC39" s="5">
        <f t="shared" si="18"/>
        <v>7.5147092111253428</v>
      </c>
      <c r="AD39" s="5">
        <f t="shared" si="18"/>
        <v>8.0617023612942837</v>
      </c>
      <c r="AE39" s="5">
        <f t="shared" si="18"/>
        <v>8.5473410887047994</v>
      </c>
      <c r="AF39" s="5">
        <f t="shared" si="18"/>
        <v>8.967929389404615</v>
      </c>
      <c r="AG39" s="5">
        <f t="shared" si="18"/>
        <v>9.3202663324672432</v>
      </c>
      <c r="AH39" s="5">
        <f t="shared" si="18"/>
        <v>9.6016704210091177</v>
      </c>
      <c r="AI39" s="5">
        <f t="shared" si="18"/>
        <v>9.81</v>
      </c>
    </row>
    <row r="40" spans="4:37" x14ac:dyDescent="0.35">
      <c r="O40" s="19" t="s">
        <v>310</v>
      </c>
      <c r="P40" s="5"/>
      <c r="Q40" s="5">
        <f>IF(Q38&gt;0,$F$24*(SIN(Q33)-$L$22*COS(Q33)),0)</f>
        <v>0</v>
      </c>
      <c r="R40" s="5">
        <f t="shared" ref="R40:AI40" si="19">IF(R38&gt;0,$F$24*(SIN(R33)-$L$22*COS(R33)),0)</f>
        <v>0</v>
      </c>
      <c r="S40" s="5">
        <f t="shared" si="19"/>
        <v>0</v>
      </c>
      <c r="T40" s="5">
        <f t="shared" si="19"/>
        <v>0.64386836127657632</v>
      </c>
      <c r="U40" s="5">
        <f>IF(U38&gt;0,$F$24*(SIN(U33)-$L$22*COS(U33)),0)</f>
        <v>1.5115406840428576</v>
      </c>
      <c r="V40" s="5">
        <f t="shared" si="19"/>
        <v>2.3677092695103545</v>
      </c>
      <c r="W40" s="5">
        <f t="shared" si="19"/>
        <v>3.205858157774931</v>
      </c>
      <c r="X40" s="5">
        <f t="shared" si="19"/>
        <v>4.0196085297087603</v>
      </c>
      <c r="Y40" s="5">
        <f t="shared" si="19"/>
        <v>4.8027672536255155</v>
      </c>
      <c r="Z40" s="5">
        <f t="shared" si="19"/>
        <v>5.5493740187520242</v>
      </c>
      <c r="AA40" s="5">
        <f t="shared" si="19"/>
        <v>6.2537466967921844</v>
      </c>
      <c r="AB40" s="5">
        <f t="shared" si="19"/>
        <v>6.9105245863542581</v>
      </c>
      <c r="AC40" s="5">
        <f t="shared" si="19"/>
        <v>7.514709211125342</v>
      </c>
      <c r="AD40" s="5">
        <f t="shared" si="19"/>
        <v>8.0617023612942837</v>
      </c>
      <c r="AE40" s="5">
        <f t="shared" si="19"/>
        <v>8.5473410887047994</v>
      </c>
      <c r="AF40" s="5">
        <f t="shared" si="19"/>
        <v>8.967929389404615</v>
      </c>
      <c r="AG40" s="5">
        <f t="shared" si="19"/>
        <v>9.3202663324672432</v>
      </c>
      <c r="AH40" s="137">
        <f t="shared" si="19"/>
        <v>9.6016704210091195</v>
      </c>
      <c r="AI40" s="137">
        <f t="shared" si="19"/>
        <v>9.81</v>
      </c>
    </row>
    <row r="41" spans="4:37" x14ac:dyDescent="0.35">
      <c r="AH41" s="5" t="s">
        <v>315</v>
      </c>
      <c r="AI41" s="93">
        <v>0</v>
      </c>
      <c r="AJ41" s="93">
        <f>$L$23</f>
        <v>30.963756532073521</v>
      </c>
      <c r="AK41" s="93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 O2" xr:uid="{914C84CC-881B-4AD5-BC66-6A288299472A}">
      <formula1>$L$3:$L$4</formula1>
    </dataValidation>
    <dataValidation type="list" allowBlank="1" showInputMessage="1" showErrorMessage="1" sqref="G20 P3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zoomScale="115" zoomScaleNormal="115" workbookViewId="0">
      <selection activeCell="L21" sqref="L21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316</v>
      </c>
      <c r="F12" s="2">
        <v>9.81</v>
      </c>
      <c r="G12" t="s">
        <v>262</v>
      </c>
    </row>
    <row r="13" spans="5:8" x14ac:dyDescent="0.35">
      <c r="E13" s="1" t="s">
        <v>259</v>
      </c>
      <c r="F13" s="2">
        <v>5</v>
      </c>
      <c r="G13" t="s">
        <v>261</v>
      </c>
    </row>
    <row r="15" spans="5:8" ht="16.5" x14ac:dyDescent="0.45">
      <c r="E15" s="1" t="s">
        <v>253</v>
      </c>
      <c r="F15" t="s">
        <v>317</v>
      </c>
      <c r="G15">
        <f>F13*F12</f>
        <v>49.050000000000004</v>
      </c>
      <c r="H15" t="s">
        <v>318</v>
      </c>
    </row>
    <row r="17" spans="5:8" x14ac:dyDescent="0.35">
      <c r="E17" s="1" t="s">
        <v>267</v>
      </c>
      <c r="F17" s="2">
        <v>30</v>
      </c>
      <c r="G17" t="s">
        <v>215</v>
      </c>
    </row>
    <row r="18" spans="5:8" x14ac:dyDescent="0.35">
      <c r="E18" s="1" t="s">
        <v>267</v>
      </c>
      <c r="F18">
        <f>F17*PI()/180</f>
        <v>0.52359877559829882</v>
      </c>
      <c r="G18" t="s">
        <v>216</v>
      </c>
    </row>
    <row r="19" spans="5:8" x14ac:dyDescent="0.35">
      <c r="E19" s="1"/>
    </row>
    <row r="20" spans="5:8" ht="16.5" x14ac:dyDescent="0.45">
      <c r="E20" s="1" t="s">
        <v>257</v>
      </c>
      <c r="F20" t="s">
        <v>319</v>
      </c>
      <c r="G20" s="119">
        <f>$G$15*COS($F$18)</f>
        <v>42.478546055626722</v>
      </c>
      <c r="H20" t="s">
        <v>318</v>
      </c>
    </row>
    <row r="21" spans="5:8" ht="16.5" x14ac:dyDescent="0.45">
      <c r="E21" s="1" t="s">
        <v>256</v>
      </c>
      <c r="F21" t="s">
        <v>320</v>
      </c>
      <c r="G21" s="119">
        <f>$G$15*SIN($F$18)</f>
        <v>24.524999999999999</v>
      </c>
      <c r="H21" t="s">
        <v>318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zoomScale="55" zoomScaleNormal="55" workbookViewId="0">
      <selection activeCell="H15" sqref="H15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209</v>
      </c>
      <c r="D2" s="44"/>
      <c r="L2" s="41"/>
      <c r="M2" s="111"/>
      <c r="R2" s="92" t="s">
        <v>248</v>
      </c>
      <c r="S2" s="92" t="s">
        <v>217</v>
      </c>
      <c r="T2" s="92" t="s">
        <v>225</v>
      </c>
      <c r="V2" s="92" t="s">
        <v>245</v>
      </c>
      <c r="W2" s="92"/>
      <c r="Y2" s="92" t="s">
        <v>244</v>
      </c>
      <c r="Z2" s="92"/>
      <c r="AA2" s="92"/>
      <c r="AB2" s="92"/>
      <c r="AC2" s="92"/>
    </row>
    <row r="3" spans="3:29" x14ac:dyDescent="0.35">
      <c r="R3" s="129" t="s">
        <v>249</v>
      </c>
      <c r="S3" s="5" t="s">
        <v>215</v>
      </c>
      <c r="T3" s="5" t="s">
        <v>226</v>
      </c>
      <c r="V3" s="93">
        <f>MIN(K14:L20)</f>
        <v>-20</v>
      </c>
      <c r="W3" s="93">
        <f>MAX(K14:L20)</f>
        <v>19.696155060244159</v>
      </c>
      <c r="Y3" s="5" t="s">
        <v>246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9" t="s">
        <v>250</v>
      </c>
      <c r="S4" s="5" t="s">
        <v>216</v>
      </c>
      <c r="T4" s="5" t="s">
        <v>227</v>
      </c>
      <c r="V4" s="5">
        <f>ABS(V3)</f>
        <v>20</v>
      </c>
      <c r="W4" s="5">
        <f>ABS(W3)</f>
        <v>19.696155060244159</v>
      </c>
      <c r="Y4" s="5" t="s">
        <v>247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9" t="s">
        <v>251</v>
      </c>
      <c r="S5" s="5" t="s">
        <v>219</v>
      </c>
      <c r="T5" s="5" t="s">
        <v>228</v>
      </c>
      <c r="V5" s="5">
        <f>MAX(V4:W4)</f>
        <v>20</v>
      </c>
      <c r="W5" s="5">
        <f>V5*1.1</f>
        <v>22</v>
      </c>
    </row>
    <row r="6" spans="3:29" x14ac:dyDescent="0.35">
      <c r="R6" s="5" t="s">
        <v>274</v>
      </c>
      <c r="S6" s="5"/>
      <c r="T6" s="5" t="s">
        <v>229</v>
      </c>
    </row>
    <row r="7" spans="3:29" x14ac:dyDescent="0.35">
      <c r="R7" s="5" t="s">
        <v>71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216" t="s">
        <v>230</v>
      </c>
      <c r="D12" s="216"/>
      <c r="E12" s="216"/>
      <c r="F12" s="216"/>
      <c r="G12" s="216"/>
      <c r="H12" s="75"/>
      <c r="I12" s="216" t="s">
        <v>231</v>
      </c>
      <c r="J12" s="216"/>
      <c r="K12" s="216" t="s">
        <v>226</v>
      </c>
      <c r="L12" s="216"/>
      <c r="M12" s="216" t="s">
        <v>232</v>
      </c>
      <c r="N12" s="216"/>
      <c r="O12" s="216"/>
      <c r="P12" s="215" t="s">
        <v>243</v>
      </c>
      <c r="Q12" s="215"/>
      <c r="R12" s="215"/>
      <c r="S12" s="215"/>
      <c r="T12" s="215" t="s">
        <v>275</v>
      </c>
      <c r="U12" s="215"/>
      <c r="V12" s="215"/>
      <c r="W12" s="215"/>
    </row>
    <row r="13" spans="3:29" x14ac:dyDescent="0.35">
      <c r="C13" s="120" t="s">
        <v>210</v>
      </c>
      <c r="D13" s="120" t="s">
        <v>212</v>
      </c>
      <c r="E13" s="120" t="s">
        <v>211</v>
      </c>
      <c r="F13" s="120" t="s">
        <v>213</v>
      </c>
      <c r="G13" s="120" t="s">
        <v>214</v>
      </c>
      <c r="H13" s="120" t="s">
        <v>248</v>
      </c>
      <c r="I13" s="120" t="s">
        <v>225</v>
      </c>
      <c r="J13" s="120" t="s">
        <v>222</v>
      </c>
      <c r="K13" s="120" t="s">
        <v>223</v>
      </c>
      <c r="L13" s="120" t="s">
        <v>224</v>
      </c>
      <c r="M13" s="120" t="s">
        <v>220</v>
      </c>
      <c r="N13" s="120" t="s">
        <v>221</v>
      </c>
      <c r="O13" s="120" t="s">
        <v>222</v>
      </c>
      <c r="P13" s="120" t="s">
        <v>239</v>
      </c>
      <c r="Q13" s="120" t="s">
        <v>240</v>
      </c>
      <c r="R13" s="120" t="s">
        <v>241</v>
      </c>
      <c r="S13" s="120" t="s">
        <v>242</v>
      </c>
      <c r="T13" s="120" t="s">
        <v>239</v>
      </c>
      <c r="U13" s="120" t="s">
        <v>240</v>
      </c>
      <c r="V13" s="120" t="s">
        <v>241</v>
      </c>
      <c r="W13" s="120" t="s">
        <v>242</v>
      </c>
    </row>
    <row r="14" spans="3:29" x14ac:dyDescent="0.35">
      <c r="C14" s="4" t="s">
        <v>218</v>
      </c>
      <c r="D14" s="4">
        <v>10</v>
      </c>
      <c r="E14" s="112" t="s">
        <v>219</v>
      </c>
      <c r="F14" s="4">
        <v>5</v>
      </c>
      <c r="G14" s="4" t="s">
        <v>219</v>
      </c>
      <c r="H14" s="123"/>
      <c r="I14" s="5" t="str">
        <f>IF(AND(E14=$S$5,G14=$S$5),$T$3,IF(AND(E14=$S$5,G14=$S$4),$T$4,IF(AND(E14=$S$5,G14=$S$3),$T$5,$T$6)))</f>
        <v>Kartesisch</v>
      </c>
      <c r="J14" s="93" t="str">
        <f>IF(I14=$T$5,F14*PI()/180,IF(I14=$T$4,F14,""))</f>
        <v/>
      </c>
      <c r="K14" s="121">
        <f>IF(I14=$T$3,D14,D14*COS(J14))</f>
        <v>10</v>
      </c>
      <c r="L14" s="121">
        <f>IF(I14=$T$3,F14,D14*SIN(J14))</f>
        <v>5</v>
      </c>
      <c r="M14" s="122">
        <f>SQRT(K14^2 + L14^2)</f>
        <v>11.180339887498949</v>
      </c>
      <c r="N14" s="122">
        <f>DEGREES(ATAN2(K14,L14))</f>
        <v>26.56505117707799</v>
      </c>
      <c r="O14" s="122">
        <f>ATAN2(K14,L14)</f>
        <v>0.46364760900080609</v>
      </c>
      <c r="P14" s="93">
        <v>0</v>
      </c>
      <c r="Q14" s="93">
        <f>K14</f>
        <v>10</v>
      </c>
      <c r="R14" s="93">
        <v>0</v>
      </c>
      <c r="S14" s="93">
        <f>L14</f>
        <v>5</v>
      </c>
      <c r="T14" s="130"/>
      <c r="U14" s="130"/>
      <c r="V14" s="130"/>
      <c r="W14" s="130"/>
    </row>
    <row r="15" spans="3:29" x14ac:dyDescent="0.35">
      <c r="C15" s="4" t="s">
        <v>233</v>
      </c>
      <c r="D15" s="4">
        <v>10</v>
      </c>
      <c r="E15" s="112" t="s">
        <v>219</v>
      </c>
      <c r="F15" s="4">
        <v>-12</v>
      </c>
      <c r="G15" s="4" t="s">
        <v>219</v>
      </c>
      <c r="H15" s="124" t="s">
        <v>249</v>
      </c>
      <c r="I15" s="5" t="str">
        <f t="shared" ref="I15:I20" si="0">IF(AND(E15=$S$5,G15=$S$5),$T$3,IF(AND(E15=$S$5,G15=$S$4),$T$4,IF(AND(E15=$S$5,G15=$S$3),$T$5,$T$6)))</f>
        <v>Kartesisch</v>
      </c>
      <c r="J15" s="93" t="str">
        <f t="shared" ref="J15:J20" si="1">IF(I15=$T$5,F15*PI()/180,IF(I15=$T$4,F15,""))</f>
        <v/>
      </c>
      <c r="K15" s="121">
        <f t="shared" ref="K15:K20" si="2">IF(I15=$T$3,D15,D15*COS(J15))</f>
        <v>10</v>
      </c>
      <c r="L15" s="121">
        <f t="shared" ref="L15:L20" si="3">IF(I15=$T$3,F15,D15*SIN(J15))</f>
        <v>-12</v>
      </c>
      <c r="M15" s="122">
        <f t="shared" ref="M15:M20" si="4">SQRT(K15^2 + L15^2)</f>
        <v>15.620499351813308</v>
      </c>
      <c r="N15" s="122">
        <f t="shared" ref="N15:N20" si="5">DEGREES(ATAN2(K15,L15))</f>
        <v>-50.19442890773481</v>
      </c>
      <c r="O15" s="122">
        <f t="shared" ref="O15:O20" si="6">ATAN2(K15,L15)</f>
        <v>-0.87605805059819342</v>
      </c>
      <c r="P15" s="93">
        <f t="shared" ref="P15:P20" si="7">IF(H15=$R$6,0,IF(H15=$R$3,Q14,0))</f>
        <v>10</v>
      </c>
      <c r="Q15" s="93">
        <f t="shared" ref="Q15:Q20" si="8">IF(H15=$R$6,0,IF(H15=$R$3,K15+Q14,K15))</f>
        <v>20</v>
      </c>
      <c r="R15" s="93">
        <f t="shared" ref="R15:R20" si="9">IF(H15=$R$6,0,IF(H15=$R$3,S14,0))</f>
        <v>5</v>
      </c>
      <c r="S15" s="93">
        <f t="shared" ref="S15:S20" si="10">IF(H15=$R$6,0,IF(H15=$R$3,S14+L15,L15))</f>
        <v>-7</v>
      </c>
      <c r="T15" s="93">
        <v>0</v>
      </c>
      <c r="U15" s="93">
        <v>0</v>
      </c>
      <c r="V15" s="93">
        <f>IF(P15&lt;&gt;0,Q15,0)</f>
        <v>20</v>
      </c>
      <c r="W15" s="93">
        <f>IF(R15&lt;&gt;0,S15,0)</f>
        <v>-7</v>
      </c>
    </row>
    <row r="16" spans="3:29" x14ac:dyDescent="0.35">
      <c r="C16" s="4" t="s">
        <v>234</v>
      </c>
      <c r="D16" s="4">
        <v>-8</v>
      </c>
      <c r="E16" s="112" t="s">
        <v>219</v>
      </c>
      <c r="F16" s="4">
        <v>15</v>
      </c>
      <c r="G16" s="4" t="s">
        <v>219</v>
      </c>
      <c r="H16" s="124" t="s">
        <v>274</v>
      </c>
      <c r="I16" s="5" t="str">
        <f t="shared" si="0"/>
        <v>Kartesisch</v>
      </c>
      <c r="J16" s="93" t="str">
        <f t="shared" si="1"/>
        <v/>
      </c>
      <c r="K16" s="121">
        <f t="shared" si="2"/>
        <v>-8</v>
      </c>
      <c r="L16" s="121">
        <f t="shared" si="3"/>
        <v>15</v>
      </c>
      <c r="M16" s="122">
        <f t="shared" si="4"/>
        <v>17</v>
      </c>
      <c r="N16" s="122">
        <f t="shared" si="5"/>
        <v>118.07248693585296</v>
      </c>
      <c r="O16" s="122">
        <f t="shared" si="6"/>
        <v>2.060753653048625</v>
      </c>
      <c r="P16" s="93">
        <f t="shared" si="7"/>
        <v>0</v>
      </c>
      <c r="Q16" s="93">
        <f t="shared" si="8"/>
        <v>0</v>
      </c>
      <c r="R16" s="93">
        <f t="shared" si="9"/>
        <v>0</v>
      </c>
      <c r="S16" s="93">
        <f t="shared" si="10"/>
        <v>0</v>
      </c>
      <c r="T16" s="93">
        <v>0</v>
      </c>
      <c r="U16" s="93">
        <v>0</v>
      </c>
      <c r="V16" s="93">
        <f t="shared" ref="V16:V20" si="11">IF(P16&lt;&gt;0,Q16,0)</f>
        <v>0</v>
      </c>
      <c r="W16" s="93">
        <f t="shared" ref="W16:W20" si="12">IF(R16&lt;&gt;0,S16,0)</f>
        <v>0</v>
      </c>
    </row>
    <row r="17" spans="3:23" x14ac:dyDescent="0.35">
      <c r="C17" s="4" t="s">
        <v>235</v>
      </c>
      <c r="D17" s="4">
        <v>-10</v>
      </c>
      <c r="E17" s="112" t="s">
        <v>219</v>
      </c>
      <c r="F17" s="4">
        <v>-20</v>
      </c>
      <c r="G17" s="4" t="s">
        <v>219</v>
      </c>
      <c r="H17" s="124" t="s">
        <v>274</v>
      </c>
      <c r="I17" s="5" t="str">
        <f t="shared" si="0"/>
        <v>Kartesisch</v>
      </c>
      <c r="J17" s="93" t="str">
        <f t="shared" si="1"/>
        <v/>
      </c>
      <c r="K17" s="121">
        <f t="shared" si="2"/>
        <v>-10</v>
      </c>
      <c r="L17" s="121">
        <f t="shared" si="3"/>
        <v>-20</v>
      </c>
      <c r="M17" s="122">
        <f t="shared" si="4"/>
        <v>22.360679774997898</v>
      </c>
      <c r="N17" s="122">
        <f t="shared" si="5"/>
        <v>-116.56505117707799</v>
      </c>
      <c r="O17" s="122">
        <f t="shared" si="6"/>
        <v>-2.0344439357957027</v>
      </c>
      <c r="P17" s="93">
        <f t="shared" si="7"/>
        <v>0</v>
      </c>
      <c r="Q17" s="93">
        <f t="shared" si="8"/>
        <v>0</v>
      </c>
      <c r="R17" s="93">
        <f t="shared" si="9"/>
        <v>0</v>
      </c>
      <c r="S17" s="93">
        <f t="shared" si="10"/>
        <v>0</v>
      </c>
      <c r="T17" s="93">
        <v>0</v>
      </c>
      <c r="U17" s="93">
        <v>0</v>
      </c>
      <c r="V17" s="93">
        <f t="shared" si="11"/>
        <v>0</v>
      </c>
      <c r="W17" s="93">
        <f t="shared" si="12"/>
        <v>0</v>
      </c>
    </row>
    <row r="18" spans="3:23" x14ac:dyDescent="0.35">
      <c r="C18" s="4" t="s">
        <v>236</v>
      </c>
      <c r="D18" s="4">
        <v>20</v>
      </c>
      <c r="E18" s="112" t="s">
        <v>219</v>
      </c>
      <c r="F18" s="4">
        <v>100</v>
      </c>
      <c r="G18" s="4" t="s">
        <v>215</v>
      </c>
      <c r="H18" s="124" t="s">
        <v>274</v>
      </c>
      <c r="I18" s="5" t="str">
        <f t="shared" si="0"/>
        <v>Polar [°]</v>
      </c>
      <c r="J18" s="93">
        <f t="shared" si="1"/>
        <v>1.7453292519943295</v>
      </c>
      <c r="K18" s="121">
        <f t="shared" si="2"/>
        <v>-3.4729635533386061</v>
      </c>
      <c r="L18" s="121">
        <f t="shared" si="3"/>
        <v>19.696155060244159</v>
      </c>
      <c r="M18" s="122">
        <f t="shared" si="4"/>
        <v>19.999999999999996</v>
      </c>
      <c r="N18" s="122">
        <f t="shared" si="5"/>
        <v>100</v>
      </c>
      <c r="O18" s="122">
        <f t="shared" si="6"/>
        <v>1.7453292519943295</v>
      </c>
      <c r="P18" s="93">
        <f t="shared" si="7"/>
        <v>0</v>
      </c>
      <c r="Q18" s="93">
        <f t="shared" si="8"/>
        <v>0</v>
      </c>
      <c r="R18" s="93">
        <f t="shared" si="9"/>
        <v>0</v>
      </c>
      <c r="S18" s="93">
        <f t="shared" si="10"/>
        <v>0</v>
      </c>
      <c r="T18" s="93">
        <v>0</v>
      </c>
      <c r="U18" s="93">
        <v>0</v>
      </c>
      <c r="V18" s="93">
        <f t="shared" si="11"/>
        <v>0</v>
      </c>
      <c r="W18" s="93">
        <f t="shared" si="12"/>
        <v>0</v>
      </c>
    </row>
    <row r="19" spans="3:23" x14ac:dyDescent="0.35">
      <c r="C19" s="4" t="s">
        <v>237</v>
      </c>
      <c r="D19" s="4">
        <v>20</v>
      </c>
      <c r="E19" s="112" t="s">
        <v>219</v>
      </c>
      <c r="F19" s="4">
        <v>180</v>
      </c>
      <c r="G19" s="4" t="s">
        <v>215</v>
      </c>
      <c r="H19" s="124" t="s">
        <v>274</v>
      </c>
      <c r="I19" s="5" t="str">
        <f t="shared" si="0"/>
        <v>Polar [°]</v>
      </c>
      <c r="J19" s="93">
        <f t="shared" si="1"/>
        <v>3.1415926535897931</v>
      </c>
      <c r="K19" s="121">
        <f t="shared" si="2"/>
        <v>-20</v>
      </c>
      <c r="L19" s="121">
        <f t="shared" si="3"/>
        <v>2.45029690981724E-15</v>
      </c>
      <c r="M19" s="122">
        <f t="shared" si="4"/>
        <v>20</v>
      </c>
      <c r="N19" s="122">
        <f t="shared" si="5"/>
        <v>180</v>
      </c>
      <c r="O19" s="122">
        <f t="shared" si="6"/>
        <v>3.1415926535897931</v>
      </c>
      <c r="P19" s="93">
        <f t="shared" si="7"/>
        <v>0</v>
      </c>
      <c r="Q19" s="93">
        <f t="shared" si="8"/>
        <v>0</v>
      </c>
      <c r="R19" s="93">
        <f t="shared" si="9"/>
        <v>0</v>
      </c>
      <c r="S19" s="93">
        <f t="shared" si="10"/>
        <v>0</v>
      </c>
      <c r="T19" s="93">
        <v>0</v>
      </c>
      <c r="U19" s="93">
        <v>0</v>
      </c>
      <c r="V19" s="93">
        <f t="shared" si="11"/>
        <v>0</v>
      </c>
      <c r="W19" s="93">
        <f t="shared" si="12"/>
        <v>0</v>
      </c>
    </row>
    <row r="20" spans="3:23" x14ac:dyDescent="0.35">
      <c r="C20" s="4" t="s">
        <v>238</v>
      </c>
      <c r="D20" s="4">
        <v>20</v>
      </c>
      <c r="E20" s="112" t="s">
        <v>219</v>
      </c>
      <c r="F20" s="4">
        <v>6.5</v>
      </c>
      <c r="G20" s="4" t="s">
        <v>216</v>
      </c>
      <c r="H20" s="124" t="s">
        <v>274</v>
      </c>
      <c r="I20" s="5" t="str">
        <f t="shared" si="0"/>
        <v>Polar [rad]</v>
      </c>
      <c r="J20" s="93">
        <f t="shared" si="1"/>
        <v>6.5</v>
      </c>
      <c r="K20" s="121">
        <f t="shared" si="2"/>
        <v>19.53175251456047</v>
      </c>
      <c r="L20" s="121">
        <f t="shared" si="3"/>
        <v>4.3023997617563108</v>
      </c>
      <c r="M20" s="122">
        <f t="shared" si="4"/>
        <v>20</v>
      </c>
      <c r="N20" s="122">
        <f t="shared" si="5"/>
        <v>12.422566835035086</v>
      </c>
      <c r="O20" s="122">
        <f t="shared" si="6"/>
        <v>0.21681469282041352</v>
      </c>
      <c r="P20" s="93">
        <f t="shared" si="7"/>
        <v>0</v>
      </c>
      <c r="Q20" s="93">
        <f t="shared" si="8"/>
        <v>0</v>
      </c>
      <c r="R20" s="93">
        <f t="shared" si="9"/>
        <v>0</v>
      </c>
      <c r="S20" s="93">
        <f t="shared" si="10"/>
        <v>0</v>
      </c>
      <c r="T20" s="93">
        <v>0</v>
      </c>
      <c r="U20" s="93">
        <v>0</v>
      </c>
      <c r="V20" s="93">
        <f t="shared" si="11"/>
        <v>0</v>
      </c>
      <c r="W20" s="93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8866-E643-498C-AE8F-3008A8B56B76}">
  <dimension ref="B2:K8"/>
  <sheetViews>
    <sheetView zoomScale="130" zoomScaleNormal="130" workbookViewId="0"/>
  </sheetViews>
  <sheetFormatPr baseColWidth="10" defaultRowHeight="14.5" x14ac:dyDescent="0.35"/>
  <cols>
    <col min="11" max="11" width="12.81640625" customWidth="1"/>
  </cols>
  <sheetData>
    <row r="2" spans="2:11" ht="23.5" x14ac:dyDescent="0.55000000000000004">
      <c r="B2" s="22" t="s">
        <v>350</v>
      </c>
      <c r="K2" t="s">
        <v>268</v>
      </c>
    </row>
    <row r="3" spans="2:11" x14ac:dyDescent="0.35">
      <c r="K3" t="s">
        <v>215</v>
      </c>
    </row>
    <row r="4" spans="2:11" x14ac:dyDescent="0.35">
      <c r="C4" s="157">
        <v>180</v>
      </c>
      <c r="D4" t="s">
        <v>215</v>
      </c>
      <c r="E4" s="156" t="s">
        <v>351</v>
      </c>
      <c r="F4" s="119">
        <f>PI()*C4/180</f>
        <v>3.1415926535897931</v>
      </c>
      <c r="G4" t="s">
        <v>216</v>
      </c>
      <c r="K4" t="s">
        <v>216</v>
      </c>
    </row>
    <row r="5" spans="2:11" x14ac:dyDescent="0.35">
      <c r="C5" s="158">
        <v>3.1415000000000002</v>
      </c>
      <c r="D5" t="s">
        <v>216</v>
      </c>
      <c r="E5" s="156" t="s">
        <v>351</v>
      </c>
      <c r="F5" s="119">
        <f>180*C5/PI()</f>
        <v>179.99469134034814</v>
      </c>
      <c r="G5" t="s">
        <v>215</v>
      </c>
    </row>
    <row r="8" spans="2:11" x14ac:dyDescent="0.35">
      <c r="C8" s="2">
        <v>180</v>
      </c>
      <c r="D8" s="2" t="s">
        <v>215</v>
      </c>
      <c r="E8" s="156" t="s">
        <v>351</v>
      </c>
      <c r="G8" t="str">
        <f>IF(D8=K4,K3,K4)</f>
        <v>rad</v>
      </c>
    </row>
  </sheetData>
  <dataValidations count="1">
    <dataValidation type="list" allowBlank="1" showInputMessage="1" showErrorMessage="1" sqref="D8" xr:uid="{3E8D84A8-7919-4823-9635-E5BE173BBAF1}">
      <formula1>$K$3:$K$4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topLeftCell="A8" zoomScale="55" zoomScaleNormal="55" workbookViewId="0">
      <selection activeCell="Q18" sqref="Q18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204</v>
      </c>
      <c r="J2" s="111">
        <f ca="1">NOW()</f>
        <v>45814.55472615741</v>
      </c>
    </row>
    <row r="3" spans="1:11" ht="26" x14ac:dyDescent="0.6">
      <c r="C3" s="44"/>
      <c r="D3" s="44"/>
      <c r="I3" s="41"/>
      <c r="J3" s="111"/>
    </row>
    <row r="4" spans="1:11" ht="28.5" customHeight="1" x14ac:dyDescent="0.35">
      <c r="A4" s="112" t="s">
        <v>205</v>
      </c>
      <c r="B4" s="112" t="s">
        <v>199</v>
      </c>
      <c r="C4" s="112" t="str">
        <f ca="1">_xlfn.CONCAT("Geburtstag im ",YEAR(J2))</f>
        <v>Geburtstag im 2025</v>
      </c>
      <c r="D4" s="112" t="s">
        <v>208</v>
      </c>
      <c r="E4" s="118" t="s">
        <v>206</v>
      </c>
      <c r="F4" s="118" t="s">
        <v>207</v>
      </c>
      <c r="G4" s="112" t="s">
        <v>199</v>
      </c>
      <c r="H4" s="112" t="s">
        <v>200</v>
      </c>
      <c r="I4" s="112" t="s">
        <v>201</v>
      </c>
      <c r="J4" s="112" t="s">
        <v>202</v>
      </c>
      <c r="K4" s="112" t="s">
        <v>203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13" t="str">
        <f t="shared" ref="B5:B34" si="1">_xlfn.CONCAT(TEXT(DAY(G5),"00"),".",TEXT(G5,"MMMM"))</f>
        <v>01.Januar</v>
      </c>
      <c r="C5" s="117">
        <f t="shared" ref="C5:C34" ca="1" si="2">DATE(YEAR($J$2),MONTH(G5),DAY(G5))</f>
        <v>45658</v>
      </c>
      <c r="D5" s="117">
        <f t="shared" ref="D5:D34" ca="1" si="3">IF(C5&lt;$J$2,DATE(YEAR($J$2)+1,MONTH(G5),DAY(G5)),DATE(YEAR($J$2),MONTH(G5),DAY(G5)))</f>
        <v>46023</v>
      </c>
      <c r="E5" s="114">
        <f t="shared" ref="E5:E34" ca="1" si="4">YEAR($J$2) - YEAR(G5) - IF(C5&gt;$J$2,1,0)</f>
        <v>62</v>
      </c>
      <c r="F5" s="115">
        <f t="shared" ref="F5:F34" ca="1" si="5">YEAR($J$2) - YEAR(G5)</f>
        <v>62</v>
      </c>
      <c r="G5" s="116">
        <v>23012</v>
      </c>
      <c r="H5" s="5" t="s">
        <v>140</v>
      </c>
      <c r="I5" s="5" t="s">
        <v>141</v>
      </c>
      <c r="J5" s="5" t="s">
        <v>180</v>
      </c>
      <c r="K5" s="96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13" t="str">
        <f t="shared" si="1"/>
        <v>02.Januar</v>
      </c>
      <c r="C6" s="117">
        <f t="shared" ca="1" si="2"/>
        <v>45659</v>
      </c>
      <c r="D6" s="117">
        <f t="shared" ca="1" si="3"/>
        <v>46024</v>
      </c>
      <c r="E6" s="114">
        <f t="shared" ca="1" si="4"/>
        <v>38</v>
      </c>
      <c r="F6" s="115">
        <f t="shared" ca="1" si="5"/>
        <v>38</v>
      </c>
      <c r="G6" s="116" t="s">
        <v>145</v>
      </c>
      <c r="H6" s="5" t="s">
        <v>142</v>
      </c>
      <c r="I6" s="5" t="s">
        <v>146</v>
      </c>
      <c r="J6" s="5" t="s">
        <v>147</v>
      </c>
      <c r="K6" s="96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13" t="str">
        <f t="shared" si="1"/>
        <v>02.Januar</v>
      </c>
      <c r="C7" s="117">
        <f t="shared" ca="1" si="2"/>
        <v>45659</v>
      </c>
      <c r="D7" s="117">
        <f t="shared" ca="1" si="3"/>
        <v>46024</v>
      </c>
      <c r="E7" s="114">
        <f t="shared" ca="1" si="4"/>
        <v>33</v>
      </c>
      <c r="F7" s="115">
        <f t="shared" ca="1" si="5"/>
        <v>33</v>
      </c>
      <c r="G7" s="116" t="s">
        <v>150</v>
      </c>
      <c r="H7" s="5" t="s">
        <v>142</v>
      </c>
      <c r="I7" s="5" t="s">
        <v>151</v>
      </c>
      <c r="J7" s="5" t="s">
        <v>144</v>
      </c>
      <c r="K7" s="96" t="str">
        <f t="shared" ca="1" si="6"/>
        <v>Schon Geburtstag gehabt</v>
      </c>
    </row>
    <row r="8" spans="1:11" x14ac:dyDescent="0.35">
      <c r="A8" s="5" t="str">
        <f t="shared" si="0"/>
        <v>01_06</v>
      </c>
      <c r="B8" s="113" t="str">
        <f t="shared" si="1"/>
        <v>06.Januar</v>
      </c>
      <c r="C8" s="117">
        <f t="shared" ca="1" si="2"/>
        <v>45663</v>
      </c>
      <c r="D8" s="117">
        <f t="shared" ca="1" si="3"/>
        <v>46028</v>
      </c>
      <c r="E8" s="114">
        <f t="shared" ca="1" si="4"/>
        <v>37</v>
      </c>
      <c r="F8" s="115">
        <f t="shared" ca="1" si="5"/>
        <v>37</v>
      </c>
      <c r="G8" s="116" t="s">
        <v>152</v>
      </c>
      <c r="H8" s="5" t="s">
        <v>142</v>
      </c>
      <c r="I8" s="5" t="s">
        <v>153</v>
      </c>
      <c r="J8" s="5" t="s">
        <v>185</v>
      </c>
      <c r="K8" s="96" t="str">
        <f t="shared" ca="1" si="6"/>
        <v>Schon Geburtstag gehabt</v>
      </c>
    </row>
    <row r="9" spans="1:11" x14ac:dyDescent="0.35">
      <c r="A9" s="5" t="str">
        <f t="shared" si="0"/>
        <v>01_07</v>
      </c>
      <c r="B9" s="113" t="str">
        <f t="shared" si="1"/>
        <v>07.Januar</v>
      </c>
      <c r="C9" s="117">
        <f t="shared" ca="1" si="2"/>
        <v>45664</v>
      </c>
      <c r="D9" s="117">
        <f t="shared" ca="1" si="3"/>
        <v>46029</v>
      </c>
      <c r="E9" s="114">
        <f t="shared" ca="1" si="4"/>
        <v>49</v>
      </c>
      <c r="F9" s="115">
        <f t="shared" ca="1" si="5"/>
        <v>49</v>
      </c>
      <c r="G9" s="116" t="s">
        <v>155</v>
      </c>
      <c r="H9" s="5" t="s">
        <v>140</v>
      </c>
      <c r="I9" s="5" t="s">
        <v>156</v>
      </c>
      <c r="J9" s="5" t="s">
        <v>154</v>
      </c>
      <c r="K9" s="96" t="str">
        <f t="shared" ca="1" si="6"/>
        <v>Schon Geburtstag gehabt</v>
      </c>
    </row>
    <row r="10" spans="1:11" x14ac:dyDescent="0.35">
      <c r="A10" s="5" t="str">
        <f t="shared" si="0"/>
        <v>01_09</v>
      </c>
      <c r="B10" s="113" t="str">
        <f t="shared" si="1"/>
        <v>09.Januar</v>
      </c>
      <c r="C10" s="117">
        <f t="shared" ca="1" si="2"/>
        <v>45666</v>
      </c>
      <c r="D10" s="117">
        <f t="shared" ca="1" si="3"/>
        <v>46031</v>
      </c>
      <c r="E10" s="114">
        <f t="shared" ca="1" si="4"/>
        <v>60</v>
      </c>
      <c r="F10" s="115">
        <f t="shared" ca="1" si="5"/>
        <v>60</v>
      </c>
      <c r="G10" s="116" t="s">
        <v>157</v>
      </c>
      <c r="H10" s="5" t="s">
        <v>140</v>
      </c>
      <c r="I10" s="5" t="s">
        <v>158</v>
      </c>
      <c r="J10" s="5" t="s">
        <v>186</v>
      </c>
      <c r="K10" s="96" t="str">
        <f t="shared" ca="1" si="6"/>
        <v>Schon Geburtstag gehabt</v>
      </c>
    </row>
    <row r="11" spans="1:11" x14ac:dyDescent="0.35">
      <c r="A11" s="5" t="str">
        <f t="shared" si="0"/>
        <v>01_09</v>
      </c>
      <c r="B11" s="113" t="str">
        <f t="shared" si="1"/>
        <v>09.Januar</v>
      </c>
      <c r="C11" s="117">
        <f t="shared" ca="1" si="2"/>
        <v>45666</v>
      </c>
      <c r="D11" s="117">
        <f t="shared" ca="1" si="3"/>
        <v>46031</v>
      </c>
      <c r="E11" s="114">
        <f t="shared" ca="1" si="4"/>
        <v>67</v>
      </c>
      <c r="F11" s="115">
        <f t="shared" ca="1" si="5"/>
        <v>67</v>
      </c>
      <c r="G11" s="116" t="s">
        <v>160</v>
      </c>
      <c r="H11" s="5" t="s">
        <v>142</v>
      </c>
      <c r="I11" s="5" t="s">
        <v>161</v>
      </c>
      <c r="J11" s="5" t="s">
        <v>154</v>
      </c>
      <c r="K11" s="96" t="str">
        <f t="shared" ca="1" si="6"/>
        <v>Schon Geburtstag gehabt</v>
      </c>
    </row>
    <row r="12" spans="1:11" x14ac:dyDescent="0.35">
      <c r="A12" s="5" t="str">
        <f t="shared" si="0"/>
        <v>01_10</v>
      </c>
      <c r="B12" s="113" t="str">
        <f t="shared" si="1"/>
        <v>10.Januar</v>
      </c>
      <c r="C12" s="117">
        <f t="shared" ca="1" si="2"/>
        <v>45667</v>
      </c>
      <c r="D12" s="117">
        <f t="shared" ca="1" si="3"/>
        <v>46032</v>
      </c>
      <c r="E12" s="114">
        <f t="shared" ca="1" si="4"/>
        <v>28</v>
      </c>
      <c r="F12" s="115">
        <f t="shared" ca="1" si="5"/>
        <v>28</v>
      </c>
      <c r="G12" s="116" t="s">
        <v>162</v>
      </c>
      <c r="H12" s="5" t="s">
        <v>142</v>
      </c>
      <c r="I12" s="5" t="s">
        <v>153</v>
      </c>
      <c r="J12" s="5" t="s">
        <v>188</v>
      </c>
      <c r="K12" s="96" t="str">
        <f t="shared" ca="1" si="6"/>
        <v>Schon Geburtstag gehabt</v>
      </c>
    </row>
    <row r="13" spans="1:11" x14ac:dyDescent="0.35">
      <c r="A13" s="5" t="str">
        <f t="shared" si="0"/>
        <v>01_11</v>
      </c>
      <c r="B13" s="113" t="str">
        <f t="shared" si="1"/>
        <v>11.Januar</v>
      </c>
      <c r="C13" s="117">
        <f t="shared" ca="1" si="2"/>
        <v>45668</v>
      </c>
      <c r="D13" s="117">
        <f t="shared" ca="1" si="3"/>
        <v>46033</v>
      </c>
      <c r="E13" s="114">
        <f t="shared" ca="1" si="4"/>
        <v>61</v>
      </c>
      <c r="F13" s="115">
        <f t="shared" ca="1" si="5"/>
        <v>61</v>
      </c>
      <c r="G13" s="116" t="s">
        <v>166</v>
      </c>
      <c r="H13" s="5" t="s">
        <v>140</v>
      </c>
      <c r="I13" s="5" t="s">
        <v>167</v>
      </c>
      <c r="J13" s="5" t="s">
        <v>191</v>
      </c>
      <c r="K13" s="96" t="str">
        <f t="shared" ca="1" si="6"/>
        <v>Schon Geburtstag gehabt</v>
      </c>
    </row>
    <row r="14" spans="1:11" x14ac:dyDescent="0.35">
      <c r="A14" s="5" t="str">
        <f t="shared" si="0"/>
        <v>01_11</v>
      </c>
      <c r="B14" s="113" t="str">
        <f t="shared" si="1"/>
        <v>11.Januar</v>
      </c>
      <c r="C14" s="117">
        <f t="shared" ca="1" si="2"/>
        <v>45668</v>
      </c>
      <c r="D14" s="117">
        <f t="shared" ca="1" si="3"/>
        <v>46033</v>
      </c>
      <c r="E14" s="114">
        <f t="shared" ca="1" si="4"/>
        <v>42</v>
      </c>
      <c r="F14" s="115">
        <f t="shared" ca="1" si="5"/>
        <v>42</v>
      </c>
      <c r="G14" s="116" t="s">
        <v>169</v>
      </c>
      <c r="H14" s="5" t="s">
        <v>142</v>
      </c>
      <c r="I14" s="5" t="s">
        <v>170</v>
      </c>
      <c r="J14" s="5" t="s">
        <v>193</v>
      </c>
      <c r="K14" s="96" t="str">
        <f t="shared" ca="1" si="6"/>
        <v>Schon Geburtstag gehabt</v>
      </c>
    </row>
    <row r="15" spans="1:11" x14ac:dyDescent="0.35">
      <c r="A15" s="5" t="str">
        <f t="shared" si="0"/>
        <v>01_14</v>
      </c>
      <c r="B15" s="113" t="str">
        <f t="shared" si="1"/>
        <v>14.Januar</v>
      </c>
      <c r="C15" s="117">
        <f t="shared" ca="1" si="2"/>
        <v>45671</v>
      </c>
      <c r="D15" s="117">
        <f t="shared" ca="1" si="3"/>
        <v>46036</v>
      </c>
      <c r="E15" s="114">
        <f t="shared" ca="1" si="4"/>
        <v>65</v>
      </c>
      <c r="F15" s="115">
        <f t="shared" ca="1" si="5"/>
        <v>65</v>
      </c>
      <c r="G15" s="116" t="s">
        <v>175</v>
      </c>
      <c r="H15" s="5" t="s">
        <v>142</v>
      </c>
      <c r="I15" s="5" t="s">
        <v>176</v>
      </c>
      <c r="J15" s="5" t="s">
        <v>196</v>
      </c>
      <c r="K15" s="96" t="str">
        <f t="shared" ca="1" si="6"/>
        <v>Schon Geburtstag gehabt</v>
      </c>
    </row>
    <row r="16" spans="1:11" x14ac:dyDescent="0.35">
      <c r="A16" s="5" t="str">
        <f t="shared" si="0"/>
        <v>01_15</v>
      </c>
      <c r="B16" s="113" t="str">
        <f t="shared" si="1"/>
        <v>15.Januar</v>
      </c>
      <c r="C16" s="117">
        <f t="shared" ca="1" si="2"/>
        <v>45672</v>
      </c>
      <c r="D16" s="117">
        <f t="shared" ca="1" si="3"/>
        <v>46037</v>
      </c>
      <c r="E16" s="114">
        <f t="shared" ca="1" si="4"/>
        <v>45</v>
      </c>
      <c r="F16" s="115">
        <f t="shared" ca="1" si="5"/>
        <v>45</v>
      </c>
      <c r="G16" s="116" t="s">
        <v>178</v>
      </c>
      <c r="H16" s="5" t="s">
        <v>142</v>
      </c>
      <c r="I16" s="5" t="s">
        <v>179</v>
      </c>
      <c r="J16" s="5" t="s">
        <v>154</v>
      </c>
      <c r="K16" s="96" t="str">
        <f t="shared" ca="1" si="6"/>
        <v>Schon Geburtstag gehabt</v>
      </c>
    </row>
    <row r="17" spans="1:11" x14ac:dyDescent="0.35">
      <c r="A17" s="5" t="str">
        <f t="shared" si="0"/>
        <v>02_09</v>
      </c>
      <c r="B17" s="113" t="str">
        <f t="shared" si="1"/>
        <v>09.Februar</v>
      </c>
      <c r="C17" s="117">
        <f t="shared" ca="1" si="2"/>
        <v>45697</v>
      </c>
      <c r="D17" s="117">
        <f t="shared" ca="1" si="3"/>
        <v>46062</v>
      </c>
      <c r="E17" s="114">
        <f t="shared" ca="1" si="4"/>
        <v>80</v>
      </c>
      <c r="F17" s="115">
        <f t="shared" ca="1" si="5"/>
        <v>80</v>
      </c>
      <c r="G17" s="116">
        <v>16477</v>
      </c>
      <c r="H17" s="5" t="s">
        <v>140</v>
      </c>
      <c r="I17" s="5" t="s">
        <v>159</v>
      </c>
      <c r="J17" s="5" t="s">
        <v>187</v>
      </c>
      <c r="K17" s="96" t="str">
        <f t="shared" ca="1" si="6"/>
        <v>Schon Geburtstag gehabt</v>
      </c>
    </row>
    <row r="18" spans="1:11" x14ac:dyDescent="0.35">
      <c r="A18" s="5" t="str">
        <f t="shared" si="0"/>
        <v>02_14</v>
      </c>
      <c r="B18" s="113" t="str">
        <f t="shared" si="1"/>
        <v>14.Februar</v>
      </c>
      <c r="C18" s="117">
        <f t="shared" ca="1" si="2"/>
        <v>45702</v>
      </c>
      <c r="D18" s="117">
        <f t="shared" ca="1" si="3"/>
        <v>46067</v>
      </c>
      <c r="E18" s="114">
        <f t="shared" ca="1" si="4"/>
        <v>52</v>
      </c>
      <c r="F18" s="115">
        <f t="shared" ca="1" si="5"/>
        <v>52</v>
      </c>
      <c r="G18" s="116">
        <v>26709</v>
      </c>
      <c r="H18" s="5" t="s">
        <v>142</v>
      </c>
      <c r="I18" s="5" t="s">
        <v>174</v>
      </c>
      <c r="J18" s="5" t="s">
        <v>195</v>
      </c>
      <c r="K18" s="96" t="str">
        <f t="shared" ca="1" si="6"/>
        <v>Schon Geburtstag gehabt</v>
      </c>
    </row>
    <row r="19" spans="1:11" x14ac:dyDescent="0.35">
      <c r="A19" s="5" t="str">
        <f t="shared" si="0"/>
        <v>03_02</v>
      </c>
      <c r="B19" s="113" t="str">
        <f t="shared" si="1"/>
        <v>02.März</v>
      </c>
      <c r="C19" s="117">
        <f t="shared" ca="1" si="2"/>
        <v>45718</v>
      </c>
      <c r="D19" s="117">
        <f t="shared" ca="1" si="3"/>
        <v>46083</v>
      </c>
      <c r="E19" s="114">
        <f t="shared" ca="1" si="4"/>
        <v>66</v>
      </c>
      <c r="F19" s="115">
        <f t="shared" ca="1" si="5"/>
        <v>66</v>
      </c>
      <c r="G19" s="116">
        <v>21611</v>
      </c>
      <c r="H19" s="5" t="s">
        <v>142</v>
      </c>
      <c r="I19" s="5" t="s">
        <v>148</v>
      </c>
      <c r="J19" s="5" t="s">
        <v>144</v>
      </c>
      <c r="K19" s="96" t="str">
        <f t="shared" ca="1" si="6"/>
        <v>Schon Geburtstag gehabt</v>
      </c>
    </row>
    <row r="20" spans="1:11" x14ac:dyDescent="0.35">
      <c r="A20" s="5" t="str">
        <f t="shared" si="0"/>
        <v>03_02</v>
      </c>
      <c r="B20" s="113" t="str">
        <f t="shared" si="1"/>
        <v>02.März</v>
      </c>
      <c r="C20" s="117">
        <f t="shared" ca="1" si="2"/>
        <v>45718</v>
      </c>
      <c r="D20" s="117">
        <f t="shared" ca="1" si="3"/>
        <v>46083</v>
      </c>
      <c r="E20" s="114">
        <f t="shared" ca="1" si="4"/>
        <v>31</v>
      </c>
      <c r="F20" s="115">
        <f t="shared" ca="1" si="5"/>
        <v>31</v>
      </c>
      <c r="G20" s="116">
        <v>34395</v>
      </c>
      <c r="H20" s="5" t="s">
        <v>140</v>
      </c>
      <c r="I20" s="5" t="s">
        <v>149</v>
      </c>
      <c r="J20" s="5" t="s">
        <v>144</v>
      </c>
      <c r="K20" s="96" t="str">
        <f t="shared" ca="1" si="6"/>
        <v>Schon Geburtstag gehabt</v>
      </c>
    </row>
    <row r="21" spans="1:11" x14ac:dyDescent="0.35">
      <c r="A21" s="5" t="str">
        <f t="shared" si="0"/>
        <v>04_10</v>
      </c>
      <c r="B21" s="113" t="str">
        <f t="shared" si="1"/>
        <v>10.April</v>
      </c>
      <c r="C21" s="117">
        <f t="shared" ca="1" si="2"/>
        <v>45757</v>
      </c>
      <c r="D21" s="117">
        <f t="shared" ca="1" si="3"/>
        <v>46122</v>
      </c>
      <c r="E21" s="114">
        <f t="shared" ca="1" si="4"/>
        <v>25</v>
      </c>
      <c r="F21" s="115">
        <f t="shared" ca="1" si="5"/>
        <v>25</v>
      </c>
      <c r="G21" s="116">
        <v>36626</v>
      </c>
      <c r="H21" s="5" t="s">
        <v>142</v>
      </c>
      <c r="I21" s="5" t="s">
        <v>143</v>
      </c>
      <c r="J21" s="5" t="s">
        <v>184</v>
      </c>
      <c r="K21" s="96" t="str">
        <f t="shared" ca="1" si="6"/>
        <v>Schon Geburtstag gehabt</v>
      </c>
    </row>
    <row r="22" spans="1:11" x14ac:dyDescent="0.35">
      <c r="A22" s="5" t="str">
        <f t="shared" si="0"/>
        <v>07_12</v>
      </c>
      <c r="B22" s="113" t="str">
        <f t="shared" si="1"/>
        <v>12.Juli</v>
      </c>
      <c r="C22" s="117">
        <f t="shared" ca="1" si="2"/>
        <v>45850</v>
      </c>
      <c r="D22" s="117">
        <f t="shared" ca="1" si="3"/>
        <v>45850</v>
      </c>
      <c r="E22" s="114">
        <f t="shared" ca="1" si="4"/>
        <v>50</v>
      </c>
      <c r="F22" s="115">
        <f t="shared" ca="1" si="5"/>
        <v>51</v>
      </c>
      <c r="G22" s="116">
        <v>27222</v>
      </c>
      <c r="H22" s="5" t="s">
        <v>142</v>
      </c>
      <c r="I22" s="5" t="s">
        <v>153</v>
      </c>
      <c r="J22" s="5" t="s">
        <v>194</v>
      </c>
      <c r="K22" s="96" t="str">
        <f t="shared" ca="1" si="6"/>
        <v>Noch kein Geburtstag gehabt</v>
      </c>
    </row>
    <row r="23" spans="1:11" x14ac:dyDescent="0.35">
      <c r="A23" s="5" t="str">
        <f t="shared" si="0"/>
        <v>08_05</v>
      </c>
      <c r="B23" s="113" t="str">
        <f t="shared" si="1"/>
        <v>05.August</v>
      </c>
      <c r="C23" s="117">
        <f t="shared" ca="1" si="2"/>
        <v>45874</v>
      </c>
      <c r="D23" s="117">
        <f t="shared" ca="1" si="3"/>
        <v>45874</v>
      </c>
      <c r="E23" s="114">
        <f t="shared" ca="1" si="4"/>
        <v>64</v>
      </c>
      <c r="F23" s="115">
        <f t="shared" ca="1" si="5"/>
        <v>65</v>
      </c>
      <c r="G23" s="116">
        <v>22133</v>
      </c>
      <c r="H23" s="5" t="s">
        <v>140</v>
      </c>
      <c r="I23" s="5" t="s">
        <v>168</v>
      </c>
      <c r="J23" s="5" t="s">
        <v>192</v>
      </c>
      <c r="K23" s="96" t="str">
        <f t="shared" ca="1" si="6"/>
        <v>Noch kein Geburtstag gehabt</v>
      </c>
    </row>
    <row r="24" spans="1:11" x14ac:dyDescent="0.35">
      <c r="A24" s="5" t="str">
        <f t="shared" si="0"/>
        <v>08_12</v>
      </c>
      <c r="B24" s="113" t="str">
        <f t="shared" si="1"/>
        <v>12.August</v>
      </c>
      <c r="C24" s="117">
        <f t="shared" ca="1" si="2"/>
        <v>45881</v>
      </c>
      <c r="D24" s="117">
        <f t="shared" ca="1" si="3"/>
        <v>45881</v>
      </c>
      <c r="E24" s="114">
        <f t="shared" ca="1" si="4"/>
        <v>55</v>
      </c>
      <c r="F24" s="115">
        <f t="shared" ca="1" si="5"/>
        <v>56</v>
      </c>
      <c r="G24" s="116">
        <v>25427</v>
      </c>
      <c r="H24" s="5" t="s">
        <v>142</v>
      </c>
      <c r="I24" s="5" t="s">
        <v>172</v>
      </c>
      <c r="J24" s="5" t="s">
        <v>147</v>
      </c>
      <c r="K24" s="96" t="str">
        <f t="shared" ca="1" si="6"/>
        <v>Noch kein Geburtstag gehabt</v>
      </c>
    </row>
    <row r="25" spans="1:11" x14ac:dyDescent="0.35">
      <c r="A25" s="5" t="str">
        <f t="shared" si="0"/>
        <v>08_13</v>
      </c>
      <c r="B25" s="113" t="str">
        <f t="shared" si="1"/>
        <v>13.August</v>
      </c>
      <c r="C25" s="117">
        <f t="shared" ca="1" si="2"/>
        <v>45882</v>
      </c>
      <c r="D25" s="117">
        <f t="shared" ca="1" si="3"/>
        <v>45882</v>
      </c>
      <c r="E25" s="114">
        <f t="shared" ca="1" si="4"/>
        <v>82</v>
      </c>
      <c r="F25" s="115">
        <f t="shared" ca="1" si="5"/>
        <v>83</v>
      </c>
      <c r="G25" s="116">
        <v>15566</v>
      </c>
      <c r="H25" s="5" t="s">
        <v>142</v>
      </c>
      <c r="I25" s="5" t="s">
        <v>173</v>
      </c>
      <c r="J25" s="5" t="s">
        <v>180</v>
      </c>
      <c r="K25" s="96" t="str">
        <f t="shared" ca="1" si="6"/>
        <v>Noch kein Geburtstag gehabt</v>
      </c>
    </row>
    <row r="26" spans="1:11" x14ac:dyDescent="0.35">
      <c r="A26" s="5" t="str">
        <f t="shared" si="0"/>
        <v>09_12</v>
      </c>
      <c r="B26" s="113" t="str">
        <f t="shared" si="1"/>
        <v>12.September</v>
      </c>
      <c r="C26" s="117">
        <f t="shared" ca="1" si="2"/>
        <v>45912</v>
      </c>
      <c r="D26" s="117">
        <f t="shared" ca="1" si="3"/>
        <v>45912</v>
      </c>
      <c r="E26" s="114">
        <f t="shared" ca="1" si="4"/>
        <v>55</v>
      </c>
      <c r="F26" s="115">
        <f t="shared" ca="1" si="5"/>
        <v>56</v>
      </c>
      <c r="G26" s="116">
        <v>25458</v>
      </c>
      <c r="H26" s="5" t="s">
        <v>140</v>
      </c>
      <c r="I26" s="5" t="s">
        <v>171</v>
      </c>
      <c r="J26" s="5" t="s">
        <v>147</v>
      </c>
      <c r="K26" s="96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13" t="str">
        <f t="shared" si="1"/>
        <v>16.September</v>
      </c>
      <c r="C27" s="117">
        <f t="shared" ca="1" si="2"/>
        <v>45916</v>
      </c>
      <c r="D27" s="117">
        <f t="shared" ca="1" si="3"/>
        <v>45916</v>
      </c>
      <c r="E27" s="114">
        <f t="shared" ca="1" si="4"/>
        <v>63</v>
      </c>
      <c r="F27" s="115">
        <f t="shared" ca="1" si="5"/>
        <v>64</v>
      </c>
      <c r="G27" s="116">
        <v>22540</v>
      </c>
      <c r="H27" s="5" t="s">
        <v>140</v>
      </c>
      <c r="I27" s="5" t="s">
        <v>182</v>
      </c>
      <c r="J27" s="5" t="s">
        <v>147</v>
      </c>
      <c r="K27" s="96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13" t="str">
        <f t="shared" si="1"/>
        <v>10.Oktober</v>
      </c>
      <c r="C28" s="117">
        <f t="shared" ca="1" si="2"/>
        <v>45940</v>
      </c>
      <c r="D28" s="117">
        <f t="shared" ca="1" si="3"/>
        <v>45940</v>
      </c>
      <c r="E28" s="114">
        <f t="shared" ca="1" si="4"/>
        <v>84</v>
      </c>
      <c r="F28" s="115">
        <f t="shared" ca="1" si="5"/>
        <v>85</v>
      </c>
      <c r="G28" s="116">
        <v>14894</v>
      </c>
      <c r="H28" s="5" t="s">
        <v>142</v>
      </c>
      <c r="I28" s="5" t="s">
        <v>163</v>
      </c>
      <c r="J28" s="5" t="s">
        <v>189</v>
      </c>
      <c r="K28" s="96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13" t="str">
        <f t="shared" si="1"/>
        <v>12.Oktober</v>
      </c>
      <c r="C29" s="117">
        <f t="shared" ca="1" si="2"/>
        <v>45942</v>
      </c>
      <c r="D29" s="117">
        <f t="shared" ca="1" si="3"/>
        <v>45942</v>
      </c>
      <c r="E29" s="114">
        <f t="shared" ca="1" si="4"/>
        <v>82</v>
      </c>
      <c r="F29" s="115">
        <f t="shared" ca="1" si="5"/>
        <v>83</v>
      </c>
      <c r="G29" s="116">
        <v>15626</v>
      </c>
      <c r="H29" s="5" t="s">
        <v>142</v>
      </c>
      <c r="I29" s="5" t="s">
        <v>164</v>
      </c>
      <c r="J29" s="5" t="s">
        <v>180</v>
      </c>
      <c r="K29" s="96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13" t="str">
        <f t="shared" si="1"/>
        <v>14.Oktober</v>
      </c>
      <c r="C30" s="117">
        <f t="shared" ca="1" si="2"/>
        <v>45944</v>
      </c>
      <c r="D30" s="117">
        <f t="shared" ca="1" si="3"/>
        <v>45944</v>
      </c>
      <c r="E30" s="114">
        <f t="shared" ca="1" si="4"/>
        <v>40</v>
      </c>
      <c r="F30" s="115">
        <f t="shared" ca="1" si="5"/>
        <v>41</v>
      </c>
      <c r="G30" s="116">
        <v>30969</v>
      </c>
      <c r="H30" s="5" t="s">
        <v>140</v>
      </c>
      <c r="I30" s="5" t="s">
        <v>177</v>
      </c>
      <c r="J30" s="5" t="s">
        <v>147</v>
      </c>
      <c r="K30" s="96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13" t="str">
        <f t="shared" si="1"/>
        <v>15.Oktober</v>
      </c>
      <c r="C31" s="117">
        <f t="shared" ca="1" si="2"/>
        <v>45945</v>
      </c>
      <c r="D31" s="117">
        <f t="shared" ca="1" si="3"/>
        <v>45945</v>
      </c>
      <c r="E31" s="114">
        <f t="shared" ca="1" si="4"/>
        <v>63</v>
      </c>
      <c r="F31" s="115">
        <f t="shared" ca="1" si="5"/>
        <v>64</v>
      </c>
      <c r="G31" s="116">
        <v>22569</v>
      </c>
      <c r="H31" s="5" t="s">
        <v>142</v>
      </c>
      <c r="I31" s="5" t="s">
        <v>181</v>
      </c>
      <c r="J31" s="5" t="s">
        <v>197</v>
      </c>
      <c r="K31" s="96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13" t="str">
        <f t="shared" si="1"/>
        <v>10.November</v>
      </c>
      <c r="C32" s="117">
        <f t="shared" ca="1" si="2"/>
        <v>45971</v>
      </c>
      <c r="D32" s="117">
        <f t="shared" ca="1" si="3"/>
        <v>45971</v>
      </c>
      <c r="E32" s="114">
        <f t="shared" ca="1" si="4"/>
        <v>83</v>
      </c>
      <c r="F32" s="115">
        <f t="shared" ca="1" si="5"/>
        <v>84</v>
      </c>
      <c r="G32" s="116">
        <v>15290</v>
      </c>
      <c r="H32" s="5" t="s">
        <v>142</v>
      </c>
      <c r="I32" s="5" t="s">
        <v>164</v>
      </c>
      <c r="J32" s="5" t="s">
        <v>190</v>
      </c>
      <c r="K32" s="96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13" t="str">
        <f t="shared" si="1"/>
        <v>10.Dezember</v>
      </c>
      <c r="C33" s="117">
        <f t="shared" ca="1" si="2"/>
        <v>46001</v>
      </c>
      <c r="D33" s="117">
        <f t="shared" ca="1" si="3"/>
        <v>46001</v>
      </c>
      <c r="E33" s="114">
        <f t="shared" ca="1" si="4"/>
        <v>56</v>
      </c>
      <c r="F33" s="115">
        <f t="shared" ca="1" si="5"/>
        <v>57</v>
      </c>
      <c r="G33" s="116">
        <v>25182</v>
      </c>
      <c r="H33" s="5" t="s">
        <v>142</v>
      </c>
      <c r="I33" s="5" t="s">
        <v>165</v>
      </c>
      <c r="J33" s="5" t="s">
        <v>144</v>
      </c>
      <c r="K33" s="96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13" t="str">
        <f t="shared" si="1"/>
        <v>16.Dezember</v>
      </c>
      <c r="C34" s="117">
        <f t="shared" ca="1" si="2"/>
        <v>46007</v>
      </c>
      <c r="D34" s="117">
        <f t="shared" ca="1" si="3"/>
        <v>46007</v>
      </c>
      <c r="E34" s="114">
        <f t="shared" ca="1" si="4"/>
        <v>30</v>
      </c>
      <c r="F34" s="115">
        <f t="shared" ca="1" si="5"/>
        <v>31</v>
      </c>
      <c r="G34" s="116">
        <v>34684</v>
      </c>
      <c r="H34" s="5" t="s">
        <v>142</v>
      </c>
      <c r="I34" s="5" t="s">
        <v>183</v>
      </c>
      <c r="J34" s="5" t="s">
        <v>144</v>
      </c>
      <c r="K34" s="96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 t="shared" ref="K8:K11" si="0"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 t="shared" si="0"/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 t="shared" si="0"/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>E19*C19/360</f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>E20*C20/360</f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>E21*C21/360</f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 t="shared" ref="E22:E25" si="1">B22^2*PI()</f>
        <v>314.15926535897933</v>
      </c>
      <c r="F22" s="93">
        <f t="shared" ref="F22:F25" si="2">2*B22*PI()</f>
        <v>62.831853071795862</v>
      </c>
      <c r="G22" s="93">
        <f t="shared" ref="G22:G23" si="3">E22*C22/360</f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 t="shared" si="1"/>
        <v>314.15926535897933</v>
      </c>
      <c r="F23" s="93">
        <f t="shared" si="2"/>
        <v>62.831853071795862</v>
      </c>
      <c r="G23" s="93">
        <f t="shared" si="3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 t="shared" si="1"/>
        <v>314.15926535897933</v>
      </c>
      <c r="F24" s="93">
        <f t="shared" si="2"/>
        <v>62.831853071795862</v>
      </c>
      <c r="G24" s="94">
        <v>157.07963267500003</v>
      </c>
      <c r="H24" s="93">
        <f t="shared" ref="H24:H25" si="4"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 t="shared" si="1"/>
        <v>314.15926535897933</v>
      </c>
      <c r="F25" s="93">
        <f t="shared" si="2"/>
        <v>62.831853071795862</v>
      </c>
      <c r="G25" s="94">
        <v>157.07963267500003</v>
      </c>
      <c r="H25" s="93">
        <f t="shared" si="4"/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TOC</vt:lpstr>
      <vt:lpstr>Sinus_Cosinus</vt:lpstr>
      <vt:lpstr>Schiefeebene</vt:lpstr>
      <vt:lpstr>Schiefe-Ebene (alt)</vt:lpstr>
      <vt:lpstr>Vektoren</vt:lpstr>
      <vt:lpstr>Vektor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Fourierreihe (neu)</vt:lpstr>
      <vt:lpstr>Scheinleistung</vt:lpstr>
      <vt:lpstr>Gemischte Schaltung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2025-06-06T09:14:30Z</cp:lastPrinted>
  <dcterms:created xsi:type="dcterms:W3CDTF">2015-06-05T18:19:34Z</dcterms:created>
  <dcterms:modified xsi:type="dcterms:W3CDTF">2025-06-06T11:19:12Z</dcterms:modified>
</cp:coreProperties>
</file>