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ink/ink76.xml" ContentType="application/inkml+xml"/>
  <Override PartName="/xl/ink/ink77.xml" ContentType="application/inkml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8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6.xml" ContentType="application/vnd.openxmlformats-officedocument.drawing+xml"/>
  <Override PartName="/xl/comments1.xml" ContentType="application/vnd.openxmlformats-officedocument.spreadsheetml.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2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3.xml" ContentType="application/vnd.openxmlformats-officedocument.drawing+xml"/>
  <Override PartName="/xl/comments2.xml" ContentType="application/vnd.openxmlformats-officedocument.spreadsheetml.comments+xml"/>
  <Override PartName="/xl/drawings/drawing24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5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6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7.xml" ContentType="application/vnd.openxmlformats-officedocument.drawing+xml"/>
  <Override PartName="/xl/comments3.xml" ContentType="application/vnd.openxmlformats-officedocument.spreadsheetml.comments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D0EF4D11-24FE-41FB-93F6-3D652A8C2749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TOC" sheetId="13" r:id="rId1"/>
    <sheet name="Belasteter Spannungsteiler" sheetId="40" r:id="rId2"/>
    <sheet name="Magnetismus" sheetId="38" r:id="rId3"/>
    <sheet name="Einheitenvorsätze" sheetId="32" r:id="rId4"/>
    <sheet name="Edizio_Bestellungen" sheetId="37" r:id="rId5"/>
    <sheet name="Elektronische Schaltzeichen" sheetId="30" r:id="rId6"/>
    <sheet name="LCR-Glieder" sheetId="35" r:id="rId7"/>
    <sheet name="Kondensator an Gleichspannung" sheetId="36" r:id="rId8"/>
    <sheet name="Quelle mit Innenwiderstand" sheetId="29" r:id="rId9"/>
    <sheet name="Leistung bei Wechselstrom" sheetId="28" r:id="rId10"/>
    <sheet name="Schiefeebene" sheetId="19" r:id="rId11"/>
    <sheet name="Schiefe-Ebene (alt)" sheetId="20" r:id="rId12"/>
    <sheet name="Sinus_Cosinus" sheetId="22" r:id="rId13"/>
    <sheet name="Sinuskurve" sheetId="39" r:id="rId14"/>
    <sheet name="Vektoroperationen" sheetId="18" r:id="rId15"/>
    <sheet name="VektorZeitbereich" sheetId="24" r:id="rId16"/>
    <sheet name="Geburtstagsliste" sheetId="17" r:id="rId17"/>
    <sheet name="Einheiten umrechnen" sheetId="16" r:id="rId18"/>
    <sheet name="Flächenberechnungen" sheetId="14" r:id="rId19"/>
    <sheet name="Kinematik_1" sheetId="4" r:id="rId20"/>
    <sheet name="Kinematik_1 (Weg-Zeit)" sheetId="33" r:id="rId21"/>
    <sheet name="Kinematik_2" sheetId="9" r:id="rId22"/>
    <sheet name="Kinematik_2_Berechnungen" sheetId="11" r:id="rId23"/>
    <sheet name="Kinematik_2 (Weg-Zeit)" sheetId="34" r:id="rId24"/>
    <sheet name="Fourierreihe" sheetId="12" r:id="rId25"/>
    <sheet name="Scheinleistung" sheetId="15" r:id="rId26"/>
    <sheet name="3-Phasenstrom" sheetId="25" r:id="rId27"/>
    <sheet name="Gemischte Schaltung" sheetId="23" r:id="rId28"/>
    <sheet name="Theoreme" sheetId="26" r:id="rId29"/>
    <sheet name="Fläche eines Polygones" sheetId="27" r:id="rId30"/>
  </sheets>
  <definedNames>
    <definedName name="_xlnm._FilterDatabase" localSheetId="16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2" i="40" l="1"/>
  <c r="Q12" i="40"/>
  <c r="Q13" i="40" s="1"/>
  <c r="W13" i="40"/>
  <c r="B42" i="40"/>
  <c r="B41" i="40"/>
  <c r="D31" i="40"/>
  <c r="D30" i="40"/>
  <c r="D29" i="40"/>
  <c r="D28" i="40"/>
  <c r="V7" i="40"/>
  <c r="P7" i="40"/>
  <c r="V8" i="40"/>
  <c r="W8" i="40"/>
  <c r="E32" i="40" s="1"/>
  <c r="E33" i="40" s="1"/>
  <c r="E34" i="40" s="1"/>
  <c r="E35" i="40" s="1"/>
  <c r="W7" i="40"/>
  <c r="Q7" i="40"/>
  <c r="Q11" i="40" s="1"/>
  <c r="U8" i="40"/>
  <c r="U7" i="40"/>
  <c r="F26" i="40"/>
  <c r="E27" i="40" s="1"/>
  <c r="I17" i="32"/>
  <c r="N14" i="40"/>
  <c r="P10" i="40"/>
  <c r="Q10" i="40"/>
  <c r="G7" i="35"/>
  <c r="P8" i="40"/>
  <c r="Q8" i="40"/>
  <c r="P9" i="40"/>
  <c r="Q9" i="40"/>
  <c r="H7" i="35"/>
  <c r="O8" i="40"/>
  <c r="O9" i="40"/>
  <c r="O7" i="40"/>
  <c r="F7" i="35"/>
  <c r="J26" i="39"/>
  <c r="J25" i="39"/>
  <c r="J24" i="39"/>
  <c r="J23" i="39"/>
  <c r="G14" i="39"/>
  <c r="H25" i="39"/>
  <c r="H32" i="39"/>
  <c r="H29" i="39"/>
  <c r="H23" i="39"/>
  <c r="H13" i="39"/>
  <c r="F29" i="39"/>
  <c r="E29" i="39"/>
  <c r="D23" i="39"/>
  <c r="E14" i="39"/>
  <c r="F14" i="39" s="1"/>
  <c r="E23" i="39" s="1"/>
  <c r="F23" i="39" s="1"/>
  <c r="E13" i="39"/>
  <c r="F13" i="39" s="1"/>
  <c r="C12" i="39"/>
  <c r="H12" i="39"/>
  <c r="M11" i="39"/>
  <c r="J11" i="39"/>
  <c r="E26" i="39" s="1"/>
  <c r="C7" i="13"/>
  <c r="E18" i="13"/>
  <c r="E17" i="13"/>
  <c r="E16" i="13"/>
  <c r="E15" i="13"/>
  <c r="E11" i="13"/>
  <c r="E10" i="13"/>
  <c r="E9" i="13"/>
  <c r="E8" i="13"/>
  <c r="E7" i="13"/>
  <c r="E6" i="13"/>
  <c r="E5" i="13"/>
  <c r="C23" i="13"/>
  <c r="C19" i="13"/>
  <c r="C18" i="13"/>
  <c r="C6" i="13"/>
  <c r="C12" i="13"/>
  <c r="C10" i="13"/>
  <c r="C8" i="13"/>
  <c r="C11" i="13"/>
  <c r="K9" i="39"/>
  <c r="L9" i="39" s="1"/>
  <c r="M9" i="39" s="1"/>
  <c r="H10" i="39"/>
  <c r="H9" i="39"/>
  <c r="J10" i="39"/>
  <c r="J12" i="39" s="1"/>
  <c r="D12" i="35"/>
  <c r="D15" i="35" s="1"/>
  <c r="C11" i="36"/>
  <c r="K20" i="36"/>
  <c r="K19" i="36"/>
  <c r="Y32" i="36"/>
  <c r="P45" i="36"/>
  <c r="O45" i="36"/>
  <c r="D30" i="36"/>
  <c r="B32" i="36" s="1"/>
  <c r="Z32" i="36"/>
  <c r="Y31" i="36"/>
  <c r="D32" i="36"/>
  <c r="C13" i="36"/>
  <c r="G13" i="36"/>
  <c r="I13" i="36"/>
  <c r="C12" i="36"/>
  <c r="I12" i="36" s="1"/>
  <c r="O13" i="36"/>
  <c r="O12" i="36"/>
  <c r="O9" i="36"/>
  <c r="O11" i="36"/>
  <c r="S18" i="36"/>
  <c r="S19" i="36"/>
  <c r="S20" i="36"/>
  <c r="S21" i="36"/>
  <c r="S22" i="36"/>
  <c r="S23" i="36"/>
  <c r="S17" i="36"/>
  <c r="I11" i="36"/>
  <c r="R16" i="36"/>
  <c r="O44" i="36"/>
  <c r="P43" i="36"/>
  <c r="P44" i="36" s="1"/>
  <c r="G12" i="36"/>
  <c r="J9" i="36"/>
  <c r="H8" i="36"/>
  <c r="G11" i="36"/>
  <c r="G10" i="35"/>
  <c r="K9" i="36"/>
  <c r="I9" i="36"/>
  <c r="H9" i="36"/>
  <c r="G9" i="36"/>
  <c r="C31" i="36" s="1"/>
  <c r="K6" i="36"/>
  <c r="J6" i="36"/>
  <c r="I6" i="36"/>
  <c r="H6" i="36"/>
  <c r="J41" i="36" s="1"/>
  <c r="I45" i="36" s="1"/>
  <c r="J45" i="36" s="1"/>
  <c r="G6" i="36"/>
  <c r="F7" i="36"/>
  <c r="K7" i="36" s="1"/>
  <c r="K8" i="36"/>
  <c r="J8" i="36"/>
  <c r="M8" i="36" s="1"/>
  <c r="I8" i="36"/>
  <c r="G8" i="36"/>
  <c r="I7" i="36"/>
  <c r="H7" i="36"/>
  <c r="G7" i="36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E54" i="35"/>
  <c r="D15" i="33"/>
  <c r="D13" i="33"/>
  <c r="D14" i="33"/>
  <c r="D12" i="33"/>
  <c r="I21" i="35"/>
  <c r="G21" i="35"/>
  <c r="I20" i="35"/>
  <c r="G20" i="35"/>
  <c r="I19" i="35"/>
  <c r="G19" i="35"/>
  <c r="I16" i="35"/>
  <c r="G16" i="35"/>
  <c r="I15" i="35"/>
  <c r="G15" i="35"/>
  <c r="G12" i="35"/>
  <c r="G8" i="35"/>
  <c r="G9" i="35"/>
  <c r="I19" i="32"/>
  <c r="H19" i="32"/>
  <c r="I12" i="35"/>
  <c r="K8" i="35"/>
  <c r="K9" i="35"/>
  <c r="K10" i="35"/>
  <c r="L10" i="35" s="1"/>
  <c r="X50" i="35" s="1"/>
  <c r="I8" i="35"/>
  <c r="I9" i="35"/>
  <c r="I10" i="35"/>
  <c r="I7" i="35"/>
  <c r="J8" i="35"/>
  <c r="J9" i="35"/>
  <c r="J10" i="35"/>
  <c r="O12" i="32"/>
  <c r="K7" i="35"/>
  <c r="H8" i="35"/>
  <c r="H9" i="35"/>
  <c r="H10" i="35"/>
  <c r="L12" i="32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45" i="34"/>
  <c r="J45" i="34" s="1"/>
  <c r="I48" i="34" s="1"/>
  <c r="J48" i="34" s="1"/>
  <c r="C23" i="34"/>
  <c r="G18" i="34"/>
  <c r="H11" i="34"/>
  <c r="I11" i="34" s="1"/>
  <c r="J11" i="34" s="1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L94" i="22"/>
  <c r="L95" i="22"/>
  <c r="L96" i="22"/>
  <c r="L93" i="22"/>
  <c r="H132" i="22"/>
  <c r="H128" i="22"/>
  <c r="H127" i="22"/>
  <c r="H126" i="22"/>
  <c r="J131" i="22"/>
  <c r="G130" i="22"/>
  <c r="G128" i="22"/>
  <c r="G129" i="22" s="1"/>
  <c r="G127" i="22"/>
  <c r="G126" i="22"/>
  <c r="J111" i="22"/>
  <c r="H118" i="22"/>
  <c r="J112" i="22"/>
  <c r="K112" i="22"/>
  <c r="L112" i="22"/>
  <c r="J113" i="22"/>
  <c r="K113" i="22"/>
  <c r="L113" i="22"/>
  <c r="F117" i="22" s="1"/>
  <c r="L111" i="22"/>
  <c r="I18" i="32"/>
  <c r="I16" i="32"/>
  <c r="K111" i="22"/>
  <c r="M12" i="32"/>
  <c r="G104" i="22"/>
  <c r="H104" i="22" s="1"/>
  <c r="H106" i="22"/>
  <c r="I106" i="22"/>
  <c r="H102" i="22"/>
  <c r="I102" i="22"/>
  <c r="H105" i="22"/>
  <c r="I105" i="22"/>
  <c r="I103" i="22"/>
  <c r="H103" i="22"/>
  <c r="I101" i="22"/>
  <c r="H101" i="22"/>
  <c r="H93" i="22"/>
  <c r="K93" i="22" s="1"/>
  <c r="AJ32" i="40" l="1"/>
  <c r="AJ33" i="40" s="1"/>
  <c r="AJ34" i="40" s="1"/>
  <c r="AJ35" i="40" s="1"/>
  <c r="AB32" i="40"/>
  <c r="AB33" i="40" s="1"/>
  <c r="AB34" i="40" s="1"/>
  <c r="AB35" i="40" s="1"/>
  <c r="T32" i="40"/>
  <c r="T33" i="40" s="1"/>
  <c r="T34" i="40" s="1"/>
  <c r="T35" i="40" s="1"/>
  <c r="L32" i="40"/>
  <c r="L33" i="40" s="1"/>
  <c r="L34" i="40" s="1"/>
  <c r="L35" i="40" s="1"/>
  <c r="AI32" i="40"/>
  <c r="AI33" i="40" s="1"/>
  <c r="AI34" i="40" s="1"/>
  <c r="AI35" i="40" s="1"/>
  <c r="AA32" i="40"/>
  <c r="AA33" i="40" s="1"/>
  <c r="AA34" i="40" s="1"/>
  <c r="AA35" i="40" s="1"/>
  <c r="S32" i="40"/>
  <c r="S33" i="40" s="1"/>
  <c r="S34" i="40" s="1"/>
  <c r="S35" i="40" s="1"/>
  <c r="K32" i="40"/>
  <c r="K33" i="40" s="1"/>
  <c r="K34" i="40" s="1"/>
  <c r="K35" i="40" s="1"/>
  <c r="J32" i="40"/>
  <c r="J33" i="40" s="1"/>
  <c r="J34" i="40" s="1"/>
  <c r="J35" i="40" s="1"/>
  <c r="D32" i="40"/>
  <c r="D33" i="40" s="1"/>
  <c r="D34" i="40" s="1"/>
  <c r="D35" i="40" s="1"/>
  <c r="AG32" i="40"/>
  <c r="AG33" i="40" s="1"/>
  <c r="AG34" i="40" s="1"/>
  <c r="AG35" i="40" s="1"/>
  <c r="Y32" i="40"/>
  <c r="Y33" i="40" s="1"/>
  <c r="Y34" i="40" s="1"/>
  <c r="Y35" i="40" s="1"/>
  <c r="Q32" i="40"/>
  <c r="Q33" i="40" s="1"/>
  <c r="Q34" i="40" s="1"/>
  <c r="Q35" i="40" s="1"/>
  <c r="I32" i="40"/>
  <c r="I33" i="40" s="1"/>
  <c r="I34" i="40" s="1"/>
  <c r="I35" i="40" s="1"/>
  <c r="AH32" i="40"/>
  <c r="AH33" i="40" s="1"/>
  <c r="AH34" i="40" s="1"/>
  <c r="AH35" i="40" s="1"/>
  <c r="Z32" i="40"/>
  <c r="Z33" i="40" s="1"/>
  <c r="Z34" i="40" s="1"/>
  <c r="Z35" i="40" s="1"/>
  <c r="AF32" i="40"/>
  <c r="AF33" i="40" s="1"/>
  <c r="AF34" i="40" s="1"/>
  <c r="AF35" i="40" s="1"/>
  <c r="X32" i="40"/>
  <c r="X33" i="40" s="1"/>
  <c r="X34" i="40" s="1"/>
  <c r="X35" i="40" s="1"/>
  <c r="P32" i="40"/>
  <c r="P33" i="40" s="1"/>
  <c r="P34" i="40" s="1"/>
  <c r="P35" i="40" s="1"/>
  <c r="H32" i="40"/>
  <c r="H33" i="40" s="1"/>
  <c r="H34" i="40" s="1"/>
  <c r="H35" i="40" s="1"/>
  <c r="R32" i="40"/>
  <c r="R33" i="40" s="1"/>
  <c r="R34" i="40" s="1"/>
  <c r="R35" i="40" s="1"/>
  <c r="W11" i="40"/>
  <c r="AM32" i="40"/>
  <c r="AM33" i="40" s="1"/>
  <c r="AM34" i="40" s="1"/>
  <c r="AM35" i="40" s="1"/>
  <c r="AE32" i="40"/>
  <c r="AE33" i="40" s="1"/>
  <c r="AE34" i="40" s="1"/>
  <c r="AE35" i="40" s="1"/>
  <c r="W32" i="40"/>
  <c r="W33" i="40" s="1"/>
  <c r="W34" i="40" s="1"/>
  <c r="W35" i="40" s="1"/>
  <c r="O32" i="40"/>
  <c r="O33" i="40" s="1"/>
  <c r="O34" i="40" s="1"/>
  <c r="O35" i="40" s="1"/>
  <c r="G32" i="40"/>
  <c r="G33" i="40" s="1"/>
  <c r="G34" i="40" s="1"/>
  <c r="G35" i="40" s="1"/>
  <c r="AL32" i="40"/>
  <c r="AL33" i="40" s="1"/>
  <c r="AL34" i="40" s="1"/>
  <c r="AL35" i="40" s="1"/>
  <c r="AD32" i="40"/>
  <c r="AD33" i="40" s="1"/>
  <c r="AD34" i="40" s="1"/>
  <c r="AD35" i="40" s="1"/>
  <c r="V32" i="40"/>
  <c r="V33" i="40" s="1"/>
  <c r="V34" i="40" s="1"/>
  <c r="V35" i="40" s="1"/>
  <c r="N32" i="40"/>
  <c r="N33" i="40" s="1"/>
  <c r="N34" i="40" s="1"/>
  <c r="N35" i="40" s="1"/>
  <c r="F32" i="40"/>
  <c r="F33" i="40" s="1"/>
  <c r="F34" i="40" s="1"/>
  <c r="F35" i="40" s="1"/>
  <c r="AK32" i="40"/>
  <c r="AK33" i="40" s="1"/>
  <c r="AK34" i="40" s="1"/>
  <c r="AK35" i="40" s="1"/>
  <c r="AC32" i="40"/>
  <c r="AC33" i="40" s="1"/>
  <c r="AC34" i="40" s="1"/>
  <c r="AC35" i="40" s="1"/>
  <c r="U32" i="40"/>
  <c r="U33" i="40" s="1"/>
  <c r="U34" i="40" s="1"/>
  <c r="U35" i="40" s="1"/>
  <c r="M32" i="40"/>
  <c r="M33" i="40" s="1"/>
  <c r="M34" i="40" s="1"/>
  <c r="M35" i="40" s="1"/>
  <c r="E28" i="40"/>
  <c r="E29" i="40" s="1"/>
  <c r="E30" i="40" s="1"/>
  <c r="E31" i="40" s="1"/>
  <c r="M14" i="40"/>
  <c r="M15" i="40" s="1"/>
  <c r="M16" i="40" s="1"/>
  <c r="M17" i="40" s="1"/>
  <c r="F27" i="40"/>
  <c r="J13" i="39"/>
  <c r="G15" i="39"/>
  <c r="K11" i="39"/>
  <c r="L11" i="39"/>
  <c r="N9" i="39"/>
  <c r="K10" i="39"/>
  <c r="L10" i="39"/>
  <c r="L12" i="39" s="1"/>
  <c r="M10" i="39"/>
  <c r="M12" i="39" s="1"/>
  <c r="D11" i="36"/>
  <c r="C34" i="36"/>
  <c r="C33" i="36"/>
  <c r="I74" i="36"/>
  <c r="H78" i="36" s="1"/>
  <c r="I78" i="36" s="1"/>
  <c r="L8" i="36"/>
  <c r="I20" i="36" s="1"/>
  <c r="N11" i="36"/>
  <c r="J11" i="36"/>
  <c r="Q43" i="36"/>
  <c r="Q45" i="36" s="1"/>
  <c r="L6" i="36"/>
  <c r="M6" i="36"/>
  <c r="M9" i="36"/>
  <c r="L9" i="36"/>
  <c r="L7" i="36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X27" i="35"/>
  <c r="X9" i="35"/>
  <c r="AB7" i="35"/>
  <c r="AE7" i="35" s="1"/>
  <c r="AE11" i="35" s="1"/>
  <c r="AB25" i="35"/>
  <c r="AB45" i="35"/>
  <c r="G14" i="33"/>
  <c r="J7" i="35"/>
  <c r="M7" i="35" s="1"/>
  <c r="L9" i="35"/>
  <c r="F15" i="35"/>
  <c r="F21" i="35" s="1"/>
  <c r="F16" i="35"/>
  <c r="M9" i="35"/>
  <c r="M8" i="35"/>
  <c r="J12" i="35"/>
  <c r="M12" i="35" s="1"/>
  <c r="M10" i="35"/>
  <c r="K12" i="35"/>
  <c r="L12" i="35" s="1"/>
  <c r="Z7" i="35" s="1"/>
  <c r="L8" i="35"/>
  <c r="L7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J93" i="22"/>
  <c r="G132" i="22"/>
  <c r="G131" i="22"/>
  <c r="F116" i="22"/>
  <c r="F118" i="22"/>
  <c r="G116" i="22"/>
  <c r="G117" i="22"/>
  <c r="G118" i="22"/>
  <c r="I104" i="22"/>
  <c r="H96" i="22"/>
  <c r="H95" i="22"/>
  <c r="H94" i="22"/>
  <c r="I94" i="22" s="1"/>
  <c r="F17" i="28"/>
  <c r="G12" i="22"/>
  <c r="BC13" i="22"/>
  <c r="BC12" i="22"/>
  <c r="BD13" i="22"/>
  <c r="BD12" i="22"/>
  <c r="G13" i="22"/>
  <c r="BC3" i="22"/>
  <c r="BD3" i="22" s="1"/>
  <c r="BA11" i="22"/>
  <c r="AZ11" i="22"/>
  <c r="AZ12" i="22" s="1"/>
  <c r="H11" i="22"/>
  <c r="H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N22" i="24"/>
  <c r="N23" i="24" s="1"/>
  <c r="M22" i="24"/>
  <c r="M23" i="24" s="1"/>
  <c r="N21" i="24"/>
  <c r="O21" i="24" s="1"/>
  <c r="G17" i="24"/>
  <c r="G18" i="24" s="1"/>
  <c r="E17" i="24"/>
  <c r="E18" i="24" s="1"/>
  <c r="O16" i="24"/>
  <c r="M16" i="24"/>
  <c r="G16" i="24"/>
  <c r="F16" i="24"/>
  <c r="E16" i="24"/>
  <c r="C16" i="24"/>
  <c r="G15" i="24"/>
  <c r="F15" i="24"/>
  <c r="I15" i="24" s="1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V17" i="18" s="1"/>
  <c r="O17" i="18"/>
  <c r="N17" i="18"/>
  <c r="M17" i="18"/>
  <c r="L17" i="18"/>
  <c r="K17" i="18"/>
  <c r="J17" i="18"/>
  <c r="I17" i="18"/>
  <c r="W16" i="18"/>
  <c r="S16" i="18"/>
  <c r="R16" i="18"/>
  <c r="Q16" i="18"/>
  <c r="P16" i="18"/>
  <c r="V16" i="18" s="1"/>
  <c r="O16" i="18"/>
  <c r="N16" i="18"/>
  <c r="M16" i="18"/>
  <c r="L16" i="18"/>
  <c r="K16" i="18"/>
  <c r="J16" i="18"/>
  <c r="I16" i="18"/>
  <c r="S15" i="18"/>
  <c r="R15" i="18"/>
  <c r="Q15" i="18"/>
  <c r="P15" i="18"/>
  <c r="V15" i="18" s="1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I10" i="22"/>
  <c r="I11" i="22" s="1"/>
  <c r="I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G27" i="40" l="1"/>
  <c r="F28" i="40"/>
  <c r="F29" i="40" s="1"/>
  <c r="F30" i="40" s="1"/>
  <c r="F31" i="40" s="1"/>
  <c r="K12" i="39"/>
  <c r="K13" i="39"/>
  <c r="M13" i="39"/>
  <c r="L13" i="39"/>
  <c r="E24" i="39"/>
  <c r="F24" i="39"/>
  <c r="O9" i="39"/>
  <c r="O11" i="39" s="1"/>
  <c r="N11" i="39"/>
  <c r="N10" i="39"/>
  <c r="N13" i="39" s="1"/>
  <c r="O15" i="24"/>
  <c r="I17" i="24"/>
  <c r="O17" i="24" s="1"/>
  <c r="P21" i="24"/>
  <c r="O22" i="24"/>
  <c r="O23" i="24" s="1"/>
  <c r="F18" i="24"/>
  <c r="H15" i="24"/>
  <c r="D16" i="24"/>
  <c r="D18" i="24" s="1"/>
  <c r="N24" i="24"/>
  <c r="N25" i="24" s="1"/>
  <c r="C18" i="24"/>
  <c r="M24" i="24"/>
  <c r="M25" i="24" s="1"/>
  <c r="K11" i="36"/>
  <c r="L11" i="36" s="1"/>
  <c r="I21" i="36"/>
  <c r="I22" i="36"/>
  <c r="I19" i="36"/>
  <c r="H11" i="36"/>
  <c r="D13" i="36" s="1"/>
  <c r="R12" i="36"/>
  <c r="E32" i="36"/>
  <c r="R43" i="36"/>
  <c r="R45" i="36" s="1"/>
  <c r="Q44" i="36"/>
  <c r="M11" i="36"/>
  <c r="D16" i="35"/>
  <c r="H16" i="35" s="1"/>
  <c r="AB26" i="35" s="1"/>
  <c r="AH26" i="35" s="1"/>
  <c r="AH29" i="35" s="1"/>
  <c r="H12" i="35"/>
  <c r="G19" i="9"/>
  <c r="AE45" i="35"/>
  <c r="AE51" i="35" s="1"/>
  <c r="Z47" i="35"/>
  <c r="Z25" i="35"/>
  <c r="X26" i="35"/>
  <c r="X48" i="35"/>
  <c r="X47" i="35"/>
  <c r="X7" i="35"/>
  <c r="X25" i="35"/>
  <c r="AE25" i="35"/>
  <c r="AE29" i="35" s="1"/>
  <c r="X8" i="35"/>
  <c r="X49" i="35"/>
  <c r="W15" i="18"/>
  <c r="F20" i="35"/>
  <c r="F19" i="35"/>
  <c r="K15" i="35"/>
  <c r="L15" i="35" s="1"/>
  <c r="J15" i="35"/>
  <c r="M15" i="35" s="1"/>
  <c r="H15" i="35"/>
  <c r="J46" i="34"/>
  <c r="L11" i="34"/>
  <c r="K18" i="34"/>
  <c r="K18" i="4"/>
  <c r="I43" i="33"/>
  <c r="I40" i="33"/>
  <c r="J11" i="33"/>
  <c r="I12" i="33"/>
  <c r="I14" i="33"/>
  <c r="K94" i="22"/>
  <c r="J94" i="22"/>
  <c r="K95" i="22"/>
  <c r="J95" i="22"/>
  <c r="I96" i="22"/>
  <c r="K96" i="22"/>
  <c r="J96" i="22"/>
  <c r="H13" i="22"/>
  <c r="I13" i="22"/>
  <c r="I12" i="22"/>
  <c r="H12" i="22"/>
  <c r="I95" i="22"/>
  <c r="I93" i="22"/>
  <c r="Z5" i="28"/>
  <c r="AA5" i="28"/>
  <c r="E8" i="4"/>
  <c r="M17" i="4"/>
  <c r="L18" i="4"/>
  <c r="D8" i="4"/>
  <c r="C8" i="4"/>
  <c r="I17" i="22"/>
  <c r="AZ13" i="22"/>
  <c r="AZ16" i="22" s="1"/>
  <c r="H62" i="22"/>
  <c r="I62" i="22"/>
  <c r="BF13" i="22"/>
  <c r="BM16" i="22" s="1"/>
  <c r="BE13" i="22"/>
  <c r="BK16" i="22" s="1"/>
  <c r="BE12" i="22"/>
  <c r="BF12" i="22"/>
  <c r="BQ16" i="22" s="1"/>
  <c r="J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H27" i="40" l="1"/>
  <c r="G28" i="40"/>
  <c r="G29" i="40" s="1"/>
  <c r="G30" i="40" s="1"/>
  <c r="G31" i="40" s="1"/>
  <c r="O10" i="39"/>
  <c r="O13" i="39" s="1"/>
  <c r="P9" i="39"/>
  <c r="P11" i="39" s="1"/>
  <c r="O12" i="39"/>
  <c r="N12" i="39"/>
  <c r="Q9" i="39"/>
  <c r="Q11" i="39" s="1"/>
  <c r="P10" i="39"/>
  <c r="P13" i="39" s="1"/>
  <c r="M15" i="24"/>
  <c r="H17" i="24"/>
  <c r="Q21" i="24"/>
  <c r="P22" i="24"/>
  <c r="O24" i="24"/>
  <c r="O25" i="24" s="1"/>
  <c r="H18" i="24"/>
  <c r="I18" i="24"/>
  <c r="H73" i="36"/>
  <c r="I73" i="36" s="1"/>
  <c r="I77" i="36" s="1"/>
  <c r="I40" i="36"/>
  <c r="J40" i="36" s="1"/>
  <c r="J44" i="36" s="1"/>
  <c r="O16" i="36"/>
  <c r="O17" i="36" s="1"/>
  <c r="O18" i="36" s="1"/>
  <c r="D12" i="36"/>
  <c r="E31" i="36"/>
  <c r="E33" i="36" s="1"/>
  <c r="E34" i="36"/>
  <c r="D31" i="36"/>
  <c r="D33" i="36" s="1"/>
  <c r="D34" i="36"/>
  <c r="S43" i="36"/>
  <c r="S45" i="36" s="1"/>
  <c r="R44" i="36"/>
  <c r="F32" i="36"/>
  <c r="B21" i="35"/>
  <c r="X51" i="35" s="1"/>
  <c r="AB47" i="35"/>
  <c r="AH47" i="35" s="1"/>
  <c r="AH54" i="35" s="1"/>
  <c r="K16" i="35"/>
  <c r="L16" i="35" s="1"/>
  <c r="Z26" i="35" s="1"/>
  <c r="D20" i="35"/>
  <c r="H20" i="35" s="1"/>
  <c r="P20" i="35"/>
  <c r="R20" i="35" s="1"/>
  <c r="T20" i="35" s="1"/>
  <c r="Z28" i="35" s="1"/>
  <c r="J16" i="35"/>
  <c r="M16" i="35" s="1"/>
  <c r="G21" i="9"/>
  <c r="G20" i="9"/>
  <c r="H19" i="9"/>
  <c r="D19" i="35"/>
  <c r="H19" i="35" s="1"/>
  <c r="AB46" i="35"/>
  <c r="AB52" i="35" s="1"/>
  <c r="AB8" i="35"/>
  <c r="AH8" i="35" s="1"/>
  <c r="AH11" i="35" s="1"/>
  <c r="Z48" i="35"/>
  <c r="AB27" i="35"/>
  <c r="AD27" i="35" s="1"/>
  <c r="AG28" i="35" s="1"/>
  <c r="Z8" i="35"/>
  <c r="Z49" i="35"/>
  <c r="P19" i="35"/>
  <c r="R19" i="35" s="1"/>
  <c r="T19" i="35" s="1"/>
  <c r="Z10" i="35" s="1"/>
  <c r="D21" i="35"/>
  <c r="L18" i="34"/>
  <c r="M11" i="34"/>
  <c r="J14" i="33"/>
  <c r="J12" i="33"/>
  <c r="K11" i="33"/>
  <c r="H16" i="22"/>
  <c r="I16" i="22"/>
  <c r="H17" i="22"/>
  <c r="N17" i="4"/>
  <c r="M18" i="4"/>
  <c r="AZ17" i="22"/>
  <c r="BC4" i="22" s="1"/>
  <c r="BH13" i="22"/>
  <c r="BJ13" i="22"/>
  <c r="BF16" i="22"/>
  <c r="BN16" i="22" s="1"/>
  <c r="BR16" i="22" s="1"/>
  <c r="BE16" i="22"/>
  <c r="BO16" i="22"/>
  <c r="BH12" i="22"/>
  <c r="BJ12" i="22"/>
  <c r="K8" i="17"/>
  <c r="J11" i="22"/>
  <c r="K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I27" i="40" l="1"/>
  <c r="H28" i="40"/>
  <c r="H29" i="40" s="1"/>
  <c r="H30" i="40" s="1"/>
  <c r="H31" i="40" s="1"/>
  <c r="P12" i="39"/>
  <c r="R9" i="39"/>
  <c r="R11" i="39" s="1"/>
  <c r="Q10" i="39"/>
  <c r="Q13" i="39" s="1"/>
  <c r="P23" i="24"/>
  <c r="P24" i="24"/>
  <c r="P25" i="24" s="1"/>
  <c r="R21" i="24"/>
  <c r="Q22" i="24"/>
  <c r="F17" i="24"/>
  <c r="D17" i="24" s="1"/>
  <c r="M17" i="24"/>
  <c r="C17" i="24"/>
  <c r="Q15" i="24"/>
  <c r="Q16" i="24" s="1"/>
  <c r="R15" i="24" s="1"/>
  <c r="H12" i="36"/>
  <c r="K12" i="36"/>
  <c r="L12" i="36" s="1"/>
  <c r="J12" i="36"/>
  <c r="M12" i="36" s="1"/>
  <c r="R9" i="36"/>
  <c r="K13" i="36"/>
  <c r="L13" i="36" s="1"/>
  <c r="J13" i="36"/>
  <c r="M13" i="36" s="1"/>
  <c r="H13" i="36"/>
  <c r="F31" i="36"/>
  <c r="F33" i="36" s="1"/>
  <c r="F34" i="36"/>
  <c r="R11" i="36"/>
  <c r="T43" i="36"/>
  <c r="T45" i="36" s="1"/>
  <c r="S44" i="36"/>
  <c r="J20" i="35"/>
  <c r="M20" i="35" s="1"/>
  <c r="K20" i="35"/>
  <c r="L20" i="35" s="1"/>
  <c r="Z27" i="35" s="1"/>
  <c r="G32" i="36"/>
  <c r="H20" i="9"/>
  <c r="H21" i="9"/>
  <c r="I19" i="9"/>
  <c r="AB9" i="35"/>
  <c r="AE9" i="35" s="1"/>
  <c r="AH10" i="35" s="1"/>
  <c r="AH46" i="35"/>
  <c r="AH48" i="35" s="1"/>
  <c r="AH51" i="35" s="1"/>
  <c r="AE27" i="35"/>
  <c r="AH28" i="35" s="1"/>
  <c r="J19" i="35"/>
  <c r="M19" i="35" s="1"/>
  <c r="K19" i="35"/>
  <c r="L19" i="35" s="1"/>
  <c r="Z9" i="35" s="1"/>
  <c r="K21" i="35"/>
  <c r="L21" i="35" s="1"/>
  <c r="Z50" i="35" s="1"/>
  <c r="J21" i="35"/>
  <c r="M21" i="35" s="1"/>
  <c r="H21" i="35"/>
  <c r="M18" i="34"/>
  <c r="N11" i="34"/>
  <c r="K14" i="33"/>
  <c r="L11" i="33"/>
  <c r="K12" i="33"/>
  <c r="J12" i="22"/>
  <c r="J13" i="22"/>
  <c r="BD4" i="22"/>
  <c r="O17" i="4"/>
  <c r="N18" i="4"/>
  <c r="BD16" i="22"/>
  <c r="BL16" i="22"/>
  <c r="BP16" i="22" s="1"/>
  <c r="BJ16" i="22"/>
  <c r="BH16" i="22"/>
  <c r="BC16" i="22"/>
  <c r="BK11" i="22" s="1" a="1"/>
  <c r="BK11" i="22" s="1"/>
  <c r="J61" i="22"/>
  <c r="J62" i="22"/>
  <c r="K11" i="22"/>
  <c r="L10" i="22"/>
  <c r="J27" i="40" l="1"/>
  <c r="I28" i="40"/>
  <c r="I29" i="40" s="1"/>
  <c r="I30" i="40" s="1"/>
  <c r="I31" i="40" s="1"/>
  <c r="Q12" i="39"/>
  <c r="R10" i="39"/>
  <c r="R13" i="39" s="1"/>
  <c r="S9" i="39"/>
  <c r="S11" i="39" s="1"/>
  <c r="Q23" i="24"/>
  <c r="Q24" i="24"/>
  <c r="S16" i="24"/>
  <c r="T15" i="24"/>
  <c r="U16" i="24" s="1"/>
  <c r="S21" i="24"/>
  <c r="R22" i="24"/>
  <c r="L20" i="36"/>
  <c r="G31" i="36"/>
  <c r="G33" i="36" s="1"/>
  <c r="G34" i="36"/>
  <c r="U43" i="36"/>
  <c r="U45" i="36" s="1"/>
  <c r="T44" i="36"/>
  <c r="J16" i="22"/>
  <c r="H32" i="36"/>
  <c r="I21" i="9"/>
  <c r="I20" i="9"/>
  <c r="J19" i="9"/>
  <c r="AD52" i="35"/>
  <c r="AG53" i="35" s="1"/>
  <c r="AE52" i="35"/>
  <c r="AH53" i="35" s="1"/>
  <c r="P21" i="35"/>
  <c r="R21" i="35" s="1"/>
  <c r="T21" i="35" s="1"/>
  <c r="Z51" i="35" s="1"/>
  <c r="AD9" i="35"/>
  <c r="AG10" i="35" s="1"/>
  <c r="N18" i="34"/>
  <c r="O11" i="34"/>
  <c r="L12" i="33"/>
  <c r="M11" i="33"/>
  <c r="L14" i="33"/>
  <c r="J17" i="22"/>
  <c r="P17" i="4"/>
  <c r="O18" i="4"/>
  <c r="BO11" i="22"/>
  <c r="BR11" i="22" s="1"/>
  <c r="BM11" i="22"/>
  <c r="BP11" i="22" s="1"/>
  <c r="K12" i="22"/>
  <c r="K13" i="22"/>
  <c r="K61" i="22"/>
  <c r="K62" i="22"/>
  <c r="L11" i="22"/>
  <c r="M10" i="22"/>
  <c r="K27" i="40" l="1"/>
  <c r="J28" i="40"/>
  <c r="J29" i="40" s="1"/>
  <c r="J30" i="40" s="1"/>
  <c r="J31" i="40" s="1"/>
  <c r="R12" i="39"/>
  <c r="S10" i="39"/>
  <c r="S13" i="39" s="1"/>
  <c r="T9" i="39"/>
  <c r="T11" i="39" s="1"/>
  <c r="Q25" i="24"/>
  <c r="R23" i="24"/>
  <c r="R24" i="24"/>
  <c r="S22" i="24"/>
  <c r="T21" i="24"/>
  <c r="H31" i="36"/>
  <c r="H33" i="36" s="1"/>
  <c r="H34" i="36"/>
  <c r="V43" i="36"/>
  <c r="V45" i="36" s="1"/>
  <c r="U44" i="36"/>
  <c r="I32" i="36"/>
  <c r="J20" i="9"/>
  <c r="J21" i="9"/>
  <c r="K19" i="9"/>
  <c r="P11" i="34"/>
  <c r="O18" i="34"/>
  <c r="M12" i="33"/>
  <c r="M14" i="33"/>
  <c r="N11" i="33"/>
  <c r="K17" i="22"/>
  <c r="P18" i="4"/>
  <c r="Q17" i="4"/>
  <c r="K16" i="22"/>
  <c r="L12" i="22"/>
  <c r="L13" i="22"/>
  <c r="L61" i="22"/>
  <c r="L62" i="22"/>
  <c r="M11" i="22"/>
  <c r="N10" i="22"/>
  <c r="L27" i="40" l="1"/>
  <c r="K28" i="40"/>
  <c r="K29" i="40" s="1"/>
  <c r="K30" i="40" s="1"/>
  <c r="K31" i="40" s="1"/>
  <c r="S12" i="39"/>
  <c r="T10" i="39"/>
  <c r="T13" i="39" s="1"/>
  <c r="U9" i="39"/>
  <c r="U11" i="39" s="1"/>
  <c r="T22" i="24"/>
  <c r="U21" i="24"/>
  <c r="S23" i="24"/>
  <c r="S24" i="24"/>
  <c r="S25" i="24" s="1"/>
  <c r="R25" i="24"/>
  <c r="I31" i="36"/>
  <c r="I33" i="36" s="1"/>
  <c r="I34" i="36"/>
  <c r="W43" i="36"/>
  <c r="W45" i="36" s="1"/>
  <c r="V44" i="36"/>
  <c r="J32" i="36"/>
  <c r="K20" i="9"/>
  <c r="K21" i="9"/>
  <c r="L19" i="9"/>
  <c r="P18" i="34"/>
  <c r="Q11" i="34"/>
  <c r="N14" i="33"/>
  <c r="O11" i="33"/>
  <c r="N12" i="33"/>
  <c r="L17" i="22"/>
  <c r="R17" i="4"/>
  <c r="Q18" i="4"/>
  <c r="M12" i="22"/>
  <c r="M13" i="22"/>
  <c r="L16" i="22"/>
  <c r="M61" i="22"/>
  <c r="M62" i="22"/>
  <c r="N11" i="22"/>
  <c r="O10" i="22"/>
  <c r="M27" i="40" l="1"/>
  <c r="L28" i="40"/>
  <c r="L29" i="40" s="1"/>
  <c r="L30" i="40" s="1"/>
  <c r="L31" i="40" s="1"/>
  <c r="T12" i="39"/>
  <c r="V9" i="39"/>
  <c r="V11" i="39" s="1"/>
  <c r="U10" i="39"/>
  <c r="U13" i="39" s="1"/>
  <c r="T23" i="24"/>
  <c r="T24" i="24"/>
  <c r="T25" i="24" s="1"/>
  <c r="U22" i="24"/>
  <c r="V21" i="24"/>
  <c r="J31" i="36"/>
  <c r="J33" i="36" s="1"/>
  <c r="J34" i="36"/>
  <c r="W44" i="36"/>
  <c r="X43" i="36"/>
  <c r="X45" i="36" s="1"/>
  <c r="K32" i="36"/>
  <c r="L20" i="9"/>
  <c r="L21" i="9"/>
  <c r="M19" i="9"/>
  <c r="Q18" i="34"/>
  <c r="R11" i="34"/>
  <c r="O14" i="33"/>
  <c r="O12" i="33"/>
  <c r="P11" i="33"/>
  <c r="M17" i="22"/>
  <c r="S17" i="4"/>
  <c r="R18" i="4"/>
  <c r="N12" i="22"/>
  <c r="N13" i="22"/>
  <c r="M16" i="22"/>
  <c r="N61" i="22"/>
  <c r="N62" i="22"/>
  <c r="P10" i="22"/>
  <c r="O11" i="22"/>
  <c r="N27" i="40" l="1"/>
  <c r="M28" i="40"/>
  <c r="M29" i="40" s="1"/>
  <c r="M30" i="40" s="1"/>
  <c r="M31" i="40" s="1"/>
  <c r="U12" i="39"/>
  <c r="W9" i="39"/>
  <c r="W11" i="39" s="1"/>
  <c r="V10" i="39"/>
  <c r="V13" i="39" s="1"/>
  <c r="U23" i="24"/>
  <c r="U24" i="24"/>
  <c r="U25" i="24" s="1"/>
  <c r="V22" i="24"/>
  <c r="W21" i="24"/>
  <c r="K31" i="36"/>
  <c r="K33" i="36" s="1"/>
  <c r="K34" i="36"/>
  <c r="Y43" i="36"/>
  <c r="X44" i="36"/>
  <c r="L32" i="36"/>
  <c r="M20" i="9"/>
  <c r="M21" i="9"/>
  <c r="N19" i="9"/>
  <c r="S11" i="34"/>
  <c r="R18" i="34"/>
  <c r="P14" i="33"/>
  <c r="Q11" i="33"/>
  <c r="P12" i="33"/>
  <c r="N17" i="22"/>
  <c r="T17" i="4"/>
  <c r="S18" i="4"/>
  <c r="O12" i="22"/>
  <c r="O13" i="22"/>
  <c r="N16" i="22"/>
  <c r="O61" i="22"/>
  <c r="O62" i="22"/>
  <c r="P11" i="22"/>
  <c r="Q10" i="22"/>
  <c r="O27" i="40" l="1"/>
  <c r="N28" i="40"/>
  <c r="N29" i="40" s="1"/>
  <c r="N30" i="40" s="1"/>
  <c r="N31" i="40" s="1"/>
  <c r="V12" i="39"/>
  <c r="X9" i="39"/>
  <c r="X11" i="39" s="1"/>
  <c r="W10" i="39"/>
  <c r="W13" i="39" s="1"/>
  <c r="V23" i="24"/>
  <c r="V24" i="24"/>
  <c r="V25" i="24" s="1"/>
  <c r="X21" i="24"/>
  <c r="W22" i="24"/>
  <c r="Y44" i="36"/>
  <c r="Y45" i="36"/>
  <c r="L31" i="36"/>
  <c r="L33" i="36" s="1"/>
  <c r="L34" i="36"/>
  <c r="O17" i="22"/>
  <c r="M32" i="36"/>
  <c r="N20" i="9"/>
  <c r="N21" i="9"/>
  <c r="O19" i="9"/>
  <c r="S18" i="34"/>
  <c r="T11" i="34"/>
  <c r="R11" i="33"/>
  <c r="Q12" i="33"/>
  <c r="Q14" i="33"/>
  <c r="U17" i="4"/>
  <c r="T18" i="4"/>
  <c r="P12" i="22"/>
  <c r="P13" i="22"/>
  <c r="O16" i="22"/>
  <c r="P61" i="22"/>
  <c r="P62" i="22"/>
  <c r="Q11" i="22"/>
  <c r="R10" i="22"/>
  <c r="P27" i="40" l="1"/>
  <c r="O28" i="40"/>
  <c r="O29" i="40" s="1"/>
  <c r="O30" i="40" s="1"/>
  <c r="O31" i="40" s="1"/>
  <c r="W12" i="39"/>
  <c r="Y9" i="39"/>
  <c r="Y11" i="39" s="1"/>
  <c r="X10" i="39"/>
  <c r="X13" i="39" s="1"/>
  <c r="W23" i="24"/>
  <c r="W24" i="24"/>
  <c r="Y21" i="24"/>
  <c r="X22" i="24"/>
  <c r="M31" i="36"/>
  <c r="M33" i="36" s="1"/>
  <c r="M34" i="36"/>
  <c r="P17" i="22"/>
  <c r="N32" i="36"/>
  <c r="O20" i="9"/>
  <c r="O21" i="9"/>
  <c r="P19" i="9"/>
  <c r="U11" i="34"/>
  <c r="T18" i="34"/>
  <c r="R14" i="33"/>
  <c r="R12" i="33"/>
  <c r="S11" i="33"/>
  <c r="V17" i="4"/>
  <c r="U18" i="4"/>
  <c r="Q13" i="22"/>
  <c r="Q12" i="22"/>
  <c r="P16" i="22"/>
  <c r="Q61" i="22"/>
  <c r="Q62" i="22"/>
  <c r="S10" i="22"/>
  <c r="R11" i="22"/>
  <c r="Q27" i="40" l="1"/>
  <c r="P28" i="40"/>
  <c r="P29" i="40" s="1"/>
  <c r="P30" i="40" s="1"/>
  <c r="P31" i="40" s="1"/>
  <c r="X12" i="39"/>
  <c r="Z9" i="39"/>
  <c r="Z11" i="39" s="1"/>
  <c r="Y10" i="39"/>
  <c r="Y13" i="39" s="1"/>
  <c r="W25" i="24"/>
  <c r="X23" i="24"/>
  <c r="X24" i="24"/>
  <c r="Z21" i="24"/>
  <c r="Y22" i="24"/>
  <c r="N31" i="36"/>
  <c r="N33" i="36" s="1"/>
  <c r="N34" i="36"/>
  <c r="O32" i="36"/>
  <c r="P20" i="9"/>
  <c r="P21" i="9"/>
  <c r="Q19" i="9"/>
  <c r="U18" i="34"/>
  <c r="V11" i="34"/>
  <c r="S14" i="33"/>
  <c r="S12" i="33"/>
  <c r="T11" i="33"/>
  <c r="Q16" i="22"/>
  <c r="Q17" i="22"/>
  <c r="W17" i="4"/>
  <c r="V18" i="4"/>
  <c r="R13" i="22"/>
  <c r="R12" i="22"/>
  <c r="R61" i="22"/>
  <c r="R62" i="22"/>
  <c r="S11" i="22"/>
  <c r="T10" i="22"/>
  <c r="R27" i="40" l="1"/>
  <c r="Q28" i="40"/>
  <c r="Q29" i="40" s="1"/>
  <c r="Q30" i="40" s="1"/>
  <c r="Q31" i="40" s="1"/>
  <c r="Y12" i="39"/>
  <c r="Z10" i="39"/>
  <c r="Z13" i="39" s="1"/>
  <c r="AA9" i="39"/>
  <c r="AA11" i="39" s="1"/>
  <c r="Z22" i="24"/>
  <c r="AA21" i="24"/>
  <c r="Y23" i="24"/>
  <c r="Y24" i="24"/>
  <c r="Y25" i="24" s="1"/>
  <c r="X25" i="24"/>
  <c r="O31" i="36"/>
  <c r="O33" i="36" s="1"/>
  <c r="O34" i="36"/>
  <c r="P32" i="36"/>
  <c r="Q20" i="9"/>
  <c r="Q21" i="9"/>
  <c r="R19" i="9"/>
  <c r="V18" i="34"/>
  <c r="W11" i="34"/>
  <c r="T12" i="33"/>
  <c r="U11" i="33"/>
  <c r="T14" i="33"/>
  <c r="R16" i="22"/>
  <c r="R17" i="22"/>
  <c r="X17" i="4"/>
  <c r="W18" i="4"/>
  <c r="S12" i="22"/>
  <c r="S13" i="22"/>
  <c r="S61" i="22"/>
  <c r="S62" i="22"/>
  <c r="T11" i="22"/>
  <c r="U10" i="22"/>
  <c r="S27" i="40" l="1"/>
  <c r="R28" i="40"/>
  <c r="R29" i="40" s="1"/>
  <c r="R30" i="40" s="1"/>
  <c r="R31" i="40" s="1"/>
  <c r="Z12" i="39"/>
  <c r="AB9" i="39"/>
  <c r="AB11" i="39" s="1"/>
  <c r="AA10" i="39"/>
  <c r="AA13" i="39" s="1"/>
  <c r="AA22" i="24"/>
  <c r="AB21" i="24"/>
  <c r="Z23" i="24"/>
  <c r="Z24" i="24"/>
  <c r="P31" i="36"/>
  <c r="P33" i="36" s="1"/>
  <c r="P34" i="36"/>
  <c r="Q32" i="36"/>
  <c r="R21" i="9"/>
  <c r="R20" i="9"/>
  <c r="S19" i="9"/>
  <c r="X11" i="34"/>
  <c r="W18" i="34"/>
  <c r="U12" i="33"/>
  <c r="U14" i="33"/>
  <c r="V11" i="33"/>
  <c r="S17" i="22"/>
  <c r="X18" i="4"/>
  <c r="Y17" i="4"/>
  <c r="T12" i="22"/>
  <c r="T13" i="22"/>
  <c r="S16" i="22"/>
  <c r="T61" i="22"/>
  <c r="T62" i="22"/>
  <c r="V10" i="22"/>
  <c r="U11" i="22"/>
  <c r="T27" i="40" l="1"/>
  <c r="S28" i="40"/>
  <c r="S29" i="40" s="1"/>
  <c r="S30" i="40" s="1"/>
  <c r="S31" i="40" s="1"/>
  <c r="AA12" i="39"/>
  <c r="AC9" i="39"/>
  <c r="AC11" i="39" s="1"/>
  <c r="AB10" i="39"/>
  <c r="AB13" i="39" s="1"/>
  <c r="Z25" i="24"/>
  <c r="AB22" i="24"/>
  <c r="AC21" i="24"/>
  <c r="AA23" i="24"/>
  <c r="AA24" i="24"/>
  <c r="AA25" i="24" s="1"/>
  <c r="Q31" i="36"/>
  <c r="Q33" i="36" s="1"/>
  <c r="Q34" i="36"/>
  <c r="T17" i="22"/>
  <c r="R32" i="36"/>
  <c r="S20" i="9"/>
  <c r="S21" i="9"/>
  <c r="T19" i="9"/>
  <c r="X18" i="34"/>
  <c r="Y11" i="34"/>
  <c r="V14" i="33"/>
  <c r="W11" i="33"/>
  <c r="V12" i="33"/>
  <c r="Y18" i="4"/>
  <c r="Z17" i="4"/>
  <c r="U12" i="22"/>
  <c r="U13" i="22"/>
  <c r="T16" i="22"/>
  <c r="U61" i="22"/>
  <c r="U62" i="22"/>
  <c r="V11" i="22"/>
  <c r="W10" i="22"/>
  <c r="U27" i="40" l="1"/>
  <c r="T28" i="40"/>
  <c r="T29" i="40" s="1"/>
  <c r="T30" i="40" s="1"/>
  <c r="T31" i="40" s="1"/>
  <c r="AB12" i="39"/>
  <c r="AD9" i="39"/>
  <c r="AD11" i="39" s="1"/>
  <c r="AC10" i="39"/>
  <c r="AC13" i="39" s="1"/>
  <c r="AC22" i="24"/>
  <c r="AD21" i="24"/>
  <c r="AB23" i="24"/>
  <c r="AB24" i="24"/>
  <c r="R31" i="36"/>
  <c r="R33" i="36" s="1"/>
  <c r="R34" i="36"/>
  <c r="U17" i="22"/>
  <c r="S32" i="36"/>
  <c r="T20" i="9"/>
  <c r="T21" i="9"/>
  <c r="U19" i="9"/>
  <c r="Z11" i="34"/>
  <c r="Y18" i="34"/>
  <c r="W14" i="33"/>
  <c r="W12" i="33"/>
  <c r="X11" i="33"/>
  <c r="Z18" i="4"/>
  <c r="AA17" i="4"/>
  <c r="V12" i="22"/>
  <c r="V13" i="22"/>
  <c r="U16" i="22"/>
  <c r="V61" i="22"/>
  <c r="V62" i="22"/>
  <c r="W11" i="22"/>
  <c r="X10" i="22"/>
  <c r="V27" i="40" l="1"/>
  <c r="U28" i="40"/>
  <c r="U29" i="40" s="1"/>
  <c r="U30" i="40" s="1"/>
  <c r="U31" i="40" s="1"/>
  <c r="AC12" i="39"/>
  <c r="AE9" i="39"/>
  <c r="AE11" i="39" s="1"/>
  <c r="AD10" i="39"/>
  <c r="AD13" i="39" s="1"/>
  <c r="AB25" i="24"/>
  <c r="AE21" i="24"/>
  <c r="AD22" i="24"/>
  <c r="AC23" i="24"/>
  <c r="AC24" i="24"/>
  <c r="S31" i="36"/>
  <c r="S33" i="36" s="1"/>
  <c r="S34" i="36"/>
  <c r="T32" i="36"/>
  <c r="U20" i="9"/>
  <c r="U21" i="9"/>
  <c r="V19" i="9"/>
  <c r="AA11" i="34"/>
  <c r="Z18" i="34"/>
  <c r="X14" i="33"/>
  <c r="Y11" i="33"/>
  <c r="X12" i="33"/>
  <c r="V17" i="22"/>
  <c r="AB17" i="4"/>
  <c r="AA18" i="4"/>
  <c r="V16" i="22"/>
  <c r="W12" i="22"/>
  <c r="W13" i="22"/>
  <c r="W61" i="22"/>
  <c r="W62" i="22"/>
  <c r="Y10" i="22"/>
  <c r="X11" i="22"/>
  <c r="W27" i="40" l="1"/>
  <c r="V28" i="40"/>
  <c r="V29" i="40" s="1"/>
  <c r="V30" i="40" s="1"/>
  <c r="V31" i="40" s="1"/>
  <c r="AD12" i="39"/>
  <c r="AF9" i="39"/>
  <c r="AF11" i="39" s="1"/>
  <c r="AE10" i="39"/>
  <c r="AE13" i="39" s="1"/>
  <c r="AC25" i="24"/>
  <c r="AD23" i="24"/>
  <c r="AD24" i="24"/>
  <c r="AD25" i="24" s="1"/>
  <c r="AF21" i="24"/>
  <c r="AE22" i="24"/>
  <c r="T31" i="36"/>
  <c r="T33" i="36" s="1"/>
  <c r="T34" i="36"/>
  <c r="U32" i="36"/>
  <c r="V21" i="9"/>
  <c r="V20" i="9"/>
  <c r="W19" i="9"/>
  <c r="AA18" i="34"/>
  <c r="Z11" i="33"/>
  <c r="Y12" i="33"/>
  <c r="Y14" i="33"/>
  <c r="W17" i="22"/>
  <c r="AC17" i="4"/>
  <c r="AB18" i="4"/>
  <c r="W16" i="22"/>
  <c r="X12" i="22"/>
  <c r="X13" i="22"/>
  <c r="X61" i="22"/>
  <c r="X62" i="22"/>
  <c r="Z10" i="22"/>
  <c r="Y11" i="22"/>
  <c r="X27" i="40" l="1"/>
  <c r="W28" i="40"/>
  <c r="W29" i="40" s="1"/>
  <c r="W30" i="40" s="1"/>
  <c r="W31" i="40" s="1"/>
  <c r="AE12" i="39"/>
  <c r="AG9" i="39"/>
  <c r="AG11" i="39" s="1"/>
  <c r="AF10" i="39"/>
  <c r="AF13" i="39" s="1"/>
  <c r="AE23" i="24"/>
  <c r="AE24" i="24"/>
  <c r="AE25" i="24" s="1"/>
  <c r="AG21" i="24"/>
  <c r="AF22" i="24"/>
  <c r="U31" i="36"/>
  <c r="U33" i="36" s="1"/>
  <c r="U34" i="36"/>
  <c r="V32" i="36"/>
  <c r="W20" i="9"/>
  <c r="W21" i="9"/>
  <c r="X19" i="9"/>
  <c r="Z14" i="33"/>
  <c r="Z12" i="33"/>
  <c r="X17" i="22"/>
  <c r="AD17" i="4"/>
  <c r="AC18" i="4"/>
  <c r="Y12" i="22"/>
  <c r="Y13" i="22"/>
  <c r="X16" i="22"/>
  <c r="Y61" i="22"/>
  <c r="Y62" i="22"/>
  <c r="AA10" i="22"/>
  <c r="Z11" i="22"/>
  <c r="Y27" i="40" l="1"/>
  <c r="X28" i="40"/>
  <c r="X29" i="40" s="1"/>
  <c r="X30" i="40" s="1"/>
  <c r="X31" i="40" s="1"/>
  <c r="AF12" i="39"/>
  <c r="AH9" i="39"/>
  <c r="AH11" i="39" s="1"/>
  <c r="AG10" i="39"/>
  <c r="AG13" i="39" s="1"/>
  <c r="AF23" i="24"/>
  <c r="AF24" i="24"/>
  <c r="AF25" i="24" s="1"/>
  <c r="AH21" i="24"/>
  <c r="AG22" i="24"/>
  <c r="V31" i="36"/>
  <c r="V33" i="36" s="1"/>
  <c r="V34" i="36"/>
  <c r="Y17" i="22"/>
  <c r="W32" i="36"/>
  <c r="Z31" i="36" s="1"/>
  <c r="X20" i="9"/>
  <c r="X21" i="9"/>
  <c r="Y19" i="9"/>
  <c r="AE17" i="4"/>
  <c r="AD18" i="4"/>
  <c r="Z12" i="22"/>
  <c r="Z13" i="22"/>
  <c r="Y16" i="22"/>
  <c r="Z61" i="22"/>
  <c r="Z62" i="22"/>
  <c r="AA11" i="22"/>
  <c r="AB10" i="22"/>
  <c r="Z27" i="40" l="1"/>
  <c r="Y28" i="40"/>
  <c r="Y29" i="40" s="1"/>
  <c r="Y30" i="40" s="1"/>
  <c r="Y31" i="40" s="1"/>
  <c r="AG12" i="39"/>
  <c r="AH10" i="39"/>
  <c r="AH13" i="39" s="1"/>
  <c r="AI9" i="39"/>
  <c r="AI11" i="39" s="1"/>
  <c r="AG23" i="24"/>
  <c r="AG24" i="24"/>
  <c r="AG25" i="24" s="1"/>
  <c r="AI21" i="24"/>
  <c r="AH22" i="24"/>
  <c r="W31" i="36"/>
  <c r="W33" i="36" s="1"/>
  <c r="W34" i="36"/>
  <c r="Y20" i="9"/>
  <c r="Y21" i="9"/>
  <c r="Z19" i="9"/>
  <c r="Z17" i="22"/>
  <c r="AF17" i="4"/>
  <c r="AE18" i="4"/>
  <c r="AA12" i="22"/>
  <c r="AA13" i="22"/>
  <c r="Z16" i="22"/>
  <c r="AA61" i="22"/>
  <c r="AA62" i="22"/>
  <c r="AB11" i="22"/>
  <c r="AC10" i="22"/>
  <c r="AA27" i="40" l="1"/>
  <c r="Z28" i="40"/>
  <c r="Z29" i="40" s="1"/>
  <c r="Z30" i="40" s="1"/>
  <c r="Z31" i="40" s="1"/>
  <c r="AH12" i="39"/>
  <c r="AJ9" i="39"/>
  <c r="AJ11" i="39" s="1"/>
  <c r="AI10" i="39"/>
  <c r="AI13" i="39" s="1"/>
  <c r="AI22" i="24"/>
  <c r="AJ21" i="24"/>
  <c r="AH23" i="24"/>
  <c r="AH24" i="24"/>
  <c r="AA17" i="22"/>
  <c r="Z21" i="9"/>
  <c r="Z20" i="9"/>
  <c r="AA19" i="9"/>
  <c r="AF18" i="4"/>
  <c r="AG17" i="4"/>
  <c r="AA16" i="22"/>
  <c r="AB13" i="22"/>
  <c r="AB12" i="22"/>
  <c r="AB61" i="22"/>
  <c r="AB62" i="22"/>
  <c r="AC11" i="22"/>
  <c r="AD10" i="22"/>
  <c r="AB27" i="40" l="1"/>
  <c r="AA28" i="40"/>
  <c r="AA29" i="40" s="1"/>
  <c r="AA30" i="40" s="1"/>
  <c r="AA31" i="40" s="1"/>
  <c r="AI12" i="39"/>
  <c r="AJ10" i="39"/>
  <c r="AJ13" i="39" s="1"/>
  <c r="AK9" i="39"/>
  <c r="AK11" i="39" s="1"/>
  <c r="AI23" i="24"/>
  <c r="AI24" i="24"/>
  <c r="AI25" i="24" s="1"/>
  <c r="AH25" i="24"/>
  <c r="AJ22" i="24"/>
  <c r="AK21" i="24"/>
  <c r="AA21" i="9"/>
  <c r="AA20" i="9"/>
  <c r="AB16" i="22"/>
  <c r="AB17" i="22"/>
  <c r="AG18" i="4"/>
  <c r="AH17" i="4"/>
  <c r="AC12" i="22"/>
  <c r="AC13" i="22"/>
  <c r="AC61" i="22"/>
  <c r="AC62" i="22"/>
  <c r="AD11" i="22"/>
  <c r="AE10" i="22"/>
  <c r="AC27" i="40" l="1"/>
  <c r="AB28" i="40"/>
  <c r="AB29" i="40" s="1"/>
  <c r="AB30" i="40" s="1"/>
  <c r="AB31" i="40" s="1"/>
  <c r="AJ12" i="39"/>
  <c r="AL9" i="39"/>
  <c r="AL11" i="39" s="1"/>
  <c r="AK10" i="39"/>
  <c r="AK13" i="39" s="1"/>
  <c r="AK22" i="24"/>
  <c r="AL21" i="24"/>
  <c r="AJ23" i="24"/>
  <c r="AJ24" i="24"/>
  <c r="AJ25" i="24" s="1"/>
  <c r="AC17" i="22"/>
  <c r="AH18" i="4"/>
  <c r="AI17" i="4"/>
  <c r="AD12" i="22"/>
  <c r="AD13" i="22"/>
  <c r="AC16" i="22"/>
  <c r="AD61" i="22"/>
  <c r="AD62" i="22"/>
  <c r="AF10" i="22"/>
  <c r="AE11" i="22"/>
  <c r="AD27" i="40" l="1"/>
  <c r="AC28" i="40"/>
  <c r="AC29" i="40" s="1"/>
  <c r="AC30" i="40" s="1"/>
  <c r="AC31" i="40" s="1"/>
  <c r="AK12" i="39"/>
  <c r="AM9" i="39"/>
  <c r="AM11" i="39" s="1"/>
  <c r="AL10" i="39"/>
  <c r="AL13" i="39" s="1"/>
  <c r="AK23" i="24"/>
  <c r="AK24" i="24"/>
  <c r="AM21" i="24"/>
  <c r="AL22" i="24"/>
  <c r="AD17" i="22"/>
  <c r="AJ17" i="4"/>
  <c r="AI18" i="4"/>
  <c r="AE12" i="22"/>
  <c r="AE13" i="22"/>
  <c r="AD16" i="22"/>
  <c r="AE61" i="22"/>
  <c r="AE62" i="22"/>
  <c r="AF11" i="22"/>
  <c r="AG10" i="22"/>
  <c r="AE27" i="40" l="1"/>
  <c r="AD28" i="40"/>
  <c r="AD29" i="40" s="1"/>
  <c r="AD30" i="40" s="1"/>
  <c r="AD31" i="40" s="1"/>
  <c r="AL12" i="39"/>
  <c r="AN9" i="39"/>
  <c r="AN11" i="39" s="1"/>
  <c r="AM10" i="39"/>
  <c r="AM13" i="39" s="1"/>
  <c r="AL23" i="24"/>
  <c r="AL24" i="24"/>
  <c r="AN21" i="24"/>
  <c r="AM22" i="24"/>
  <c r="AK25" i="24"/>
  <c r="AE17" i="22"/>
  <c r="AK17" i="4"/>
  <c r="AJ18" i="4"/>
  <c r="AF12" i="22"/>
  <c r="AF13" i="22"/>
  <c r="AE16" i="22"/>
  <c r="AF61" i="22"/>
  <c r="AF62" i="22"/>
  <c r="AG11" i="22"/>
  <c r="AH10" i="22"/>
  <c r="AF27" i="40" l="1"/>
  <c r="AE28" i="40"/>
  <c r="AE29" i="40" s="1"/>
  <c r="AE30" i="40" s="1"/>
  <c r="AE31" i="40" s="1"/>
  <c r="AM12" i="39"/>
  <c r="AO9" i="39"/>
  <c r="AO11" i="39" s="1"/>
  <c r="AN10" i="39"/>
  <c r="AN13" i="39" s="1"/>
  <c r="AO21" i="24"/>
  <c r="AN22" i="24"/>
  <c r="AL25" i="24"/>
  <c r="AM23" i="24"/>
  <c r="AM24" i="24"/>
  <c r="AM25" i="24" s="1"/>
  <c r="AF17" i="22"/>
  <c r="AL17" i="4"/>
  <c r="AK18" i="4"/>
  <c r="AG13" i="22"/>
  <c r="AG12" i="22"/>
  <c r="AF16" i="22"/>
  <c r="AG61" i="22"/>
  <c r="AG62" i="22"/>
  <c r="AH11" i="22"/>
  <c r="AI10" i="22"/>
  <c r="AG27" i="40" l="1"/>
  <c r="AF28" i="40"/>
  <c r="AF29" i="40" s="1"/>
  <c r="AF30" i="40" s="1"/>
  <c r="AF31" i="40" s="1"/>
  <c r="AN12" i="39"/>
  <c r="AP9" i="39"/>
  <c r="AP11" i="39" s="1"/>
  <c r="AO10" i="39"/>
  <c r="AO13" i="39" s="1"/>
  <c r="AN23" i="24"/>
  <c r="AN24" i="24"/>
  <c r="AP21" i="24"/>
  <c r="AO22" i="24"/>
  <c r="AG16" i="22"/>
  <c r="AG17" i="22"/>
  <c r="AM17" i="4"/>
  <c r="AL18" i="4"/>
  <c r="AH12" i="22"/>
  <c r="AH13" i="22"/>
  <c r="AH61" i="22"/>
  <c r="AH62" i="22"/>
  <c r="AI11" i="22"/>
  <c r="AJ10" i="22"/>
  <c r="AH27" i="40" l="1"/>
  <c r="AG28" i="40"/>
  <c r="AG29" i="40" s="1"/>
  <c r="AG30" i="40" s="1"/>
  <c r="AG31" i="40" s="1"/>
  <c r="AO12" i="39"/>
  <c r="AP10" i="39"/>
  <c r="AP13" i="39" s="1"/>
  <c r="AQ9" i="39"/>
  <c r="AQ11" i="39" s="1"/>
  <c r="AO23" i="24"/>
  <c r="AO24" i="24"/>
  <c r="AO25" i="24" s="1"/>
  <c r="AQ21" i="24"/>
  <c r="AP22" i="24"/>
  <c r="AN25" i="24"/>
  <c r="AH17" i="22"/>
  <c r="AN17" i="4"/>
  <c r="AM18" i="4"/>
  <c r="AI12" i="22"/>
  <c r="AI13" i="22"/>
  <c r="AH16" i="22"/>
  <c r="AI61" i="22"/>
  <c r="AI62" i="22"/>
  <c r="AJ11" i="22"/>
  <c r="AK10" i="22"/>
  <c r="AI27" i="40" l="1"/>
  <c r="AH28" i="40"/>
  <c r="AH29" i="40" s="1"/>
  <c r="AH30" i="40" s="1"/>
  <c r="AH31" i="40" s="1"/>
  <c r="AP12" i="39"/>
  <c r="AR9" i="39"/>
  <c r="AR11" i="39" s="1"/>
  <c r="AQ10" i="39"/>
  <c r="AQ13" i="39" s="1"/>
  <c r="AP23" i="24"/>
  <c r="AP24" i="24"/>
  <c r="AQ22" i="24"/>
  <c r="AR21" i="24"/>
  <c r="AI17" i="22"/>
  <c r="AN18" i="4"/>
  <c r="AO17" i="4"/>
  <c r="AO18" i="4" s="1"/>
  <c r="AJ13" i="22"/>
  <c r="AJ12" i="22"/>
  <c r="AI16" i="22"/>
  <c r="AJ61" i="22"/>
  <c r="AJ62" i="22"/>
  <c r="AL10" i="22"/>
  <c r="AK11" i="22"/>
  <c r="AJ27" i="40" l="1"/>
  <c r="AI28" i="40"/>
  <c r="AI29" i="40" s="1"/>
  <c r="AI30" i="40" s="1"/>
  <c r="AI31" i="40" s="1"/>
  <c r="AQ12" i="39"/>
  <c r="AR10" i="39"/>
  <c r="AR13" i="39" s="1"/>
  <c r="AS9" i="39"/>
  <c r="AS11" i="39" s="1"/>
  <c r="AR22" i="24"/>
  <c r="AS21" i="24"/>
  <c r="AQ23" i="24"/>
  <c r="AQ24" i="24"/>
  <c r="AQ25" i="24" s="1"/>
  <c r="AP25" i="24"/>
  <c r="AJ17" i="22"/>
  <c r="AJ16" i="22"/>
  <c r="AK12" i="22"/>
  <c r="AK13" i="22"/>
  <c r="AK61" i="22"/>
  <c r="AK62" i="22"/>
  <c r="AL11" i="22"/>
  <c r="AM10" i="22"/>
  <c r="AK27" i="40" l="1"/>
  <c r="AJ28" i="40"/>
  <c r="AJ29" i="40" s="1"/>
  <c r="AJ30" i="40" s="1"/>
  <c r="AJ31" i="40" s="1"/>
  <c r="AR12" i="39"/>
  <c r="AT9" i="39"/>
  <c r="AT11" i="39" s="1"/>
  <c r="AS10" i="39"/>
  <c r="AS13" i="39" s="1"/>
  <c r="AS22" i="24"/>
  <c r="AT21" i="24"/>
  <c r="AR23" i="24"/>
  <c r="AR24" i="24"/>
  <c r="AR25" i="24" s="1"/>
  <c r="AK17" i="22"/>
  <c r="AL12" i="22"/>
  <c r="AL13" i="22"/>
  <c r="AK16" i="22"/>
  <c r="AL61" i="22"/>
  <c r="AL62" i="22"/>
  <c r="AM11" i="22"/>
  <c r="AN10" i="22"/>
  <c r="AL27" i="40" l="1"/>
  <c r="AK28" i="40"/>
  <c r="AK29" i="40" s="1"/>
  <c r="AK30" i="40" s="1"/>
  <c r="AK31" i="40" s="1"/>
  <c r="AS12" i="39"/>
  <c r="AU9" i="39"/>
  <c r="AU11" i="39" s="1"/>
  <c r="AT10" i="39"/>
  <c r="AT13" i="39" s="1"/>
  <c r="AS23" i="24"/>
  <c r="AS24" i="24"/>
  <c r="AS25" i="24" s="1"/>
  <c r="AT22" i="24"/>
  <c r="AU21" i="24"/>
  <c r="AL17" i="22"/>
  <c r="AM12" i="22"/>
  <c r="AM13" i="22"/>
  <c r="AL16" i="22"/>
  <c r="AM61" i="22"/>
  <c r="AM62" i="22"/>
  <c r="AO10" i="22"/>
  <c r="AN11" i="22"/>
  <c r="AM27" i="40" l="1"/>
  <c r="AM28" i="40" s="1"/>
  <c r="AM29" i="40" s="1"/>
  <c r="AM30" i="40" s="1"/>
  <c r="AM31" i="40" s="1"/>
  <c r="AL28" i="40"/>
  <c r="AL29" i="40" s="1"/>
  <c r="AL30" i="40" s="1"/>
  <c r="AL31" i="40" s="1"/>
  <c r="AT12" i="39"/>
  <c r="AV9" i="39"/>
  <c r="AV11" i="39" s="1"/>
  <c r="AU10" i="39"/>
  <c r="AU13" i="39" s="1"/>
  <c r="AT23" i="24"/>
  <c r="AT24" i="24"/>
  <c r="AT25" i="24" s="1"/>
  <c r="AV21" i="24"/>
  <c r="AU22" i="24"/>
  <c r="AM17" i="22"/>
  <c r="AN12" i="22"/>
  <c r="AN13" i="22"/>
  <c r="AM16" i="22"/>
  <c r="AN61" i="22"/>
  <c r="AN62" i="22"/>
  <c r="AO11" i="22"/>
  <c r="AP10" i="22"/>
  <c r="AU12" i="39" l="1"/>
  <c r="AW9" i="39"/>
  <c r="AW11" i="39" s="1"/>
  <c r="AV10" i="39"/>
  <c r="AV13" i="39" s="1"/>
  <c r="AU23" i="24"/>
  <c r="AU24" i="24"/>
  <c r="AU25" i="24" s="1"/>
  <c r="AW21" i="24"/>
  <c r="AW22" i="24" s="1"/>
  <c r="AV22" i="24"/>
  <c r="AN17" i="22"/>
  <c r="AO12" i="22"/>
  <c r="AO13" i="22"/>
  <c r="AN16" i="22"/>
  <c r="AO61" i="22"/>
  <c r="AO62" i="22"/>
  <c r="AP11" i="22"/>
  <c r="AQ10" i="22"/>
  <c r="AV12" i="39" l="1"/>
  <c r="AX9" i="39"/>
  <c r="AX11" i="39" s="1"/>
  <c r="F26" i="39" s="1"/>
  <c r="AW10" i="39"/>
  <c r="AW13" i="39" s="1"/>
  <c r="AV23" i="24"/>
  <c r="AV24" i="24"/>
  <c r="AV25" i="24" s="1"/>
  <c r="AW23" i="24"/>
  <c r="AW24" i="24"/>
  <c r="AW25" i="24" s="1"/>
  <c r="AO17" i="22"/>
  <c r="AP13" i="22"/>
  <c r="AP12" i="22"/>
  <c r="AO16" i="22"/>
  <c r="AP61" i="22"/>
  <c r="AP62" i="22"/>
  <c r="AQ11" i="22"/>
  <c r="AR10" i="22"/>
  <c r="AW12" i="39" l="1"/>
  <c r="AX10" i="39"/>
  <c r="AX13" i="39" s="1"/>
  <c r="AP16" i="22"/>
  <c r="AP17" i="22"/>
  <c r="AQ12" i="22"/>
  <c r="AQ13" i="22"/>
  <c r="AQ61" i="22"/>
  <c r="AQ62" i="22"/>
  <c r="AR11" i="22"/>
  <c r="AS10" i="22"/>
  <c r="AX12" i="39" l="1"/>
  <c r="AQ17" i="22"/>
  <c r="AR12" i="22"/>
  <c r="AR13" i="22"/>
  <c r="AQ16" i="22"/>
  <c r="AR61" i="22"/>
  <c r="AR62" i="22"/>
  <c r="AS11" i="22"/>
  <c r="AT10" i="22"/>
  <c r="E30" i="39" l="1"/>
  <c r="F30" i="39"/>
  <c r="AR17" i="22"/>
  <c r="AS12" i="22"/>
  <c r="AS13" i="22"/>
  <c r="AR16" i="22"/>
  <c r="AS61" i="22"/>
  <c r="AS62" i="22"/>
  <c r="AU10" i="22"/>
  <c r="AT11" i="22"/>
  <c r="AS17" i="22" l="1"/>
  <c r="AS16" i="22"/>
  <c r="AT12" i="22"/>
  <c r="AT13" i="22"/>
  <c r="AT61" i="22"/>
  <c r="AT62" i="22"/>
  <c r="AU11" i="22"/>
  <c r="AV10" i="22"/>
  <c r="AV11" i="22" s="1"/>
  <c r="AT17" i="22" l="1"/>
  <c r="AT16" i="22"/>
  <c r="AV12" i="22"/>
  <c r="AV13" i="22"/>
  <c r="AU12" i="22"/>
  <c r="AU13" i="22"/>
  <c r="AV61" i="22"/>
  <c r="AV62" i="22"/>
  <c r="AU61" i="22"/>
  <c r="AU62" i="22"/>
  <c r="AU17" i="22" l="1"/>
  <c r="AV17" i="22"/>
  <c r="AV16" i="22"/>
  <c r="AU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<sst xmlns="http://schemas.openxmlformats.org/spreadsheetml/2006/main" count="1526" uniqueCount="962">
  <si>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</si>
  <si>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</si>
  <si>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</si>
  <si>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</si>
  <si>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</si>
  <si>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</si>
  <si>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</si>
  <si>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</si>
  <si>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</si>
  <si>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</si>
  <si>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</si>
  <si>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</si>
  <si>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</si>
  <si>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</si>
  <si>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</si>
  <si>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</si>
  <si>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</si>
  <si>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</si>
  <si>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</si>
  <si>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</si>
  <si>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</si>
  <si>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</si>
  <si>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</si>
  <si>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</si>
  <si>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</si>
  <si>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</si>
  <si>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</si>
  <si>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</si>
  <si>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</si>
  <si>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</si>
  <si>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</si>
  <si>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</si>
  <si>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</si>
  <si>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</si>
  <si>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</si>
  <si>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</si>
  <si>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</si>
  <si>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</si>
  <si>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</si>
  <si>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</si>
  <si>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</si>
  <si>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</si>
  <si>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</si>
  <si>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</si>
  <si>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</si>
  <si>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</si>
  <si>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</si>
  <si>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</si>
  <si>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</si>
  <si>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</si>
  <si>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</si>
  <si>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</si>
  <si>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</si>
  <si>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</si>
  <si>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</si>
  <si>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</si>
  <si>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</si>
  <si>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</si>
  <si>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</si>
  <si>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</si>
  <si>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</si>
  <si>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</si>
  <si>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</si>
  <si>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</si>
  <si>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</si>
  <si>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</si>
  <si>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</si>
  <si>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</si>
  <si>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</si>
  <si>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</si>
  <si>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</si>
  <si>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</si>
  <si>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</si>
  <si>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</si>
  <si>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</si>
  <si>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</si>
  <si>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</si>
  <si>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</si>
  <si>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</si>
  <si>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</si>
  <si>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</si>
  <si>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</si>
  <si>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</si>
  <si>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</si>
  <si>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</si>
  <si>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</si>
  <si>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</si>
  <si>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</si>
  <si>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</si>
  <si>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</si>
  <si>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</si>
  <si>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</si>
  <si>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</si>
  <si>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</si>
  <si>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</si>
  <si>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</si>
  <si>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</si>
  <si>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</si>
  <si>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</si>
  <si>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</si>
  <si>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</si>
  <si>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</si>
  <si>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</si>
  <si>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</si>
  <si>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</si>
  <si>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</si>
  <si>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</si>
  <si>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</si>
  <si>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</si>
  <si>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</si>
  <si>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</si>
  <si>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</si>
  <si>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</si>
  <si>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</si>
  <si>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</si>
  <si>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</si>
  <si>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</si>
  <si>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</si>
  <si>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</si>
  <si>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</si>
  <si>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</si>
  <si>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</si>
  <si>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</si>
  <si>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</si>
  <si>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</si>
  <si>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</si>
  <si>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</si>
  <si>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</si>
  <si>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</si>
  <si>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</si>
  <si>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</si>
  <si>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</si>
  <si>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</si>
  <si>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</si>
  <si>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</si>
  <si>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</si>
  <si>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</si>
  <si>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</si>
  <si>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</si>
  <si>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</si>
  <si>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</si>
  <si>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</si>
  <si>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</si>
  <si>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</si>
  <si>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</si>
  <si>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</si>
  <si>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</si>
  <si>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</si>
  <si>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</si>
  <si>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</si>
  <si>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</si>
  <si>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</si>
  <si>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</si>
  <si>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</si>
  <si>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</si>
  <si>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</si>
  <si>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</si>
  <si>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</si>
  <si>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</si>
  <si>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</si>
  <si>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</si>
  <si>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</si>
  <si>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</si>
  <si>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</si>
  <si>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</si>
  <si>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</si>
  <si>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</si>
  <si>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</si>
  <si>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</si>
  <si>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</si>
  <si>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</si>
  <si>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</si>
  <si>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</si>
  <si>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</si>
  <si>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</si>
  <si>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</si>
  <si>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</si>
  <si>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</si>
  <si>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</si>
  <si>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</si>
  <si>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</si>
  <si>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</si>
  <si>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</si>
  <si>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</si>
  <si>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</si>
  <si>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</si>
  <si>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</si>
  <si>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</si>
  <si>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</si>
  <si>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</si>
  <si>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</si>
  <si>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</si>
  <si>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</si>
  <si>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</si>
  <si>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</si>
  <si>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</si>
  <si>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</si>
  <si>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</si>
  <si>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</si>
  <si>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</si>
  <si>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</si>
  <si>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</si>
  <si>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</si>
  <si>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</si>
  <si>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</si>
  <si>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</si>
  <si>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</si>
  <si>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</si>
  <si>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</si>
  <si>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</si>
  <si>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</si>
  <si>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</si>
  <si>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</si>
  <si>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</si>
  <si>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</si>
  <si>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</si>
  <si>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</si>
  <si>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</si>
  <si>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</si>
  <si>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</si>
  <si>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</si>
  <si>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</si>
  <si>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</si>
  <si>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</si>
  <si>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</si>
  <si>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</si>
  <si>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</si>
  <si>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</si>
  <si>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</si>
  <si>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</si>
  <si>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</si>
  <si>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</si>
  <si>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</si>
  <si>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</si>
  <si>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</si>
  <si>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</si>
  <si>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</si>
  <si>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</si>
  <si>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</si>
  <si>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</si>
  <si>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</si>
  <si>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</si>
  <si>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</si>
  <si>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</si>
  <si>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</si>
  <si>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</si>
  <si>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</si>
  <si>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</si>
  <si>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</si>
  <si>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</si>
  <si>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</si>
  <si>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</si>
  <si>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</si>
  <si>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</si>
  <si>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</si>
  <si>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</si>
  <si>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</si>
  <si>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</si>
  <si>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</si>
  <si>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</si>
  <si>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</si>
  <si>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</si>
  <si>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</si>
  <si>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</si>
  <si>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</si>
  <si>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</si>
  <si>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</si>
  <si>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</si>
  <si>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</si>
  <si>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</si>
  <si>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</si>
  <si>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</si>
  <si>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</si>
  <si>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</si>
  <si>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</si>
  <si>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</si>
  <si>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</si>
  <si>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</si>
  <si>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</si>
  <si>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</si>
  <si>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</si>
  <si>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</si>
  <si>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</si>
  <si>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</si>
  <si>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</si>
  <si>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</si>
  <si>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</si>
  <si>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</si>
  <si>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</si>
  <si>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</si>
  <si>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</si>
  <si>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</si>
  <si>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</si>
  <si>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</si>
  <si>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</si>
  <si>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</si>
  <si>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</si>
  <si>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</si>
  <si>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</si>
  <si>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</si>
  <si>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</si>
  <si>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</si>
  <si>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</si>
  <si>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</si>
  <si>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</si>
  <si>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</si>
  <si>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</si>
  <si>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</si>
  <si>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</si>
  <si>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</si>
  <si>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</si>
  <si>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</si>
  <si>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</si>
  <si>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</si>
  <si>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</si>
  <si>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</si>
  <si>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</si>
  <si>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</si>
  <si>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</si>
  <si>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</si>
  <si>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</si>
  <si>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</si>
  <si>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</si>
  <si>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</si>
  <si>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</si>
  <si>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</si>
  <si>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</si>
  <si>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</si>
  <si>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</si>
  <si>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</si>
  <si>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</si>
  <si>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</si>
  <si>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</si>
  <si>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</si>
  <si>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</si>
  <si>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</si>
  <si>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</si>
  <si>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</si>
  <si>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</si>
  <si>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</si>
  <si>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</si>
  <si>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</si>
  <si>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</si>
  <si>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</si>
  <si>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</si>
  <si>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</si>
  <si>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</si>
  <si>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</si>
  <si>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</si>
  <si>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</si>
  <si>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</si>
  <si>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</si>
  <si>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</si>
  <si>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</si>
  <si>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</si>
  <si>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</si>
  <si>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</si>
  <si>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</si>
  <si>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</si>
  <si>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</si>
  <si>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</si>
  <si>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</si>
  <si>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</si>
  <si>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</si>
  <si>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</si>
  <si>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</si>
  <si>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</si>
  <si>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</si>
  <si>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</si>
  <si>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</si>
  <si>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</si>
  <si>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</si>
  <si>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</si>
  <si>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</si>
  <si>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</si>
  <si>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</si>
  <si>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</si>
  <si>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</si>
  <si>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</si>
  <si>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</si>
  <si>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</si>
  <si>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</si>
  <si>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</si>
  <si>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</si>
  <si>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</si>
  <si>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</si>
  <si>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</si>
  <si>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</si>
  <si>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</si>
  <si>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</si>
  <si>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</si>
  <si>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</si>
  <si>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</si>
  <si>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</si>
  <si>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</si>
  <si>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</si>
  <si>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</si>
  <si>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</si>
  <si>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</si>
  <si>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</si>
  <si>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</si>
  <si>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</si>
  <si>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</si>
  <si>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</si>
  <si>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</si>
  <si>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</si>
  <si>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</si>
  <si>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</si>
  <si>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</si>
  <si>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</si>
  <si>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</si>
  <si>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</si>
  <si>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</si>
  <si>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</si>
  <si>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</si>
  <si>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</si>
  <si>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</si>
  <si>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</si>
  <si>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</si>
  <si>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</si>
  <si>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</si>
  <si>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</si>
  <si>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</si>
  <si>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</si>
  <si>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</si>
  <si>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</si>
  <si>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</si>
  <si>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</si>
  <si>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</si>
  <si>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</si>
  <si>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</si>
  <si>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</si>
  <si>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</si>
  <si>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</si>
  <si>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</si>
  <si>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</si>
  <si>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</si>
  <si>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</si>
  <si>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</si>
  <si>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</si>
  <si>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</si>
  <si>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</si>
  <si>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</si>
  <si>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</si>
  <si>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</si>
  <si>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</si>
  <si>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</si>
  <si>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</si>
  <si>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</si>
  <si>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</si>
  <si>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</si>
  <si>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</si>
  <si>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</si>
  <si>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</si>
  <si>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</si>
  <si>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</si>
  <si>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</si>
  <si>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</si>
  <si>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</si>
  <si>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</si>
  <si>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</si>
  <si>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</si>
  <si>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</si>
  <si>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</si>
  <si>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</si>
  <si>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</si>
  <si>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</si>
  <si>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</si>
  <si>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</si>
  <si>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</si>
  <si>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</si>
  <si>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</si>
  <si>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</si>
  <si>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</si>
  <si>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</si>
  <si>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</si>
  <si>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</si>
  <si>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</si>
  <si>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</si>
  <si>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</si>
  <si>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</si>
  <si>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</si>
  <si>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</si>
  <si>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</si>
  <si>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</si>
  <si>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</si>
  <si>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</si>
  <si>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</si>
  <si>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</si>
  <si>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</si>
  <si>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</si>
  <si>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</si>
  <si>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</si>
  <si>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</si>
  <si>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</si>
  <si>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</si>
  <si>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</si>
  <si>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</si>
  <si>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</si>
  <si>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</si>
  <si>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</si>
  <si>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</si>
  <si>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</si>
  <si>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</si>
  <si>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</si>
  <si>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</si>
  <si>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</si>
  <si>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</si>
  <si>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</si>
  <si>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</si>
  <si>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</si>
  <si>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</si>
  <si>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</si>
  <si>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</si>
  <si>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</si>
  <si>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</si>
  <si>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</si>
  <si>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</si>
  <si>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</si>
  <si>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</si>
  <si>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</si>
  <si>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</si>
  <si>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</si>
  <si>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</si>
  <si>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</si>
  <si>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</si>
  <si>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</si>
  <si>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</si>
  <si>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</si>
  <si>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</si>
  <si>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</si>
  <si>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</si>
  <si>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</si>
  <si>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</si>
  <si>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</si>
  <si>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</si>
  <si>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</si>
  <si>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</si>
  <si>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</si>
  <si>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</si>
  <si>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</si>
  <si>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</si>
  <si>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</si>
  <si>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</si>
  <si>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</si>
  <si>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</si>
  <si>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</si>
  <si>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</si>
  <si>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</si>
  <si>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</si>
  <si>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</si>
  <si>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</si>
  <si>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</si>
  <si>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</si>
  <si>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</si>
  <si>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</si>
  <si>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</si>
  <si>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</si>
  <si>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</si>
  <si>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</si>
  <si>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</si>
  <si>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</si>
  <si>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</si>
  <si>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</si>
  <si>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</si>
  <si>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</si>
  <si>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</si>
  <si>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</si>
  <si>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</si>
  <si>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</si>
  <si>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</si>
  <si>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</si>
  <si>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</si>
  <si>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</si>
  <si>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</si>
  <si>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</si>
  <si>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</si>
  <si>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</si>
  <si>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</si>
  <si>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</si>
  <si>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</si>
  <si>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</si>
  <si>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</si>
  <si>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</si>
  <si>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</si>
  <si>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</si>
  <si>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</si>
  <si>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</si>
  <si>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</si>
  <si>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</si>
  <si>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</si>
  <si>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</si>
  <si>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</si>
  <si>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</si>
  <si>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</si>
  <si>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</si>
  <si>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</si>
  <si>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</si>
  <si>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</si>
  <si>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</si>
  <si>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</si>
  <si>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</si>
  <si>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</si>
  <si>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</si>
  <si>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</si>
  <si>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</si>
  <si>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</si>
  <si>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</si>
  <si>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</si>
  <si>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</si>
  <si>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</si>
  <si>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</si>
  <si>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</si>
  <si>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</si>
  <si>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</si>
  <si>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</si>
  <si>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</si>
  <si>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</si>
  <si>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</si>
  <si>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</si>
  <si>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</si>
  <si>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</si>
  <si>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</si>
  <si>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</si>
  <si>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</si>
  <si>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</si>
  <si>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</si>
  <si>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</si>
  <si>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</si>
  <si>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</si>
  <si>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</si>
  <si>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</si>
  <si>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</si>
  <si>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</si>
  <si>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</si>
  <si>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</si>
  <si>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</si>
  <si>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</si>
  <si>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</si>
  <si>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</si>
  <si>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</si>
  <si>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</si>
  <si>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</si>
  <si>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</si>
  <si>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</si>
  <si>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</si>
  <si>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</si>
  <si>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</si>
  <si>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</si>
  <si>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</si>
  <si>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</si>
  <si>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</si>
  <si>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</si>
  <si>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</si>
  <si>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</si>
  <si>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</si>
  <si>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</si>
  <si>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</si>
  <si>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</si>
  <si>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</si>
  <si>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</si>
  <si>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</si>
  <si>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</si>
  <si>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</si>
  <si>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</si>
  <si>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</si>
  <si>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</si>
  <si>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</si>
  <si>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</si>
  <si>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</si>
  <si>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</si>
  <si>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</si>
  <si>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</si>
  <si>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</si>
  <si>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</si>
  <si>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</si>
  <si>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</si>
  <si>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</si>
  <si>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</si>
  <si>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</si>
  <si>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</si>
  <si>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</si>
  <si>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</si>
  <si>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</si>
  <si>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</si>
  <si>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</si>
  <si>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</si>
  <si>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</si>
  <si>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</si>
  <si>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</si>
  <si>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</si>
  <si>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</si>
  <si>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</si>
  <si>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</si>
  <si>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</si>
  <si>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</si>
  <si>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</si>
  <si>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</si>
  <si>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</si>
  <si>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</si>
  <si>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</si>
  <si>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</si>
  <si>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</si>
  <si>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</si>
  <si>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</si>
  <si>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</si>
  <si>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</si>
  <si>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</si>
  <si>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</si>
  <si>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</si>
  <si>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</si>
  <si>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</si>
  <si>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</si>
  <si>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</si>
  <si>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</si>
  <si>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</si>
  <si>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</si>
  <si>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</si>
  <si>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</si>
  <si>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</si>
  <si>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</si>
  <si>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</si>
  <si>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</si>
  <si>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</si>
  <si>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</si>
  <si>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</si>
  <si>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</si>
  <si>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</si>
  <si>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</si>
  <si>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</si>
  <si>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</si>
  <si>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</si>
  <si>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</si>
  <si>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</si>
  <si>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</si>
  <si>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</si>
  <si>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</si>
  <si>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</si>
  <si>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</si>
  <si>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</si>
  <si>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</si>
  <si>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</si>
  <si>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</si>
  <si>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</si>
  <si>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</si>
  <si>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</si>
  <si>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</si>
  <si>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</si>
  <si>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</si>
  <si>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</si>
  <si>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</si>
  <si>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</si>
  <si>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</si>
  <si>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</si>
  <si>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</si>
  <si>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</si>
  <si>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</si>
  <si>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</si>
  <si>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</si>
  <si>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</si>
  <si>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</si>
  <si>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</si>
  <si>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</si>
  <si>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</si>
  <si>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</si>
  <si>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</si>
  <si>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</si>
  <si>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</si>
  <si>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</si>
  <si>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</si>
  <si>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</si>
  <si>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</si>
  <si>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</si>
  <si>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</si>
  <si>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</si>
  <si>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</si>
  <si>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</si>
  <si>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</si>
  <si>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</si>
  <si>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</si>
  <si>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</si>
  <si>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</si>
  <si>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</si>
  <si>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</si>
  <si>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</si>
  <si>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</si>
  <si>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</si>
  <si>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</si>
  <si>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</si>
  <si>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</si>
  <si>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</si>
  <si>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</si>
  <si>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</si>
  <si>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</si>
  <si>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</si>
  <si>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</si>
  <si>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</si>
  <si>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</si>
  <si>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</si>
  <si>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</si>
  <si>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</si>
  <si>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</si>
  <si>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</si>
  <si>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</si>
  <si>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</si>
  <si>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</si>
  <si>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</si>
  <si>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</si>
  <si>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</si>
  <si>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</si>
  <si>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</si>
  <si>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</si>
  <si>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</si>
  <si>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</si>
  <si>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</si>
  <si>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</si>
  <si>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</si>
  <si>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</si>
  <si>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</si>
  <si>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</si>
  <si>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</si>
  <si>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</si>
  <si>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</si>
  <si>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</si>
  <si>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</si>
  <si>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</si>
  <si>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</si>
  <si>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</si>
  <si>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</si>
  <si>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</si>
  <si>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</si>
  <si>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</si>
  <si>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</si>
  <si>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</si>
  <si>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</si>
  <si>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</si>
  <si>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</si>
  <si>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</si>
  <si>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</si>
  <si>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</si>
  <si>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</si>
  <si>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</si>
  <si>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</si>
  <si>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</si>
  <si>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</si>
  <si>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</si>
  <si>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</si>
  <si>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</si>
  <si>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</si>
  <si>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</si>
  <si>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</si>
  <si>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</si>
  <si>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</si>
  <si>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</si>
  <si>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</si>
  <si>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</si>
  <si>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</si>
  <si>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</si>
  <si>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</si>
  <si>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</si>
  <si>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</si>
  <si>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</si>
  <si>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</si>
  <si>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</si>
  <si>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</si>
  <si>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</si>
  <si>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</si>
  <si>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</si>
  <si>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</si>
  <si>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</si>
  <si>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</si>
  <si>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</si>
  <si>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r>
      <t>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</si>
  <si>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</si>
  <si>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</si>
  <si>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t>Serieschaltung:</t>
  </si>
  <si>
    <r>
      <t>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</si>
  <si>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</si>
  <si>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</si>
  <si>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</si>
  <si>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</si>
  <si>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</si>
  <si>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</si>
  <si>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</si>
  <si>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</si>
  <si>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</si>
  <si>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</si>
  <si>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</si>
  <si>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</si>
  <si>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</si>
  <si>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</si>
  <si>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</si>
  <si>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</si>
  <si>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</si>
  <si>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</si>
  <si>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</si>
  <si>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</si>
  <si>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</si>
  <si>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</si>
  <si>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</si>
  <si>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</si>
  <si>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</si>
  <si>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</si>
  <si>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</si>
  <si>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</si>
  <si>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</si>
  <si>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</si>
  <si>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</si>
  <si>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</si>
  <si>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</si>
  <si>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t xml:space="preserve">x = </t>
  </si>
  <si>
    <t xml:space="preserve">(-t/RC) = </t>
  </si>
  <si>
    <t xml:space="preserve">e^(-t/RC) = </t>
  </si>
  <si>
    <t xml:space="preserve">1 - e^(-t/RC) = </t>
  </si>
  <si>
    <t>(1 - e^(-t/RC))</t>
  </si>
  <si>
    <t>Laden:</t>
  </si>
  <si>
    <t>Entladen:</t>
  </si>
  <si>
    <t>Ladekurve:</t>
  </si>
  <si>
    <t>Entladekurve:</t>
  </si>
  <si>
    <t>UC(t) = U0(e^(-t/RC))</t>
  </si>
  <si>
    <t>Asymptote:</t>
  </si>
  <si>
    <r>
      <t>y = e</t>
    </r>
    <r>
      <rPr>
        <vertAlign val="superscript"/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  <scheme val="minor"/>
      </rPr>
      <t xml:space="preserve"> =</t>
    </r>
  </si>
  <si>
    <r>
      <t>y = 1 - e</t>
    </r>
    <r>
      <rPr>
        <vertAlign val="superscript"/>
        <sz val="11"/>
        <color theme="1" tint="4.9989318521683403E-2"/>
        <rFont val="Calibri"/>
        <family val="2"/>
        <scheme val="minor"/>
      </rPr>
      <t>-x</t>
    </r>
    <r>
      <rPr>
        <sz val="11"/>
        <color theme="1" tint="4.9989318521683403E-2"/>
        <rFont val="Calibri"/>
        <family val="2"/>
        <scheme val="minor"/>
      </rPr>
      <t xml:space="preserve"> =</t>
    </r>
  </si>
  <si>
    <t>S3 + S3
T13</t>
  </si>
  <si>
    <t>Bestellung</t>
  </si>
  <si>
    <t>Magnetismus</t>
  </si>
  <si>
    <t>2 * AP</t>
  </si>
  <si>
    <t>View</t>
  </si>
  <si>
    <t>Sinus-Kurve</t>
  </si>
  <si>
    <t>x-Achse in</t>
  </si>
  <si>
    <t>Winkelmass [rad]</t>
  </si>
  <si>
    <t>Perioden pro 360°</t>
  </si>
  <si>
    <t>Winkelmass [°]</t>
  </si>
  <si>
    <t>Messwert:</t>
  </si>
  <si>
    <t>X-Achse:</t>
  </si>
  <si>
    <t>Y-Achse:</t>
  </si>
  <si>
    <t>Vektor-Diagramm</t>
  </si>
  <si>
    <t>Belasteter Spannungsteiler</t>
  </si>
  <si>
    <t>Regeln (Kirchhof):</t>
  </si>
  <si>
    <r>
      <t>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</si>
  <si>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+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</si>
  <si>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 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+ I</t>
    </r>
    <r>
      <rPr>
        <vertAlign val="subscript"/>
        <sz val="11"/>
        <color rgb="FFFF0000"/>
        <rFont val="Calibri"/>
        <family val="2"/>
        <scheme val="minor"/>
      </rPr>
      <t>L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</si>
  <si>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</si>
  <si>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</si>
  <si>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</si>
  <si>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</si>
  <si>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</si>
  <si>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</si>
  <si>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</si>
  <si>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</si>
  <si>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</si>
  <si>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</si>
  <si>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</si>
  <si>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</si>
  <si>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</si>
  <si>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</si>
  <si>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</si>
  <si>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</si>
  <si>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</si>
  <si>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</si>
  <si>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/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(Leerlauf)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</si>
  <si>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(Leerlauf) =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</si>
</sst>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  <numFmt numFmtId="176" formatCode="#,##0.00_ ;[Red]\-#,##0.00\ "/>
  </numFmts>
  <fonts count="11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perscript"/>
      <sz val="11"/>
      <color theme="1" tint="4.9989318521683403E-2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FF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503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6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7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10" fontId="0" fillId="0" borderId="7" xfId="0" applyNumberFormat="1" applyBorder="1"/>
    <xf numFmtId="0" fontId="0" fillId="0" borderId="2" xfId="0" applyBorder="1" applyAlignment="1">
      <alignment horizontal="right" vertical="center"/>
    </xf>
    <xf numFmtId="0" fontId="0" fillId="16" borderId="2" xfId="0" applyFill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2" fontId="0" fillId="3" borderId="0" xfId="0" applyNumberFormat="1" applyFill="1"/>
    <xf numFmtId="0" fontId="111" fillId="0" borderId="0" xfId="0" applyFont="1"/>
    <xf numFmtId="0" fontId="95" fillId="0" borderId="0" xfId="0" applyFont="1" applyAlignment="1">
      <alignment horizontal="right"/>
    </xf>
    <xf numFmtId="0" fontId="31" fillId="9" borderId="2" xfId="0" applyFont="1" applyFill="1" applyBorder="1" applyAlignment="1">
      <alignment horizontal="right"/>
    </xf>
    <xf numFmtId="175" fontId="0" fillId="9" borderId="2" xfId="0" applyNumberFormat="1" applyFill="1" applyBorder="1"/>
    <xf numFmtId="0" fontId="0" fillId="6" borderId="2" xfId="0" applyFill="1" applyBorder="1" applyAlignment="1">
      <alignment horizontal="right"/>
    </xf>
    <xf numFmtId="175" fontId="0" fillId="6" borderId="2" xfId="0" applyNumberFormat="1" applyFill="1" applyBorder="1"/>
    <xf numFmtId="0" fontId="2" fillId="0" borderId="2" xfId="0" applyFont="1" applyBorder="1" applyAlignment="1">
      <alignment horizontal="center" vertical="center" wrapText="1"/>
    </xf>
    <xf numFmtId="0" fontId="0" fillId="0" borderId="24" xfId="0" applyBorder="1"/>
    <xf numFmtId="0" fontId="0" fillId="0" borderId="22" xfId="0" applyBorder="1"/>
    <xf numFmtId="0" fontId="0" fillId="0" borderId="49" xfId="0" applyBorder="1"/>
    <xf numFmtId="0" fontId="0" fillId="0" borderId="21" xfId="0" applyBorder="1"/>
    <xf numFmtId="0" fontId="0" fillId="2" borderId="21" xfId="0" applyFill="1" applyBorder="1" applyAlignment="1">
      <alignment horizontal="center"/>
    </xf>
    <xf numFmtId="176" fontId="0" fillId="3" borderId="2" xfId="0" applyNumberFormat="1" applyFill="1" applyBorder="1"/>
    <xf numFmtId="0" fontId="113" fillId="0" borderId="2" xfId="0" applyFont="1" applyBorder="1"/>
    <xf numFmtId="0" fontId="113" fillId="0" borderId="2" xfId="0" applyFont="1" applyBorder="1" applyAlignment="1">
      <alignment horizontal="center"/>
    </xf>
    <xf numFmtId="0" fontId="90" fillId="0" borderId="2" xfId="0" applyFont="1" applyBorder="1"/>
    <xf numFmtId="0" fontId="90" fillId="0" borderId="2" xfId="0" applyFont="1" applyBorder="1" applyAlignment="1">
      <alignment horizontal="center"/>
    </xf>
    <xf numFmtId="176" fontId="0" fillId="0" borderId="0" xfId="0" applyNumberFormat="1"/>
    <xf numFmtId="4" fontId="90" fillId="0" borderId="0" xfId="0" applyNumberFormat="1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2" borderId="3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" xfId="0" applyFill="1" applyBorder="1"/>
    <xf numFmtId="0" fontId="0" fillId="0" borderId="2" xfId="0" applyFill="1" applyBorder="1" applyAlignment="1">
      <alignment horizontal="right"/>
    </xf>
    <xf numFmtId="0" fontId="62" fillId="0" borderId="0" xfId="0" applyFont="1" applyBorder="1" applyAlignment="1">
      <alignment horizontal="right"/>
    </xf>
    <xf numFmtId="0" fontId="0" fillId="0" borderId="0" xfId="0" applyBorder="1" applyAlignment="1">
      <alignment horizontal="center"/>
    </xf>
    <xf numFmtId="0" fontId="0" fillId="0" borderId="0" xfId="0" applyFill="1" applyBorder="1"/>
    <xf numFmtId="0" fontId="114" fillId="0" borderId="0" xfId="0" applyFont="1"/>
    <xf numFmtId="0" fontId="115" fillId="0" borderId="0" xfId="0" applyFont="1"/>
    <xf numFmtId="0" fontId="62" fillId="0" borderId="2" xfId="0" applyFont="1" applyBorder="1"/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'Belasteter Spannungsteiler'!$B$41</c:f>
              <c:strCache>
                <c:ptCount val="1"/>
                <c:pt idx="0">
                  <c:v>UL = f(RL)   R1/R2 =0.333333333333333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100</c:v>
                </c:pt>
                <c:pt idx="1">
                  <c:v>1100</c:v>
                </c:pt>
                <c:pt idx="2">
                  <c:v>2100</c:v>
                </c:pt>
                <c:pt idx="3">
                  <c:v>3100</c:v>
                </c:pt>
                <c:pt idx="4">
                  <c:v>4100</c:v>
                </c:pt>
                <c:pt idx="5">
                  <c:v>5100</c:v>
                </c:pt>
                <c:pt idx="6">
                  <c:v>6100</c:v>
                </c:pt>
                <c:pt idx="7">
                  <c:v>7100</c:v>
                </c:pt>
                <c:pt idx="8">
                  <c:v>8100</c:v>
                </c:pt>
                <c:pt idx="9">
                  <c:v>9100</c:v>
                </c:pt>
                <c:pt idx="10">
                  <c:v>10100</c:v>
                </c:pt>
                <c:pt idx="11">
                  <c:v>11100</c:v>
                </c:pt>
                <c:pt idx="12">
                  <c:v>12100</c:v>
                </c:pt>
                <c:pt idx="13">
                  <c:v>13100</c:v>
                </c:pt>
                <c:pt idx="14">
                  <c:v>14100</c:v>
                </c:pt>
                <c:pt idx="15">
                  <c:v>15100</c:v>
                </c:pt>
                <c:pt idx="16">
                  <c:v>16100</c:v>
                </c:pt>
                <c:pt idx="17">
                  <c:v>17100</c:v>
                </c:pt>
                <c:pt idx="18">
                  <c:v>18100</c:v>
                </c:pt>
                <c:pt idx="19">
                  <c:v>19100</c:v>
                </c:pt>
                <c:pt idx="20">
                  <c:v>20100</c:v>
                </c:pt>
                <c:pt idx="21">
                  <c:v>21100</c:v>
                </c:pt>
                <c:pt idx="22">
                  <c:v>22100</c:v>
                </c:pt>
                <c:pt idx="23">
                  <c:v>23100</c:v>
                </c:pt>
                <c:pt idx="24">
                  <c:v>24100</c:v>
                </c:pt>
                <c:pt idx="25">
                  <c:v>25100</c:v>
                </c:pt>
                <c:pt idx="26">
                  <c:v>26100</c:v>
                </c:pt>
                <c:pt idx="27">
                  <c:v>27100</c:v>
                </c:pt>
                <c:pt idx="28">
                  <c:v>28100</c:v>
                </c:pt>
                <c:pt idx="29">
                  <c:v>29100</c:v>
                </c:pt>
                <c:pt idx="30">
                  <c:v>30100</c:v>
                </c:pt>
                <c:pt idx="31">
                  <c:v>31100</c:v>
                </c:pt>
                <c:pt idx="32">
                  <c:v>32100</c:v>
                </c:pt>
                <c:pt idx="33">
                  <c:v>33100</c:v>
                </c:pt>
                <c:pt idx="34">
                  <c:v>34100</c:v>
                </c:pt>
                <c:pt idx="35">
                  <c:v>35100</c:v>
                </c:pt>
              </c:numCache>
            </c:numRef>
          </c:xVal>
          <c:yVal>
            <c:numRef>
              <c:f>'Belasteter Spannungsteiler'!$D$31:$AM$31</c:f>
              <c:numCache>
                <c:formatCode>#,##0.00</c:formatCode>
                <c:ptCount val="36"/>
                <c:pt idx="0">
                  <c:v>1.0588235294117645</c:v>
                </c:pt>
                <c:pt idx="1">
                  <c:v>5.3513513513513518</c:v>
                </c:pt>
                <c:pt idx="2">
                  <c:v>6.6315789473684212</c:v>
                </c:pt>
                <c:pt idx="3">
                  <c:v>7.2467532467532481</c:v>
                </c:pt>
                <c:pt idx="4">
                  <c:v>7.6082474226804129</c:v>
                </c:pt>
                <c:pt idx="5">
                  <c:v>7.8461538461538458</c:v>
                </c:pt>
                <c:pt idx="6">
                  <c:v>8.014598540145986</c:v>
                </c:pt>
                <c:pt idx="7">
                  <c:v>8.1401273885350314</c:v>
                </c:pt>
                <c:pt idx="8">
                  <c:v>8.2372881355932197</c:v>
                </c:pt>
                <c:pt idx="9">
                  <c:v>8.3147208121827418</c:v>
                </c:pt>
                <c:pt idx="10">
                  <c:v>8.3778801843317972</c:v>
                </c:pt>
                <c:pt idx="11">
                  <c:v>8.4303797468354436</c:v>
                </c:pt>
                <c:pt idx="12">
                  <c:v>8.4747081712062258</c:v>
                </c:pt>
                <c:pt idx="13">
                  <c:v>8.512635379061372</c:v>
                </c:pt>
                <c:pt idx="14">
                  <c:v>8.545454545454545</c:v>
                </c:pt>
                <c:pt idx="15">
                  <c:v>8.5741324921135647</c:v>
                </c:pt>
                <c:pt idx="16">
                  <c:v>8.5994065281899115</c:v>
                </c:pt>
                <c:pt idx="17">
                  <c:v>8.6218487394957979</c:v>
                </c:pt>
                <c:pt idx="18">
                  <c:v>8.6419098143236077</c:v>
                </c:pt>
                <c:pt idx="19">
                  <c:v>8.6599496221662466</c:v>
                </c:pt>
                <c:pt idx="20">
                  <c:v>8.6762589928057547</c:v>
                </c:pt>
                <c:pt idx="21">
                  <c:v>8.6910755148741412</c:v>
                </c:pt>
                <c:pt idx="22">
                  <c:v>8.7045951859956237</c:v>
                </c:pt>
                <c:pt idx="23">
                  <c:v>8.7169811320754711</c:v>
                </c:pt>
                <c:pt idx="24">
                  <c:v>8.7283702213279675</c:v>
                </c:pt>
                <c:pt idx="25">
                  <c:v>8.7388781431334621</c:v>
                </c:pt>
                <c:pt idx="26">
                  <c:v>8.7486033519553068</c:v>
                </c:pt>
                <c:pt idx="27">
                  <c:v>8.7576301615798933</c:v>
                </c:pt>
                <c:pt idx="28">
                  <c:v>8.7660311958405543</c:v>
                </c:pt>
                <c:pt idx="29">
                  <c:v>8.7738693467336688</c:v>
                </c:pt>
                <c:pt idx="30">
                  <c:v>8.7811993517017832</c:v>
                </c:pt>
                <c:pt idx="31">
                  <c:v>8.78806907378336</c:v>
                </c:pt>
                <c:pt idx="32">
                  <c:v>8.794520547945206</c:v>
                </c:pt>
                <c:pt idx="33">
                  <c:v>8.8005908419497789</c:v>
                </c:pt>
                <c:pt idx="34">
                  <c:v>8.8063127690100433</c:v>
                </c:pt>
                <c:pt idx="35">
                  <c:v>8.8117154811715483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AA-49B1-934C-B331BA9ED09B}"/>
            </c:ext>
          </c:extLst>
        </c:ser>
        <c:ser>
          <c:idx val="1"/>
          <c:order val="1"/>
          <c:tx>
            <c:strRef>
              <c:f>'Belasteter Spannungsteiler'!$B$42</c:f>
              <c:strCache>
                <c:ptCount val="1"/>
                <c:pt idx="0">
                  <c:v>UL = f(RL)   R11/R22 =0.333333333333333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100</c:v>
                </c:pt>
                <c:pt idx="1">
                  <c:v>1100</c:v>
                </c:pt>
                <c:pt idx="2">
                  <c:v>2100</c:v>
                </c:pt>
                <c:pt idx="3">
                  <c:v>3100</c:v>
                </c:pt>
                <c:pt idx="4">
                  <c:v>4100</c:v>
                </c:pt>
                <c:pt idx="5">
                  <c:v>5100</c:v>
                </c:pt>
                <c:pt idx="6">
                  <c:v>6100</c:v>
                </c:pt>
                <c:pt idx="7">
                  <c:v>7100</c:v>
                </c:pt>
                <c:pt idx="8">
                  <c:v>8100</c:v>
                </c:pt>
                <c:pt idx="9">
                  <c:v>9100</c:v>
                </c:pt>
                <c:pt idx="10">
                  <c:v>10100</c:v>
                </c:pt>
                <c:pt idx="11">
                  <c:v>11100</c:v>
                </c:pt>
                <c:pt idx="12">
                  <c:v>12100</c:v>
                </c:pt>
                <c:pt idx="13">
                  <c:v>13100</c:v>
                </c:pt>
                <c:pt idx="14">
                  <c:v>14100</c:v>
                </c:pt>
                <c:pt idx="15">
                  <c:v>15100</c:v>
                </c:pt>
                <c:pt idx="16">
                  <c:v>16100</c:v>
                </c:pt>
                <c:pt idx="17">
                  <c:v>17100</c:v>
                </c:pt>
                <c:pt idx="18">
                  <c:v>18100</c:v>
                </c:pt>
                <c:pt idx="19">
                  <c:v>19100</c:v>
                </c:pt>
                <c:pt idx="20">
                  <c:v>20100</c:v>
                </c:pt>
                <c:pt idx="21">
                  <c:v>21100</c:v>
                </c:pt>
                <c:pt idx="22">
                  <c:v>22100</c:v>
                </c:pt>
                <c:pt idx="23">
                  <c:v>23100</c:v>
                </c:pt>
                <c:pt idx="24">
                  <c:v>24100</c:v>
                </c:pt>
                <c:pt idx="25">
                  <c:v>25100</c:v>
                </c:pt>
                <c:pt idx="26">
                  <c:v>26100</c:v>
                </c:pt>
                <c:pt idx="27">
                  <c:v>27100</c:v>
                </c:pt>
                <c:pt idx="28">
                  <c:v>28100</c:v>
                </c:pt>
                <c:pt idx="29">
                  <c:v>29100</c:v>
                </c:pt>
                <c:pt idx="30">
                  <c:v>30100</c:v>
                </c:pt>
                <c:pt idx="31">
                  <c:v>31100</c:v>
                </c:pt>
                <c:pt idx="32">
                  <c:v>32100</c:v>
                </c:pt>
                <c:pt idx="33">
                  <c:v>33100</c:v>
                </c:pt>
                <c:pt idx="34">
                  <c:v>34100</c:v>
                </c:pt>
                <c:pt idx="35">
                  <c:v>35100</c:v>
                </c:pt>
              </c:numCache>
            </c:numRef>
          </c:xVal>
          <c:yVal>
            <c:numRef>
              <c:f>'Belasteter Spannungsteiler'!$D$35:$AM$35</c:f>
              <c:numCache>
                <c:formatCode>#,##0.00</c:formatCode>
                <c:ptCount val="36"/>
                <c:pt idx="0">
                  <c:v>0.47368421052631682</c:v>
                </c:pt>
                <c:pt idx="1">
                  <c:v>3.4137931034482758</c:v>
                </c:pt>
                <c:pt idx="2">
                  <c:v>4.8461538461538458</c:v>
                </c:pt>
                <c:pt idx="3">
                  <c:v>5.6938775510204085</c:v>
                </c:pt>
                <c:pt idx="4">
                  <c:v>6.2542372881355925</c:v>
                </c:pt>
                <c:pt idx="5">
                  <c:v>6.6521739130434785</c:v>
                </c:pt>
                <c:pt idx="6">
                  <c:v>6.9493670886075947</c:v>
                </c:pt>
                <c:pt idx="7">
                  <c:v>7.1797752808988768</c:v>
                </c:pt>
                <c:pt idx="8">
                  <c:v>7.3636363636363642</c:v>
                </c:pt>
                <c:pt idx="9">
                  <c:v>7.5137614678899078</c:v>
                </c:pt>
                <c:pt idx="10">
                  <c:v>7.6386554621848743</c:v>
                </c:pt>
                <c:pt idx="11">
                  <c:v>7.7441860465116283</c:v>
                </c:pt>
                <c:pt idx="12">
                  <c:v>7.8345323741007196</c:v>
                </c:pt>
                <c:pt idx="13">
                  <c:v>7.9127516778523486</c:v>
                </c:pt>
                <c:pt idx="14">
                  <c:v>7.9811320754716979</c:v>
                </c:pt>
                <c:pt idx="15">
                  <c:v>8.0414201183431953</c:v>
                </c:pt>
                <c:pt idx="16">
                  <c:v>8.094972067039107</c:v>
                </c:pt>
                <c:pt idx="17">
                  <c:v>8.1428571428571423</c:v>
                </c:pt>
                <c:pt idx="18">
                  <c:v>8.1859296482412063</c:v>
                </c:pt>
                <c:pt idx="19">
                  <c:v>8.2248803827751189</c:v>
                </c:pt>
                <c:pt idx="20">
                  <c:v>8.2602739726027394</c:v>
                </c:pt>
                <c:pt idx="21">
                  <c:v>8.2925764192139741</c:v>
                </c:pt>
                <c:pt idx="22">
                  <c:v>8.3221757322175733</c:v>
                </c:pt>
                <c:pt idx="23">
                  <c:v>8.3493975903614448</c:v>
                </c:pt>
                <c:pt idx="24">
                  <c:v>8.3745173745173744</c:v>
                </c:pt>
                <c:pt idx="25">
                  <c:v>8.3977695167286246</c:v>
                </c:pt>
                <c:pt idx="26">
                  <c:v>8.4193548387096762</c:v>
                </c:pt>
                <c:pt idx="27">
                  <c:v>8.4394463667820077</c:v>
                </c:pt>
                <c:pt idx="28">
                  <c:v>8.4581939799331103</c:v>
                </c:pt>
                <c:pt idx="29">
                  <c:v>8.4757281553398052</c:v>
                </c:pt>
                <c:pt idx="30">
                  <c:v>8.4921630094043898</c:v>
                </c:pt>
                <c:pt idx="31">
                  <c:v>8.5075987841945295</c:v>
                </c:pt>
                <c:pt idx="32">
                  <c:v>8.5221238938053094</c:v>
                </c:pt>
                <c:pt idx="33">
                  <c:v>8.5358166189111753</c:v>
                </c:pt>
                <c:pt idx="34">
                  <c:v>8.5487465181058511</c:v>
                </c:pt>
                <c:pt idx="35">
                  <c:v>8.5609756097560972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AA-49B1-934C-B331BA9ED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17840"/>
        <c:axId val="56121200"/>
      </c:scatterChart>
      <c:valAx>
        <c:axId val="5611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21200"/>
        <c:crosses val="autoZero"/>
        <c:crossBetween val="midCat"/>
      </c:valAx>
      <c:valAx>
        <c:axId val="5612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17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'LCR-Glieder'!$AD$10:$AE$10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'LCR-Glieder'!$AG$10:$AH$10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'LCR-Glieder'!$AD$9:$AE$9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'LCR-Glieder'!$AG$9:$AH$9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'LCR-Glieder'!$X$7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'LCR-Glieder'!$AD$7:$AE$7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'LCR-Glieder'!$AG$7:$AH$7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'LCR-Glieder'!$Z$8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'LCR-Glieder'!$AD$8:$AE$8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'LCR-Glieder'!$AG$8:$AH$8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'LCR-Glieder'!$Z$9</c:f>
              <c:strCache>
                <c:ptCount val="1"/>
                <c:pt idx="0">
                  <c:v>ZRC = 1879.64Ω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'LCR-Glieder'!$AD$11:$AE$11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'LCR-Glieder'!$AG$11:$AH$11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'LCR-Glieder'!$AD$28:$AE$28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'LCR-Glieder'!$AG$28:$AH$28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'LCR-Glieder'!$AD$27:$AE$27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xVal>
          <c:yVal>
            <c:numRef>
              <c:f>'LCR-Glieder'!$AG$27:$AH$27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'LCR-Glieder'!$AD$26:$AE$26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'LCR-Glieder'!$AG$26:$AH$26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'LCR-Glieder'!$Z$27</c:f>
              <c:strCache>
                <c:ptCount val="1"/>
                <c:pt idx="0">
                  <c:v>ZRL = 1031.1Ω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'LCR-Glieder'!$AD$29:$AE$29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'LCR-Glieder'!$AG$29:$AH$29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'LCR-Glieder'!$AD$53:$AE$53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'LCR-Glieder'!$AG$53:$AH$53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'LCR-Glieder'!$AD$52:$AE$52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'LCR-Glieder'!$AG$52:$AH$52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'LCR-Glieder'!$AD$47:$AE$47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'LCR-Glieder'!$AG$47:$AH$47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'LCR-Glieder'!$M$15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'LCR-Glieder'!$AD$46:$AE$46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'LCR-Glieder'!$AG$46:$AH$46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'LCR-Glieder'!$AC$48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'LCR-Glieder'!$AD$48:$AE$48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'LCR-Glieder'!$AG$48:$AH$48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'LCR-Glieder'!$AC$51</c:f>
              <c:strCache>
                <c:ptCount val="1"/>
                <c:pt idx="0">
                  <c:v>ZRLC: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'LCR-Glieder'!$AD$51:$AE$51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'LCR-Glieder'!$AG$51:$AH$51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Gleichspannung'!$B$33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Gleichspannung'!$C$33:$W$33</c:f>
              <c:numCache>
                <c:formatCode>#,##0.00</c:formatCode>
                <c:ptCount val="21"/>
                <c:pt idx="0">
                  <c:v>0</c:v>
                </c:pt>
                <c:pt idx="1">
                  <c:v>5.7838375752096614</c:v>
                </c:pt>
                <c:pt idx="2">
                  <c:v>10.959442839575557</c:v>
                </c:pt>
                <c:pt idx="3">
                  <c:v>15.59077791844159</c:v>
                </c:pt>
                <c:pt idx="4">
                  <c:v>19.735078636352497</c:v>
                </c:pt>
                <c:pt idx="5">
                  <c:v>23.443561859441193</c:v>
                </c:pt>
                <c:pt idx="6">
                  <c:v>26.762058453207434</c:v>
                </c:pt>
                <c:pt idx="7">
                  <c:v>29.731579678024037</c:v>
                </c:pt>
                <c:pt idx="8">
                  <c:v>32.388824022104686</c:v>
                </c:pt>
                <c:pt idx="9">
                  <c:v>34.766630735570672</c:v>
                </c:pt>
                <c:pt idx="10">
                  <c:v>36.894385670565192</c:v>
                </c:pt>
                <c:pt idx="11">
                  <c:v>38.798384442944084</c:v>
                </c:pt>
                <c:pt idx="12">
                  <c:v>40.502157403635024</c:v>
                </c:pt>
                <c:pt idx="13">
                  <c:v>42.026760435786493</c:v>
                </c:pt>
                <c:pt idx="14">
                  <c:v>43.391035171490039</c:v>
                </c:pt>
                <c:pt idx="15">
                  <c:v>44.611841843934094</c:v>
                </c:pt>
                <c:pt idx="16">
                  <c:v>45.70426765266636</c:v>
                </c:pt>
                <c:pt idx="17">
                  <c:v>46.681813217022736</c:v>
                </c:pt>
                <c:pt idx="18">
                  <c:v>47.556559421986293</c:v>
                </c:pt>
                <c:pt idx="19">
                  <c:v>48.339316718421863</c:v>
                </c:pt>
                <c:pt idx="20">
                  <c:v>49.039758722795725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Gleichspannung'!$I$39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Gleichspannung'!$I$40:$J$40</c:f>
              <c:numCache>
                <c:formatCode>General</c:formatCode>
                <c:ptCount val="2"/>
                <c:pt idx="0">
                  <c:v>18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Gleichspannung'!$I$41:$J$41</c:f>
              <c:numCache>
                <c:formatCode>General</c:formatCode>
                <c:ptCount val="2"/>
                <c:pt idx="0">
                  <c:v>0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Gleichspannung'!$I$43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Gleichspannung'!$I$44:$J$44</c:f>
              <c:numCache>
                <c:formatCode>General</c:formatCode>
                <c:ptCount val="2"/>
                <c:pt idx="0">
                  <c:v>0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Gleichspannung'!$I$45:$J$45</c:f>
              <c:numCache>
                <c:formatCode>General</c:formatCode>
                <c:ptCount val="2"/>
                <c:pt idx="0">
                  <c:v>34.766630735570672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ser>
          <c:idx val="3"/>
          <c:order val="3"/>
          <c:tx>
            <c:strRef>
              <c:f>'Kondensator an Gleichspannung'!$Y$30</c:f>
              <c:strCache>
                <c:ptCount val="1"/>
                <c:pt idx="0">
                  <c:v>Asymptote:</c:v>
                </c:pt>
              </c:strCache>
            </c:strRef>
          </c:tx>
          <c:spPr>
            <a:ln w="63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Gleichspannung'!$Y$31:$Z$31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'Kondensator an Gleichspannung'!$Y$32:$Z$32</c:f>
              <c:numCache>
                <c:formatCode>#,##0.00</c:formatCode>
                <c:ptCount val="2"/>
                <c:pt idx="0">
                  <c:v>55</c:v>
                </c:pt>
                <c:pt idx="1">
                  <c:v>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2A-40EE-B37B-F9E99BA9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172154103073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Gleichspannung'!$N$44</c:f>
              <c:strCache>
                <c:ptCount val="1"/>
                <c:pt idx="0">
                  <c:v>y = 1 - e-x =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Gleichspannung'!$O$44:$Y$44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ser>
          <c:idx val="1"/>
          <c:order val="1"/>
          <c:tx>
            <c:strRef>
              <c:f>'Kondensator an Gleichspannung'!$N$45</c:f>
              <c:strCache>
                <c:ptCount val="1"/>
                <c:pt idx="0">
                  <c:v>y = e-x =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Gleichspannung'!$O$45:$Y$45</c:f>
              <c:numCache>
                <c:formatCode>0.0%</c:formatCode>
                <c:ptCount val="11"/>
                <c:pt idx="0">
                  <c:v>1</c:v>
                </c:pt>
                <c:pt idx="1">
                  <c:v>0.36787944117144233</c:v>
                </c:pt>
                <c:pt idx="2">
                  <c:v>0.1353352832366127</c:v>
                </c:pt>
                <c:pt idx="3">
                  <c:v>4.9787068367863944E-2</c:v>
                </c:pt>
                <c:pt idx="4">
                  <c:v>1.8315638888734179E-2</c:v>
                </c:pt>
                <c:pt idx="5">
                  <c:v>6.737946999085467E-3</c:v>
                </c:pt>
                <c:pt idx="6">
                  <c:v>2.4787521766663585E-3</c:v>
                </c:pt>
                <c:pt idx="7">
                  <c:v>9.1188196555451624E-4</c:v>
                </c:pt>
                <c:pt idx="8">
                  <c:v>3.3546262790251185E-4</c:v>
                </c:pt>
                <c:pt idx="9">
                  <c:v>1.2340980408667956E-4</c:v>
                </c:pt>
                <c:pt idx="10">
                  <c:v>4.5399929762484854E-5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5-41CF-8C89-A5E6A2D6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Entladekurve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83252249370003"/>
          <c:y val="0.17191196038432627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Gleichspannung'!$B$34</c:f>
              <c:strCache>
                <c:ptCount val="1"/>
                <c:pt idx="0">
                  <c:v>UC(t) = U0(e^(-t/RC))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Gleichspannung'!$C$34:$W$34</c:f>
              <c:numCache>
                <c:formatCode>#,##0.00</c:formatCode>
                <c:ptCount val="21"/>
                <c:pt idx="0">
                  <c:v>55</c:v>
                </c:pt>
                <c:pt idx="1">
                  <c:v>49.21616242479034</c:v>
                </c:pt>
                <c:pt idx="2">
                  <c:v>44.040557160424441</c:v>
                </c:pt>
                <c:pt idx="3">
                  <c:v>39.409222081558411</c:v>
                </c:pt>
                <c:pt idx="4">
                  <c:v>35.264921363647503</c:v>
                </c:pt>
                <c:pt idx="5">
                  <c:v>31.556438140558807</c:v>
                </c:pt>
                <c:pt idx="6">
                  <c:v>28.237941546792566</c:v>
                </c:pt>
                <c:pt idx="7">
                  <c:v>25.268420321975963</c:v>
                </c:pt>
                <c:pt idx="8">
                  <c:v>22.611175977895314</c:v>
                </c:pt>
                <c:pt idx="9">
                  <c:v>20.233369264429331</c:v>
                </c:pt>
                <c:pt idx="10">
                  <c:v>18.105614329434808</c:v>
                </c:pt>
                <c:pt idx="11">
                  <c:v>16.201615557055913</c:v>
                </c:pt>
                <c:pt idx="12">
                  <c:v>14.497842596364976</c:v>
                </c:pt>
                <c:pt idx="13">
                  <c:v>12.973239564213504</c:v>
                </c:pt>
                <c:pt idx="14">
                  <c:v>11.608964828509963</c:v>
                </c:pt>
                <c:pt idx="15">
                  <c:v>10.388158156065906</c:v>
                </c:pt>
                <c:pt idx="16">
                  <c:v>9.2957323473336366</c:v>
                </c:pt>
                <c:pt idx="17">
                  <c:v>8.3181867829772695</c:v>
                </c:pt>
                <c:pt idx="18">
                  <c:v>7.4434405780137016</c:v>
                </c:pt>
                <c:pt idx="19">
                  <c:v>6.6606832815781374</c:v>
                </c:pt>
                <c:pt idx="20">
                  <c:v>5.9602412772042754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F-4A63-BABB-8201D53F8D5A}"/>
            </c:ext>
          </c:extLst>
        </c:ser>
        <c:ser>
          <c:idx val="1"/>
          <c:order val="1"/>
          <c:tx>
            <c:strRef>
              <c:f>'Kondensator an Gleichspannung'!$H$72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Gleichspannung'!$H$73:$I$73</c:f>
              <c:numCache>
                <c:formatCode>General</c:formatCode>
                <c:ptCount val="2"/>
                <c:pt idx="0">
                  <c:v>18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Gleichspannung'!$H$74:$I$74</c:f>
              <c:numCache>
                <c:formatCode>General</c:formatCode>
                <c:ptCount val="2"/>
                <c:pt idx="0">
                  <c:v>0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F-4A63-BABB-8201D53F8D5A}"/>
            </c:ext>
          </c:extLst>
        </c:ser>
        <c:ser>
          <c:idx val="2"/>
          <c:order val="2"/>
          <c:tx>
            <c:strRef>
              <c:f>'Kondensator an Gleichspannung'!$H$76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bg2">
                  <a:lumMod val="1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Gleichspannung'!$H$77:$I$77</c:f>
              <c:numCache>
                <c:formatCode>General</c:formatCode>
                <c:ptCount val="2"/>
                <c:pt idx="0">
                  <c:v>0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Gleichspannung'!$H$78:$I$78</c:f>
              <c:numCache>
                <c:formatCode>General</c:formatCode>
                <c:ptCount val="2"/>
                <c:pt idx="0">
                  <c:v>20.233369264429328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EF-4A63-BABB-8201D53F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243389523936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Sinus_Cosinus!$G$12</c:f>
              <c:strCache>
                <c:ptCount val="1"/>
                <c:pt idx="0">
                  <c:v>2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Sinus_Cosinus!$H$12:$AV$12</c:f>
              <c:numCache>
                <c:formatCode>#,##0.00</c:formatCode>
                <c:ptCount val="41"/>
                <c:pt idx="0">
                  <c:v>0</c:v>
                </c:pt>
                <c:pt idx="1">
                  <c:v>0.34729635533386066</c:v>
                </c:pt>
                <c:pt idx="2">
                  <c:v>0.68404028665133743</c:v>
                </c:pt>
                <c:pt idx="3">
                  <c:v>0.99999999999999989</c:v>
                </c:pt>
                <c:pt idx="4">
                  <c:v>1.2855752193730785</c:v>
                </c:pt>
                <c:pt idx="5">
                  <c:v>1.532088886237956</c:v>
                </c:pt>
                <c:pt idx="6">
                  <c:v>1.7320508075688772</c:v>
                </c:pt>
                <c:pt idx="7">
                  <c:v>1.8793852415718166</c:v>
                </c:pt>
                <c:pt idx="8">
                  <c:v>1.969615506024416</c:v>
                </c:pt>
                <c:pt idx="9">
                  <c:v>2</c:v>
                </c:pt>
                <c:pt idx="10">
                  <c:v>1.969615506024416</c:v>
                </c:pt>
                <c:pt idx="11">
                  <c:v>1.8793852415718169</c:v>
                </c:pt>
                <c:pt idx="12">
                  <c:v>1.7320508075688774</c:v>
                </c:pt>
                <c:pt idx="13">
                  <c:v>1.532088886237956</c:v>
                </c:pt>
                <c:pt idx="14">
                  <c:v>1.2855752193730789</c:v>
                </c:pt>
                <c:pt idx="15">
                  <c:v>0.99999999999999989</c:v>
                </c:pt>
                <c:pt idx="16">
                  <c:v>0.68404028665133776</c:v>
                </c:pt>
                <c:pt idx="17">
                  <c:v>0.34729635533386055</c:v>
                </c:pt>
                <c:pt idx="18">
                  <c:v>2.45029690981724E-16</c:v>
                </c:pt>
                <c:pt idx="19">
                  <c:v>-0.34729635533386094</c:v>
                </c:pt>
                <c:pt idx="20">
                  <c:v>-0.68404028665133731</c:v>
                </c:pt>
                <c:pt idx="21">
                  <c:v>-1.0000000000000002</c:v>
                </c:pt>
                <c:pt idx="22">
                  <c:v>-1.2855752193730785</c:v>
                </c:pt>
                <c:pt idx="23">
                  <c:v>-1.5320888862379558</c:v>
                </c:pt>
                <c:pt idx="24">
                  <c:v>-1.7320508075688767</c:v>
                </c:pt>
                <c:pt idx="25">
                  <c:v>-1.8793852415718164</c:v>
                </c:pt>
                <c:pt idx="26">
                  <c:v>-1.969615506024416</c:v>
                </c:pt>
                <c:pt idx="27">
                  <c:v>-2</c:v>
                </c:pt>
                <c:pt idx="28">
                  <c:v>-1.9696155060244163</c:v>
                </c:pt>
                <c:pt idx="29">
                  <c:v>-1.8793852415718171</c:v>
                </c:pt>
                <c:pt idx="30">
                  <c:v>-1.7320508075688772</c:v>
                </c:pt>
                <c:pt idx="31">
                  <c:v>-1.5320888862379562</c:v>
                </c:pt>
                <c:pt idx="32">
                  <c:v>-1.2855752193730792</c:v>
                </c:pt>
                <c:pt idx="33">
                  <c:v>-1.0000000000000009</c:v>
                </c:pt>
                <c:pt idx="34">
                  <c:v>-0.6840402866513372</c:v>
                </c:pt>
                <c:pt idx="35">
                  <c:v>-0.34729635533386255</c:v>
                </c:pt>
                <c:pt idx="36">
                  <c:v>-4.90059381963448E-16</c:v>
                </c:pt>
                <c:pt idx="37">
                  <c:v>0.34729635533385983</c:v>
                </c:pt>
                <c:pt idx="38">
                  <c:v>0.68404028665133787</c:v>
                </c:pt>
                <c:pt idx="39">
                  <c:v>0.99999999999999856</c:v>
                </c:pt>
                <c:pt idx="40">
                  <c:v>1.2855752193730783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Sinus_Cosinus!$G$13</c:f>
              <c:strCache>
                <c:ptCount val="1"/>
                <c:pt idx="0">
                  <c:v>2 * cos(x)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Sinus_Cosinus!$H$13:$AV$13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1.2855752193730787</c:v>
                </c:pt>
                <c:pt idx="6">
                  <c:v>1.0000000000000002</c:v>
                </c:pt>
                <c:pt idx="7">
                  <c:v>0.68404028665133765</c:v>
                </c:pt>
                <c:pt idx="8">
                  <c:v>0.34729635533386083</c:v>
                </c:pt>
                <c:pt idx="9">
                  <c:v>1.22514845490862E-16</c:v>
                </c:pt>
                <c:pt idx="10">
                  <c:v>-0.34729635533386061</c:v>
                </c:pt>
                <c:pt idx="11">
                  <c:v>-0.68404028665133743</c:v>
                </c:pt>
                <c:pt idx="12">
                  <c:v>-0.99999999999999956</c:v>
                </c:pt>
                <c:pt idx="13">
                  <c:v>-1.2855752193730787</c:v>
                </c:pt>
                <c:pt idx="14">
                  <c:v>-1.5320888862379558</c:v>
                </c:pt>
                <c:pt idx="15">
                  <c:v>-1.7320508075688774</c:v>
                </c:pt>
                <c:pt idx="16">
                  <c:v>-1.8793852415718166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</c:v>
                </c:pt>
                <c:pt idx="20">
                  <c:v>-1.8793852415718169</c:v>
                </c:pt>
                <c:pt idx="21">
                  <c:v>-1.7320508075688772</c:v>
                </c:pt>
                <c:pt idx="22">
                  <c:v>-1.532088886237956</c:v>
                </c:pt>
                <c:pt idx="23">
                  <c:v>-1.2855752193730789</c:v>
                </c:pt>
                <c:pt idx="24">
                  <c:v>-1.0000000000000009</c:v>
                </c:pt>
                <c:pt idx="25">
                  <c:v>-0.68404028665133876</c:v>
                </c:pt>
                <c:pt idx="26">
                  <c:v>-0.34729635533386066</c:v>
                </c:pt>
                <c:pt idx="27">
                  <c:v>-3.67544536472586E-16</c:v>
                </c:pt>
                <c:pt idx="28">
                  <c:v>0.34729635533385994</c:v>
                </c:pt>
                <c:pt idx="29">
                  <c:v>0.68404028665133632</c:v>
                </c:pt>
                <c:pt idx="30">
                  <c:v>1.0000000000000002</c:v>
                </c:pt>
                <c:pt idx="31">
                  <c:v>1.2855752193730785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1.8793852415718166</c:v>
                </c:pt>
                <c:pt idx="39">
                  <c:v>1.7320508075688781</c:v>
                </c:pt>
                <c:pt idx="40">
                  <c:v>1.5320888862379562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Sinus_Cosinus!$AZ$9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Sinus_Cosinus!$BC$3:$BD$3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Sinus_Cosinus!$BC$4:$BD$4</c:f>
              <c:numCache>
                <c:formatCode>#,##0.00</c:formatCode>
                <c:ptCount val="2"/>
                <c:pt idx="0">
                  <c:v>0</c:v>
                </c:pt>
                <c:pt idx="1">
                  <c:v>1.9696155060244163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Sinus_Cosinus!$H$16:$AV$16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Sinus_Cosinus!$G$17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Sinus_Cosinus!$H$17:$AV$17</c:f>
              <c:numCache>
                <c:formatCode>#,##0.00</c:formatCode>
                <c:ptCount val="41"/>
                <c:pt idx="0">
                  <c:v>0</c:v>
                </c:pt>
                <c:pt idx="1">
                  <c:v>0.68404028665133731</c:v>
                </c:pt>
                <c:pt idx="2">
                  <c:v>1.2855752193730787</c:v>
                </c:pt>
                <c:pt idx="3">
                  <c:v>1.7320508075688772</c:v>
                </c:pt>
                <c:pt idx="4">
                  <c:v>1.9696155060244158</c:v>
                </c:pt>
                <c:pt idx="5">
                  <c:v>1.9696155060244163</c:v>
                </c:pt>
                <c:pt idx="6">
                  <c:v>1.7320508075688776</c:v>
                </c:pt>
                <c:pt idx="7">
                  <c:v>1.2855752193730789</c:v>
                </c:pt>
                <c:pt idx="8">
                  <c:v>0.68404028665133765</c:v>
                </c:pt>
                <c:pt idx="9">
                  <c:v>2.45029690981724E-16</c:v>
                </c:pt>
                <c:pt idx="10">
                  <c:v>-0.68404028665133731</c:v>
                </c:pt>
                <c:pt idx="11">
                  <c:v>-1.2855752193730787</c:v>
                </c:pt>
                <c:pt idx="12">
                  <c:v>-1.7320508075688767</c:v>
                </c:pt>
                <c:pt idx="13">
                  <c:v>-1.9696155060244163</c:v>
                </c:pt>
                <c:pt idx="14">
                  <c:v>-1.9696155060244163</c:v>
                </c:pt>
                <c:pt idx="15">
                  <c:v>-1.7320508075688772</c:v>
                </c:pt>
                <c:pt idx="16">
                  <c:v>-1.2855752193730792</c:v>
                </c:pt>
                <c:pt idx="17">
                  <c:v>-0.6840402866513372</c:v>
                </c:pt>
                <c:pt idx="18">
                  <c:v>-4.90059381963448E-16</c:v>
                </c:pt>
                <c:pt idx="19">
                  <c:v>0.68404028665133787</c:v>
                </c:pt>
                <c:pt idx="20">
                  <c:v>1.2855752193730785</c:v>
                </c:pt>
                <c:pt idx="21">
                  <c:v>1.7320508075688776</c:v>
                </c:pt>
                <c:pt idx="22">
                  <c:v>1.9696155060244158</c:v>
                </c:pt>
                <c:pt idx="23">
                  <c:v>1.9696155060244163</c:v>
                </c:pt>
                <c:pt idx="24">
                  <c:v>1.7320508075688783</c:v>
                </c:pt>
                <c:pt idx="25">
                  <c:v>1.2855752193730809</c:v>
                </c:pt>
                <c:pt idx="26">
                  <c:v>0.68404028665133731</c:v>
                </c:pt>
                <c:pt idx="27">
                  <c:v>7.3508907294517201E-16</c:v>
                </c:pt>
                <c:pt idx="28">
                  <c:v>-0.68404028665133598</c:v>
                </c:pt>
                <c:pt idx="29">
                  <c:v>-1.2855752193730767</c:v>
                </c:pt>
                <c:pt idx="30">
                  <c:v>-1.7320508075688776</c:v>
                </c:pt>
                <c:pt idx="31">
                  <c:v>-1.969615506024416</c:v>
                </c:pt>
                <c:pt idx="32">
                  <c:v>-1.9696155060244163</c:v>
                </c:pt>
                <c:pt idx="33">
                  <c:v>-1.7320508075688783</c:v>
                </c:pt>
                <c:pt idx="34">
                  <c:v>-1.2855752193730783</c:v>
                </c:pt>
                <c:pt idx="35">
                  <c:v>-0.68404028665134098</c:v>
                </c:pt>
                <c:pt idx="36">
                  <c:v>-9.8011876392689601E-16</c:v>
                </c:pt>
                <c:pt idx="37">
                  <c:v>0.68404028665133576</c:v>
                </c:pt>
                <c:pt idx="38">
                  <c:v>1.2855752193730794</c:v>
                </c:pt>
                <c:pt idx="39">
                  <c:v>1.7320508075688756</c:v>
                </c:pt>
                <c:pt idx="40">
                  <c:v>1.9696155060244158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Sinus_Cosinus!$BG$12:$BH$12</c:f>
              <c:numCache>
                <c:formatCode>0.000</c:formatCode>
                <c:ptCount val="2"/>
                <c:pt idx="0">
                  <c:v>0</c:v>
                </c:pt>
                <c:pt idx="1">
                  <c:v>1.2855752193730787</c:v>
                </c:pt>
              </c:numCache>
            </c:numRef>
          </c:xVal>
          <c:yVal>
            <c:numRef>
              <c:f>Sinus_Cosinus!$BI$12:$BJ$12</c:f>
              <c:numCache>
                <c:formatCode>0.000</c:formatCode>
                <c:ptCount val="2"/>
                <c:pt idx="0">
                  <c:v>0</c:v>
                </c:pt>
                <c:pt idx="1">
                  <c:v>1.532088886237956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Sinus_Cosinus!$BG$13:$BH$13</c:f>
              <c:numCache>
                <c:formatCode>0.000</c:formatCode>
                <c:ptCount val="2"/>
                <c:pt idx="0">
                  <c:v>0</c:v>
                </c:pt>
                <c:pt idx="1">
                  <c:v>-1.5320888862379558</c:v>
                </c:pt>
              </c:numCache>
            </c:numRef>
          </c:xVal>
          <c:yVal>
            <c:numRef>
              <c:f>Sinus_Cosinus!$BI$13:$BJ$13</c:f>
              <c:numCache>
                <c:formatCode>0.000</c:formatCode>
                <c:ptCount val="2"/>
                <c:pt idx="0">
                  <c:v>0</c:v>
                </c:pt>
                <c:pt idx="1">
                  <c:v>1.2855752193730789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Sinus_Cosinus!$BK$9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Sinus_Cosinus!$BL$11:$BO$11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-2</c:v>
                </c:pt>
              </c:numCache>
            </c:numRef>
          </c:xVal>
          <c:yVal>
            <c:numRef>
              <c:f>Sinus_Cosinus!$BP$11:$BS$11</c:f>
              <c:numCache>
                <c:formatCode>General</c:formatCode>
                <c:ptCount val="4"/>
                <c:pt idx="0">
                  <c:v>2</c:v>
                </c:pt>
                <c:pt idx="1">
                  <c:v>0</c:v>
                </c:pt>
                <c:pt idx="2">
                  <c:v>-2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Sinus_Cosinus!$BG$16:$BH$16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Sinus_Cosinus!$BI$16:$BJ$16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Sinus_Cosinus!$BK$15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Sinus_Cosinus!$BK$16:$BL$16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Sinus_Cosinus!$BM$16:$BN$16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Sinus_Cosinus!$BO$15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Sinus_Cosinus!$BO$16:$BP$16</c:f>
              <c:numCache>
                <c:formatCode>0.000</c:formatCode>
                <c:ptCount val="2"/>
                <c:pt idx="0">
                  <c:v>1.2855752193730787</c:v>
                </c:pt>
                <c:pt idx="1">
                  <c:v>0</c:v>
                </c:pt>
              </c:numCache>
            </c:numRef>
          </c:xVal>
          <c:yVal>
            <c:numRef>
              <c:f>Sinus_Cosinus!$BQ$16:$BR$16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Sinus_Cosinus!$H$61:$AV$61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Sinus_Cosinus!$G$62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Sinus_Cosinus!$H$62:$AV$62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Sinuskurve!$H$12</c:f>
              <c:strCache>
                <c:ptCount val="1"/>
                <c:pt idx="0">
                  <c:v>y1 = sin(α)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Sinuskurve!$J$12:$AX$12</c:f>
              <c:numCache>
                <c:formatCode>#,##0.00_ ;[Red]\-#,##0.00\ </c:formatCode>
                <c:ptCount val="41"/>
                <c:pt idx="0">
                  <c:v>0.17364817766693033</c:v>
                </c:pt>
                <c:pt idx="1">
                  <c:v>0.34202014332566871</c:v>
                </c:pt>
                <c:pt idx="2">
                  <c:v>0.49999999999999994</c:v>
                </c:pt>
                <c:pt idx="3">
                  <c:v>0.64278760968653925</c:v>
                </c:pt>
                <c:pt idx="4">
                  <c:v>0.76604444311897801</c:v>
                </c:pt>
                <c:pt idx="5">
                  <c:v>0.8660254037844386</c:v>
                </c:pt>
                <c:pt idx="6">
                  <c:v>0.93969262078590832</c:v>
                </c:pt>
                <c:pt idx="7">
                  <c:v>0.98480775301220802</c:v>
                </c:pt>
                <c:pt idx="8">
                  <c:v>1</c:v>
                </c:pt>
                <c:pt idx="9">
                  <c:v>0.98480775301220802</c:v>
                </c:pt>
                <c:pt idx="10">
                  <c:v>0.93969262078590843</c:v>
                </c:pt>
                <c:pt idx="11">
                  <c:v>0.86602540378443871</c:v>
                </c:pt>
                <c:pt idx="12">
                  <c:v>0.76604444311897801</c:v>
                </c:pt>
                <c:pt idx="13">
                  <c:v>0.64278760968653947</c:v>
                </c:pt>
                <c:pt idx="14">
                  <c:v>0.49999999999999994</c:v>
                </c:pt>
                <c:pt idx="15">
                  <c:v>0.34202014332566888</c:v>
                </c:pt>
                <c:pt idx="16">
                  <c:v>0.17364817766693028</c:v>
                </c:pt>
                <c:pt idx="17">
                  <c:v>1.22514845490862E-16</c:v>
                </c:pt>
                <c:pt idx="18">
                  <c:v>-0.17364817766693047</c:v>
                </c:pt>
                <c:pt idx="19">
                  <c:v>-0.34202014332566866</c:v>
                </c:pt>
                <c:pt idx="20">
                  <c:v>-0.50000000000000011</c:v>
                </c:pt>
                <c:pt idx="21">
                  <c:v>-0.64278760968653925</c:v>
                </c:pt>
                <c:pt idx="22">
                  <c:v>-0.7660444431189779</c:v>
                </c:pt>
                <c:pt idx="23">
                  <c:v>-0.86602540378443837</c:v>
                </c:pt>
                <c:pt idx="24">
                  <c:v>-0.93969262078590821</c:v>
                </c:pt>
                <c:pt idx="25">
                  <c:v>-0.98480775301220802</c:v>
                </c:pt>
                <c:pt idx="26">
                  <c:v>-1</c:v>
                </c:pt>
                <c:pt idx="27">
                  <c:v>-0.98480775301220813</c:v>
                </c:pt>
                <c:pt idx="28">
                  <c:v>-0.93969262078590854</c:v>
                </c:pt>
                <c:pt idx="29">
                  <c:v>-0.8660254037844386</c:v>
                </c:pt>
                <c:pt idx="30">
                  <c:v>-0.76604444311897812</c:v>
                </c:pt>
                <c:pt idx="31">
                  <c:v>-0.64278760968653958</c:v>
                </c:pt>
                <c:pt idx="32">
                  <c:v>-0.50000000000000044</c:v>
                </c:pt>
                <c:pt idx="33">
                  <c:v>-0.3420201433256686</c:v>
                </c:pt>
                <c:pt idx="34">
                  <c:v>-0.17364817766693127</c:v>
                </c:pt>
                <c:pt idx="35">
                  <c:v>-2.45029690981724E-16</c:v>
                </c:pt>
                <c:pt idx="36">
                  <c:v>0.17364817766692991</c:v>
                </c:pt>
                <c:pt idx="37">
                  <c:v>0.34202014332566893</c:v>
                </c:pt>
                <c:pt idx="38">
                  <c:v>0.49999999999999928</c:v>
                </c:pt>
                <c:pt idx="39">
                  <c:v>0.64278760968653914</c:v>
                </c:pt>
                <c:pt idx="40">
                  <c:v>0.76604444311897779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D8-4109-ACB4-9F181B810945}"/>
            </c:ext>
          </c:extLst>
        </c:ser>
        <c:ser>
          <c:idx val="1"/>
          <c:order val="1"/>
          <c:tx>
            <c:strRef>
              <c:f>Sinuskurve!$H$13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Sinuskurve!$J$13:$AX$13</c:f>
              <c:numCache>
                <c:formatCode>#,##0.00_ ;[Red]\-#,##0.00\ </c:formatCode>
                <c:ptCount val="41"/>
                <c:pt idx="0">
                  <c:v>4.3301270189221936</c:v>
                </c:pt>
                <c:pt idx="1">
                  <c:v>2.5000000000000018</c:v>
                </c:pt>
                <c:pt idx="2">
                  <c:v>6.1257422745431001E-16</c:v>
                </c:pt>
                <c:pt idx="3">
                  <c:v>-2.4999999999999987</c:v>
                </c:pt>
                <c:pt idx="4">
                  <c:v>-4.3301270189221945</c:v>
                </c:pt>
                <c:pt idx="5">
                  <c:v>-5</c:v>
                </c:pt>
                <c:pt idx="6">
                  <c:v>-4.3301270189221954</c:v>
                </c:pt>
                <c:pt idx="7">
                  <c:v>-2.5000000000000022</c:v>
                </c:pt>
                <c:pt idx="8">
                  <c:v>-1.22514845490862E-15</c:v>
                </c:pt>
                <c:pt idx="9">
                  <c:v>2.5</c:v>
                </c:pt>
                <c:pt idx="10">
                  <c:v>4.3301270189221945</c:v>
                </c:pt>
                <c:pt idx="11">
                  <c:v>5</c:v>
                </c:pt>
                <c:pt idx="12">
                  <c:v>4.330127018922191</c:v>
                </c:pt>
                <c:pt idx="13">
                  <c:v>2.4999999999999991</c:v>
                </c:pt>
                <c:pt idx="14">
                  <c:v>1.83772268236293E-15</c:v>
                </c:pt>
                <c:pt idx="15">
                  <c:v>-2.499999999999996</c:v>
                </c:pt>
                <c:pt idx="16">
                  <c:v>-4.3301270189221936</c:v>
                </c:pt>
                <c:pt idx="17">
                  <c:v>-5</c:v>
                </c:pt>
                <c:pt idx="18">
                  <c:v>-4.330127018922191</c:v>
                </c:pt>
                <c:pt idx="19">
                  <c:v>-2.4999999999999996</c:v>
                </c:pt>
                <c:pt idx="20">
                  <c:v>6.4314872871840123E-15</c:v>
                </c:pt>
                <c:pt idx="21">
                  <c:v>2.5000000000000027</c:v>
                </c:pt>
                <c:pt idx="22">
                  <c:v>4.3301270189221936</c:v>
                </c:pt>
                <c:pt idx="23">
                  <c:v>5</c:v>
                </c:pt>
                <c:pt idx="24">
                  <c:v>4.3301270189221963</c:v>
                </c:pt>
                <c:pt idx="25">
                  <c:v>2.5</c:v>
                </c:pt>
                <c:pt idx="26">
                  <c:v>3.06287113727155E-15</c:v>
                </c:pt>
                <c:pt idx="27">
                  <c:v>-2.4999999999999947</c:v>
                </c:pt>
                <c:pt idx="28">
                  <c:v>-4.3301270189221883</c:v>
                </c:pt>
                <c:pt idx="29">
                  <c:v>-5</c:v>
                </c:pt>
                <c:pt idx="30">
                  <c:v>-4.3301270189221919</c:v>
                </c:pt>
                <c:pt idx="31">
                  <c:v>-2.500000000000016</c:v>
                </c:pt>
                <c:pt idx="32">
                  <c:v>-3.67544536472586E-15</c:v>
                </c:pt>
                <c:pt idx="33">
                  <c:v>2.5000000000000093</c:v>
                </c:pt>
                <c:pt idx="34">
                  <c:v>4.3301270189221883</c:v>
                </c:pt>
                <c:pt idx="35">
                  <c:v>5</c:v>
                </c:pt>
                <c:pt idx="36">
                  <c:v>4.3301270189222016</c:v>
                </c:pt>
                <c:pt idx="37">
                  <c:v>2.5000000000000009</c:v>
                </c:pt>
                <c:pt idx="38">
                  <c:v>2.2051587986182675E-14</c:v>
                </c:pt>
                <c:pt idx="39">
                  <c:v>-2.4999999999999938</c:v>
                </c:pt>
                <c:pt idx="40">
                  <c:v>-4.3301270189221972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F5-457B-89B0-CC4FB7C05FDE}"/>
            </c:ext>
          </c:extLst>
        </c:ser>
        <c:ser>
          <c:idx val="2"/>
          <c:order val="2"/>
          <c:tx>
            <c:strRef>
              <c:f>Sinuskurve!$D$23</c:f>
              <c:strCache>
                <c:ptCount val="1"/>
                <c:pt idx="0">
                  <c:v>Messwert: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Sinuskurve!$E$23:$F$23</c:f>
              <c:numCache>
                <c:formatCode>0.00</c:formatCode>
                <c:ptCount val="2"/>
                <c:pt idx="0">
                  <c:v>80</c:v>
                </c:pt>
                <c:pt idx="1">
                  <c:v>80</c:v>
                </c:pt>
              </c:numCache>
            </c:numRef>
          </c:xVal>
          <c:yVal>
            <c:numRef>
              <c:f>Sinuskurve!$E$24:$F$24</c:f>
              <c:numCache>
                <c:formatCode>General</c:formatCode>
                <c:ptCount val="2"/>
                <c:pt idx="0" formatCode="#,##0.00">
                  <c:v>-2.5000000000000022</c:v>
                </c:pt>
                <c:pt idx="1">
                  <c:v>0.98480775301220802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44-4C73-A6F7-F03561596932}"/>
            </c:ext>
          </c:extLst>
        </c:ser>
        <c:ser>
          <c:idx val="3"/>
          <c:order val="3"/>
          <c:tx>
            <c:strRef>
              <c:f>Sinuskurve!$D$26</c:f>
              <c:strCache>
                <c:ptCount val="1"/>
                <c:pt idx="0">
                  <c:v>X-Achse: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95000"/>
                    <a:lumOff val="5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944-4C73-A6F7-F03561596932}"/>
              </c:ext>
            </c:extLst>
          </c:dPt>
          <c:xVal>
            <c:numRef>
              <c:f>Sinuskurve!$E$26:$F$26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430.5</c:v>
                </c:pt>
              </c:numCache>
            </c:numRef>
          </c:xVal>
          <c:yVal>
            <c:numRef>
              <c:f>Sinuskurve!$E$27:$F$27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44-4C73-A6F7-F03561596932}"/>
            </c:ext>
          </c:extLst>
        </c:ser>
        <c:ser>
          <c:idx val="4"/>
          <c:order val="4"/>
          <c:tx>
            <c:strRef>
              <c:f>Sinuskurve!$D$29</c:f>
              <c:strCache>
                <c:ptCount val="1"/>
                <c:pt idx="0">
                  <c:v>Y-Achse: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Sinuskurve!$E$29:$F$29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Sinuskurve!$E$30:$F$30</c:f>
              <c:numCache>
                <c:formatCode>#,##0.00_ ;[Red]\-#,##0.00\ </c:formatCode>
                <c:ptCount val="2"/>
                <c:pt idx="0">
                  <c:v>-5</c:v>
                </c:pt>
                <c:pt idx="1">
                  <c:v>5.25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44-4C73-A6F7-F03561596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152223"/>
        <c:axId val="378155583"/>
      </c:scatterChart>
      <c:valAx>
        <c:axId val="37815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5583"/>
        <c:crosses val="autoZero"/>
        <c:crossBetween val="midCat"/>
      </c:valAx>
      <c:valAx>
        <c:axId val="37815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Sinuskurve!$H$23</c:f>
              <c:strCache>
                <c:ptCount val="1"/>
                <c:pt idx="0">
                  <c:v>y1 = sin(α)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Sinuskurve!$I$23:$J$23</c:f>
              <c:numCache>
                <c:formatCode>General</c:formatCode>
                <c:ptCount val="2"/>
                <c:pt idx="0">
                  <c:v>0</c:v>
                </c:pt>
                <c:pt idx="1">
                  <c:v>0.17101007166283441</c:v>
                </c:pt>
              </c:numCache>
            </c:numRef>
          </c:xVal>
          <c:yVal>
            <c:numRef>
              <c:f>Sinuskurve!$I$24:$J$24</c:f>
              <c:numCache>
                <c:formatCode>General</c:formatCode>
                <c:ptCount val="2"/>
                <c:pt idx="0">
                  <c:v>0</c:v>
                </c:pt>
                <c:pt idx="1">
                  <c:v>0.9698463103929541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1F-48A4-AA4D-341E35464E3F}"/>
            </c:ext>
          </c:extLst>
        </c:ser>
        <c:ser>
          <c:idx val="1"/>
          <c:order val="1"/>
          <c:tx>
            <c:strRef>
              <c:f>Sinuskurve!$H$25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Sinuskurve!$I$25:$J$25</c:f>
              <c:numCache>
                <c:formatCode>General</c:formatCode>
                <c:ptCount val="2"/>
                <c:pt idx="0">
                  <c:v>0</c:v>
                </c:pt>
                <c:pt idx="1">
                  <c:v>-0.43412044416732642</c:v>
                </c:pt>
              </c:numCache>
            </c:numRef>
          </c:xVal>
          <c:yVal>
            <c:numRef>
              <c:f>Sinuskurve!$I$26:$J$26</c:f>
              <c:numCache>
                <c:formatCode>General</c:formatCode>
                <c:ptCount val="2"/>
                <c:pt idx="0">
                  <c:v>0</c:v>
                </c:pt>
                <c:pt idx="1">
                  <c:v>-2.4620193825305221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1F-48A4-AA4D-341E35464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742848"/>
        <c:axId val="287743328"/>
      </c:scatterChart>
      <c:valAx>
        <c:axId val="28774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3328"/>
        <c:crosses val="autoZero"/>
        <c:crossBetween val="midCat"/>
      </c:valAx>
      <c:valAx>
        <c:axId val="2877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2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78.png"/><Relationship Id="rId21" Type="http://schemas.openxmlformats.org/officeDocument/2006/relationships/image" Target="../media/image130.png"/><Relationship Id="rId42" Type="http://schemas.openxmlformats.org/officeDocument/2006/relationships/customXml" Target="../ink/ink22.xml"/><Relationship Id="rId63" Type="http://schemas.openxmlformats.org/officeDocument/2006/relationships/image" Target="../media/image151.png"/><Relationship Id="rId84" Type="http://schemas.openxmlformats.org/officeDocument/2006/relationships/customXml" Target="../ink/ink43.xml"/><Relationship Id="rId138" Type="http://schemas.openxmlformats.org/officeDocument/2006/relationships/customXml" Target="../ink/ink70.xml"/><Relationship Id="rId107" Type="http://schemas.openxmlformats.org/officeDocument/2006/relationships/image" Target="../media/image173.png"/><Relationship Id="rId11" Type="http://schemas.openxmlformats.org/officeDocument/2006/relationships/image" Target="../media/image125.png"/><Relationship Id="rId32" Type="http://schemas.openxmlformats.org/officeDocument/2006/relationships/customXml" Target="../ink/ink17.xml"/><Relationship Id="rId53" Type="http://schemas.openxmlformats.org/officeDocument/2006/relationships/image" Target="../media/image146.png"/><Relationship Id="rId74" Type="http://schemas.openxmlformats.org/officeDocument/2006/relationships/customXml" Target="../ink/ink38.xml"/><Relationship Id="rId128" Type="http://schemas.openxmlformats.org/officeDocument/2006/relationships/customXml" Target="../ink/ink65.xml"/><Relationship Id="rId149" Type="http://schemas.openxmlformats.org/officeDocument/2006/relationships/image" Target="../media/image194.png"/><Relationship Id="rId5" Type="http://schemas.openxmlformats.org/officeDocument/2006/relationships/image" Target="../media/image122.png"/><Relationship Id="rId95" Type="http://schemas.openxmlformats.org/officeDocument/2006/relationships/image" Target="../media/image167.png"/><Relationship Id="rId22" Type="http://schemas.openxmlformats.org/officeDocument/2006/relationships/customXml" Target="../ink/ink12.xml"/><Relationship Id="rId27" Type="http://schemas.openxmlformats.org/officeDocument/2006/relationships/image" Target="../media/image133.png"/><Relationship Id="rId43" Type="http://schemas.openxmlformats.org/officeDocument/2006/relationships/image" Target="../media/image141.png"/><Relationship Id="rId48" Type="http://schemas.openxmlformats.org/officeDocument/2006/relationships/customXml" Target="../ink/ink25.xml"/><Relationship Id="rId64" Type="http://schemas.openxmlformats.org/officeDocument/2006/relationships/customXml" Target="../ink/ink33.xml"/><Relationship Id="rId69" Type="http://schemas.openxmlformats.org/officeDocument/2006/relationships/image" Target="../media/image154.png"/><Relationship Id="rId113" Type="http://schemas.openxmlformats.org/officeDocument/2006/relationships/image" Target="../media/image176.png"/><Relationship Id="rId118" Type="http://schemas.openxmlformats.org/officeDocument/2006/relationships/customXml" Target="../ink/ink60.xml"/><Relationship Id="rId134" Type="http://schemas.openxmlformats.org/officeDocument/2006/relationships/customXml" Target="../ink/ink68.xml"/><Relationship Id="rId139" Type="http://schemas.openxmlformats.org/officeDocument/2006/relationships/image" Target="../media/image189.png"/><Relationship Id="rId80" Type="http://schemas.openxmlformats.org/officeDocument/2006/relationships/customXml" Target="../ink/ink41.xml"/><Relationship Id="rId85" Type="http://schemas.openxmlformats.org/officeDocument/2006/relationships/image" Target="../media/image162.png"/><Relationship Id="rId150" Type="http://schemas.openxmlformats.org/officeDocument/2006/relationships/chart" Target="../charts/chart1.xml"/><Relationship Id="rId12" Type="http://schemas.openxmlformats.org/officeDocument/2006/relationships/customXml" Target="../ink/ink7.xml"/><Relationship Id="rId17" Type="http://schemas.openxmlformats.org/officeDocument/2006/relationships/image" Target="../media/image128.png"/><Relationship Id="rId33" Type="http://schemas.openxmlformats.org/officeDocument/2006/relationships/image" Target="../media/image136.png"/><Relationship Id="rId38" Type="http://schemas.openxmlformats.org/officeDocument/2006/relationships/customXml" Target="../ink/ink20.xml"/><Relationship Id="rId59" Type="http://schemas.openxmlformats.org/officeDocument/2006/relationships/image" Target="../media/image149.png"/><Relationship Id="rId103" Type="http://schemas.openxmlformats.org/officeDocument/2006/relationships/image" Target="../media/image171.png"/><Relationship Id="rId108" Type="http://schemas.openxmlformats.org/officeDocument/2006/relationships/customXml" Target="../ink/ink55.xml"/><Relationship Id="rId124" Type="http://schemas.openxmlformats.org/officeDocument/2006/relationships/customXml" Target="../ink/ink63.xml"/><Relationship Id="rId129" Type="http://schemas.openxmlformats.org/officeDocument/2006/relationships/image" Target="../media/image184.png"/><Relationship Id="rId54" Type="http://schemas.openxmlformats.org/officeDocument/2006/relationships/customXml" Target="../ink/ink28.xml"/><Relationship Id="rId70" Type="http://schemas.openxmlformats.org/officeDocument/2006/relationships/customXml" Target="../ink/ink36.xml"/><Relationship Id="rId75" Type="http://schemas.openxmlformats.org/officeDocument/2006/relationships/image" Target="../media/image157.png"/><Relationship Id="rId91" Type="http://schemas.openxmlformats.org/officeDocument/2006/relationships/image" Target="../media/image165.png"/><Relationship Id="rId96" Type="http://schemas.openxmlformats.org/officeDocument/2006/relationships/customXml" Target="../ink/ink49.xml"/><Relationship Id="rId140" Type="http://schemas.openxmlformats.org/officeDocument/2006/relationships/customXml" Target="../ink/ink71.xml"/><Relationship Id="rId145" Type="http://schemas.openxmlformats.org/officeDocument/2006/relationships/image" Target="../media/image192.png"/><Relationship Id="rId1" Type="http://schemas.openxmlformats.org/officeDocument/2006/relationships/hyperlink" Target="#TOC!A1"/><Relationship Id="rId6" Type="http://schemas.openxmlformats.org/officeDocument/2006/relationships/customXml" Target="../ink/ink4.xml"/><Relationship Id="rId23" Type="http://schemas.openxmlformats.org/officeDocument/2006/relationships/image" Target="../media/image131.png"/><Relationship Id="rId28" Type="http://schemas.openxmlformats.org/officeDocument/2006/relationships/customXml" Target="../ink/ink15.xml"/><Relationship Id="rId49" Type="http://schemas.openxmlformats.org/officeDocument/2006/relationships/image" Target="../media/image144.png"/><Relationship Id="rId114" Type="http://schemas.openxmlformats.org/officeDocument/2006/relationships/customXml" Target="../ink/ink58.xml"/><Relationship Id="rId119" Type="http://schemas.openxmlformats.org/officeDocument/2006/relationships/image" Target="../media/image179.png"/><Relationship Id="rId44" Type="http://schemas.openxmlformats.org/officeDocument/2006/relationships/customXml" Target="../ink/ink23.xml"/><Relationship Id="rId60" Type="http://schemas.openxmlformats.org/officeDocument/2006/relationships/customXml" Target="../ink/ink31.xml"/><Relationship Id="rId65" Type="http://schemas.openxmlformats.org/officeDocument/2006/relationships/image" Target="../media/image152.png"/><Relationship Id="rId81" Type="http://schemas.openxmlformats.org/officeDocument/2006/relationships/image" Target="../media/image160.png"/><Relationship Id="rId86" Type="http://schemas.openxmlformats.org/officeDocument/2006/relationships/customXml" Target="../ink/ink44.xml"/><Relationship Id="rId130" Type="http://schemas.openxmlformats.org/officeDocument/2006/relationships/customXml" Target="../ink/ink66.xml"/><Relationship Id="rId135" Type="http://schemas.openxmlformats.org/officeDocument/2006/relationships/image" Target="../media/image187.png"/><Relationship Id="rId13" Type="http://schemas.openxmlformats.org/officeDocument/2006/relationships/image" Target="../media/image126.png"/><Relationship Id="rId18" Type="http://schemas.openxmlformats.org/officeDocument/2006/relationships/customXml" Target="../ink/ink10.xml"/><Relationship Id="rId39" Type="http://schemas.openxmlformats.org/officeDocument/2006/relationships/image" Target="../media/image139.png"/><Relationship Id="rId109" Type="http://schemas.openxmlformats.org/officeDocument/2006/relationships/image" Target="../media/image174.png"/><Relationship Id="rId34" Type="http://schemas.openxmlformats.org/officeDocument/2006/relationships/customXml" Target="../ink/ink18.xml"/><Relationship Id="rId50" Type="http://schemas.openxmlformats.org/officeDocument/2006/relationships/customXml" Target="../ink/ink26.xml"/><Relationship Id="rId55" Type="http://schemas.openxmlformats.org/officeDocument/2006/relationships/image" Target="../media/image147.png"/><Relationship Id="rId76" Type="http://schemas.openxmlformats.org/officeDocument/2006/relationships/customXml" Target="../ink/ink39.xml"/><Relationship Id="rId97" Type="http://schemas.openxmlformats.org/officeDocument/2006/relationships/image" Target="../media/image168.png"/><Relationship Id="rId104" Type="http://schemas.openxmlformats.org/officeDocument/2006/relationships/customXml" Target="../ink/ink53.xml"/><Relationship Id="rId120" Type="http://schemas.openxmlformats.org/officeDocument/2006/relationships/customXml" Target="../ink/ink61.xml"/><Relationship Id="rId125" Type="http://schemas.openxmlformats.org/officeDocument/2006/relationships/image" Target="../media/image182.png"/><Relationship Id="rId141" Type="http://schemas.openxmlformats.org/officeDocument/2006/relationships/image" Target="../media/image190.png"/><Relationship Id="rId146" Type="http://schemas.openxmlformats.org/officeDocument/2006/relationships/customXml" Target="../ink/ink74.xml"/><Relationship Id="rId7" Type="http://schemas.openxmlformats.org/officeDocument/2006/relationships/image" Target="../media/image123.png"/><Relationship Id="rId71" Type="http://schemas.openxmlformats.org/officeDocument/2006/relationships/image" Target="../media/image155.png"/><Relationship Id="rId92" Type="http://schemas.openxmlformats.org/officeDocument/2006/relationships/customXml" Target="../ink/ink47.xml"/><Relationship Id="rId2" Type="http://schemas.openxmlformats.org/officeDocument/2006/relationships/customXml" Target="../ink/ink2.xml"/><Relationship Id="rId29" Type="http://schemas.openxmlformats.org/officeDocument/2006/relationships/image" Target="../media/image134.png"/><Relationship Id="rId24" Type="http://schemas.openxmlformats.org/officeDocument/2006/relationships/customXml" Target="../ink/ink13.xml"/><Relationship Id="rId40" Type="http://schemas.openxmlformats.org/officeDocument/2006/relationships/customXml" Target="../ink/ink21.xml"/><Relationship Id="rId45" Type="http://schemas.openxmlformats.org/officeDocument/2006/relationships/image" Target="../media/image142.png"/><Relationship Id="rId66" Type="http://schemas.openxmlformats.org/officeDocument/2006/relationships/customXml" Target="../ink/ink34.xml"/><Relationship Id="rId87" Type="http://schemas.openxmlformats.org/officeDocument/2006/relationships/image" Target="../media/image163.png"/><Relationship Id="rId110" Type="http://schemas.openxmlformats.org/officeDocument/2006/relationships/customXml" Target="../ink/ink56.xml"/><Relationship Id="rId115" Type="http://schemas.openxmlformats.org/officeDocument/2006/relationships/image" Target="../media/image177.png"/><Relationship Id="rId131" Type="http://schemas.openxmlformats.org/officeDocument/2006/relationships/image" Target="../media/image185.png"/><Relationship Id="rId136" Type="http://schemas.openxmlformats.org/officeDocument/2006/relationships/customXml" Target="../ink/ink69.xml"/><Relationship Id="rId61" Type="http://schemas.openxmlformats.org/officeDocument/2006/relationships/image" Target="../media/image150.png"/><Relationship Id="rId82" Type="http://schemas.openxmlformats.org/officeDocument/2006/relationships/customXml" Target="../ink/ink42.xml"/><Relationship Id="rId19" Type="http://schemas.openxmlformats.org/officeDocument/2006/relationships/image" Target="../media/image129.png"/><Relationship Id="rId14" Type="http://schemas.openxmlformats.org/officeDocument/2006/relationships/customXml" Target="../ink/ink8.xml"/><Relationship Id="rId30" Type="http://schemas.openxmlformats.org/officeDocument/2006/relationships/customXml" Target="../ink/ink16.xml"/><Relationship Id="rId35" Type="http://schemas.openxmlformats.org/officeDocument/2006/relationships/image" Target="../media/image137.png"/><Relationship Id="rId56" Type="http://schemas.openxmlformats.org/officeDocument/2006/relationships/customXml" Target="../ink/ink29.xml"/><Relationship Id="rId77" Type="http://schemas.openxmlformats.org/officeDocument/2006/relationships/image" Target="../media/image158.png"/><Relationship Id="rId100" Type="http://schemas.openxmlformats.org/officeDocument/2006/relationships/customXml" Target="../ink/ink51.xml"/><Relationship Id="rId105" Type="http://schemas.openxmlformats.org/officeDocument/2006/relationships/image" Target="../media/image172.png"/><Relationship Id="rId126" Type="http://schemas.openxmlformats.org/officeDocument/2006/relationships/customXml" Target="../ink/ink64.xml"/><Relationship Id="rId147" Type="http://schemas.openxmlformats.org/officeDocument/2006/relationships/image" Target="../media/image193.png"/><Relationship Id="rId8" Type="http://schemas.openxmlformats.org/officeDocument/2006/relationships/customXml" Target="../ink/ink5.xml"/><Relationship Id="rId51" Type="http://schemas.openxmlformats.org/officeDocument/2006/relationships/image" Target="../media/image145.png"/><Relationship Id="rId72" Type="http://schemas.openxmlformats.org/officeDocument/2006/relationships/customXml" Target="../ink/ink37.xml"/><Relationship Id="rId93" Type="http://schemas.openxmlformats.org/officeDocument/2006/relationships/image" Target="../media/image166.png"/><Relationship Id="rId98" Type="http://schemas.openxmlformats.org/officeDocument/2006/relationships/customXml" Target="../ink/ink50.xml"/><Relationship Id="rId121" Type="http://schemas.openxmlformats.org/officeDocument/2006/relationships/image" Target="../media/image180.png"/><Relationship Id="rId142" Type="http://schemas.openxmlformats.org/officeDocument/2006/relationships/customXml" Target="../ink/ink72.xml"/><Relationship Id="rId3" Type="http://schemas.openxmlformats.org/officeDocument/2006/relationships/image" Target="../media/image121.png"/><Relationship Id="rId25" Type="http://schemas.openxmlformats.org/officeDocument/2006/relationships/image" Target="../media/image132.png"/><Relationship Id="rId46" Type="http://schemas.openxmlformats.org/officeDocument/2006/relationships/customXml" Target="../ink/ink24.xml"/><Relationship Id="rId67" Type="http://schemas.openxmlformats.org/officeDocument/2006/relationships/image" Target="../media/image153.png"/><Relationship Id="rId116" Type="http://schemas.openxmlformats.org/officeDocument/2006/relationships/customXml" Target="../ink/ink59.xml"/><Relationship Id="rId137" Type="http://schemas.openxmlformats.org/officeDocument/2006/relationships/image" Target="../media/image188.png"/><Relationship Id="rId20" Type="http://schemas.openxmlformats.org/officeDocument/2006/relationships/customXml" Target="../ink/ink11.xml"/><Relationship Id="rId41" Type="http://schemas.openxmlformats.org/officeDocument/2006/relationships/image" Target="../media/image140.png"/><Relationship Id="rId62" Type="http://schemas.openxmlformats.org/officeDocument/2006/relationships/customXml" Target="../ink/ink32.xml"/><Relationship Id="rId83" Type="http://schemas.openxmlformats.org/officeDocument/2006/relationships/image" Target="../media/image161.png"/><Relationship Id="rId88" Type="http://schemas.openxmlformats.org/officeDocument/2006/relationships/customXml" Target="../ink/ink45.xml"/><Relationship Id="rId111" Type="http://schemas.openxmlformats.org/officeDocument/2006/relationships/image" Target="../media/image175.png"/><Relationship Id="rId132" Type="http://schemas.openxmlformats.org/officeDocument/2006/relationships/customXml" Target="../ink/ink67.xml"/><Relationship Id="rId15" Type="http://schemas.openxmlformats.org/officeDocument/2006/relationships/image" Target="../media/image127.png"/><Relationship Id="rId36" Type="http://schemas.openxmlformats.org/officeDocument/2006/relationships/customXml" Target="../ink/ink19.xml"/><Relationship Id="rId57" Type="http://schemas.openxmlformats.org/officeDocument/2006/relationships/image" Target="../media/image148.png"/><Relationship Id="rId106" Type="http://schemas.openxmlformats.org/officeDocument/2006/relationships/customXml" Target="../ink/ink54.xml"/><Relationship Id="rId127" Type="http://schemas.openxmlformats.org/officeDocument/2006/relationships/image" Target="../media/image183.png"/><Relationship Id="rId10" Type="http://schemas.openxmlformats.org/officeDocument/2006/relationships/customXml" Target="../ink/ink6.xml"/><Relationship Id="rId31" Type="http://schemas.openxmlformats.org/officeDocument/2006/relationships/image" Target="../media/image135.png"/><Relationship Id="rId52" Type="http://schemas.openxmlformats.org/officeDocument/2006/relationships/customXml" Target="../ink/ink27.xml"/><Relationship Id="rId73" Type="http://schemas.openxmlformats.org/officeDocument/2006/relationships/image" Target="../media/image156.png"/><Relationship Id="rId78" Type="http://schemas.openxmlformats.org/officeDocument/2006/relationships/customXml" Target="../ink/ink40.xml"/><Relationship Id="rId94" Type="http://schemas.openxmlformats.org/officeDocument/2006/relationships/customXml" Target="../ink/ink48.xml"/><Relationship Id="rId99" Type="http://schemas.openxmlformats.org/officeDocument/2006/relationships/image" Target="../media/image169.png"/><Relationship Id="rId101" Type="http://schemas.openxmlformats.org/officeDocument/2006/relationships/image" Target="../media/image170.png"/><Relationship Id="rId122" Type="http://schemas.openxmlformats.org/officeDocument/2006/relationships/customXml" Target="../ink/ink62.xml"/><Relationship Id="rId143" Type="http://schemas.openxmlformats.org/officeDocument/2006/relationships/image" Target="../media/image191.png"/><Relationship Id="rId148" Type="http://schemas.openxmlformats.org/officeDocument/2006/relationships/customXml" Target="../ink/ink75.xml"/><Relationship Id="rId4" Type="http://schemas.openxmlformats.org/officeDocument/2006/relationships/customXml" Target="../ink/ink3.xml"/><Relationship Id="rId9" Type="http://schemas.openxmlformats.org/officeDocument/2006/relationships/image" Target="../media/image124.png"/><Relationship Id="rId26" Type="http://schemas.openxmlformats.org/officeDocument/2006/relationships/customXml" Target="../ink/ink14.xml"/><Relationship Id="rId47" Type="http://schemas.openxmlformats.org/officeDocument/2006/relationships/image" Target="../media/image143.png"/><Relationship Id="rId68" Type="http://schemas.openxmlformats.org/officeDocument/2006/relationships/customXml" Target="../ink/ink35.xml"/><Relationship Id="rId89" Type="http://schemas.openxmlformats.org/officeDocument/2006/relationships/image" Target="../media/image164.png"/><Relationship Id="rId112" Type="http://schemas.openxmlformats.org/officeDocument/2006/relationships/customXml" Target="../ink/ink57.xml"/><Relationship Id="rId133" Type="http://schemas.openxmlformats.org/officeDocument/2006/relationships/image" Target="../media/image186.png"/><Relationship Id="rId16" Type="http://schemas.openxmlformats.org/officeDocument/2006/relationships/customXml" Target="../ink/ink9.xml"/><Relationship Id="rId37" Type="http://schemas.openxmlformats.org/officeDocument/2006/relationships/image" Target="../media/image138.png"/><Relationship Id="rId58" Type="http://schemas.openxmlformats.org/officeDocument/2006/relationships/customXml" Target="../ink/ink30.xml"/><Relationship Id="rId79" Type="http://schemas.openxmlformats.org/officeDocument/2006/relationships/image" Target="../media/image159.png"/><Relationship Id="rId102" Type="http://schemas.openxmlformats.org/officeDocument/2006/relationships/customXml" Target="../ink/ink52.xml"/><Relationship Id="rId123" Type="http://schemas.openxmlformats.org/officeDocument/2006/relationships/image" Target="../media/image181.png"/><Relationship Id="rId144" Type="http://schemas.openxmlformats.org/officeDocument/2006/relationships/customXml" Target="../ink/ink73.xml"/><Relationship Id="rId90" Type="http://schemas.openxmlformats.org/officeDocument/2006/relationships/customXml" Target="../ink/ink4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4.png"/><Relationship Id="rId2" Type="http://schemas.openxmlformats.org/officeDocument/2006/relationships/customXml" Target="../ink/ink76.xml"/><Relationship Id="rId1" Type="http://schemas.openxmlformats.org/officeDocument/2006/relationships/hyperlink" Target="#TOC!A1"/><Relationship Id="rId5" Type="http://schemas.openxmlformats.org/officeDocument/2006/relationships/image" Target="../media/image310.png"/><Relationship Id="rId4" Type="http://schemas.openxmlformats.org/officeDocument/2006/relationships/customXml" Target="../ink/ink7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image" Target="../media/image4.png"/><Relationship Id="rId7" Type="http://schemas.openxmlformats.org/officeDocument/2006/relationships/image" Target="../media/image6.png"/><Relationship Id="rId2" Type="http://schemas.openxmlformats.org/officeDocument/2006/relationships/image" Target="../media/image3.png"/><Relationship Id="rId1" Type="http://schemas.openxmlformats.org/officeDocument/2006/relationships/hyperlink" Target="#TOC!A1"/><Relationship Id="rId6" Type="http://schemas.openxmlformats.org/officeDocument/2006/relationships/chart" Target="../charts/chart3.xml"/><Relationship Id="rId5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hyperlink" Target="#TOC!A1"/><Relationship Id="rId4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hyperlink" Target="#TOC!A1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hyperlink" Target="#TOC!A1"/><Relationship Id="rId4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hyperlink" Target="#TOC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hyperlink" Target="#TOC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4" Type="http://schemas.openxmlformats.org/officeDocument/2006/relationships/chart" Target="../charts/chart24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chart" Target="../charts/chart29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30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chart" Target="../charts/chart31.xml"/><Relationship Id="rId1" Type="http://schemas.openxmlformats.org/officeDocument/2006/relationships/hyperlink" Target="#TOC!A1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hyperlink" Target="#TOC!A1"/><Relationship Id="rId5" Type="http://schemas.openxmlformats.org/officeDocument/2006/relationships/chart" Target="../charts/chart34.xml"/><Relationship Id="rId4" Type="http://schemas.openxmlformats.org/officeDocument/2006/relationships/image" Target="../media/image1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9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3" Type="http://schemas.openxmlformats.org/officeDocument/2006/relationships/image" Target="../media/image13.png"/><Relationship Id="rId7" Type="http://schemas.openxmlformats.org/officeDocument/2006/relationships/image" Target="../media/image17.png"/><Relationship Id="rId2" Type="http://schemas.openxmlformats.org/officeDocument/2006/relationships/image" Target="../media/image12.png"/><Relationship Id="rId1" Type="http://schemas.openxmlformats.org/officeDocument/2006/relationships/hyperlink" Target="#TOC!A1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hyperlink" Target="#TOC!A1"/><Relationship Id="rId4" Type="http://schemas.openxmlformats.org/officeDocument/2006/relationships/chart" Target="../charts/chart3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9030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187914-85E4-4623-957A-1312C3472F1F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351960</xdr:colOff>
      <xdr:row>56</xdr:row>
      <xdr:rowOff>62420</xdr:rowOff>
    </xdr:from>
    <xdr:to>
      <xdr:col>8</xdr:col>
      <xdr:colOff>46477</xdr:colOff>
      <xdr:row>66</xdr:row>
      <xdr:rowOff>25239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31" name="Freihand 30">
              <a:extLst>
                <a:ext uri="{FF2B5EF4-FFF2-40B4-BE49-F238E27FC236}">
                  <a16:creationId xmlns:a16="http://schemas.microsoft.com/office/drawing/2014/main" id="{D67468C7-B04A-0816-F0B3-F75E56577FE8}"/>
                </a:ext>
              </a:extLst>
            </xdr14:cNvPr>
            <xdr14:cNvContentPartPr/>
          </xdr14:nvContentPartPr>
          <xdr14:nvPr macro=""/>
          <xdr14:xfrm>
            <a:off x="1875960" y="3123120"/>
            <a:ext cx="4735440" cy="1804320"/>
          </xdr14:xfrm>
        </xdr:contentPart>
      </mc:Choice>
      <mc:Fallback xmlns="">
        <xdr:pic>
          <xdr:nvPicPr>
            <xdr:cNvPr id="31" name="Freihand 30">
              <a:extLst>
                <a:ext uri="{FF2B5EF4-FFF2-40B4-BE49-F238E27FC236}">
                  <a16:creationId xmlns:a16="http://schemas.microsoft.com/office/drawing/2014/main" id="{D67468C7-B04A-0816-F0B3-F75E56577FE8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858320" y="3105120"/>
              <a:ext cx="4771080" cy="1839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403080</xdr:colOff>
      <xdr:row>64</xdr:row>
      <xdr:rowOff>15900</xdr:rowOff>
    </xdr:from>
    <xdr:to>
      <xdr:col>3</xdr:col>
      <xdr:colOff>432137</xdr:colOff>
      <xdr:row>65</xdr:row>
      <xdr:rowOff>64309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32" name="Freihand 31">
              <a:extLst>
                <a:ext uri="{FF2B5EF4-FFF2-40B4-BE49-F238E27FC236}">
                  <a16:creationId xmlns:a16="http://schemas.microsoft.com/office/drawing/2014/main" id="{EE887F03-3EDA-BAE2-19B0-1E65B2F92CEA}"/>
                </a:ext>
              </a:extLst>
            </xdr14:cNvPr>
            <xdr14:cNvContentPartPr/>
          </xdr14:nvContentPartPr>
          <xdr14:nvPr macro=""/>
          <xdr14:xfrm>
            <a:off x="1927080" y="4549800"/>
            <a:ext cx="942480" cy="232560"/>
          </xdr14:xfrm>
        </xdr:contentPart>
      </mc:Choice>
      <mc:Fallback xmlns="">
        <xdr:pic>
          <xdr:nvPicPr>
            <xdr:cNvPr id="32" name="Freihand 31">
              <a:extLst>
                <a:ext uri="{FF2B5EF4-FFF2-40B4-BE49-F238E27FC236}">
                  <a16:creationId xmlns:a16="http://schemas.microsoft.com/office/drawing/2014/main" id="{EE887F03-3EDA-BAE2-19B0-1E65B2F92CE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909080" y="4531800"/>
              <a:ext cx="978120" cy="26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169560</xdr:colOff>
      <xdr:row>59</xdr:row>
      <xdr:rowOff>82710</xdr:rowOff>
    </xdr:from>
    <xdr:to>
      <xdr:col>11</xdr:col>
      <xdr:colOff>565800</xdr:colOff>
      <xdr:row>68</xdr:row>
      <xdr:rowOff>137520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40" name="Freihand 39">
              <a:extLst>
                <a:ext uri="{FF2B5EF4-FFF2-40B4-BE49-F238E27FC236}">
                  <a16:creationId xmlns:a16="http://schemas.microsoft.com/office/drawing/2014/main" id="{502DF903-6F1A-2E14-F812-7106DF7179E4}"/>
                </a:ext>
              </a:extLst>
            </xdr14:cNvPr>
            <xdr14:cNvContentPartPr/>
          </xdr14:nvContentPartPr>
          <xdr14:nvPr macro=""/>
          <xdr14:xfrm>
            <a:off x="7027560" y="3695860"/>
            <a:ext cx="1920240" cy="1712160"/>
          </xdr14:xfrm>
        </xdr:contentPart>
      </mc:Choice>
      <mc:Fallback xmlns="">
        <xdr:pic>
          <xdr:nvPicPr>
            <xdr:cNvPr id="40" name="Freihand 39">
              <a:extLst>
                <a:ext uri="{FF2B5EF4-FFF2-40B4-BE49-F238E27FC236}">
                  <a16:creationId xmlns:a16="http://schemas.microsoft.com/office/drawing/2014/main" id="{502DF903-6F1A-2E14-F812-7106DF7179E4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7009557" y="3678224"/>
              <a:ext cx="1955887" cy="17477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684840</xdr:colOff>
      <xdr:row>57</xdr:row>
      <xdr:rowOff>157610</xdr:rowOff>
    </xdr:from>
    <xdr:to>
      <xdr:col>5</xdr:col>
      <xdr:colOff>751560</xdr:colOff>
      <xdr:row>58</xdr:row>
      <xdr:rowOff>6218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41" name="Freihand 40">
              <a:extLst>
                <a:ext uri="{FF2B5EF4-FFF2-40B4-BE49-F238E27FC236}">
                  <a16:creationId xmlns:a16="http://schemas.microsoft.com/office/drawing/2014/main" id="{31DFA837-E80B-0AD7-DA6B-D7B0CED3331D}"/>
                </a:ext>
              </a:extLst>
            </xdr14:cNvPr>
            <xdr14:cNvContentPartPr/>
          </xdr14:nvContentPartPr>
          <xdr14:nvPr macro=""/>
          <xdr14:xfrm>
            <a:off x="3732840" y="3402460"/>
            <a:ext cx="828720" cy="32760"/>
          </xdr14:xfrm>
        </xdr:contentPart>
      </mc:Choice>
      <mc:Fallback xmlns="">
        <xdr:pic>
          <xdr:nvPicPr>
            <xdr:cNvPr id="41" name="Freihand 40">
              <a:extLst>
                <a:ext uri="{FF2B5EF4-FFF2-40B4-BE49-F238E27FC236}">
                  <a16:creationId xmlns:a16="http://schemas.microsoft.com/office/drawing/2014/main" id="{31DFA837-E80B-0AD7-DA6B-D7B0CED3331D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3714840" y="3384460"/>
              <a:ext cx="864360" cy="6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179520</xdr:colOff>
      <xdr:row>56</xdr:row>
      <xdr:rowOff>162120</xdr:rowOff>
    </xdr:from>
    <xdr:to>
      <xdr:col>5</xdr:col>
      <xdr:colOff>390120</xdr:colOff>
      <xdr:row>58</xdr:row>
      <xdr:rowOff>109899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">
          <xdr14:nvContentPartPr>
            <xdr14:cNvPr id="42" name="Freihand 41">
              <a:extLst>
                <a:ext uri="{FF2B5EF4-FFF2-40B4-BE49-F238E27FC236}">
                  <a16:creationId xmlns:a16="http://schemas.microsoft.com/office/drawing/2014/main" id="{7DF66D1B-C196-C434-8647-C115D390E696}"/>
                </a:ext>
              </a:extLst>
            </xdr14:cNvPr>
            <xdr14:cNvContentPartPr/>
          </xdr14:nvContentPartPr>
          <xdr14:nvPr macro=""/>
          <xdr14:xfrm>
            <a:off x="3989520" y="3222820"/>
            <a:ext cx="210600" cy="316080"/>
          </xdr14:xfrm>
        </xdr:contentPart>
      </mc:Choice>
      <mc:Fallback xmlns="">
        <xdr:pic>
          <xdr:nvPicPr>
            <xdr:cNvPr id="42" name="Freihand 41">
              <a:extLst>
                <a:ext uri="{FF2B5EF4-FFF2-40B4-BE49-F238E27FC236}">
                  <a16:creationId xmlns:a16="http://schemas.microsoft.com/office/drawing/2014/main" id="{7DF66D1B-C196-C434-8647-C115D390E696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3971520" y="3205180"/>
              <a:ext cx="246240" cy="351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705600</xdr:colOff>
      <xdr:row>59</xdr:row>
      <xdr:rowOff>114750</xdr:rowOff>
    </xdr:from>
    <xdr:to>
      <xdr:col>5</xdr:col>
      <xdr:colOff>345120</xdr:colOff>
      <xdr:row>62</xdr:row>
      <xdr:rowOff>181140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">
          <xdr14:nvContentPartPr>
            <xdr14:cNvPr id="52" name="Freihand 51">
              <a:extLst>
                <a:ext uri="{FF2B5EF4-FFF2-40B4-BE49-F238E27FC236}">
                  <a16:creationId xmlns:a16="http://schemas.microsoft.com/office/drawing/2014/main" id="{73CD0CEB-0228-3BAE-65C9-D40F7669C62F}"/>
                </a:ext>
              </a:extLst>
            </xdr14:cNvPr>
            <xdr14:cNvContentPartPr/>
          </xdr14:nvContentPartPr>
          <xdr14:nvPr macro=""/>
          <xdr14:xfrm>
            <a:off x="2991600" y="3727900"/>
            <a:ext cx="1163520" cy="618840"/>
          </xdr14:xfrm>
        </xdr:contentPart>
      </mc:Choice>
      <mc:Fallback xmlns="">
        <xdr:pic>
          <xdr:nvPicPr>
            <xdr:cNvPr id="52" name="Freihand 51">
              <a:extLst>
                <a:ext uri="{FF2B5EF4-FFF2-40B4-BE49-F238E27FC236}">
                  <a16:creationId xmlns:a16="http://schemas.microsoft.com/office/drawing/2014/main" id="{73CD0CEB-0228-3BAE-65C9-D40F7669C62F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2973606" y="3709910"/>
              <a:ext cx="1199149" cy="65445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322560</xdr:colOff>
      <xdr:row>59</xdr:row>
      <xdr:rowOff>70470</xdr:rowOff>
    </xdr:from>
    <xdr:to>
      <xdr:col>7</xdr:col>
      <xdr:colOff>170400</xdr:colOff>
      <xdr:row>62</xdr:row>
      <xdr:rowOff>165300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53" name="Freihand 52">
              <a:extLst>
                <a:ext uri="{FF2B5EF4-FFF2-40B4-BE49-F238E27FC236}">
                  <a16:creationId xmlns:a16="http://schemas.microsoft.com/office/drawing/2014/main" id="{BAB13EC5-689D-3944-E1A2-EDDBE3CA7DB7}"/>
                </a:ext>
              </a:extLst>
            </xdr14:cNvPr>
            <xdr14:cNvContentPartPr/>
          </xdr14:nvContentPartPr>
          <xdr14:nvPr macro=""/>
          <xdr14:xfrm>
            <a:off x="4894560" y="3683620"/>
            <a:ext cx="609840" cy="647280"/>
          </xdr14:xfrm>
        </xdr:contentPart>
      </mc:Choice>
      <mc:Fallback xmlns="">
        <xdr:pic>
          <xdr:nvPicPr>
            <xdr:cNvPr id="53" name="Freihand 52">
              <a:extLst>
                <a:ext uri="{FF2B5EF4-FFF2-40B4-BE49-F238E27FC236}">
                  <a16:creationId xmlns:a16="http://schemas.microsoft.com/office/drawing/2014/main" id="{BAB13EC5-689D-3944-E1A2-EDDBE3CA7DB7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4876910" y="3665990"/>
              <a:ext cx="645501" cy="6829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129360</xdr:colOff>
      <xdr:row>64</xdr:row>
      <xdr:rowOff>1480</xdr:rowOff>
    </xdr:from>
    <xdr:to>
      <xdr:col>11</xdr:col>
      <xdr:colOff>410280</xdr:colOff>
      <xdr:row>67</xdr:row>
      <xdr:rowOff>59229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62" name="Freihand 61">
              <a:extLst>
                <a:ext uri="{FF2B5EF4-FFF2-40B4-BE49-F238E27FC236}">
                  <a16:creationId xmlns:a16="http://schemas.microsoft.com/office/drawing/2014/main" id="{77BA7D83-96D7-526D-9565-A13ED203D2B3}"/>
                </a:ext>
              </a:extLst>
            </xdr14:cNvPr>
            <xdr14:cNvContentPartPr/>
          </xdr14:nvContentPartPr>
          <xdr14:nvPr macro=""/>
          <xdr14:xfrm>
            <a:off x="7749360" y="4535380"/>
            <a:ext cx="1042920" cy="610200"/>
          </xdr14:xfrm>
        </xdr:contentPart>
      </mc:Choice>
      <mc:Fallback xmlns="">
        <xdr:pic>
          <xdr:nvPicPr>
            <xdr:cNvPr id="62" name="Freihand 61">
              <a:extLst>
                <a:ext uri="{FF2B5EF4-FFF2-40B4-BE49-F238E27FC236}">
                  <a16:creationId xmlns:a16="http://schemas.microsoft.com/office/drawing/2014/main" id="{77BA7D83-96D7-526D-9565-A13ED203D2B3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7731366" y="4517380"/>
              <a:ext cx="1078548" cy="64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132600</xdr:colOff>
      <xdr:row>62</xdr:row>
      <xdr:rowOff>90060</xdr:rowOff>
    </xdr:from>
    <xdr:to>
      <xdr:col>11</xdr:col>
      <xdr:colOff>747240</xdr:colOff>
      <xdr:row>64</xdr:row>
      <xdr:rowOff>129281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">
          <xdr14:nvContentPartPr>
            <xdr14:cNvPr id="70" name="Freihand 69">
              <a:extLst>
                <a:ext uri="{FF2B5EF4-FFF2-40B4-BE49-F238E27FC236}">
                  <a16:creationId xmlns:a16="http://schemas.microsoft.com/office/drawing/2014/main" id="{47E1D687-8DF1-623B-FEA0-967E331E9295}"/>
                </a:ext>
              </a:extLst>
            </xdr14:cNvPr>
            <xdr14:cNvContentPartPr/>
          </xdr14:nvContentPartPr>
          <xdr14:nvPr macro=""/>
          <xdr14:xfrm>
            <a:off x="7752600" y="4255660"/>
            <a:ext cx="1376640" cy="407520"/>
          </xdr14:xfrm>
        </xdr:contentPart>
      </mc:Choice>
      <mc:Fallback xmlns="">
        <xdr:pic>
          <xdr:nvPicPr>
            <xdr:cNvPr id="70" name="Freihand 69">
              <a:extLst>
                <a:ext uri="{FF2B5EF4-FFF2-40B4-BE49-F238E27FC236}">
                  <a16:creationId xmlns:a16="http://schemas.microsoft.com/office/drawing/2014/main" id="{47E1D687-8DF1-623B-FEA0-967E331E9295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7734600" y="4237676"/>
              <a:ext cx="1412280" cy="44312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757080</xdr:colOff>
      <xdr:row>63</xdr:row>
      <xdr:rowOff>172310</xdr:rowOff>
    </xdr:from>
    <xdr:to>
      <xdr:col>10</xdr:col>
      <xdr:colOff>685200</xdr:colOff>
      <xdr:row>69</xdr:row>
      <xdr:rowOff>20691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76" name="Freihand 75">
              <a:extLst>
                <a:ext uri="{FF2B5EF4-FFF2-40B4-BE49-F238E27FC236}">
                  <a16:creationId xmlns:a16="http://schemas.microsoft.com/office/drawing/2014/main" id="{29E6090C-E888-33A0-0C9B-E872C906E2C5}"/>
                </a:ext>
              </a:extLst>
            </xdr14:cNvPr>
            <xdr14:cNvContentPartPr/>
          </xdr14:nvContentPartPr>
          <xdr14:nvPr macro=""/>
          <xdr14:xfrm>
            <a:off x="7615080" y="4522060"/>
            <a:ext cx="690120" cy="953280"/>
          </xdr14:xfrm>
        </xdr:contentPart>
      </mc:Choice>
      <mc:Fallback xmlns="">
        <xdr:pic>
          <xdr:nvPicPr>
            <xdr:cNvPr id="76" name="Freihand 75">
              <a:extLst>
                <a:ext uri="{FF2B5EF4-FFF2-40B4-BE49-F238E27FC236}">
                  <a16:creationId xmlns:a16="http://schemas.microsoft.com/office/drawing/2014/main" id="{29E6090C-E888-33A0-0C9B-E872C906E2C5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7597440" y="4504067"/>
              <a:ext cx="725760" cy="98890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135120</xdr:colOff>
      <xdr:row>63</xdr:row>
      <xdr:rowOff>176630</xdr:rowOff>
    </xdr:from>
    <xdr:to>
      <xdr:col>11</xdr:col>
      <xdr:colOff>346920</xdr:colOff>
      <xdr:row>68</xdr:row>
      <xdr:rowOff>91441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C6C561A4-C619-C0B4-1F40-FCC366369F86}"/>
                </a:ext>
              </a:extLst>
            </xdr14:cNvPr>
            <xdr14:cNvContentPartPr/>
          </xdr14:nvContentPartPr>
          <xdr14:nvPr macro=""/>
          <xdr14:xfrm>
            <a:off x="7755120" y="4526380"/>
            <a:ext cx="973800" cy="8355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C6C561A4-C619-C0B4-1F40-FCC366369F86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7737473" y="4508380"/>
              <a:ext cx="1009453" cy="87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410280</xdr:colOff>
      <xdr:row>68</xdr:row>
      <xdr:rowOff>95400</xdr:rowOff>
    </xdr:from>
    <xdr:to>
      <xdr:col>11</xdr:col>
      <xdr:colOff>855600</xdr:colOff>
      <xdr:row>70</xdr:row>
      <xdr:rowOff>12580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">
          <xdr14:nvContentPartPr>
            <xdr14:cNvPr id="87" name="Freihand 86">
              <a:extLst>
                <a:ext uri="{FF2B5EF4-FFF2-40B4-BE49-F238E27FC236}">
                  <a16:creationId xmlns:a16="http://schemas.microsoft.com/office/drawing/2014/main" id="{1A856B6E-30D3-B9A0-7FE2-A340836534AB}"/>
                </a:ext>
              </a:extLst>
            </xdr14:cNvPr>
            <xdr14:cNvContentPartPr/>
          </xdr14:nvContentPartPr>
          <xdr14:nvPr macro=""/>
          <xdr14:xfrm>
            <a:off x="8792280" y="5365900"/>
            <a:ext cx="445320" cy="285480"/>
          </xdr14:xfrm>
        </xdr:contentPart>
      </mc:Choice>
      <mc:Fallback xmlns="">
        <xdr:pic>
          <xdr:nvPicPr>
            <xdr:cNvPr id="87" name="Freihand 86">
              <a:extLst>
                <a:ext uri="{FF2B5EF4-FFF2-40B4-BE49-F238E27FC236}">
                  <a16:creationId xmlns:a16="http://schemas.microsoft.com/office/drawing/2014/main" id="{1A856B6E-30D3-B9A0-7FE2-A340836534AB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8774640" y="5348260"/>
              <a:ext cx="480960" cy="32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682800</xdr:colOff>
      <xdr:row>70</xdr:row>
      <xdr:rowOff>88310</xdr:rowOff>
    </xdr:from>
    <xdr:to>
      <xdr:col>5</xdr:col>
      <xdr:colOff>234017</xdr:colOff>
      <xdr:row>70</xdr:row>
      <xdr:rowOff>89030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">
          <xdr14:nvContentPartPr>
            <xdr14:cNvPr id="89" name="Freihand 88">
              <a:extLst>
                <a:ext uri="{FF2B5EF4-FFF2-40B4-BE49-F238E27FC236}">
                  <a16:creationId xmlns:a16="http://schemas.microsoft.com/office/drawing/2014/main" id="{F27E57C1-1760-09F5-AD85-74D9B23C9CF0}"/>
                </a:ext>
              </a:extLst>
            </xdr14:cNvPr>
            <xdr14:cNvContentPartPr/>
          </xdr14:nvContentPartPr>
          <xdr14:nvPr macro=""/>
          <xdr14:xfrm>
            <a:off x="2206800" y="5727110"/>
            <a:ext cx="1988640" cy="720"/>
          </xdr14:xfrm>
        </xdr:contentPart>
      </mc:Choice>
      <mc:Fallback xmlns="">
        <xdr:pic>
          <xdr:nvPicPr>
            <xdr:cNvPr id="89" name="Freihand 88">
              <a:extLst>
                <a:ext uri="{FF2B5EF4-FFF2-40B4-BE49-F238E27FC236}">
                  <a16:creationId xmlns:a16="http://schemas.microsoft.com/office/drawing/2014/main" id="{F27E57C1-1760-09F5-AD85-74D9B23C9CF0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2188800" y="5691110"/>
              <a:ext cx="2024280" cy="72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168360</xdr:colOff>
      <xdr:row>70</xdr:row>
      <xdr:rowOff>107030</xdr:rowOff>
    </xdr:from>
    <xdr:to>
      <xdr:col>5</xdr:col>
      <xdr:colOff>627360</xdr:colOff>
      <xdr:row>73</xdr:row>
      <xdr:rowOff>140300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">
          <xdr14:nvContentPartPr>
            <xdr14:cNvPr id="94" name="Freihand 93">
              <a:extLst>
                <a:ext uri="{FF2B5EF4-FFF2-40B4-BE49-F238E27FC236}">
                  <a16:creationId xmlns:a16="http://schemas.microsoft.com/office/drawing/2014/main" id="{721B16C0-07FE-B633-7239-B4EC4E11EB26}"/>
                </a:ext>
              </a:extLst>
            </xdr14:cNvPr>
            <xdr14:cNvContentPartPr/>
          </xdr14:nvContentPartPr>
          <xdr14:nvPr macro=""/>
          <xdr14:xfrm>
            <a:off x="3978360" y="5745830"/>
            <a:ext cx="459000" cy="585720"/>
          </xdr14:xfrm>
        </xdr:contentPart>
      </mc:Choice>
      <mc:Fallback xmlns="">
        <xdr:pic>
          <xdr:nvPicPr>
            <xdr:cNvPr id="94" name="Freihand 93">
              <a:extLst>
                <a:ext uri="{FF2B5EF4-FFF2-40B4-BE49-F238E27FC236}">
                  <a16:creationId xmlns:a16="http://schemas.microsoft.com/office/drawing/2014/main" id="{721B16C0-07FE-B633-7239-B4EC4E11EB26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3960360" y="5727830"/>
              <a:ext cx="494640" cy="621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383280</xdr:colOff>
      <xdr:row>73</xdr:row>
      <xdr:rowOff>145340</xdr:rowOff>
    </xdr:from>
    <xdr:to>
      <xdr:col>5</xdr:col>
      <xdr:colOff>384000</xdr:colOff>
      <xdr:row>75</xdr:row>
      <xdr:rowOff>159000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0">
          <xdr14:nvContentPartPr>
            <xdr14:cNvPr id="96" name="Freihand 95">
              <a:extLst>
                <a:ext uri="{FF2B5EF4-FFF2-40B4-BE49-F238E27FC236}">
                  <a16:creationId xmlns:a16="http://schemas.microsoft.com/office/drawing/2014/main" id="{740002C3-4D0C-7B99-D141-4E9410184224}"/>
                </a:ext>
              </a:extLst>
            </xdr14:cNvPr>
            <xdr14:cNvContentPartPr/>
          </xdr14:nvContentPartPr>
          <xdr14:nvPr macro=""/>
          <xdr14:xfrm>
            <a:off x="4193280" y="6336590"/>
            <a:ext cx="720" cy="381960"/>
          </xdr14:xfrm>
        </xdr:contentPart>
      </mc:Choice>
      <mc:Fallback xmlns="">
        <xdr:pic>
          <xdr:nvPicPr>
            <xdr:cNvPr id="96" name="Freihand 95">
              <a:extLst>
                <a:ext uri="{FF2B5EF4-FFF2-40B4-BE49-F238E27FC236}">
                  <a16:creationId xmlns:a16="http://schemas.microsoft.com/office/drawing/2014/main" id="{740002C3-4D0C-7B99-D141-4E9410184224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4157280" y="6318590"/>
              <a:ext cx="72000" cy="41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667680</xdr:colOff>
      <xdr:row>75</xdr:row>
      <xdr:rowOff>152160</xdr:rowOff>
    </xdr:from>
    <xdr:to>
      <xdr:col>6</xdr:col>
      <xdr:colOff>485777</xdr:colOff>
      <xdr:row>75</xdr:row>
      <xdr:rowOff>164040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2">
          <xdr14:nvContentPartPr>
            <xdr14:cNvPr id="98" name="Freihand 97">
              <a:extLst>
                <a:ext uri="{FF2B5EF4-FFF2-40B4-BE49-F238E27FC236}">
                  <a16:creationId xmlns:a16="http://schemas.microsoft.com/office/drawing/2014/main" id="{2018604C-5D0B-5D69-1CB0-39E6DB92F85B}"/>
                </a:ext>
              </a:extLst>
            </xdr14:cNvPr>
            <xdr14:cNvContentPartPr/>
          </xdr14:nvContentPartPr>
          <xdr14:nvPr macro=""/>
          <xdr14:xfrm>
            <a:off x="2191680" y="6711710"/>
            <a:ext cx="3017520" cy="11880"/>
          </xdr14:xfrm>
        </xdr:contentPart>
      </mc:Choice>
      <mc:Fallback xmlns="">
        <xdr:pic>
          <xdr:nvPicPr>
            <xdr:cNvPr id="98" name="Freihand 97">
              <a:extLst>
                <a:ext uri="{FF2B5EF4-FFF2-40B4-BE49-F238E27FC236}">
                  <a16:creationId xmlns:a16="http://schemas.microsoft.com/office/drawing/2014/main" id="{2018604C-5D0B-5D69-1CB0-39E6DB92F85B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173680" y="6693710"/>
              <a:ext cx="3053160" cy="4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331320</xdr:colOff>
      <xdr:row>70</xdr:row>
      <xdr:rowOff>50870</xdr:rowOff>
    </xdr:from>
    <xdr:to>
      <xdr:col>6</xdr:col>
      <xdr:colOff>646200</xdr:colOff>
      <xdr:row>76</xdr:row>
      <xdr:rowOff>40009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108" name="Freihand 107">
              <a:extLst>
                <a:ext uri="{FF2B5EF4-FFF2-40B4-BE49-F238E27FC236}">
                  <a16:creationId xmlns:a16="http://schemas.microsoft.com/office/drawing/2014/main" id="{ADC99B9F-5C7C-EF0F-79D7-4C654DBF9A47}"/>
                </a:ext>
              </a:extLst>
            </xdr14:cNvPr>
            <xdr14:cNvContentPartPr/>
          </xdr14:nvContentPartPr>
          <xdr14:nvPr macro=""/>
          <xdr14:xfrm>
            <a:off x="3379320" y="5689670"/>
            <a:ext cx="1838880" cy="1094040"/>
          </xdr14:xfrm>
        </xdr:contentPart>
      </mc:Choice>
      <mc:Fallback xmlns="">
        <xdr:pic>
          <xdr:nvPicPr>
            <xdr:cNvPr id="108" name="Freihand 107">
              <a:extLst>
                <a:ext uri="{FF2B5EF4-FFF2-40B4-BE49-F238E27FC236}">
                  <a16:creationId xmlns:a16="http://schemas.microsoft.com/office/drawing/2014/main" id="{ADC99B9F-5C7C-EF0F-79D7-4C654DBF9A47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3361320" y="5671670"/>
              <a:ext cx="1874520" cy="1129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357840</xdr:colOff>
      <xdr:row>71</xdr:row>
      <xdr:rowOff>41170</xdr:rowOff>
    </xdr:from>
    <xdr:to>
      <xdr:col>11</xdr:col>
      <xdr:colOff>615480</xdr:colOff>
      <xdr:row>76</xdr:row>
      <xdr:rowOff>128419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6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9891F0B6-464E-CCB6-793A-8207E2FD8163}"/>
                </a:ext>
              </a:extLst>
            </xdr14:cNvPr>
            <xdr14:cNvContentPartPr/>
          </xdr14:nvContentPartPr>
          <xdr14:nvPr macro=""/>
          <xdr14:xfrm>
            <a:off x="7215840" y="5864120"/>
            <a:ext cx="1781640" cy="100800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9891F0B6-464E-CCB6-793A-8207E2FD8163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7198200" y="5846480"/>
              <a:ext cx="1817280" cy="104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429120</xdr:colOff>
      <xdr:row>71</xdr:row>
      <xdr:rowOff>41170</xdr:rowOff>
    </xdr:from>
    <xdr:to>
      <xdr:col>4</xdr:col>
      <xdr:colOff>265800</xdr:colOff>
      <xdr:row>74</xdr:row>
      <xdr:rowOff>107200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8">
          <xdr14:nvContentPartPr>
            <xdr14:cNvPr id="117" name="Freihand 116">
              <a:extLst>
                <a:ext uri="{FF2B5EF4-FFF2-40B4-BE49-F238E27FC236}">
                  <a16:creationId xmlns:a16="http://schemas.microsoft.com/office/drawing/2014/main" id="{D9A65157-29B9-F824-11FB-D8F29788F290}"/>
                </a:ext>
              </a:extLst>
            </xdr14:cNvPr>
            <xdr14:cNvContentPartPr/>
          </xdr14:nvContentPartPr>
          <xdr14:nvPr macro=""/>
          <xdr14:xfrm>
            <a:off x="2715120" y="5864120"/>
            <a:ext cx="598680" cy="618480"/>
          </xdr14:xfrm>
        </xdr:contentPart>
      </mc:Choice>
      <mc:Fallback xmlns="">
        <xdr:pic>
          <xdr:nvPicPr>
            <xdr:cNvPr id="117" name="Freihand 116">
              <a:extLst>
                <a:ext uri="{FF2B5EF4-FFF2-40B4-BE49-F238E27FC236}">
                  <a16:creationId xmlns:a16="http://schemas.microsoft.com/office/drawing/2014/main" id="{D9A65157-29B9-F824-11FB-D8F29788F290}"/>
                </a:ext>
              </a:extLst>
            </xdr:cNvPr>
            <xdr:cNvPicPr/>
          </xdr:nvPicPr>
          <xdr:blipFill>
            <a:blip xmlns:r="http://schemas.openxmlformats.org/officeDocument/2006/relationships" r:embed="rId39"/>
            <a:stretch>
              <a:fillRect/>
            </a:stretch>
          </xdr:blipFill>
          <xdr:spPr>
            <a:xfrm>
              <a:off x="2697469" y="5846480"/>
              <a:ext cx="634341" cy="65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695040</xdr:colOff>
      <xdr:row>71</xdr:row>
      <xdr:rowOff>102370</xdr:rowOff>
    </xdr:from>
    <xdr:to>
      <xdr:col>6</xdr:col>
      <xdr:colOff>564120</xdr:colOff>
      <xdr:row>75</xdr:row>
      <xdr:rowOff>18810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0">
          <xdr14:nvContentPartPr>
            <xdr14:cNvPr id="124" name="Freihand 123">
              <a:extLst>
                <a:ext uri="{FF2B5EF4-FFF2-40B4-BE49-F238E27FC236}">
                  <a16:creationId xmlns:a16="http://schemas.microsoft.com/office/drawing/2014/main" id="{8C32B4B1-BB57-1F84-8837-DCC4633A7D2A}"/>
                </a:ext>
              </a:extLst>
            </xdr14:cNvPr>
            <xdr14:cNvContentPartPr/>
          </xdr14:nvContentPartPr>
          <xdr14:nvPr macro=""/>
          <xdr14:xfrm>
            <a:off x="4505040" y="5925320"/>
            <a:ext cx="631080" cy="653040"/>
          </xdr14:xfrm>
        </xdr:contentPart>
      </mc:Choice>
      <mc:Fallback xmlns="">
        <xdr:pic>
          <xdr:nvPicPr>
            <xdr:cNvPr id="124" name="Freihand 123">
              <a:extLst>
                <a:ext uri="{FF2B5EF4-FFF2-40B4-BE49-F238E27FC236}">
                  <a16:creationId xmlns:a16="http://schemas.microsoft.com/office/drawing/2014/main" id="{8C32B4B1-BB57-1F84-8837-DCC4633A7D2A}"/>
                </a:ext>
              </a:extLst>
            </xdr:cNvPr>
            <xdr:cNvPicPr/>
          </xdr:nvPicPr>
          <xdr:blipFill>
            <a:blip xmlns:r="http://schemas.openxmlformats.org/officeDocument/2006/relationships" r:embed="rId41"/>
            <a:stretch>
              <a:fillRect/>
            </a:stretch>
          </xdr:blipFill>
          <xdr:spPr>
            <a:xfrm>
              <a:off x="4487040" y="5907320"/>
              <a:ext cx="666720" cy="68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654120</xdr:colOff>
      <xdr:row>73</xdr:row>
      <xdr:rowOff>103070</xdr:rowOff>
    </xdr:from>
    <xdr:to>
      <xdr:col>4</xdr:col>
      <xdr:colOff>109560</xdr:colOff>
      <xdr:row>74</xdr:row>
      <xdr:rowOff>154360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2">
          <xdr14:nvContentPartPr>
            <xdr14:cNvPr id="125" name="Freihand 124">
              <a:extLst>
                <a:ext uri="{FF2B5EF4-FFF2-40B4-BE49-F238E27FC236}">
                  <a16:creationId xmlns:a16="http://schemas.microsoft.com/office/drawing/2014/main" id="{D492FCDD-9797-A66F-DB97-7DFB21D15C73}"/>
                </a:ext>
              </a:extLst>
            </xdr14:cNvPr>
            <xdr14:cNvContentPartPr/>
          </xdr14:nvContentPartPr>
          <xdr14:nvPr macro=""/>
          <xdr14:xfrm>
            <a:off x="2940120" y="6294320"/>
            <a:ext cx="217440" cy="235440"/>
          </xdr14:xfrm>
        </xdr:contentPart>
      </mc:Choice>
      <mc:Fallback xmlns="">
        <xdr:pic>
          <xdr:nvPicPr>
            <xdr:cNvPr id="125" name="Freihand 124">
              <a:extLst>
                <a:ext uri="{FF2B5EF4-FFF2-40B4-BE49-F238E27FC236}">
                  <a16:creationId xmlns:a16="http://schemas.microsoft.com/office/drawing/2014/main" id="{D492FCDD-9797-A66F-DB97-7DFB21D15C73}"/>
                </a:ext>
              </a:extLst>
            </xdr:cNvPr>
            <xdr:cNvPicPr/>
          </xdr:nvPicPr>
          <xdr:blipFill>
            <a:blip xmlns:r="http://schemas.openxmlformats.org/officeDocument/2006/relationships" r:embed="rId43"/>
            <a:stretch>
              <a:fillRect/>
            </a:stretch>
          </xdr:blipFill>
          <xdr:spPr>
            <a:xfrm>
              <a:off x="2922480" y="6276347"/>
              <a:ext cx="253080" cy="2710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637680</xdr:colOff>
      <xdr:row>70</xdr:row>
      <xdr:rowOff>167720</xdr:rowOff>
    </xdr:from>
    <xdr:to>
      <xdr:col>5</xdr:col>
      <xdr:colOff>760920</xdr:colOff>
      <xdr:row>72</xdr:row>
      <xdr:rowOff>112260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4">
          <xdr14:nvContentPartPr>
            <xdr14:cNvPr id="139" name="Freihand 138">
              <a:extLst>
                <a:ext uri="{FF2B5EF4-FFF2-40B4-BE49-F238E27FC236}">
                  <a16:creationId xmlns:a16="http://schemas.microsoft.com/office/drawing/2014/main" id="{26670000-74F0-E1AC-071E-82B4977FCFCB}"/>
                </a:ext>
              </a:extLst>
            </xdr14:cNvPr>
            <xdr14:cNvContentPartPr/>
          </xdr14:nvContentPartPr>
          <xdr14:nvPr macro=""/>
          <xdr14:xfrm>
            <a:off x="3685680" y="5806520"/>
            <a:ext cx="885240" cy="312840"/>
          </xdr14:xfrm>
        </xdr:contentPart>
      </mc:Choice>
      <mc:Fallback xmlns="">
        <xdr:pic>
          <xdr:nvPicPr>
            <xdr:cNvPr id="139" name="Freihand 138">
              <a:extLst>
                <a:ext uri="{FF2B5EF4-FFF2-40B4-BE49-F238E27FC236}">
                  <a16:creationId xmlns:a16="http://schemas.microsoft.com/office/drawing/2014/main" id="{26670000-74F0-E1AC-071E-82B4977FCFCB}"/>
                </a:ext>
              </a:extLst>
            </xdr:cNvPr>
            <xdr:cNvPicPr/>
          </xdr:nvPicPr>
          <xdr:blipFill>
            <a:blip xmlns:r="http://schemas.openxmlformats.org/officeDocument/2006/relationships" r:embed="rId45"/>
            <a:stretch>
              <a:fillRect/>
            </a:stretch>
          </xdr:blipFill>
          <xdr:spPr>
            <a:xfrm>
              <a:off x="3668040" y="5788880"/>
              <a:ext cx="920880" cy="348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514080</xdr:colOff>
      <xdr:row>68</xdr:row>
      <xdr:rowOff>55780</xdr:rowOff>
    </xdr:from>
    <xdr:to>
      <xdr:col>4</xdr:col>
      <xdr:colOff>609600</xdr:colOff>
      <xdr:row>71</xdr:row>
      <xdr:rowOff>31810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6">
          <xdr14:nvContentPartPr>
            <xdr14:cNvPr id="151" name="Freihand 150">
              <a:extLst>
                <a:ext uri="{FF2B5EF4-FFF2-40B4-BE49-F238E27FC236}">
                  <a16:creationId xmlns:a16="http://schemas.microsoft.com/office/drawing/2014/main" id="{C76AEC9E-D5AA-F1C4-52CC-6D53F8D8C26C}"/>
                </a:ext>
              </a:extLst>
            </xdr14:cNvPr>
            <xdr14:cNvContentPartPr/>
          </xdr14:nvContentPartPr>
          <xdr14:nvPr macro=""/>
          <xdr14:xfrm>
            <a:off x="2800080" y="5326280"/>
            <a:ext cx="857520" cy="528480"/>
          </xdr14:xfrm>
        </xdr:contentPart>
      </mc:Choice>
      <mc:Fallback xmlns="">
        <xdr:pic>
          <xdr:nvPicPr>
            <xdr:cNvPr id="151" name="Freihand 150">
              <a:extLst>
                <a:ext uri="{FF2B5EF4-FFF2-40B4-BE49-F238E27FC236}">
                  <a16:creationId xmlns:a16="http://schemas.microsoft.com/office/drawing/2014/main" id="{C76AEC9E-D5AA-F1C4-52CC-6D53F8D8C26C}"/>
                </a:ext>
              </a:extLst>
            </xdr:cNvPr>
            <xdr:cNvPicPr/>
          </xdr:nvPicPr>
          <xdr:blipFill>
            <a:blip xmlns:r="http://schemas.openxmlformats.org/officeDocument/2006/relationships" r:embed="rId47"/>
            <a:stretch>
              <a:fillRect/>
            </a:stretch>
          </xdr:blipFill>
          <xdr:spPr>
            <a:xfrm>
              <a:off x="2782433" y="5308280"/>
              <a:ext cx="893175" cy="56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27120</xdr:colOff>
      <xdr:row>73</xdr:row>
      <xdr:rowOff>3350</xdr:rowOff>
    </xdr:from>
    <xdr:to>
      <xdr:col>11</xdr:col>
      <xdr:colOff>346200</xdr:colOff>
      <xdr:row>74</xdr:row>
      <xdr:rowOff>17920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8">
          <xdr14:nvContentPartPr>
            <xdr14:cNvPr id="154" name="Freihand 153">
              <a:extLst>
                <a:ext uri="{FF2B5EF4-FFF2-40B4-BE49-F238E27FC236}">
                  <a16:creationId xmlns:a16="http://schemas.microsoft.com/office/drawing/2014/main" id="{11432D8C-5C04-DCBF-0839-3240F02AF437}"/>
                </a:ext>
              </a:extLst>
            </xdr14:cNvPr>
            <xdr14:cNvContentPartPr/>
          </xdr14:nvContentPartPr>
          <xdr14:nvPr macro=""/>
          <xdr14:xfrm>
            <a:off x="7647120" y="6194600"/>
            <a:ext cx="1081080" cy="198720"/>
          </xdr14:xfrm>
        </xdr:contentPart>
      </mc:Choice>
      <mc:Fallback xmlns="">
        <xdr:pic>
          <xdr:nvPicPr>
            <xdr:cNvPr id="154" name="Freihand 153">
              <a:extLst>
                <a:ext uri="{FF2B5EF4-FFF2-40B4-BE49-F238E27FC236}">
                  <a16:creationId xmlns:a16="http://schemas.microsoft.com/office/drawing/2014/main" id="{11432D8C-5C04-DCBF-0839-3240F02AF437}"/>
                </a:ext>
              </a:extLst>
            </xdr:cNvPr>
            <xdr:cNvPicPr/>
          </xdr:nvPicPr>
          <xdr:blipFill>
            <a:blip xmlns:r="http://schemas.openxmlformats.org/officeDocument/2006/relationships" r:embed="rId49"/>
            <a:stretch>
              <a:fillRect/>
            </a:stretch>
          </xdr:blipFill>
          <xdr:spPr>
            <a:xfrm>
              <a:off x="7629480" y="6176600"/>
              <a:ext cx="1116720" cy="23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61320</xdr:colOff>
      <xdr:row>72</xdr:row>
      <xdr:rowOff>148980</xdr:rowOff>
    </xdr:from>
    <xdr:to>
      <xdr:col>11</xdr:col>
      <xdr:colOff>459240</xdr:colOff>
      <xdr:row>75</xdr:row>
      <xdr:rowOff>146250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0">
          <xdr14:nvContentPartPr>
            <xdr14:cNvPr id="163" name="Freihand 162">
              <a:extLst>
                <a:ext uri="{FF2B5EF4-FFF2-40B4-BE49-F238E27FC236}">
                  <a16:creationId xmlns:a16="http://schemas.microsoft.com/office/drawing/2014/main" id="{5CD7D56C-D39A-E4CB-F0CA-66C46F61BAFE}"/>
                </a:ext>
              </a:extLst>
            </xdr14:cNvPr>
            <xdr14:cNvContentPartPr/>
          </xdr14:nvContentPartPr>
          <xdr14:nvPr macro=""/>
          <xdr14:xfrm>
            <a:off x="7681320" y="6156080"/>
            <a:ext cx="1159920" cy="549720"/>
          </xdr14:xfrm>
        </xdr:contentPart>
      </mc:Choice>
      <mc:Fallback xmlns="">
        <xdr:pic>
          <xdr:nvPicPr>
            <xdr:cNvPr id="163" name="Freihand 162">
              <a:extLst>
                <a:ext uri="{FF2B5EF4-FFF2-40B4-BE49-F238E27FC236}">
                  <a16:creationId xmlns:a16="http://schemas.microsoft.com/office/drawing/2014/main" id="{5CD7D56C-D39A-E4CB-F0CA-66C46F61BAFE}"/>
                </a:ext>
              </a:extLst>
            </xdr:cNvPr>
            <xdr:cNvPicPr/>
          </xdr:nvPicPr>
          <xdr:blipFill>
            <a:blip xmlns:r="http://schemas.openxmlformats.org/officeDocument/2006/relationships" r:embed="rId51"/>
            <a:stretch>
              <a:fillRect/>
            </a:stretch>
          </xdr:blipFill>
          <xdr:spPr>
            <a:xfrm>
              <a:off x="7663680" y="6138080"/>
              <a:ext cx="1195560" cy="585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358920</xdr:colOff>
      <xdr:row>68</xdr:row>
      <xdr:rowOff>175660</xdr:rowOff>
    </xdr:from>
    <xdr:to>
      <xdr:col>10</xdr:col>
      <xdr:colOff>148080</xdr:colOff>
      <xdr:row>73</xdr:row>
      <xdr:rowOff>48350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2">
          <xdr14:nvContentPartPr>
            <xdr14:cNvPr id="169" name="Freihand 168">
              <a:extLst>
                <a:ext uri="{FF2B5EF4-FFF2-40B4-BE49-F238E27FC236}">
                  <a16:creationId xmlns:a16="http://schemas.microsoft.com/office/drawing/2014/main" id="{974AF3D3-0303-2296-9159-809C58C1C53D}"/>
                </a:ext>
              </a:extLst>
            </xdr14:cNvPr>
            <xdr14:cNvContentPartPr/>
          </xdr14:nvContentPartPr>
          <xdr14:nvPr macro=""/>
          <xdr14:xfrm>
            <a:off x="7216920" y="5446160"/>
            <a:ext cx="551160" cy="793440"/>
          </xdr14:xfrm>
        </xdr:contentPart>
      </mc:Choice>
      <mc:Fallback xmlns="">
        <xdr:pic>
          <xdr:nvPicPr>
            <xdr:cNvPr id="169" name="Freihand 168">
              <a:extLst>
                <a:ext uri="{FF2B5EF4-FFF2-40B4-BE49-F238E27FC236}">
                  <a16:creationId xmlns:a16="http://schemas.microsoft.com/office/drawing/2014/main" id="{974AF3D3-0303-2296-9159-809C58C1C53D}"/>
                </a:ext>
              </a:extLst>
            </xdr:cNvPr>
            <xdr:cNvPicPr/>
          </xdr:nvPicPr>
          <xdr:blipFill>
            <a:blip xmlns:r="http://schemas.openxmlformats.org/officeDocument/2006/relationships" r:embed="rId53"/>
            <a:stretch>
              <a:fillRect/>
            </a:stretch>
          </xdr:blipFill>
          <xdr:spPr>
            <a:xfrm>
              <a:off x="7199268" y="5428160"/>
              <a:ext cx="586823" cy="829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52680</xdr:colOff>
      <xdr:row>69</xdr:row>
      <xdr:rowOff>98070</xdr:rowOff>
    </xdr:from>
    <xdr:to>
      <xdr:col>11</xdr:col>
      <xdr:colOff>634560</xdr:colOff>
      <xdr:row>73</xdr:row>
      <xdr:rowOff>70310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4">
          <xdr14:nvContentPartPr>
            <xdr14:cNvPr id="180" name="Freihand 179">
              <a:extLst>
                <a:ext uri="{FF2B5EF4-FFF2-40B4-BE49-F238E27FC236}">
                  <a16:creationId xmlns:a16="http://schemas.microsoft.com/office/drawing/2014/main" id="{C1E45E4A-366A-12E1-ED18-89E197380F5C}"/>
                </a:ext>
              </a:extLst>
            </xdr14:cNvPr>
            <xdr14:cNvContentPartPr/>
          </xdr14:nvContentPartPr>
          <xdr14:nvPr macro=""/>
          <xdr14:xfrm>
            <a:off x="7672680" y="5552720"/>
            <a:ext cx="1343880" cy="708840"/>
          </xdr14:xfrm>
        </xdr:contentPart>
      </mc:Choice>
      <mc:Fallback xmlns="">
        <xdr:pic>
          <xdr:nvPicPr>
            <xdr:cNvPr id="180" name="Freihand 179">
              <a:extLst>
                <a:ext uri="{FF2B5EF4-FFF2-40B4-BE49-F238E27FC236}">
                  <a16:creationId xmlns:a16="http://schemas.microsoft.com/office/drawing/2014/main" id="{C1E45E4A-366A-12E1-ED18-89E197380F5C}"/>
                </a:ext>
              </a:extLst>
            </xdr:cNvPr>
            <xdr:cNvPicPr/>
          </xdr:nvPicPr>
          <xdr:blipFill>
            <a:blip xmlns:r="http://schemas.openxmlformats.org/officeDocument/2006/relationships" r:embed="rId55"/>
            <a:stretch>
              <a:fillRect/>
            </a:stretch>
          </xdr:blipFill>
          <xdr:spPr>
            <a:xfrm>
              <a:off x="7655040" y="5534729"/>
              <a:ext cx="1379520" cy="74446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677760</xdr:colOff>
      <xdr:row>84</xdr:row>
      <xdr:rowOff>28040</xdr:rowOff>
    </xdr:from>
    <xdr:to>
      <xdr:col>7</xdr:col>
      <xdr:colOff>17897</xdr:colOff>
      <xdr:row>90</xdr:row>
      <xdr:rowOff>97100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6">
          <xdr14:nvContentPartPr>
            <xdr14:cNvPr id="192" name="Freihand 191">
              <a:extLst>
                <a:ext uri="{FF2B5EF4-FFF2-40B4-BE49-F238E27FC236}">
                  <a16:creationId xmlns:a16="http://schemas.microsoft.com/office/drawing/2014/main" id="{D1BA186F-53D1-F595-962D-0C557D6388A2}"/>
                </a:ext>
              </a:extLst>
            </xdr14:cNvPr>
            <xdr14:cNvContentPartPr/>
          </xdr14:nvContentPartPr>
          <xdr14:nvPr macro=""/>
          <xdr14:xfrm>
            <a:off x="2201760" y="8244940"/>
            <a:ext cx="3301560" cy="1173960"/>
          </xdr14:xfrm>
        </xdr:contentPart>
      </mc:Choice>
      <mc:Fallback xmlns="">
        <xdr:pic>
          <xdr:nvPicPr>
            <xdr:cNvPr id="192" name="Freihand 191">
              <a:extLst>
                <a:ext uri="{FF2B5EF4-FFF2-40B4-BE49-F238E27FC236}">
                  <a16:creationId xmlns:a16="http://schemas.microsoft.com/office/drawing/2014/main" id="{D1BA186F-53D1-F595-962D-0C557D6388A2}"/>
                </a:ext>
              </a:extLst>
            </xdr:cNvPr>
            <xdr:cNvPicPr/>
          </xdr:nvPicPr>
          <xdr:blipFill>
            <a:blip xmlns:r="http://schemas.openxmlformats.org/officeDocument/2006/relationships" r:embed="rId57"/>
            <a:stretch>
              <a:fillRect/>
            </a:stretch>
          </xdr:blipFill>
          <xdr:spPr>
            <a:xfrm>
              <a:off x="2184120" y="8227300"/>
              <a:ext cx="3337200" cy="120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709200</xdr:colOff>
      <xdr:row>81</xdr:row>
      <xdr:rowOff>7010</xdr:rowOff>
    </xdr:from>
    <xdr:to>
      <xdr:col>4</xdr:col>
      <xdr:colOff>705360</xdr:colOff>
      <xdr:row>83</xdr:row>
      <xdr:rowOff>90511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8">
          <xdr14:nvContentPartPr>
            <xdr14:cNvPr id="205" name="Freihand 204">
              <a:extLst>
                <a:ext uri="{FF2B5EF4-FFF2-40B4-BE49-F238E27FC236}">
                  <a16:creationId xmlns:a16="http://schemas.microsoft.com/office/drawing/2014/main" id="{EA98B8CA-6297-2354-389A-F7BD8DE2BD3C}"/>
                </a:ext>
              </a:extLst>
            </xdr14:cNvPr>
            <xdr14:cNvContentPartPr/>
          </xdr14:nvContentPartPr>
          <xdr14:nvPr macro=""/>
          <xdr14:xfrm>
            <a:off x="2995200" y="7671460"/>
            <a:ext cx="758160" cy="451800"/>
          </xdr14:xfrm>
        </xdr:contentPart>
      </mc:Choice>
      <mc:Fallback xmlns="">
        <xdr:pic>
          <xdr:nvPicPr>
            <xdr:cNvPr id="205" name="Freihand 204">
              <a:extLst>
                <a:ext uri="{FF2B5EF4-FFF2-40B4-BE49-F238E27FC236}">
                  <a16:creationId xmlns:a16="http://schemas.microsoft.com/office/drawing/2014/main" id="{EA98B8CA-6297-2354-389A-F7BD8DE2BD3C}"/>
                </a:ext>
              </a:extLst>
            </xdr:cNvPr>
            <xdr:cNvPicPr/>
          </xdr:nvPicPr>
          <xdr:blipFill>
            <a:blip xmlns:r="http://schemas.openxmlformats.org/officeDocument/2006/relationships" r:embed="rId59"/>
            <a:stretch>
              <a:fillRect/>
            </a:stretch>
          </xdr:blipFill>
          <xdr:spPr>
            <a:xfrm>
              <a:off x="2977552" y="7653460"/>
              <a:ext cx="793817" cy="48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151920</xdr:colOff>
      <xdr:row>86</xdr:row>
      <xdr:rowOff>8580</xdr:rowOff>
    </xdr:from>
    <xdr:to>
      <xdr:col>3</xdr:col>
      <xdr:colOff>737280</xdr:colOff>
      <xdr:row>89</xdr:row>
      <xdr:rowOff>81089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0">
          <xdr14:nvContentPartPr>
            <xdr14:cNvPr id="206" name="Freihand 205">
              <a:extLst>
                <a:ext uri="{FF2B5EF4-FFF2-40B4-BE49-F238E27FC236}">
                  <a16:creationId xmlns:a16="http://schemas.microsoft.com/office/drawing/2014/main" id="{4ADE7447-1B3A-8343-84AE-7F3C43BC18E2}"/>
                </a:ext>
              </a:extLst>
            </xdr14:cNvPr>
            <xdr14:cNvContentPartPr/>
          </xdr14:nvContentPartPr>
          <xdr14:nvPr macro=""/>
          <xdr14:xfrm>
            <a:off x="2437920" y="8593780"/>
            <a:ext cx="585360" cy="624960"/>
          </xdr14:xfrm>
        </xdr:contentPart>
      </mc:Choice>
      <mc:Fallback xmlns="">
        <xdr:pic>
          <xdr:nvPicPr>
            <xdr:cNvPr id="206" name="Freihand 205">
              <a:extLst>
                <a:ext uri="{FF2B5EF4-FFF2-40B4-BE49-F238E27FC236}">
                  <a16:creationId xmlns:a16="http://schemas.microsoft.com/office/drawing/2014/main" id="{4ADE7447-1B3A-8343-84AE-7F3C43BC18E2}"/>
                </a:ext>
              </a:extLst>
            </xdr:cNvPr>
            <xdr:cNvPicPr/>
          </xdr:nvPicPr>
          <xdr:blipFill>
            <a:blip xmlns:r="http://schemas.openxmlformats.org/officeDocument/2006/relationships" r:embed="rId61"/>
            <a:stretch>
              <a:fillRect/>
            </a:stretch>
          </xdr:blipFill>
          <xdr:spPr>
            <a:xfrm>
              <a:off x="2419920" y="8575780"/>
              <a:ext cx="621000" cy="66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518280</xdr:colOff>
      <xdr:row>85</xdr:row>
      <xdr:rowOff>148090</xdr:rowOff>
    </xdr:from>
    <xdr:to>
      <xdr:col>6</xdr:col>
      <xdr:colOff>373680</xdr:colOff>
      <xdr:row>88</xdr:row>
      <xdr:rowOff>173079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2">
          <xdr14:nvContentPartPr>
            <xdr14:cNvPr id="212" name="Freihand 211">
              <a:extLst>
                <a:ext uri="{FF2B5EF4-FFF2-40B4-BE49-F238E27FC236}">
                  <a16:creationId xmlns:a16="http://schemas.microsoft.com/office/drawing/2014/main" id="{C08AE48E-3EF9-2006-F463-15F5D106C0DA}"/>
                </a:ext>
              </a:extLst>
            </xdr14:cNvPr>
            <xdr14:cNvContentPartPr/>
          </xdr14:nvContentPartPr>
          <xdr14:nvPr macro=""/>
          <xdr14:xfrm>
            <a:off x="4328280" y="8549140"/>
            <a:ext cx="617400" cy="577440"/>
          </xdr14:xfrm>
        </xdr:contentPart>
      </mc:Choice>
      <mc:Fallback xmlns="">
        <xdr:pic>
          <xdr:nvPicPr>
            <xdr:cNvPr id="212" name="Freihand 211">
              <a:extLst>
                <a:ext uri="{FF2B5EF4-FFF2-40B4-BE49-F238E27FC236}">
                  <a16:creationId xmlns:a16="http://schemas.microsoft.com/office/drawing/2014/main" id="{C08AE48E-3EF9-2006-F463-15F5D106C0DA}"/>
                </a:ext>
              </a:extLst>
            </xdr:cNvPr>
            <xdr:cNvPicPr/>
          </xdr:nvPicPr>
          <xdr:blipFill>
            <a:blip xmlns:r="http://schemas.openxmlformats.org/officeDocument/2006/relationships" r:embed="rId63"/>
            <a:stretch>
              <a:fillRect/>
            </a:stretch>
          </xdr:blipFill>
          <xdr:spPr>
            <a:xfrm>
              <a:off x="4310290" y="8531140"/>
              <a:ext cx="653019" cy="61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181800</xdr:colOff>
      <xdr:row>81</xdr:row>
      <xdr:rowOff>125090</xdr:rowOff>
    </xdr:from>
    <xdr:to>
      <xdr:col>3</xdr:col>
      <xdr:colOff>440280</xdr:colOff>
      <xdr:row>83</xdr:row>
      <xdr:rowOff>3031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4">
          <xdr14:nvContentPartPr>
            <xdr14:cNvPr id="218" name="Freihand 217">
              <a:extLst>
                <a:ext uri="{FF2B5EF4-FFF2-40B4-BE49-F238E27FC236}">
                  <a16:creationId xmlns:a16="http://schemas.microsoft.com/office/drawing/2014/main" id="{33C7CD4C-C432-569B-E9C8-28C5B20DABEB}"/>
                </a:ext>
              </a:extLst>
            </xdr14:cNvPr>
            <xdr14:cNvContentPartPr/>
          </xdr14:nvContentPartPr>
          <xdr14:nvPr macro=""/>
          <xdr14:xfrm>
            <a:off x="2467800" y="7789540"/>
            <a:ext cx="258480" cy="246240"/>
          </xdr14:xfrm>
        </xdr:contentPart>
      </mc:Choice>
      <mc:Fallback xmlns="">
        <xdr:pic>
          <xdr:nvPicPr>
            <xdr:cNvPr id="218" name="Freihand 217">
              <a:extLst>
                <a:ext uri="{FF2B5EF4-FFF2-40B4-BE49-F238E27FC236}">
                  <a16:creationId xmlns:a16="http://schemas.microsoft.com/office/drawing/2014/main" id="{33C7CD4C-C432-569B-E9C8-28C5B20DABEB}"/>
                </a:ext>
              </a:extLst>
            </xdr:cNvPr>
            <xdr:cNvPicPr/>
          </xdr:nvPicPr>
          <xdr:blipFill>
            <a:blip xmlns:r="http://schemas.openxmlformats.org/officeDocument/2006/relationships" r:embed="rId65"/>
            <a:stretch>
              <a:fillRect/>
            </a:stretch>
          </xdr:blipFill>
          <xdr:spPr>
            <a:xfrm>
              <a:off x="2450160" y="7771900"/>
              <a:ext cx="294120" cy="281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429120</xdr:colOff>
      <xdr:row>84</xdr:row>
      <xdr:rowOff>23360</xdr:rowOff>
    </xdr:from>
    <xdr:to>
      <xdr:col>3</xdr:col>
      <xdr:colOff>681120</xdr:colOff>
      <xdr:row>85</xdr:row>
      <xdr:rowOff>122171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6">
          <xdr14:nvContentPartPr>
            <xdr14:cNvPr id="219" name="Freihand 218">
              <a:extLst>
                <a:ext uri="{FF2B5EF4-FFF2-40B4-BE49-F238E27FC236}">
                  <a16:creationId xmlns:a16="http://schemas.microsoft.com/office/drawing/2014/main" id="{AF70409B-8FAD-269C-C827-212B8CD691ED}"/>
                </a:ext>
              </a:extLst>
            </xdr14:cNvPr>
            <xdr14:cNvContentPartPr/>
          </xdr14:nvContentPartPr>
          <xdr14:nvPr macro=""/>
          <xdr14:xfrm>
            <a:off x="2715120" y="8240260"/>
            <a:ext cx="252000" cy="282960"/>
          </xdr14:xfrm>
        </xdr:contentPart>
      </mc:Choice>
      <mc:Fallback xmlns="">
        <xdr:pic>
          <xdr:nvPicPr>
            <xdr:cNvPr id="219" name="Freihand 218">
              <a:extLst>
                <a:ext uri="{FF2B5EF4-FFF2-40B4-BE49-F238E27FC236}">
                  <a16:creationId xmlns:a16="http://schemas.microsoft.com/office/drawing/2014/main" id="{AF70409B-8FAD-269C-C827-212B8CD691ED}"/>
                </a:ext>
              </a:extLst>
            </xdr:cNvPr>
            <xdr:cNvPicPr/>
          </xdr:nvPicPr>
          <xdr:blipFill>
            <a:blip xmlns:r="http://schemas.openxmlformats.org/officeDocument/2006/relationships" r:embed="rId67"/>
            <a:stretch>
              <a:fillRect/>
            </a:stretch>
          </xdr:blipFill>
          <xdr:spPr>
            <a:xfrm>
              <a:off x="2697480" y="8222598"/>
              <a:ext cx="287640" cy="31864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331200</xdr:colOff>
      <xdr:row>80</xdr:row>
      <xdr:rowOff>39600</xdr:rowOff>
    </xdr:from>
    <xdr:to>
      <xdr:col>9</xdr:col>
      <xdr:colOff>439920</xdr:colOff>
      <xdr:row>92</xdr:row>
      <xdr:rowOff>156119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8">
          <xdr14:nvContentPartPr>
            <xdr14:cNvPr id="221" name="Freihand 220">
              <a:extLst>
                <a:ext uri="{FF2B5EF4-FFF2-40B4-BE49-F238E27FC236}">
                  <a16:creationId xmlns:a16="http://schemas.microsoft.com/office/drawing/2014/main" id="{C5DC447A-BAAA-E112-AD7C-29C5386EFF10}"/>
                </a:ext>
              </a:extLst>
            </xdr14:cNvPr>
            <xdr14:cNvContentPartPr/>
          </xdr14:nvContentPartPr>
          <xdr14:nvPr macro=""/>
          <xdr14:xfrm>
            <a:off x="7189200" y="7519900"/>
            <a:ext cx="108720" cy="2326320"/>
          </xdr14:xfrm>
        </xdr:contentPart>
      </mc:Choice>
      <mc:Fallback xmlns="">
        <xdr:pic>
          <xdr:nvPicPr>
            <xdr:cNvPr id="221" name="Freihand 220">
              <a:extLst>
                <a:ext uri="{FF2B5EF4-FFF2-40B4-BE49-F238E27FC236}">
                  <a16:creationId xmlns:a16="http://schemas.microsoft.com/office/drawing/2014/main" id="{C5DC447A-BAAA-E112-AD7C-29C5386EFF10}"/>
                </a:ext>
              </a:extLst>
            </xdr:cNvPr>
            <xdr:cNvPicPr/>
          </xdr:nvPicPr>
          <xdr:blipFill>
            <a:blip xmlns:r="http://schemas.openxmlformats.org/officeDocument/2006/relationships" r:embed="rId69"/>
            <a:stretch>
              <a:fillRect/>
            </a:stretch>
          </xdr:blipFill>
          <xdr:spPr>
            <a:xfrm>
              <a:off x="7171560" y="7502260"/>
              <a:ext cx="144360" cy="2361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366000</xdr:colOff>
      <xdr:row>87</xdr:row>
      <xdr:rowOff>6950</xdr:rowOff>
    </xdr:from>
    <xdr:to>
      <xdr:col>11</xdr:col>
      <xdr:colOff>737520</xdr:colOff>
      <xdr:row>87</xdr:row>
      <xdr:rowOff>31790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0">
          <xdr14:nvContentPartPr>
            <xdr14:cNvPr id="223" name="Freihand 222">
              <a:extLst>
                <a:ext uri="{FF2B5EF4-FFF2-40B4-BE49-F238E27FC236}">
                  <a16:creationId xmlns:a16="http://schemas.microsoft.com/office/drawing/2014/main" id="{64001680-B786-04FA-9C55-BD4A402407AD}"/>
                </a:ext>
              </a:extLst>
            </xdr14:cNvPr>
            <xdr14:cNvContentPartPr/>
          </xdr14:nvContentPartPr>
          <xdr14:nvPr macro=""/>
          <xdr14:xfrm>
            <a:off x="6462000" y="8776300"/>
            <a:ext cx="2657520" cy="24840"/>
          </xdr14:xfrm>
        </xdr:contentPart>
      </mc:Choice>
      <mc:Fallback xmlns="">
        <xdr:pic>
          <xdr:nvPicPr>
            <xdr:cNvPr id="223" name="Freihand 222">
              <a:extLst>
                <a:ext uri="{FF2B5EF4-FFF2-40B4-BE49-F238E27FC236}">
                  <a16:creationId xmlns:a16="http://schemas.microsoft.com/office/drawing/2014/main" id="{64001680-B786-04FA-9C55-BD4A402407AD}"/>
                </a:ext>
              </a:extLst>
            </xdr:cNvPr>
            <xdr:cNvPicPr/>
          </xdr:nvPicPr>
          <xdr:blipFill>
            <a:blip xmlns:r="http://schemas.openxmlformats.org/officeDocument/2006/relationships" r:embed="rId71"/>
            <a:stretch>
              <a:fillRect/>
            </a:stretch>
          </xdr:blipFill>
          <xdr:spPr>
            <a:xfrm>
              <a:off x="6444360" y="8758660"/>
              <a:ext cx="2693160" cy="60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724200</xdr:colOff>
      <xdr:row>86</xdr:row>
      <xdr:rowOff>122400</xdr:rowOff>
    </xdr:from>
    <xdr:to>
      <xdr:col>11</xdr:col>
      <xdr:colOff>876840</xdr:colOff>
      <xdr:row>87</xdr:row>
      <xdr:rowOff>157490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2">
          <xdr14:nvContentPartPr>
            <xdr14:cNvPr id="225" name="Freihand 224">
              <a:extLst>
                <a:ext uri="{FF2B5EF4-FFF2-40B4-BE49-F238E27FC236}">
                  <a16:creationId xmlns:a16="http://schemas.microsoft.com/office/drawing/2014/main" id="{597E6952-6610-34E8-D03B-2C4374DB19FF}"/>
                </a:ext>
              </a:extLst>
            </xdr14:cNvPr>
            <xdr14:cNvContentPartPr/>
          </xdr14:nvContentPartPr>
          <xdr14:nvPr macro=""/>
          <xdr14:xfrm>
            <a:off x="9106200" y="8707600"/>
            <a:ext cx="152640" cy="219240"/>
          </xdr14:xfrm>
        </xdr:contentPart>
      </mc:Choice>
      <mc:Fallback xmlns="">
        <xdr:pic>
          <xdr:nvPicPr>
            <xdr:cNvPr id="225" name="Freihand 224">
              <a:extLst>
                <a:ext uri="{FF2B5EF4-FFF2-40B4-BE49-F238E27FC236}">
                  <a16:creationId xmlns:a16="http://schemas.microsoft.com/office/drawing/2014/main" id="{597E6952-6610-34E8-D03B-2C4374DB19FF}"/>
                </a:ext>
              </a:extLst>
            </xdr:cNvPr>
            <xdr:cNvPicPr/>
          </xdr:nvPicPr>
          <xdr:blipFill>
            <a:blip xmlns:r="http://schemas.openxmlformats.org/officeDocument/2006/relationships" r:embed="rId73"/>
            <a:stretch>
              <a:fillRect/>
            </a:stretch>
          </xdr:blipFill>
          <xdr:spPr>
            <a:xfrm>
              <a:off x="9088560" y="8689960"/>
              <a:ext cx="188280" cy="254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231120</xdr:colOff>
      <xdr:row>79</xdr:row>
      <xdr:rowOff>98170</xdr:rowOff>
    </xdr:from>
    <xdr:to>
      <xdr:col>9</xdr:col>
      <xdr:colOff>373320</xdr:colOff>
      <xdr:row>81</xdr:row>
      <xdr:rowOff>25790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4">
          <xdr14:nvContentPartPr>
            <xdr14:cNvPr id="226" name="Freihand 225">
              <a:extLst>
                <a:ext uri="{FF2B5EF4-FFF2-40B4-BE49-F238E27FC236}">
                  <a16:creationId xmlns:a16="http://schemas.microsoft.com/office/drawing/2014/main" id="{5D909EF2-DE4F-630E-D324-31899FB52174}"/>
                </a:ext>
              </a:extLst>
            </xdr14:cNvPr>
            <xdr14:cNvContentPartPr/>
          </xdr14:nvContentPartPr>
          <xdr14:nvPr macro=""/>
          <xdr14:xfrm>
            <a:off x="7089120" y="7394320"/>
            <a:ext cx="142200" cy="295920"/>
          </xdr14:xfrm>
        </xdr:contentPart>
      </mc:Choice>
      <mc:Fallback xmlns="">
        <xdr:pic>
          <xdr:nvPicPr>
            <xdr:cNvPr id="226" name="Freihand 225">
              <a:extLst>
                <a:ext uri="{FF2B5EF4-FFF2-40B4-BE49-F238E27FC236}">
                  <a16:creationId xmlns:a16="http://schemas.microsoft.com/office/drawing/2014/main" id="{5D909EF2-DE4F-630E-D324-31899FB52174}"/>
                </a:ext>
              </a:extLst>
            </xdr:cNvPr>
            <xdr:cNvPicPr/>
          </xdr:nvPicPr>
          <xdr:blipFill>
            <a:blip xmlns:r="http://schemas.openxmlformats.org/officeDocument/2006/relationships" r:embed="rId75"/>
            <a:stretch>
              <a:fillRect/>
            </a:stretch>
          </xdr:blipFill>
          <xdr:spPr>
            <a:xfrm>
              <a:off x="7071480" y="7376680"/>
              <a:ext cx="177840" cy="331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409320</xdr:colOff>
      <xdr:row>86</xdr:row>
      <xdr:rowOff>36720</xdr:rowOff>
    </xdr:from>
    <xdr:to>
      <xdr:col>11</xdr:col>
      <xdr:colOff>187080</xdr:colOff>
      <xdr:row>88</xdr:row>
      <xdr:rowOff>113380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6">
          <xdr14:nvContentPartPr>
            <xdr14:cNvPr id="232" name="Freihand 231">
              <a:extLst>
                <a:ext uri="{FF2B5EF4-FFF2-40B4-BE49-F238E27FC236}">
                  <a16:creationId xmlns:a16="http://schemas.microsoft.com/office/drawing/2014/main" id="{3031B8FD-66DF-708F-6E25-7995CAC25B91}"/>
                </a:ext>
              </a:extLst>
            </xdr14:cNvPr>
            <xdr14:cNvContentPartPr/>
          </xdr14:nvContentPartPr>
          <xdr14:nvPr macro=""/>
          <xdr14:xfrm>
            <a:off x="7267320" y="8621920"/>
            <a:ext cx="1301760" cy="444960"/>
          </xdr14:xfrm>
        </xdr:contentPart>
      </mc:Choice>
      <mc:Fallback xmlns="">
        <xdr:pic>
          <xdr:nvPicPr>
            <xdr:cNvPr id="232" name="Freihand 231">
              <a:extLst>
                <a:ext uri="{FF2B5EF4-FFF2-40B4-BE49-F238E27FC236}">
                  <a16:creationId xmlns:a16="http://schemas.microsoft.com/office/drawing/2014/main" id="{3031B8FD-66DF-708F-6E25-7995CAC25B91}"/>
                </a:ext>
              </a:extLst>
            </xdr:cNvPr>
            <xdr:cNvPicPr/>
          </xdr:nvPicPr>
          <xdr:blipFill>
            <a:blip xmlns:r="http://schemas.openxmlformats.org/officeDocument/2006/relationships" r:embed="rId77"/>
            <a:stretch>
              <a:fillRect/>
            </a:stretch>
          </xdr:blipFill>
          <xdr:spPr>
            <a:xfrm>
              <a:off x="7249325" y="8603920"/>
              <a:ext cx="1337390" cy="48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409320</xdr:colOff>
      <xdr:row>84</xdr:row>
      <xdr:rowOff>131420</xdr:rowOff>
    </xdr:from>
    <xdr:to>
      <xdr:col>11</xdr:col>
      <xdr:colOff>254760</xdr:colOff>
      <xdr:row>86</xdr:row>
      <xdr:rowOff>45720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8">
          <xdr14:nvContentPartPr>
            <xdr14:cNvPr id="238" name="Freihand 237">
              <a:extLst>
                <a:ext uri="{FF2B5EF4-FFF2-40B4-BE49-F238E27FC236}">
                  <a16:creationId xmlns:a16="http://schemas.microsoft.com/office/drawing/2014/main" id="{4F195C60-CD1B-450F-3179-9C22364303F6}"/>
                </a:ext>
              </a:extLst>
            </xdr14:cNvPr>
            <xdr14:cNvContentPartPr/>
          </xdr14:nvContentPartPr>
          <xdr14:nvPr macro=""/>
          <xdr14:xfrm>
            <a:off x="7267320" y="8348320"/>
            <a:ext cx="1369440" cy="282600"/>
          </xdr14:xfrm>
        </xdr:contentPart>
      </mc:Choice>
      <mc:Fallback xmlns="">
        <xdr:pic>
          <xdr:nvPicPr>
            <xdr:cNvPr id="238" name="Freihand 237">
              <a:extLst>
                <a:ext uri="{FF2B5EF4-FFF2-40B4-BE49-F238E27FC236}">
                  <a16:creationId xmlns:a16="http://schemas.microsoft.com/office/drawing/2014/main" id="{4F195C60-CD1B-450F-3179-9C22364303F6}"/>
                </a:ext>
              </a:extLst>
            </xdr:cNvPr>
            <xdr:cNvPicPr/>
          </xdr:nvPicPr>
          <xdr:blipFill>
            <a:blip xmlns:r="http://schemas.openxmlformats.org/officeDocument/2006/relationships" r:embed="rId79"/>
            <a:stretch>
              <a:fillRect/>
            </a:stretch>
          </xdr:blipFill>
          <xdr:spPr>
            <a:xfrm>
              <a:off x="7249320" y="8330320"/>
              <a:ext cx="1405080" cy="318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344880</xdr:colOff>
      <xdr:row>80</xdr:row>
      <xdr:rowOff>140820</xdr:rowOff>
    </xdr:from>
    <xdr:to>
      <xdr:col>11</xdr:col>
      <xdr:colOff>737520</xdr:colOff>
      <xdr:row>86</xdr:row>
      <xdr:rowOff>139320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0">
          <xdr14:nvContentPartPr>
            <xdr14:cNvPr id="250" name="Freihand 249">
              <a:extLst>
                <a:ext uri="{FF2B5EF4-FFF2-40B4-BE49-F238E27FC236}">
                  <a16:creationId xmlns:a16="http://schemas.microsoft.com/office/drawing/2014/main" id="{8846860B-E613-B657-5E21-1CF714162960}"/>
                </a:ext>
              </a:extLst>
            </xdr14:cNvPr>
            <xdr14:cNvContentPartPr/>
          </xdr14:nvContentPartPr>
          <xdr14:nvPr macro=""/>
          <xdr14:xfrm>
            <a:off x="7202880" y="7621120"/>
            <a:ext cx="1916640" cy="1103400"/>
          </xdr14:xfrm>
        </xdr:contentPart>
      </mc:Choice>
      <mc:Fallback xmlns="">
        <xdr:pic>
          <xdr:nvPicPr>
            <xdr:cNvPr id="250" name="Freihand 249">
              <a:extLst>
                <a:ext uri="{FF2B5EF4-FFF2-40B4-BE49-F238E27FC236}">
                  <a16:creationId xmlns:a16="http://schemas.microsoft.com/office/drawing/2014/main" id="{8846860B-E613-B657-5E21-1CF714162960}"/>
                </a:ext>
              </a:extLst>
            </xdr:cNvPr>
            <xdr:cNvPicPr/>
          </xdr:nvPicPr>
          <xdr:blipFill>
            <a:blip xmlns:r="http://schemas.openxmlformats.org/officeDocument/2006/relationships" r:embed="rId81"/>
            <a:stretch>
              <a:fillRect/>
            </a:stretch>
          </xdr:blipFill>
          <xdr:spPr>
            <a:xfrm>
              <a:off x="7184883" y="7603480"/>
              <a:ext cx="1952273" cy="1139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105840</xdr:colOff>
      <xdr:row>96</xdr:row>
      <xdr:rowOff>90320</xdr:rowOff>
    </xdr:from>
    <xdr:to>
      <xdr:col>7</xdr:col>
      <xdr:colOff>418080</xdr:colOff>
      <xdr:row>96</xdr:row>
      <xdr:rowOff>104000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2">
          <xdr14:nvContentPartPr>
            <xdr14:cNvPr id="252" name="Freihand 251">
              <a:extLst>
                <a:ext uri="{FF2B5EF4-FFF2-40B4-BE49-F238E27FC236}">
                  <a16:creationId xmlns:a16="http://schemas.microsoft.com/office/drawing/2014/main" id="{6521CA5F-00BD-D382-3738-114E0A891C8A}"/>
                </a:ext>
              </a:extLst>
            </xdr14:cNvPr>
            <xdr14:cNvContentPartPr/>
          </xdr14:nvContentPartPr>
          <xdr14:nvPr macro=""/>
          <xdr14:xfrm>
            <a:off x="2391840" y="10517020"/>
            <a:ext cx="3360240" cy="13680"/>
          </xdr14:xfrm>
        </xdr:contentPart>
      </mc:Choice>
      <mc:Fallback xmlns="">
        <xdr:pic>
          <xdr:nvPicPr>
            <xdr:cNvPr id="252" name="Freihand 251">
              <a:extLst>
                <a:ext uri="{FF2B5EF4-FFF2-40B4-BE49-F238E27FC236}">
                  <a16:creationId xmlns:a16="http://schemas.microsoft.com/office/drawing/2014/main" id="{6521CA5F-00BD-D382-3738-114E0A891C8A}"/>
                </a:ext>
              </a:extLst>
            </xdr:cNvPr>
            <xdr:cNvPicPr/>
          </xdr:nvPicPr>
          <xdr:blipFill>
            <a:blip xmlns:r="http://schemas.openxmlformats.org/officeDocument/2006/relationships" r:embed="rId83"/>
            <a:stretch>
              <a:fillRect/>
            </a:stretch>
          </xdr:blipFill>
          <xdr:spPr>
            <a:xfrm>
              <a:off x="2374200" y="10499380"/>
              <a:ext cx="3395880" cy="49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758040</xdr:colOff>
      <xdr:row>101</xdr:row>
      <xdr:rowOff>111690</xdr:rowOff>
    </xdr:from>
    <xdr:to>
      <xdr:col>7</xdr:col>
      <xdr:colOff>165497</xdr:colOff>
      <xdr:row>102</xdr:row>
      <xdr:rowOff>44538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4">
          <xdr14:nvContentPartPr>
            <xdr14:cNvPr id="254" name="Freihand 253">
              <a:extLst>
                <a:ext uri="{FF2B5EF4-FFF2-40B4-BE49-F238E27FC236}">
                  <a16:creationId xmlns:a16="http://schemas.microsoft.com/office/drawing/2014/main" id="{DCEE3605-E572-D253-4462-0BDD09D706CB}"/>
                </a:ext>
              </a:extLst>
            </xdr14:cNvPr>
            <xdr14:cNvContentPartPr/>
          </xdr14:nvContentPartPr>
          <xdr14:nvPr macro=""/>
          <xdr14:xfrm>
            <a:off x="2282040" y="11459140"/>
            <a:ext cx="3368880" cy="117000"/>
          </xdr14:xfrm>
        </xdr:contentPart>
      </mc:Choice>
      <mc:Fallback xmlns="">
        <xdr:pic>
          <xdr:nvPicPr>
            <xdr:cNvPr id="254" name="Freihand 253">
              <a:extLst>
                <a:ext uri="{FF2B5EF4-FFF2-40B4-BE49-F238E27FC236}">
                  <a16:creationId xmlns:a16="http://schemas.microsoft.com/office/drawing/2014/main" id="{DCEE3605-E572-D253-4462-0BDD09D706CB}"/>
                </a:ext>
              </a:extLst>
            </xdr:cNvPr>
            <xdr:cNvPicPr/>
          </xdr:nvPicPr>
          <xdr:blipFill>
            <a:blip xmlns:r="http://schemas.openxmlformats.org/officeDocument/2006/relationships" r:embed="rId85"/>
            <a:stretch>
              <a:fillRect/>
            </a:stretch>
          </xdr:blipFill>
          <xdr:spPr>
            <a:xfrm>
              <a:off x="2264040" y="11441140"/>
              <a:ext cx="3404520" cy="152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555720</xdr:colOff>
      <xdr:row>96</xdr:row>
      <xdr:rowOff>22990</xdr:rowOff>
    </xdr:from>
    <xdr:to>
      <xdr:col>6</xdr:col>
      <xdr:colOff>628560</xdr:colOff>
      <xdr:row>102</xdr:row>
      <xdr:rowOff>23649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6">
          <xdr14:nvContentPartPr>
            <xdr14:cNvPr id="267" name="Freihand 266">
              <a:extLst>
                <a:ext uri="{FF2B5EF4-FFF2-40B4-BE49-F238E27FC236}">
                  <a16:creationId xmlns:a16="http://schemas.microsoft.com/office/drawing/2014/main" id="{F419D07E-0A6A-8111-371A-EEF20224B5CC}"/>
                </a:ext>
              </a:extLst>
            </xdr14:cNvPr>
            <xdr14:cNvContentPartPr/>
          </xdr14:nvContentPartPr>
          <xdr14:nvPr macro=""/>
          <xdr14:xfrm>
            <a:off x="4365720" y="10449690"/>
            <a:ext cx="834840" cy="1105560"/>
          </xdr14:xfrm>
        </xdr:contentPart>
      </mc:Choice>
      <mc:Fallback xmlns="">
        <xdr:pic>
          <xdr:nvPicPr>
            <xdr:cNvPr id="267" name="Freihand 266">
              <a:extLst>
                <a:ext uri="{FF2B5EF4-FFF2-40B4-BE49-F238E27FC236}">
                  <a16:creationId xmlns:a16="http://schemas.microsoft.com/office/drawing/2014/main" id="{F419D07E-0A6A-8111-371A-EEF20224B5CC}"/>
                </a:ext>
              </a:extLst>
            </xdr:cNvPr>
            <xdr:cNvPicPr/>
          </xdr:nvPicPr>
          <xdr:blipFill>
            <a:blip xmlns:r="http://schemas.openxmlformats.org/officeDocument/2006/relationships" r:embed="rId87"/>
            <a:stretch>
              <a:fillRect/>
            </a:stretch>
          </xdr:blipFill>
          <xdr:spPr>
            <a:xfrm>
              <a:off x="4347720" y="10432050"/>
              <a:ext cx="870480" cy="114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105360</xdr:colOff>
      <xdr:row>96</xdr:row>
      <xdr:rowOff>87430</xdr:rowOff>
    </xdr:from>
    <xdr:to>
      <xdr:col>5</xdr:col>
      <xdr:colOff>110040</xdr:colOff>
      <xdr:row>98</xdr:row>
      <xdr:rowOff>124131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8">
          <xdr14:nvContentPartPr>
            <xdr14:cNvPr id="269" name="Freihand 268">
              <a:extLst>
                <a:ext uri="{FF2B5EF4-FFF2-40B4-BE49-F238E27FC236}">
                  <a16:creationId xmlns:a16="http://schemas.microsoft.com/office/drawing/2014/main" id="{64CAD08A-DD1B-2255-97B5-11FBB4BC8127}"/>
                </a:ext>
              </a:extLst>
            </xdr14:cNvPr>
            <xdr14:cNvContentPartPr/>
          </xdr14:nvContentPartPr>
          <xdr14:nvPr macro=""/>
          <xdr14:xfrm>
            <a:off x="3915360" y="10514130"/>
            <a:ext cx="4680" cy="405000"/>
          </xdr14:xfrm>
        </xdr:contentPart>
      </mc:Choice>
      <mc:Fallback xmlns="">
        <xdr:pic>
          <xdr:nvPicPr>
            <xdr:cNvPr id="269" name="Freihand 268">
              <a:extLst>
                <a:ext uri="{FF2B5EF4-FFF2-40B4-BE49-F238E27FC236}">
                  <a16:creationId xmlns:a16="http://schemas.microsoft.com/office/drawing/2014/main" id="{64CAD08A-DD1B-2255-97B5-11FBB4BC8127}"/>
                </a:ext>
              </a:extLst>
            </xdr:cNvPr>
            <xdr:cNvPicPr/>
          </xdr:nvPicPr>
          <xdr:blipFill>
            <a:blip xmlns:r="http://schemas.openxmlformats.org/officeDocument/2006/relationships" r:embed="rId89"/>
            <a:stretch>
              <a:fillRect/>
            </a:stretch>
          </xdr:blipFill>
          <xdr:spPr>
            <a:xfrm>
              <a:off x="3898646" y="10496146"/>
              <a:ext cx="37774" cy="44060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68280</xdr:colOff>
      <xdr:row>96</xdr:row>
      <xdr:rowOff>51310</xdr:rowOff>
    </xdr:from>
    <xdr:to>
      <xdr:col>5</xdr:col>
      <xdr:colOff>173760</xdr:colOff>
      <xdr:row>97</xdr:row>
      <xdr:rowOff>40319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0">
          <xdr14:nvContentPartPr>
            <xdr14:cNvPr id="271" name="Freihand 270">
              <a:extLst>
                <a:ext uri="{FF2B5EF4-FFF2-40B4-BE49-F238E27FC236}">
                  <a16:creationId xmlns:a16="http://schemas.microsoft.com/office/drawing/2014/main" id="{2C8E20AD-8083-278D-9021-3A6F24BC4F12}"/>
                </a:ext>
              </a:extLst>
            </xdr14:cNvPr>
            <xdr14:cNvContentPartPr/>
          </xdr14:nvContentPartPr>
          <xdr14:nvPr macro=""/>
          <xdr14:xfrm>
            <a:off x="3878280" y="10478010"/>
            <a:ext cx="105480" cy="173160"/>
          </xdr14:xfrm>
        </xdr:contentPart>
      </mc:Choice>
      <mc:Fallback xmlns="">
        <xdr:pic>
          <xdr:nvPicPr>
            <xdr:cNvPr id="271" name="Freihand 270">
              <a:extLst>
                <a:ext uri="{FF2B5EF4-FFF2-40B4-BE49-F238E27FC236}">
                  <a16:creationId xmlns:a16="http://schemas.microsoft.com/office/drawing/2014/main" id="{2C8E20AD-8083-278D-9021-3A6F24BC4F12}"/>
                </a:ext>
              </a:extLst>
            </xdr:cNvPr>
            <xdr:cNvPicPr/>
          </xdr:nvPicPr>
          <xdr:blipFill>
            <a:blip xmlns:r="http://schemas.openxmlformats.org/officeDocument/2006/relationships" r:embed="rId91"/>
            <a:stretch>
              <a:fillRect/>
            </a:stretch>
          </xdr:blipFill>
          <xdr:spPr>
            <a:xfrm>
              <a:off x="3860280" y="10460010"/>
              <a:ext cx="141120" cy="208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483240</xdr:colOff>
      <xdr:row>98</xdr:row>
      <xdr:rowOff>108170</xdr:rowOff>
    </xdr:from>
    <xdr:to>
      <xdr:col>5</xdr:col>
      <xdr:colOff>195720</xdr:colOff>
      <xdr:row>102</xdr:row>
      <xdr:rowOff>64208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2">
          <xdr14:nvContentPartPr>
            <xdr14:cNvPr id="275" name="Freihand 274">
              <a:extLst>
                <a:ext uri="{FF2B5EF4-FFF2-40B4-BE49-F238E27FC236}">
                  <a16:creationId xmlns:a16="http://schemas.microsoft.com/office/drawing/2014/main" id="{0A949932-CF1A-E1A0-E1E3-D09E10E13FB3}"/>
                </a:ext>
              </a:extLst>
            </xdr14:cNvPr>
            <xdr14:cNvContentPartPr/>
          </xdr14:nvContentPartPr>
          <xdr14:nvPr macro=""/>
          <xdr14:xfrm>
            <a:off x="3531240" y="10903170"/>
            <a:ext cx="474480" cy="692640"/>
          </xdr14:xfrm>
        </xdr:contentPart>
      </mc:Choice>
      <mc:Fallback xmlns="">
        <xdr:pic>
          <xdr:nvPicPr>
            <xdr:cNvPr id="275" name="Freihand 274">
              <a:extLst>
                <a:ext uri="{FF2B5EF4-FFF2-40B4-BE49-F238E27FC236}">
                  <a16:creationId xmlns:a16="http://schemas.microsoft.com/office/drawing/2014/main" id="{0A949932-CF1A-E1A0-E1E3-D09E10E13FB3}"/>
                </a:ext>
              </a:extLst>
            </xdr:cNvPr>
            <xdr:cNvPicPr/>
          </xdr:nvPicPr>
          <xdr:blipFill>
            <a:blip xmlns:r="http://schemas.openxmlformats.org/officeDocument/2006/relationships" r:embed="rId93"/>
            <a:stretch>
              <a:fillRect/>
            </a:stretch>
          </xdr:blipFill>
          <xdr:spPr>
            <a:xfrm>
              <a:off x="3513254" y="10885530"/>
              <a:ext cx="510093" cy="728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373680</xdr:colOff>
      <xdr:row>97</xdr:row>
      <xdr:rowOff>55080</xdr:rowOff>
    </xdr:from>
    <xdr:to>
      <xdr:col>4</xdr:col>
      <xdr:colOff>193800</xdr:colOff>
      <xdr:row>101</xdr:row>
      <xdr:rowOff>96082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4">
          <xdr14:nvContentPartPr>
            <xdr14:cNvPr id="280" name="Freihand 279">
              <a:extLst>
                <a:ext uri="{FF2B5EF4-FFF2-40B4-BE49-F238E27FC236}">
                  <a16:creationId xmlns:a16="http://schemas.microsoft.com/office/drawing/2014/main" id="{3848A86C-FC12-716C-839F-A9B002A7B3FC}"/>
                </a:ext>
              </a:extLst>
            </xdr14:cNvPr>
            <xdr14:cNvContentPartPr/>
          </xdr14:nvContentPartPr>
          <xdr14:nvPr macro=""/>
          <xdr14:xfrm>
            <a:off x="2659680" y="10665930"/>
            <a:ext cx="582120" cy="777600"/>
          </xdr14:xfrm>
        </xdr:contentPart>
      </mc:Choice>
      <mc:Fallback xmlns="">
        <xdr:pic>
          <xdr:nvPicPr>
            <xdr:cNvPr id="280" name="Freihand 279">
              <a:extLst>
                <a:ext uri="{FF2B5EF4-FFF2-40B4-BE49-F238E27FC236}">
                  <a16:creationId xmlns:a16="http://schemas.microsoft.com/office/drawing/2014/main" id="{3848A86C-FC12-716C-839F-A9B002A7B3FC}"/>
                </a:ext>
              </a:extLst>
            </xdr:cNvPr>
            <xdr:cNvPicPr/>
          </xdr:nvPicPr>
          <xdr:blipFill>
            <a:blip xmlns:r="http://schemas.openxmlformats.org/officeDocument/2006/relationships" r:embed="rId95"/>
            <a:stretch>
              <a:fillRect/>
            </a:stretch>
          </xdr:blipFill>
          <xdr:spPr>
            <a:xfrm>
              <a:off x="2642040" y="10648290"/>
              <a:ext cx="617760" cy="813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174360</xdr:colOff>
      <xdr:row>93</xdr:row>
      <xdr:rowOff>107320</xdr:rowOff>
    </xdr:from>
    <xdr:to>
      <xdr:col>5</xdr:col>
      <xdr:colOff>460680</xdr:colOff>
      <xdr:row>98</xdr:row>
      <xdr:rowOff>149571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6">
          <xdr14:nvContentPartPr>
            <xdr14:cNvPr id="295" name="Freihand 294">
              <a:extLst>
                <a:ext uri="{FF2B5EF4-FFF2-40B4-BE49-F238E27FC236}">
                  <a16:creationId xmlns:a16="http://schemas.microsoft.com/office/drawing/2014/main" id="{911B9D31-BC72-60EA-FE6C-992A7B6C32BF}"/>
                </a:ext>
              </a:extLst>
            </xdr14:cNvPr>
            <xdr14:cNvContentPartPr/>
          </xdr14:nvContentPartPr>
          <xdr14:nvPr macro=""/>
          <xdr14:xfrm>
            <a:off x="3222360" y="9981570"/>
            <a:ext cx="1048320" cy="963000"/>
          </xdr14:xfrm>
        </xdr:contentPart>
      </mc:Choice>
      <mc:Fallback xmlns="">
        <xdr:pic>
          <xdr:nvPicPr>
            <xdr:cNvPr id="295" name="Freihand 294">
              <a:extLst>
                <a:ext uri="{FF2B5EF4-FFF2-40B4-BE49-F238E27FC236}">
                  <a16:creationId xmlns:a16="http://schemas.microsoft.com/office/drawing/2014/main" id="{911B9D31-BC72-60EA-FE6C-992A7B6C32BF}"/>
                </a:ext>
              </a:extLst>
            </xdr:cNvPr>
            <xdr:cNvPicPr/>
          </xdr:nvPicPr>
          <xdr:blipFill>
            <a:blip xmlns:r="http://schemas.openxmlformats.org/officeDocument/2006/relationships" r:embed="rId97"/>
            <a:stretch>
              <a:fillRect/>
            </a:stretch>
          </xdr:blipFill>
          <xdr:spPr>
            <a:xfrm>
              <a:off x="3204360" y="9963577"/>
              <a:ext cx="1083960" cy="99862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59400</xdr:colOff>
      <xdr:row>97</xdr:row>
      <xdr:rowOff>12240</xdr:rowOff>
    </xdr:from>
    <xdr:to>
      <xdr:col>6</xdr:col>
      <xdr:colOff>433440</xdr:colOff>
      <xdr:row>98</xdr:row>
      <xdr:rowOff>76492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8">
          <xdr14:nvContentPartPr>
            <xdr14:cNvPr id="296" name="Freihand 295">
              <a:extLst>
                <a:ext uri="{FF2B5EF4-FFF2-40B4-BE49-F238E27FC236}">
                  <a16:creationId xmlns:a16="http://schemas.microsoft.com/office/drawing/2014/main" id="{6026CEF8-21BE-2881-35B1-119B0710BA9E}"/>
                </a:ext>
              </a:extLst>
            </xdr14:cNvPr>
            <xdr14:cNvContentPartPr/>
          </xdr14:nvContentPartPr>
          <xdr14:nvPr macro=""/>
          <xdr14:xfrm>
            <a:off x="4631400" y="10623090"/>
            <a:ext cx="374040" cy="248400"/>
          </xdr14:xfrm>
        </xdr:contentPart>
      </mc:Choice>
      <mc:Fallback xmlns="">
        <xdr:pic>
          <xdr:nvPicPr>
            <xdr:cNvPr id="296" name="Freihand 295">
              <a:extLst>
                <a:ext uri="{FF2B5EF4-FFF2-40B4-BE49-F238E27FC236}">
                  <a16:creationId xmlns:a16="http://schemas.microsoft.com/office/drawing/2014/main" id="{6026CEF8-21BE-2881-35B1-119B0710BA9E}"/>
                </a:ext>
              </a:extLst>
            </xdr:cNvPr>
            <xdr:cNvPicPr/>
          </xdr:nvPicPr>
          <xdr:blipFill>
            <a:blip xmlns:r="http://schemas.openxmlformats.org/officeDocument/2006/relationships" r:embed="rId99"/>
            <a:stretch>
              <a:fillRect/>
            </a:stretch>
          </xdr:blipFill>
          <xdr:spPr>
            <a:xfrm>
              <a:off x="4613760" y="10605090"/>
              <a:ext cx="409680" cy="284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632760</xdr:colOff>
      <xdr:row>94</xdr:row>
      <xdr:rowOff>16230</xdr:rowOff>
    </xdr:from>
    <xdr:to>
      <xdr:col>11</xdr:col>
      <xdr:colOff>978360</xdr:colOff>
      <xdr:row>103</xdr:row>
      <xdr:rowOff>174000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0">
          <xdr14:nvContentPartPr>
            <xdr14:cNvPr id="300" name="Freihand 299">
              <a:extLst>
                <a:ext uri="{FF2B5EF4-FFF2-40B4-BE49-F238E27FC236}">
                  <a16:creationId xmlns:a16="http://schemas.microsoft.com/office/drawing/2014/main" id="{6BC04409-D732-62F7-7022-9C651951B001}"/>
                </a:ext>
              </a:extLst>
            </xdr14:cNvPr>
            <xdr14:cNvContentPartPr/>
          </xdr14:nvContentPartPr>
          <xdr14:nvPr macro=""/>
          <xdr14:xfrm>
            <a:off x="6728760" y="10074630"/>
            <a:ext cx="2631600" cy="1815120"/>
          </xdr14:xfrm>
        </xdr:contentPart>
      </mc:Choice>
      <mc:Fallback xmlns="">
        <xdr:pic>
          <xdr:nvPicPr>
            <xdr:cNvPr id="300" name="Freihand 299">
              <a:extLst>
                <a:ext uri="{FF2B5EF4-FFF2-40B4-BE49-F238E27FC236}">
                  <a16:creationId xmlns:a16="http://schemas.microsoft.com/office/drawing/2014/main" id="{6BC04409-D732-62F7-7022-9C651951B001}"/>
                </a:ext>
              </a:extLst>
            </xdr:cNvPr>
            <xdr:cNvPicPr/>
          </xdr:nvPicPr>
          <xdr:blipFill>
            <a:blip xmlns:r="http://schemas.openxmlformats.org/officeDocument/2006/relationships" r:embed="rId101"/>
            <a:stretch>
              <a:fillRect/>
            </a:stretch>
          </xdr:blipFill>
          <xdr:spPr>
            <a:xfrm>
              <a:off x="6710760" y="10056990"/>
              <a:ext cx="2667240" cy="185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650880</xdr:colOff>
      <xdr:row>98</xdr:row>
      <xdr:rowOff>114830</xdr:rowOff>
    </xdr:from>
    <xdr:to>
      <xdr:col>11</xdr:col>
      <xdr:colOff>433320</xdr:colOff>
      <xdr:row>99</xdr:row>
      <xdr:rowOff>172599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2">
          <xdr14:nvContentPartPr>
            <xdr14:cNvPr id="303" name="Freihand 302">
              <a:extLst>
                <a:ext uri="{FF2B5EF4-FFF2-40B4-BE49-F238E27FC236}">
                  <a16:creationId xmlns:a16="http://schemas.microsoft.com/office/drawing/2014/main" id="{519744DF-7EE4-BA74-D2D0-8C5D6E4E4E09}"/>
                </a:ext>
              </a:extLst>
            </xdr14:cNvPr>
            <xdr14:cNvContentPartPr/>
          </xdr14:nvContentPartPr>
          <xdr14:nvPr macro=""/>
          <xdr14:xfrm>
            <a:off x="7508880" y="10909830"/>
            <a:ext cx="1306440" cy="241920"/>
          </xdr14:xfrm>
        </xdr:contentPart>
      </mc:Choice>
      <mc:Fallback xmlns="">
        <xdr:pic>
          <xdr:nvPicPr>
            <xdr:cNvPr id="303" name="Freihand 302">
              <a:extLst>
                <a:ext uri="{FF2B5EF4-FFF2-40B4-BE49-F238E27FC236}">
                  <a16:creationId xmlns:a16="http://schemas.microsoft.com/office/drawing/2014/main" id="{519744DF-7EE4-BA74-D2D0-8C5D6E4E4E09}"/>
                </a:ext>
              </a:extLst>
            </xdr:cNvPr>
            <xdr:cNvPicPr/>
          </xdr:nvPicPr>
          <xdr:blipFill>
            <a:blip xmlns:r="http://schemas.openxmlformats.org/officeDocument/2006/relationships" r:embed="rId103"/>
            <a:stretch>
              <a:fillRect/>
            </a:stretch>
          </xdr:blipFill>
          <xdr:spPr>
            <a:xfrm>
              <a:off x="7491235" y="10891830"/>
              <a:ext cx="1342090" cy="27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682200</xdr:colOff>
      <xdr:row>96</xdr:row>
      <xdr:rowOff>172450</xdr:rowOff>
    </xdr:from>
    <xdr:to>
      <xdr:col>11</xdr:col>
      <xdr:colOff>512160</xdr:colOff>
      <xdr:row>98</xdr:row>
      <xdr:rowOff>148671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4">
          <xdr14:nvContentPartPr>
            <xdr14:cNvPr id="312" name="Freihand 311">
              <a:extLst>
                <a:ext uri="{FF2B5EF4-FFF2-40B4-BE49-F238E27FC236}">
                  <a16:creationId xmlns:a16="http://schemas.microsoft.com/office/drawing/2014/main" id="{513A2F0C-6E48-5FFC-924D-9423A95D13E8}"/>
                </a:ext>
              </a:extLst>
            </xdr14:cNvPr>
            <xdr14:cNvContentPartPr/>
          </xdr14:nvContentPartPr>
          <xdr14:nvPr macro=""/>
          <xdr14:xfrm>
            <a:off x="7540200" y="10599150"/>
            <a:ext cx="1353960" cy="344520"/>
          </xdr14:xfrm>
        </xdr:contentPart>
      </mc:Choice>
      <mc:Fallback xmlns="">
        <xdr:pic>
          <xdr:nvPicPr>
            <xdr:cNvPr id="312" name="Freihand 311">
              <a:extLst>
                <a:ext uri="{FF2B5EF4-FFF2-40B4-BE49-F238E27FC236}">
                  <a16:creationId xmlns:a16="http://schemas.microsoft.com/office/drawing/2014/main" id="{513A2F0C-6E48-5FFC-924D-9423A95D13E8}"/>
                </a:ext>
              </a:extLst>
            </xdr:cNvPr>
            <xdr:cNvPicPr/>
          </xdr:nvPicPr>
          <xdr:blipFill>
            <a:blip xmlns:r="http://schemas.openxmlformats.org/officeDocument/2006/relationships" r:embed="rId105"/>
            <a:stretch>
              <a:fillRect/>
            </a:stretch>
          </xdr:blipFill>
          <xdr:spPr>
            <a:xfrm>
              <a:off x="7522200" y="10581150"/>
              <a:ext cx="1389600" cy="38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544680</xdr:colOff>
      <xdr:row>98</xdr:row>
      <xdr:rowOff>53270</xdr:rowOff>
    </xdr:from>
    <xdr:to>
      <xdr:col>11</xdr:col>
      <xdr:colOff>416760</xdr:colOff>
      <xdr:row>104</xdr:row>
      <xdr:rowOff>30169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6">
          <xdr14:nvContentPartPr>
            <xdr14:cNvPr id="327" name="Freihand 326">
              <a:extLst>
                <a:ext uri="{FF2B5EF4-FFF2-40B4-BE49-F238E27FC236}">
                  <a16:creationId xmlns:a16="http://schemas.microsoft.com/office/drawing/2014/main" id="{655BBE30-04B4-A850-BFC3-6E292BF127E2}"/>
                </a:ext>
              </a:extLst>
            </xdr14:cNvPr>
            <xdr14:cNvContentPartPr/>
          </xdr14:nvContentPartPr>
          <xdr14:nvPr macro=""/>
          <xdr14:xfrm>
            <a:off x="7402680" y="10848270"/>
            <a:ext cx="1396080" cy="1081800"/>
          </xdr14:xfrm>
        </xdr:contentPart>
      </mc:Choice>
      <mc:Fallback xmlns="">
        <xdr:pic>
          <xdr:nvPicPr>
            <xdr:cNvPr id="327" name="Freihand 326">
              <a:extLst>
                <a:ext uri="{FF2B5EF4-FFF2-40B4-BE49-F238E27FC236}">
                  <a16:creationId xmlns:a16="http://schemas.microsoft.com/office/drawing/2014/main" id="{655BBE30-04B4-A850-BFC3-6E292BF127E2}"/>
                </a:ext>
              </a:extLst>
            </xdr:cNvPr>
            <xdr:cNvPicPr/>
          </xdr:nvPicPr>
          <xdr:blipFill>
            <a:blip xmlns:r="http://schemas.openxmlformats.org/officeDocument/2006/relationships" r:embed="rId107"/>
            <a:stretch>
              <a:fillRect/>
            </a:stretch>
          </xdr:blipFill>
          <xdr:spPr>
            <a:xfrm>
              <a:off x="7384680" y="10830624"/>
              <a:ext cx="1431720" cy="111745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617400</xdr:colOff>
      <xdr:row>108</xdr:row>
      <xdr:rowOff>99010</xdr:rowOff>
    </xdr:from>
    <xdr:to>
      <xdr:col>5</xdr:col>
      <xdr:colOff>353760</xdr:colOff>
      <xdr:row>111</xdr:row>
      <xdr:rowOff>37960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8">
          <xdr14:nvContentPartPr>
            <xdr14:cNvPr id="333" name="Freihand 332">
              <a:extLst>
                <a:ext uri="{FF2B5EF4-FFF2-40B4-BE49-F238E27FC236}">
                  <a16:creationId xmlns:a16="http://schemas.microsoft.com/office/drawing/2014/main" id="{CF8A1E2E-585A-386D-B2E9-769E26FBA01E}"/>
                </a:ext>
              </a:extLst>
            </xdr14:cNvPr>
            <xdr14:cNvContentPartPr/>
          </xdr14:nvContentPartPr>
          <xdr14:nvPr macro=""/>
          <xdr14:xfrm>
            <a:off x="2903400" y="12735510"/>
            <a:ext cx="1260360" cy="491400"/>
          </xdr14:xfrm>
        </xdr:contentPart>
      </mc:Choice>
      <mc:Fallback xmlns="">
        <xdr:pic>
          <xdr:nvPicPr>
            <xdr:cNvPr id="333" name="Freihand 332">
              <a:extLst>
                <a:ext uri="{FF2B5EF4-FFF2-40B4-BE49-F238E27FC236}">
                  <a16:creationId xmlns:a16="http://schemas.microsoft.com/office/drawing/2014/main" id="{CF8A1E2E-585A-386D-B2E9-769E26FBA01E}"/>
                </a:ext>
              </a:extLst>
            </xdr:cNvPr>
            <xdr:cNvPicPr/>
          </xdr:nvPicPr>
          <xdr:blipFill>
            <a:blip xmlns:r="http://schemas.openxmlformats.org/officeDocument/2006/relationships" r:embed="rId109"/>
            <a:stretch>
              <a:fillRect/>
            </a:stretch>
          </xdr:blipFill>
          <xdr:spPr>
            <a:xfrm>
              <a:off x="2885765" y="12717510"/>
              <a:ext cx="1295990" cy="527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601080</xdr:colOff>
      <xdr:row>109</xdr:row>
      <xdr:rowOff>168300</xdr:rowOff>
    </xdr:from>
    <xdr:to>
      <xdr:col>8</xdr:col>
      <xdr:colOff>260</xdr:colOff>
      <xdr:row>110</xdr:row>
      <xdr:rowOff>1430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0">
          <xdr14:nvContentPartPr>
            <xdr14:cNvPr id="335" name="Freihand 334">
              <a:extLst>
                <a:ext uri="{FF2B5EF4-FFF2-40B4-BE49-F238E27FC236}">
                  <a16:creationId xmlns:a16="http://schemas.microsoft.com/office/drawing/2014/main" id="{7B0C4E38-BB66-6C57-98F0-9CC723E8FD90}"/>
                </a:ext>
              </a:extLst>
            </xdr14:cNvPr>
            <xdr14:cNvContentPartPr/>
          </xdr14:nvContentPartPr>
          <xdr14:nvPr macro=""/>
          <xdr14:xfrm>
            <a:off x="4411080" y="12988950"/>
            <a:ext cx="2002680" cy="17280"/>
          </xdr14:xfrm>
        </xdr:contentPart>
      </mc:Choice>
      <mc:Fallback xmlns="">
        <xdr:pic>
          <xdr:nvPicPr>
            <xdr:cNvPr id="335" name="Freihand 334">
              <a:extLst>
                <a:ext uri="{FF2B5EF4-FFF2-40B4-BE49-F238E27FC236}">
                  <a16:creationId xmlns:a16="http://schemas.microsoft.com/office/drawing/2014/main" id="{7B0C4E38-BB66-6C57-98F0-9CC723E8FD90}"/>
                </a:ext>
              </a:extLst>
            </xdr:cNvPr>
            <xdr:cNvPicPr/>
          </xdr:nvPicPr>
          <xdr:blipFill>
            <a:blip xmlns:r="http://schemas.openxmlformats.org/officeDocument/2006/relationships" r:embed="rId111"/>
            <a:stretch>
              <a:fillRect/>
            </a:stretch>
          </xdr:blipFill>
          <xdr:spPr>
            <a:xfrm>
              <a:off x="4393080" y="12971310"/>
              <a:ext cx="2038320" cy="5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759960</xdr:colOff>
      <xdr:row>106</xdr:row>
      <xdr:rowOff>96870</xdr:rowOff>
    </xdr:from>
    <xdr:to>
      <xdr:col>7</xdr:col>
      <xdr:colOff>429240</xdr:colOff>
      <xdr:row>109</xdr:row>
      <xdr:rowOff>15659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2">
          <xdr14:nvContentPartPr>
            <xdr14:cNvPr id="336" name="Freihand 335">
              <a:extLst>
                <a:ext uri="{FF2B5EF4-FFF2-40B4-BE49-F238E27FC236}">
                  <a16:creationId xmlns:a16="http://schemas.microsoft.com/office/drawing/2014/main" id="{4E1D9F53-91CC-90A0-67DC-91DB51822B0B}"/>
                </a:ext>
              </a:extLst>
            </xdr14:cNvPr>
            <xdr14:cNvContentPartPr/>
          </xdr14:nvContentPartPr>
          <xdr14:nvPr macro=""/>
          <xdr14:xfrm>
            <a:off x="5331960" y="12365070"/>
            <a:ext cx="431280" cy="471240"/>
          </xdr14:xfrm>
        </xdr:contentPart>
      </mc:Choice>
      <mc:Fallback xmlns="">
        <xdr:pic>
          <xdr:nvPicPr>
            <xdr:cNvPr id="336" name="Freihand 335">
              <a:extLst>
                <a:ext uri="{FF2B5EF4-FFF2-40B4-BE49-F238E27FC236}">
                  <a16:creationId xmlns:a16="http://schemas.microsoft.com/office/drawing/2014/main" id="{4E1D9F53-91CC-90A0-67DC-91DB51822B0B}"/>
                </a:ext>
              </a:extLst>
            </xdr:cNvPr>
            <xdr:cNvPicPr/>
          </xdr:nvPicPr>
          <xdr:blipFill>
            <a:blip xmlns:r="http://schemas.openxmlformats.org/officeDocument/2006/relationships" r:embed="rId113"/>
            <a:stretch>
              <a:fillRect/>
            </a:stretch>
          </xdr:blipFill>
          <xdr:spPr>
            <a:xfrm>
              <a:off x="5314320" y="12347070"/>
              <a:ext cx="466920" cy="506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140040</xdr:colOff>
      <xdr:row>110</xdr:row>
      <xdr:rowOff>118790</xdr:rowOff>
    </xdr:from>
    <xdr:to>
      <xdr:col>7</xdr:col>
      <xdr:colOff>568200</xdr:colOff>
      <xdr:row>112</xdr:row>
      <xdr:rowOff>105812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4">
          <xdr14:nvContentPartPr>
            <xdr14:cNvPr id="348" name="Freihand 347">
              <a:extLst>
                <a:ext uri="{FF2B5EF4-FFF2-40B4-BE49-F238E27FC236}">
                  <a16:creationId xmlns:a16="http://schemas.microsoft.com/office/drawing/2014/main" id="{7C8D1F72-98AD-A0D9-816B-D7779E5EE82D}"/>
                </a:ext>
              </a:extLst>
            </xdr14:cNvPr>
            <xdr14:cNvContentPartPr/>
          </xdr14:nvContentPartPr>
          <xdr14:nvPr macro=""/>
          <xdr14:xfrm>
            <a:off x="4712040" y="13123590"/>
            <a:ext cx="1190160" cy="355320"/>
          </xdr14:xfrm>
        </xdr:contentPart>
      </mc:Choice>
      <mc:Fallback xmlns="">
        <xdr:pic>
          <xdr:nvPicPr>
            <xdr:cNvPr id="348" name="Freihand 347">
              <a:extLst>
                <a:ext uri="{FF2B5EF4-FFF2-40B4-BE49-F238E27FC236}">
                  <a16:creationId xmlns:a16="http://schemas.microsoft.com/office/drawing/2014/main" id="{7C8D1F72-98AD-A0D9-816B-D7779E5EE82D}"/>
                </a:ext>
              </a:extLst>
            </xdr:cNvPr>
            <xdr:cNvPicPr/>
          </xdr:nvPicPr>
          <xdr:blipFill>
            <a:blip xmlns:r="http://schemas.openxmlformats.org/officeDocument/2006/relationships" r:embed="rId115"/>
            <a:stretch>
              <a:fillRect/>
            </a:stretch>
          </xdr:blipFill>
          <xdr:spPr>
            <a:xfrm>
              <a:off x="4694400" y="13105950"/>
              <a:ext cx="1225800" cy="39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446040</xdr:colOff>
      <xdr:row>110</xdr:row>
      <xdr:rowOff>157670</xdr:rowOff>
    </xdr:from>
    <xdr:to>
      <xdr:col>6</xdr:col>
      <xdr:colOff>708840</xdr:colOff>
      <xdr:row>112</xdr:row>
      <xdr:rowOff>32012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6">
          <xdr14:nvContentPartPr>
            <xdr14:cNvPr id="353" name="Freihand 352">
              <a:extLst>
                <a:ext uri="{FF2B5EF4-FFF2-40B4-BE49-F238E27FC236}">
                  <a16:creationId xmlns:a16="http://schemas.microsoft.com/office/drawing/2014/main" id="{DE7890C9-29A8-E0AE-DF42-B5C4ACFA2795}"/>
                </a:ext>
              </a:extLst>
            </xdr14:cNvPr>
            <xdr14:cNvContentPartPr/>
          </xdr14:nvContentPartPr>
          <xdr14:nvPr macro=""/>
          <xdr14:xfrm>
            <a:off x="5018040" y="13162470"/>
            <a:ext cx="262800" cy="242640"/>
          </xdr14:xfrm>
        </xdr:contentPart>
      </mc:Choice>
      <mc:Fallback xmlns="">
        <xdr:pic>
          <xdr:nvPicPr>
            <xdr:cNvPr id="353" name="Freihand 352">
              <a:extLst>
                <a:ext uri="{FF2B5EF4-FFF2-40B4-BE49-F238E27FC236}">
                  <a16:creationId xmlns:a16="http://schemas.microsoft.com/office/drawing/2014/main" id="{DE7890C9-29A8-E0AE-DF42-B5C4ACFA2795}"/>
                </a:ext>
              </a:extLst>
            </xdr:cNvPr>
            <xdr:cNvPicPr/>
          </xdr:nvPicPr>
          <xdr:blipFill>
            <a:blip xmlns:r="http://schemas.openxmlformats.org/officeDocument/2006/relationships" r:embed="rId117"/>
            <a:stretch>
              <a:fillRect/>
            </a:stretch>
          </xdr:blipFill>
          <xdr:spPr>
            <a:xfrm>
              <a:off x="5000065" y="13144497"/>
              <a:ext cx="298391" cy="27822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704880</xdr:colOff>
      <xdr:row>117</xdr:row>
      <xdr:rowOff>179800</xdr:rowOff>
    </xdr:from>
    <xdr:to>
      <xdr:col>5</xdr:col>
      <xdr:colOff>503160</xdr:colOff>
      <xdr:row>122</xdr:row>
      <xdr:rowOff>22611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8">
          <xdr14:nvContentPartPr>
            <xdr14:cNvPr id="359" name="Freihand 358">
              <a:extLst>
                <a:ext uri="{FF2B5EF4-FFF2-40B4-BE49-F238E27FC236}">
                  <a16:creationId xmlns:a16="http://schemas.microsoft.com/office/drawing/2014/main" id="{948ADD1D-F423-4F17-B7AA-AE115CB62E2E}"/>
                </a:ext>
              </a:extLst>
            </xdr14:cNvPr>
            <xdr14:cNvContentPartPr/>
          </xdr14:nvContentPartPr>
          <xdr14:nvPr macro=""/>
          <xdr14:xfrm>
            <a:off x="2990880" y="14473650"/>
            <a:ext cx="1322280" cy="763560"/>
          </xdr14:xfrm>
        </xdr:contentPart>
      </mc:Choice>
      <mc:Fallback xmlns="">
        <xdr:pic>
          <xdr:nvPicPr>
            <xdr:cNvPr id="359" name="Freihand 358">
              <a:extLst>
                <a:ext uri="{FF2B5EF4-FFF2-40B4-BE49-F238E27FC236}">
                  <a16:creationId xmlns:a16="http://schemas.microsoft.com/office/drawing/2014/main" id="{948ADD1D-F423-4F17-B7AA-AE115CB62E2E}"/>
                </a:ext>
              </a:extLst>
            </xdr:cNvPr>
            <xdr:cNvPicPr/>
          </xdr:nvPicPr>
          <xdr:blipFill>
            <a:blip xmlns:r="http://schemas.openxmlformats.org/officeDocument/2006/relationships" r:embed="rId119"/>
            <a:stretch>
              <a:fillRect/>
            </a:stretch>
          </xdr:blipFill>
          <xdr:spPr>
            <a:xfrm>
              <a:off x="2973240" y="14456010"/>
              <a:ext cx="1357920" cy="799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105840</xdr:colOff>
      <xdr:row>118</xdr:row>
      <xdr:rowOff>30570</xdr:rowOff>
    </xdr:from>
    <xdr:to>
      <xdr:col>7</xdr:col>
      <xdr:colOff>713640</xdr:colOff>
      <xdr:row>121</xdr:row>
      <xdr:rowOff>1920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0">
          <xdr14:nvContentPartPr>
            <xdr14:cNvPr id="368" name="Freihand 367">
              <a:extLst>
                <a:ext uri="{FF2B5EF4-FFF2-40B4-BE49-F238E27FC236}">
                  <a16:creationId xmlns:a16="http://schemas.microsoft.com/office/drawing/2014/main" id="{52DB4DD6-D5FB-A9E8-61A2-042DA3032B13}"/>
                </a:ext>
              </a:extLst>
            </xdr14:cNvPr>
            <xdr14:cNvContentPartPr/>
          </xdr14:nvContentPartPr>
          <xdr14:nvPr macro=""/>
          <xdr14:xfrm>
            <a:off x="4677840" y="14508570"/>
            <a:ext cx="1369800" cy="523800"/>
          </xdr14:xfrm>
        </xdr:contentPart>
      </mc:Choice>
      <mc:Fallback xmlns="">
        <xdr:pic>
          <xdr:nvPicPr>
            <xdr:cNvPr id="368" name="Freihand 367">
              <a:extLst>
                <a:ext uri="{FF2B5EF4-FFF2-40B4-BE49-F238E27FC236}">
                  <a16:creationId xmlns:a16="http://schemas.microsoft.com/office/drawing/2014/main" id="{52DB4DD6-D5FB-A9E8-61A2-042DA3032B13}"/>
                </a:ext>
              </a:extLst>
            </xdr:cNvPr>
            <xdr:cNvPicPr/>
          </xdr:nvPicPr>
          <xdr:blipFill>
            <a:blip xmlns:r="http://schemas.openxmlformats.org/officeDocument/2006/relationships" r:embed="rId121"/>
            <a:stretch>
              <a:fillRect/>
            </a:stretch>
          </xdr:blipFill>
          <xdr:spPr>
            <a:xfrm>
              <a:off x="4659845" y="14490570"/>
              <a:ext cx="1405431" cy="559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240120</xdr:colOff>
      <xdr:row>123</xdr:row>
      <xdr:rowOff>184060</xdr:rowOff>
    </xdr:from>
    <xdr:to>
      <xdr:col>7</xdr:col>
      <xdr:colOff>720840</xdr:colOff>
      <xdr:row>125</xdr:row>
      <xdr:rowOff>144083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2">
          <xdr14:nvContentPartPr>
            <xdr14:cNvPr id="371" name="Freihand 370">
              <a:extLst>
                <a:ext uri="{FF2B5EF4-FFF2-40B4-BE49-F238E27FC236}">
                  <a16:creationId xmlns:a16="http://schemas.microsoft.com/office/drawing/2014/main" id="{D1E25D96-C61A-496B-9F8B-3EAF801058D8}"/>
                </a:ext>
              </a:extLst>
            </xdr14:cNvPr>
            <xdr14:cNvContentPartPr/>
          </xdr14:nvContentPartPr>
          <xdr14:nvPr macro=""/>
          <xdr14:xfrm>
            <a:off x="2526120" y="15582810"/>
            <a:ext cx="3528720" cy="328320"/>
          </xdr14:xfrm>
        </xdr:contentPart>
      </mc:Choice>
      <mc:Fallback xmlns="">
        <xdr:pic>
          <xdr:nvPicPr>
            <xdr:cNvPr id="371" name="Freihand 370">
              <a:extLst>
                <a:ext uri="{FF2B5EF4-FFF2-40B4-BE49-F238E27FC236}">
                  <a16:creationId xmlns:a16="http://schemas.microsoft.com/office/drawing/2014/main" id="{D1E25D96-C61A-496B-9F8B-3EAF801058D8}"/>
                </a:ext>
              </a:extLst>
            </xdr:cNvPr>
            <xdr:cNvPicPr/>
          </xdr:nvPicPr>
          <xdr:blipFill>
            <a:blip xmlns:r="http://schemas.openxmlformats.org/officeDocument/2006/relationships" r:embed="rId123"/>
            <a:stretch>
              <a:fillRect/>
            </a:stretch>
          </xdr:blipFill>
          <xdr:spPr>
            <a:xfrm>
              <a:off x="2508480" y="15564810"/>
              <a:ext cx="3564360" cy="363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264600</xdr:colOff>
      <xdr:row>113</xdr:row>
      <xdr:rowOff>143120</xdr:rowOff>
    </xdr:from>
    <xdr:to>
      <xdr:col>8</xdr:col>
      <xdr:colOff>308060</xdr:colOff>
      <xdr:row>116</xdr:row>
      <xdr:rowOff>21229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4">
          <xdr14:nvContentPartPr>
            <xdr14:cNvPr id="374" name="Freihand 373">
              <a:extLst>
                <a:ext uri="{FF2B5EF4-FFF2-40B4-BE49-F238E27FC236}">
                  <a16:creationId xmlns:a16="http://schemas.microsoft.com/office/drawing/2014/main" id="{CB09A059-10AB-9C2A-1B28-ECE1195D8E8B}"/>
                </a:ext>
              </a:extLst>
            </xdr14:cNvPr>
            <xdr14:cNvContentPartPr/>
          </xdr14:nvContentPartPr>
          <xdr14:nvPr macro=""/>
          <xdr14:xfrm>
            <a:off x="2550600" y="13700370"/>
            <a:ext cx="4170960" cy="430560"/>
          </xdr14:xfrm>
        </xdr:contentPart>
      </mc:Choice>
      <mc:Fallback xmlns="">
        <xdr:pic>
          <xdr:nvPicPr>
            <xdr:cNvPr id="374" name="Freihand 373">
              <a:extLst>
                <a:ext uri="{FF2B5EF4-FFF2-40B4-BE49-F238E27FC236}">
                  <a16:creationId xmlns:a16="http://schemas.microsoft.com/office/drawing/2014/main" id="{CB09A059-10AB-9C2A-1B28-ECE1195D8E8B}"/>
                </a:ext>
              </a:extLst>
            </xdr:cNvPr>
            <xdr:cNvPicPr/>
          </xdr:nvPicPr>
          <xdr:blipFill>
            <a:blip xmlns:r="http://schemas.openxmlformats.org/officeDocument/2006/relationships" r:embed="rId125"/>
            <a:stretch>
              <a:fillRect/>
            </a:stretch>
          </xdr:blipFill>
          <xdr:spPr>
            <a:xfrm>
              <a:off x="2532960" y="13682730"/>
              <a:ext cx="4206600" cy="466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135120</xdr:colOff>
      <xdr:row>63</xdr:row>
      <xdr:rowOff>23500</xdr:rowOff>
    </xdr:from>
    <xdr:to>
      <xdr:col>11</xdr:col>
      <xdr:colOff>332880</xdr:colOff>
      <xdr:row>63</xdr:row>
      <xdr:rowOff>46540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6">
          <xdr14:nvContentPartPr>
            <xdr14:cNvPr id="376" name="Freihand 375">
              <a:extLst>
                <a:ext uri="{FF2B5EF4-FFF2-40B4-BE49-F238E27FC236}">
                  <a16:creationId xmlns:a16="http://schemas.microsoft.com/office/drawing/2014/main" id="{E8DAE169-46D0-8472-2D54-C2E3D984DDC7}"/>
                </a:ext>
              </a:extLst>
            </xdr14:cNvPr>
            <xdr14:cNvContentPartPr/>
          </xdr14:nvContentPartPr>
          <xdr14:nvPr macro=""/>
          <xdr14:xfrm>
            <a:off x="7755120" y="4373250"/>
            <a:ext cx="959760" cy="23040"/>
          </xdr14:xfrm>
        </xdr:contentPart>
      </mc:Choice>
      <mc:Fallback xmlns="">
        <xdr:pic>
          <xdr:nvPicPr>
            <xdr:cNvPr id="376" name="Freihand 375">
              <a:extLst>
                <a:ext uri="{FF2B5EF4-FFF2-40B4-BE49-F238E27FC236}">
                  <a16:creationId xmlns:a16="http://schemas.microsoft.com/office/drawing/2014/main" id="{E8DAE169-46D0-8472-2D54-C2E3D984DDC7}"/>
                </a:ext>
              </a:extLst>
            </xdr:cNvPr>
            <xdr:cNvPicPr/>
          </xdr:nvPicPr>
          <xdr:blipFill>
            <a:blip xmlns:r="http://schemas.openxmlformats.org/officeDocument/2006/relationships" r:embed="rId127"/>
            <a:stretch>
              <a:fillRect/>
            </a:stretch>
          </xdr:blipFill>
          <xdr:spPr>
            <a:xfrm>
              <a:off x="7737480" y="4355610"/>
              <a:ext cx="995400" cy="5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710760</xdr:colOff>
      <xdr:row>61</xdr:row>
      <xdr:rowOff>77880</xdr:rowOff>
    </xdr:from>
    <xdr:to>
      <xdr:col>11</xdr:col>
      <xdr:colOff>393720</xdr:colOff>
      <xdr:row>63</xdr:row>
      <xdr:rowOff>124658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8">
          <xdr14:nvContentPartPr>
            <xdr14:cNvPr id="379" name="Freihand 378">
              <a:extLst>
                <a:ext uri="{FF2B5EF4-FFF2-40B4-BE49-F238E27FC236}">
                  <a16:creationId xmlns:a16="http://schemas.microsoft.com/office/drawing/2014/main" id="{48A3B801-59B6-CFD2-1C41-F40F2B8B0EDF}"/>
                </a:ext>
              </a:extLst>
            </xdr14:cNvPr>
            <xdr14:cNvContentPartPr/>
          </xdr14:nvContentPartPr>
          <xdr14:nvPr macro=""/>
          <xdr14:xfrm>
            <a:off x="8330760" y="4059330"/>
            <a:ext cx="444960" cy="415080"/>
          </xdr14:xfrm>
        </xdr:contentPart>
      </mc:Choice>
      <mc:Fallback xmlns="">
        <xdr:pic>
          <xdr:nvPicPr>
            <xdr:cNvPr id="379" name="Freihand 378">
              <a:extLst>
                <a:ext uri="{FF2B5EF4-FFF2-40B4-BE49-F238E27FC236}">
                  <a16:creationId xmlns:a16="http://schemas.microsoft.com/office/drawing/2014/main" id="{48A3B801-59B6-CFD2-1C41-F40F2B8B0EDF}"/>
                </a:ext>
              </a:extLst>
            </xdr:cNvPr>
            <xdr:cNvPicPr/>
          </xdr:nvPicPr>
          <xdr:blipFill>
            <a:blip xmlns:r="http://schemas.openxmlformats.org/officeDocument/2006/relationships" r:embed="rId129"/>
            <a:stretch>
              <a:fillRect/>
            </a:stretch>
          </xdr:blipFill>
          <xdr:spPr>
            <a:xfrm>
              <a:off x="8313120" y="4041330"/>
              <a:ext cx="480600" cy="45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624600</xdr:colOff>
      <xdr:row>63</xdr:row>
      <xdr:rowOff>33580</xdr:rowOff>
    </xdr:from>
    <xdr:to>
      <xdr:col>9</xdr:col>
      <xdr:colOff>759960</xdr:colOff>
      <xdr:row>67</xdr:row>
      <xdr:rowOff>144421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0">
          <xdr14:nvContentPartPr>
            <xdr14:cNvPr id="382" name="Freihand 381">
              <a:extLst>
                <a:ext uri="{FF2B5EF4-FFF2-40B4-BE49-F238E27FC236}">
                  <a16:creationId xmlns:a16="http://schemas.microsoft.com/office/drawing/2014/main" id="{A05D885D-A7BE-1C0D-3209-9908390C872D}"/>
                </a:ext>
              </a:extLst>
            </xdr14:cNvPr>
            <xdr14:cNvContentPartPr/>
          </xdr14:nvContentPartPr>
          <xdr14:nvPr macro=""/>
          <xdr14:xfrm>
            <a:off x="7482600" y="4383330"/>
            <a:ext cx="135360" cy="847440"/>
          </xdr14:xfrm>
        </xdr:contentPart>
      </mc:Choice>
      <mc:Fallback xmlns="">
        <xdr:pic>
          <xdr:nvPicPr>
            <xdr:cNvPr id="382" name="Freihand 381">
              <a:extLst>
                <a:ext uri="{FF2B5EF4-FFF2-40B4-BE49-F238E27FC236}">
                  <a16:creationId xmlns:a16="http://schemas.microsoft.com/office/drawing/2014/main" id="{A05D885D-A7BE-1C0D-3209-9908390C872D}"/>
                </a:ext>
              </a:extLst>
            </xdr:cNvPr>
            <xdr:cNvPicPr/>
          </xdr:nvPicPr>
          <xdr:blipFill>
            <a:blip xmlns:r="http://schemas.openxmlformats.org/officeDocument/2006/relationships" r:embed="rId131"/>
            <a:stretch>
              <a:fillRect/>
            </a:stretch>
          </xdr:blipFill>
          <xdr:spPr>
            <a:xfrm>
              <a:off x="7464600" y="4365330"/>
              <a:ext cx="171000" cy="88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243000</xdr:colOff>
      <xdr:row>66</xdr:row>
      <xdr:rowOff>40210</xdr:rowOff>
    </xdr:from>
    <xdr:to>
      <xdr:col>9</xdr:col>
      <xdr:colOff>565560</xdr:colOff>
      <xdr:row>67</xdr:row>
      <xdr:rowOff>163501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2">
          <xdr14:nvContentPartPr>
            <xdr14:cNvPr id="386" name="Freihand 385">
              <a:extLst>
                <a:ext uri="{FF2B5EF4-FFF2-40B4-BE49-F238E27FC236}">
                  <a16:creationId xmlns:a16="http://schemas.microsoft.com/office/drawing/2014/main" id="{87381C7B-92A4-C73C-D49E-F55256F6AD45}"/>
                </a:ext>
              </a:extLst>
            </xdr14:cNvPr>
            <xdr14:cNvContentPartPr/>
          </xdr14:nvContentPartPr>
          <xdr14:nvPr macro=""/>
          <xdr14:xfrm>
            <a:off x="7101000" y="4942410"/>
            <a:ext cx="322560" cy="307440"/>
          </xdr14:xfrm>
        </xdr:contentPart>
      </mc:Choice>
      <mc:Fallback xmlns="">
        <xdr:pic>
          <xdr:nvPicPr>
            <xdr:cNvPr id="386" name="Freihand 385">
              <a:extLst>
                <a:ext uri="{FF2B5EF4-FFF2-40B4-BE49-F238E27FC236}">
                  <a16:creationId xmlns:a16="http://schemas.microsoft.com/office/drawing/2014/main" id="{87381C7B-92A4-C73C-D49E-F55256F6AD45}"/>
                </a:ext>
              </a:extLst>
            </xdr:cNvPr>
            <xdr:cNvPicPr/>
          </xdr:nvPicPr>
          <xdr:blipFill>
            <a:blip xmlns:r="http://schemas.openxmlformats.org/officeDocument/2006/relationships" r:embed="rId133"/>
            <a:stretch>
              <a:fillRect/>
            </a:stretch>
          </xdr:blipFill>
          <xdr:spPr>
            <a:xfrm>
              <a:off x="7083360" y="4924431"/>
              <a:ext cx="358200" cy="34303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360480</xdr:colOff>
      <xdr:row>74</xdr:row>
      <xdr:rowOff>113100</xdr:rowOff>
    </xdr:from>
    <xdr:to>
      <xdr:col>11</xdr:col>
      <xdr:colOff>154320</xdr:colOff>
      <xdr:row>76</xdr:row>
      <xdr:rowOff>148359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4">
          <xdr14:nvContentPartPr>
            <xdr14:cNvPr id="400" name="Freihand 399">
              <a:extLst>
                <a:ext uri="{FF2B5EF4-FFF2-40B4-BE49-F238E27FC236}">
                  <a16:creationId xmlns:a16="http://schemas.microsoft.com/office/drawing/2014/main" id="{0E31E7A1-CB8F-96AB-C149-7241F8570624}"/>
                </a:ext>
              </a:extLst>
            </xdr14:cNvPr>
            <xdr14:cNvContentPartPr/>
          </xdr14:nvContentPartPr>
          <xdr14:nvPr macro=""/>
          <xdr14:xfrm>
            <a:off x="7980480" y="6488500"/>
            <a:ext cx="555840" cy="403560"/>
          </xdr14:xfrm>
        </xdr:contentPart>
      </mc:Choice>
      <mc:Fallback xmlns="">
        <xdr:pic>
          <xdr:nvPicPr>
            <xdr:cNvPr id="400" name="Freihand 399">
              <a:extLst>
                <a:ext uri="{FF2B5EF4-FFF2-40B4-BE49-F238E27FC236}">
                  <a16:creationId xmlns:a16="http://schemas.microsoft.com/office/drawing/2014/main" id="{0E31E7A1-CB8F-96AB-C149-7241F8570624}"/>
                </a:ext>
              </a:extLst>
            </xdr:cNvPr>
            <xdr:cNvPicPr/>
          </xdr:nvPicPr>
          <xdr:blipFill>
            <a:blip xmlns:r="http://schemas.openxmlformats.org/officeDocument/2006/relationships" r:embed="rId135"/>
            <a:stretch>
              <a:fillRect/>
            </a:stretch>
          </xdr:blipFill>
          <xdr:spPr>
            <a:xfrm>
              <a:off x="7962840" y="6470500"/>
              <a:ext cx="591480" cy="439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606600</xdr:colOff>
      <xdr:row>69</xdr:row>
      <xdr:rowOff>88490</xdr:rowOff>
    </xdr:from>
    <xdr:to>
      <xdr:col>9</xdr:col>
      <xdr:colOff>736560</xdr:colOff>
      <xdr:row>73</xdr:row>
      <xdr:rowOff>38050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6">
          <xdr14:nvContentPartPr>
            <xdr14:cNvPr id="406" name="Freihand 405">
              <a:extLst>
                <a:ext uri="{FF2B5EF4-FFF2-40B4-BE49-F238E27FC236}">
                  <a16:creationId xmlns:a16="http://schemas.microsoft.com/office/drawing/2014/main" id="{2C0D822C-08BF-A208-8DE3-6B919059B0F4}"/>
                </a:ext>
              </a:extLst>
            </xdr14:cNvPr>
            <xdr14:cNvContentPartPr/>
          </xdr14:nvContentPartPr>
          <xdr14:nvPr macro=""/>
          <xdr14:xfrm>
            <a:off x="7464600" y="5543140"/>
            <a:ext cx="129960" cy="686160"/>
          </xdr14:xfrm>
        </xdr:contentPart>
      </mc:Choice>
      <mc:Fallback xmlns="">
        <xdr:pic>
          <xdr:nvPicPr>
            <xdr:cNvPr id="406" name="Freihand 405">
              <a:extLst>
                <a:ext uri="{FF2B5EF4-FFF2-40B4-BE49-F238E27FC236}">
                  <a16:creationId xmlns:a16="http://schemas.microsoft.com/office/drawing/2014/main" id="{2C0D822C-08BF-A208-8DE3-6B919059B0F4}"/>
                </a:ext>
              </a:extLst>
            </xdr:cNvPr>
            <xdr:cNvPicPr/>
          </xdr:nvPicPr>
          <xdr:blipFill>
            <a:blip xmlns:r="http://schemas.openxmlformats.org/officeDocument/2006/relationships" r:embed="rId137"/>
            <a:stretch>
              <a:fillRect/>
            </a:stretch>
          </xdr:blipFill>
          <xdr:spPr>
            <a:xfrm>
              <a:off x="7446960" y="5525140"/>
              <a:ext cx="165600" cy="72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106560</xdr:colOff>
      <xdr:row>81</xdr:row>
      <xdr:rowOff>173300</xdr:rowOff>
    </xdr:from>
    <xdr:to>
      <xdr:col>10</xdr:col>
      <xdr:colOff>649560</xdr:colOff>
      <xdr:row>88</xdr:row>
      <xdr:rowOff>148211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8">
          <xdr14:nvContentPartPr>
            <xdr14:cNvPr id="421" name="Freihand 420">
              <a:extLst>
                <a:ext uri="{FF2B5EF4-FFF2-40B4-BE49-F238E27FC236}">
                  <a16:creationId xmlns:a16="http://schemas.microsoft.com/office/drawing/2014/main" id="{AAAB10CF-2F27-016E-49DA-7D9DE6E24F90}"/>
                </a:ext>
              </a:extLst>
            </xdr14:cNvPr>
            <xdr14:cNvContentPartPr/>
          </xdr14:nvContentPartPr>
          <xdr14:nvPr macro=""/>
          <xdr14:xfrm>
            <a:off x="6964560" y="7837750"/>
            <a:ext cx="1305000" cy="1263960"/>
          </xdr14:xfrm>
        </xdr:contentPart>
      </mc:Choice>
      <mc:Fallback xmlns="">
        <xdr:pic>
          <xdr:nvPicPr>
            <xdr:cNvPr id="421" name="Freihand 420">
              <a:extLst>
                <a:ext uri="{FF2B5EF4-FFF2-40B4-BE49-F238E27FC236}">
                  <a16:creationId xmlns:a16="http://schemas.microsoft.com/office/drawing/2014/main" id="{AAAB10CF-2F27-016E-49DA-7D9DE6E24F90}"/>
                </a:ext>
              </a:extLst>
            </xdr:cNvPr>
            <xdr:cNvPicPr/>
          </xdr:nvPicPr>
          <xdr:blipFill>
            <a:blip xmlns:r="http://schemas.openxmlformats.org/officeDocument/2006/relationships" r:embed="rId139"/>
            <a:stretch>
              <a:fillRect/>
            </a:stretch>
          </xdr:blipFill>
          <xdr:spPr>
            <a:xfrm>
              <a:off x="6946560" y="7820110"/>
              <a:ext cx="1340640" cy="129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315360</xdr:colOff>
      <xdr:row>82</xdr:row>
      <xdr:rowOff>61510</xdr:rowOff>
    </xdr:from>
    <xdr:to>
      <xdr:col>10</xdr:col>
      <xdr:colOff>575400</xdr:colOff>
      <xdr:row>86</xdr:row>
      <xdr:rowOff>104310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0">
          <xdr14:nvContentPartPr>
            <xdr14:cNvPr id="424" name="Freihand 423">
              <a:extLst>
                <a:ext uri="{FF2B5EF4-FFF2-40B4-BE49-F238E27FC236}">
                  <a16:creationId xmlns:a16="http://schemas.microsoft.com/office/drawing/2014/main" id="{FC46FF2F-FBA1-259F-5569-6D2393763484}"/>
                </a:ext>
              </a:extLst>
            </xdr14:cNvPr>
            <xdr14:cNvContentPartPr/>
          </xdr14:nvContentPartPr>
          <xdr14:nvPr macro=""/>
          <xdr14:xfrm>
            <a:off x="7173360" y="7910110"/>
            <a:ext cx="1022040" cy="779400"/>
          </xdr14:xfrm>
        </xdr:contentPart>
      </mc:Choice>
      <mc:Fallback xmlns="">
        <xdr:pic>
          <xdr:nvPicPr>
            <xdr:cNvPr id="424" name="Freihand 423">
              <a:extLst>
                <a:ext uri="{FF2B5EF4-FFF2-40B4-BE49-F238E27FC236}">
                  <a16:creationId xmlns:a16="http://schemas.microsoft.com/office/drawing/2014/main" id="{FC46FF2F-FBA1-259F-5569-6D2393763484}"/>
                </a:ext>
              </a:extLst>
            </xdr:cNvPr>
            <xdr:cNvPicPr/>
          </xdr:nvPicPr>
          <xdr:blipFill>
            <a:blip xmlns:r="http://schemas.openxmlformats.org/officeDocument/2006/relationships" r:embed="rId141"/>
            <a:stretch>
              <a:fillRect/>
            </a:stretch>
          </xdr:blipFill>
          <xdr:spPr>
            <a:xfrm>
              <a:off x="7155366" y="7892110"/>
              <a:ext cx="1057667" cy="81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622680</xdr:colOff>
      <xdr:row>70</xdr:row>
      <xdr:rowOff>146470</xdr:rowOff>
    </xdr:from>
    <xdr:to>
      <xdr:col>10</xdr:col>
      <xdr:colOff>709320</xdr:colOff>
      <xdr:row>74</xdr:row>
      <xdr:rowOff>93300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2">
          <xdr14:nvContentPartPr>
            <xdr14:cNvPr id="437" name="Freihand 436">
              <a:extLst>
                <a:ext uri="{FF2B5EF4-FFF2-40B4-BE49-F238E27FC236}">
                  <a16:creationId xmlns:a16="http://schemas.microsoft.com/office/drawing/2014/main" id="{066153A8-810C-B5C7-4FAB-27906DEF3708}"/>
                </a:ext>
              </a:extLst>
            </xdr14:cNvPr>
            <xdr14:cNvContentPartPr/>
          </xdr14:nvContentPartPr>
          <xdr14:nvPr macro=""/>
          <xdr14:xfrm>
            <a:off x="6718680" y="5785270"/>
            <a:ext cx="1610640" cy="683430"/>
          </xdr14:xfrm>
        </xdr:contentPart>
      </mc:Choice>
      <mc:Fallback xmlns="">
        <xdr:pic>
          <xdr:nvPicPr>
            <xdr:cNvPr id="437" name="Freihand 436">
              <a:extLst>
                <a:ext uri="{FF2B5EF4-FFF2-40B4-BE49-F238E27FC236}">
                  <a16:creationId xmlns:a16="http://schemas.microsoft.com/office/drawing/2014/main" id="{066153A8-810C-B5C7-4FAB-27906DEF3708}"/>
                </a:ext>
              </a:extLst>
            </xdr:cNvPr>
            <xdr:cNvPicPr/>
          </xdr:nvPicPr>
          <xdr:blipFill>
            <a:blip xmlns:r="http://schemas.openxmlformats.org/officeDocument/2006/relationships" r:embed="rId143"/>
            <a:stretch>
              <a:fillRect/>
            </a:stretch>
          </xdr:blipFill>
          <xdr:spPr>
            <a:xfrm>
              <a:off x="6701040" y="5767626"/>
              <a:ext cx="1646280" cy="71907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526560</xdr:colOff>
      <xdr:row>83</xdr:row>
      <xdr:rowOff>3870</xdr:rowOff>
    </xdr:from>
    <xdr:to>
      <xdr:col>8</xdr:col>
      <xdr:colOff>759840</xdr:colOff>
      <xdr:row>84</xdr:row>
      <xdr:rowOff>86840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4">
          <xdr14:nvContentPartPr>
            <xdr14:cNvPr id="441" name="Freihand 440">
              <a:extLst>
                <a:ext uri="{FF2B5EF4-FFF2-40B4-BE49-F238E27FC236}">
                  <a16:creationId xmlns:a16="http://schemas.microsoft.com/office/drawing/2014/main" id="{98E2A602-216A-764D-9160-4C9157902E0F}"/>
                </a:ext>
              </a:extLst>
            </xdr14:cNvPr>
            <xdr14:cNvContentPartPr/>
          </xdr14:nvContentPartPr>
          <xdr14:nvPr macro=""/>
          <xdr14:xfrm>
            <a:off x="6622560" y="8036620"/>
            <a:ext cx="233280" cy="267120"/>
          </xdr14:xfrm>
        </xdr:contentPart>
      </mc:Choice>
      <mc:Fallback xmlns="">
        <xdr:pic>
          <xdr:nvPicPr>
            <xdr:cNvPr id="441" name="Freihand 440">
              <a:extLst>
                <a:ext uri="{FF2B5EF4-FFF2-40B4-BE49-F238E27FC236}">
                  <a16:creationId xmlns:a16="http://schemas.microsoft.com/office/drawing/2014/main" id="{98E2A602-216A-764D-9160-4C9157902E0F}"/>
                </a:ext>
              </a:extLst>
            </xdr:cNvPr>
            <xdr:cNvPicPr/>
          </xdr:nvPicPr>
          <xdr:blipFill>
            <a:blip xmlns:r="http://schemas.openxmlformats.org/officeDocument/2006/relationships" r:embed="rId145"/>
            <a:stretch>
              <a:fillRect/>
            </a:stretch>
          </xdr:blipFill>
          <xdr:spPr>
            <a:xfrm>
              <a:off x="6604560" y="8018620"/>
              <a:ext cx="268920" cy="30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159840</xdr:colOff>
      <xdr:row>95</xdr:row>
      <xdr:rowOff>69950</xdr:rowOff>
    </xdr:from>
    <xdr:to>
      <xdr:col>11</xdr:col>
      <xdr:colOff>3480</xdr:colOff>
      <xdr:row>103</xdr:row>
      <xdr:rowOff>119190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6">
          <xdr14:nvContentPartPr>
            <xdr14:cNvPr id="455" name="Freihand 454">
              <a:extLst>
                <a:ext uri="{FF2B5EF4-FFF2-40B4-BE49-F238E27FC236}">
                  <a16:creationId xmlns:a16="http://schemas.microsoft.com/office/drawing/2014/main" id="{84A1DBC4-4086-F1B1-3C14-31FFA50D8AC5}"/>
                </a:ext>
              </a:extLst>
            </xdr14:cNvPr>
            <xdr14:cNvContentPartPr/>
          </xdr14:nvContentPartPr>
          <xdr14:nvPr macro=""/>
          <xdr14:xfrm>
            <a:off x="7017840" y="10312500"/>
            <a:ext cx="1367640" cy="1522440"/>
          </xdr14:xfrm>
        </xdr:contentPart>
      </mc:Choice>
      <mc:Fallback xmlns="">
        <xdr:pic>
          <xdr:nvPicPr>
            <xdr:cNvPr id="455" name="Freihand 454">
              <a:extLst>
                <a:ext uri="{FF2B5EF4-FFF2-40B4-BE49-F238E27FC236}">
                  <a16:creationId xmlns:a16="http://schemas.microsoft.com/office/drawing/2014/main" id="{84A1DBC4-4086-F1B1-3C14-31FFA50D8AC5}"/>
                </a:ext>
              </a:extLst>
            </xdr:cNvPr>
            <xdr:cNvPicPr/>
          </xdr:nvPicPr>
          <xdr:blipFill>
            <a:blip xmlns:r="http://schemas.openxmlformats.org/officeDocument/2006/relationships" r:embed="rId147"/>
            <a:stretch>
              <a:fillRect/>
            </a:stretch>
          </xdr:blipFill>
          <xdr:spPr>
            <a:xfrm>
              <a:off x="7000200" y="10294504"/>
              <a:ext cx="1403280" cy="155807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649800</xdr:colOff>
      <xdr:row>97</xdr:row>
      <xdr:rowOff>135810</xdr:rowOff>
    </xdr:from>
    <xdr:to>
      <xdr:col>11</xdr:col>
      <xdr:colOff>432600</xdr:colOff>
      <xdr:row>102</xdr:row>
      <xdr:rowOff>89860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8">
          <xdr14:nvContentPartPr>
            <xdr14:cNvPr id="459" name="Freihand 458">
              <a:extLst>
                <a:ext uri="{FF2B5EF4-FFF2-40B4-BE49-F238E27FC236}">
                  <a16:creationId xmlns:a16="http://schemas.microsoft.com/office/drawing/2014/main" id="{08634A82-FE0D-5AAF-6873-EBF1F23117C2}"/>
                </a:ext>
              </a:extLst>
            </xdr14:cNvPr>
            <xdr14:cNvContentPartPr/>
          </xdr14:nvContentPartPr>
          <xdr14:nvPr macro=""/>
          <xdr14:xfrm>
            <a:off x="7507800" y="10746660"/>
            <a:ext cx="1306800" cy="874800"/>
          </xdr14:xfrm>
        </xdr:contentPart>
      </mc:Choice>
      <mc:Fallback xmlns="">
        <xdr:pic>
          <xdr:nvPicPr>
            <xdr:cNvPr id="459" name="Freihand 458">
              <a:extLst>
                <a:ext uri="{FF2B5EF4-FFF2-40B4-BE49-F238E27FC236}">
                  <a16:creationId xmlns:a16="http://schemas.microsoft.com/office/drawing/2014/main" id="{08634A82-FE0D-5AAF-6873-EBF1F23117C2}"/>
                </a:ext>
              </a:extLst>
            </xdr:cNvPr>
            <xdr:cNvPicPr/>
          </xdr:nvPicPr>
          <xdr:blipFill>
            <a:blip xmlns:r="http://schemas.openxmlformats.org/officeDocument/2006/relationships" r:embed="rId149"/>
            <a:stretch>
              <a:fillRect/>
            </a:stretch>
          </xdr:blipFill>
          <xdr:spPr>
            <a:xfrm>
              <a:off x="7489800" y="10729013"/>
              <a:ext cx="1342440" cy="910455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2</xdr:col>
      <xdr:colOff>593436</xdr:colOff>
      <xdr:row>5</xdr:row>
      <xdr:rowOff>3160</xdr:rowOff>
    </xdr:from>
    <xdr:to>
      <xdr:col>6</xdr:col>
      <xdr:colOff>362085</xdr:colOff>
      <xdr:row>21</xdr:row>
      <xdr:rowOff>17319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8AF6DB47-CE7B-47C7-B394-70D78F8486ED}"/>
            </a:ext>
          </a:extLst>
        </xdr:cNvPr>
        <xdr:cNvGrpSpPr/>
      </xdr:nvGrpSpPr>
      <xdr:grpSpPr>
        <a:xfrm>
          <a:off x="2117436" y="1028231"/>
          <a:ext cx="2970863" cy="3216374"/>
          <a:chOff x="2241838" y="1392092"/>
          <a:chExt cx="2816649" cy="2955048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32F63FAB-BB33-8D3F-14C2-0B0CA8A46B38}"/>
              </a:ext>
            </a:extLst>
          </xdr:cNvPr>
          <xdr:cNvGrpSpPr/>
        </xdr:nvGrpSpPr>
        <xdr:grpSpPr>
          <a:xfrm>
            <a:off x="2407516" y="1392092"/>
            <a:ext cx="2650971" cy="2955048"/>
            <a:chOff x="2140047" y="10266032"/>
            <a:chExt cx="2650971" cy="2914527"/>
          </a:xfrm>
        </xdr:grpSpPr>
        <xdr:cxnSp macro="">
          <xdr:nvCxnSpPr>
            <xdr:cNvPr id="9" name="Gerader Verbinder 8">
              <a:extLst>
                <a:ext uri="{FF2B5EF4-FFF2-40B4-BE49-F238E27FC236}">
                  <a16:creationId xmlns:a16="http://schemas.microsoft.com/office/drawing/2014/main" id="{25C4EA90-85F0-8C29-7892-65D4971E4118}"/>
                </a:ext>
              </a:extLst>
            </xdr:cNvPr>
            <xdr:cNvCxnSpPr>
              <a:cxnSpLocks/>
              <a:endCxn id="10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0" name="Textfeld 9">
              <a:extLst>
                <a:ext uri="{FF2B5EF4-FFF2-40B4-BE49-F238E27FC236}">
                  <a16:creationId xmlns:a16="http://schemas.microsoft.com/office/drawing/2014/main" id="{5C5586A2-4B48-5CB9-18F3-03273E74146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1</a:t>
              </a:r>
            </a:p>
          </xdr:txBody>
        </xdr: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879475CA-7283-8803-ECC6-99C4B638D894}"/>
                </a:ext>
              </a:extLst>
            </xdr:cNvPr>
            <xdr:cNvCxnSpPr>
              <a:cxnSpLocks/>
              <a:endCxn id="1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4" name="Gerader Verbinder 53">
              <a:extLst>
                <a:ext uri="{FF2B5EF4-FFF2-40B4-BE49-F238E27FC236}">
                  <a16:creationId xmlns:a16="http://schemas.microsoft.com/office/drawing/2014/main" id="{E1B60450-ADC0-939D-CE25-AE4D2DABF83D}"/>
                </a:ext>
              </a:extLst>
            </xdr:cNvPr>
            <xdr:cNvCxnSpPr>
              <a:cxnSpLocks/>
            </xdr:cNvCxnSpPr>
          </xdr:nvCxnSpPr>
          <xdr:spPr>
            <a:xfrm flipH="1">
              <a:off x="3666933" y="11710868"/>
              <a:ext cx="1124085" cy="804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7" name="Gerader Verbinder 56">
              <a:extLst>
                <a:ext uri="{FF2B5EF4-FFF2-40B4-BE49-F238E27FC236}">
                  <a16:creationId xmlns:a16="http://schemas.microsoft.com/office/drawing/2014/main" id="{62E9AC64-1D92-9FCD-644B-F676EA504348}"/>
                </a:ext>
              </a:extLst>
            </xdr:cNvPr>
            <xdr:cNvCxnSpPr>
              <a:cxnSpLocks/>
            </xdr:cNvCxnSpPr>
          </xdr:nvCxnSpPr>
          <xdr:spPr>
            <a:xfrm flipH="1">
              <a:off x="2140047" y="10274262"/>
              <a:ext cx="1538431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8" name="Gerader Verbinder 57">
              <a:extLst>
                <a:ext uri="{FF2B5EF4-FFF2-40B4-BE49-F238E27FC236}">
                  <a16:creationId xmlns:a16="http://schemas.microsoft.com/office/drawing/2014/main" id="{A450DFDB-4924-A1E0-F20A-70F82CB01346}"/>
                </a:ext>
              </a:extLst>
            </xdr:cNvPr>
            <xdr:cNvCxnSpPr>
              <a:cxnSpLocks/>
            </xdr:cNvCxnSpPr>
          </xdr:nvCxnSpPr>
          <xdr:spPr>
            <a:xfrm flipH="1" flipV="1">
              <a:off x="2140047" y="13172062"/>
              <a:ext cx="2643907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20B84350-3FFD-FD8D-0CE9-4F9BE493FCBE}"/>
              </a:ext>
            </a:extLst>
          </xdr:cNvPr>
          <xdr:cNvCxnSpPr>
            <a:cxnSpLocks/>
          </xdr:cNvCxnSpPr>
        </xdr:nvCxnSpPr>
        <xdr:spPr>
          <a:xfrm flipH="1">
            <a:off x="3743902" y="1719230"/>
            <a:ext cx="2886" cy="91043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AA6912A-BAB2-BDD1-9271-152B6D068939}"/>
              </a:ext>
            </a:extLst>
          </xdr:cNvPr>
          <xdr:cNvSpPr txBox="1"/>
        </xdr:nvSpPr>
        <xdr:spPr>
          <a:xfrm>
            <a:off x="3421783" y="196472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7" name="Gerade Verbindung mit Pfeil 6">
            <a:extLst>
              <a:ext uri="{FF2B5EF4-FFF2-40B4-BE49-F238E27FC236}">
                <a16:creationId xmlns:a16="http://schemas.microsoft.com/office/drawing/2014/main" id="{42C91B53-60A4-514C-CC8C-5011D51D4C0E}"/>
              </a:ext>
            </a:extLst>
          </xdr:cNvPr>
          <xdr:cNvCxnSpPr/>
        </xdr:nvCxnSpPr>
        <xdr:spPr>
          <a:xfrm>
            <a:off x="3939188" y="1523918"/>
            <a:ext cx="6760" cy="94792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E89557A5-3255-CCD4-B50F-E5D91BBB5053}"/>
              </a:ext>
            </a:extLst>
          </xdr:cNvPr>
          <xdr:cNvSpPr txBox="1"/>
        </xdr:nvSpPr>
        <xdr:spPr>
          <a:xfrm>
            <a:off x="3998630" y="1422154"/>
            <a:ext cx="392971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Total</a:t>
            </a:r>
            <a:endParaRPr lang="de-CH" sz="1100">
              <a:solidFill>
                <a:srgbClr val="FF0000"/>
              </a:solidFill>
            </a:endParaRPr>
          </a:p>
        </xdr:txBody>
      </xdr:sp>
      <xdr:cxnSp macro="">
        <xdr:nvCxnSpPr>
          <xdr:cNvPr id="61" name="Gerader Verbinder 60">
            <a:extLst>
              <a:ext uri="{FF2B5EF4-FFF2-40B4-BE49-F238E27FC236}">
                <a16:creationId xmlns:a16="http://schemas.microsoft.com/office/drawing/2014/main" id="{714B2490-4203-FF0B-3199-AF629B7449B3}"/>
              </a:ext>
            </a:extLst>
          </xdr:cNvPr>
          <xdr:cNvCxnSpPr>
            <a:cxnSpLocks/>
          </xdr:cNvCxnSpPr>
        </xdr:nvCxnSpPr>
        <xdr:spPr>
          <a:xfrm flipH="1">
            <a:off x="2626302" y="1836983"/>
            <a:ext cx="6350" cy="2188637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3" name="Textfeld 62">
            <a:extLst>
              <a:ext uri="{FF2B5EF4-FFF2-40B4-BE49-F238E27FC236}">
                <a16:creationId xmlns:a16="http://schemas.microsoft.com/office/drawing/2014/main" id="{B249301F-52E2-F8A1-698C-2D0A9B9A024A}"/>
              </a:ext>
            </a:extLst>
          </xdr:cNvPr>
          <xdr:cNvSpPr txBox="1"/>
        </xdr:nvSpPr>
        <xdr:spPr>
          <a:xfrm>
            <a:off x="2241838" y="298220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IN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4</xdr:col>
      <xdr:colOff>240145</xdr:colOff>
      <xdr:row>13</xdr:row>
      <xdr:rowOff>9509</xdr:rowOff>
    </xdr:from>
    <xdr:to>
      <xdr:col>5</xdr:col>
      <xdr:colOff>349250</xdr:colOff>
      <xdr:row>21</xdr:row>
      <xdr:rowOff>32839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AA2B10C3-E94F-DD79-294B-FDA94231965C}"/>
            </a:ext>
          </a:extLst>
        </xdr:cNvPr>
        <xdr:cNvGrpSpPr/>
      </xdr:nvGrpSpPr>
      <xdr:grpSpPr>
        <a:xfrm>
          <a:off x="3442359" y="2676509"/>
          <a:ext cx="871105" cy="1583616"/>
          <a:chOff x="3416011" y="1392091"/>
          <a:chExt cx="871105" cy="1493694"/>
        </a:xfrm>
      </xdr:grpSpPr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9E9FB659-A8D3-A6B5-85DD-A63337254789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84AAD715-C42E-8BF7-4CA9-B5B91FC3135C}"/>
                </a:ext>
              </a:extLst>
            </xdr:cNvPr>
            <xdr:cNvCxnSpPr>
              <a:cxnSpLocks/>
              <a:endCxn id="19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3F747EAB-0EC7-9342-5CEE-850B441F882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2</a:t>
              </a:r>
            </a:p>
          </xdr:txBody>
        </xdr:sp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16B32DD5-289F-B133-F0D7-F80BD8D7E602}"/>
                </a:ext>
              </a:extLst>
            </xdr:cNvPr>
            <xdr:cNvCxnSpPr>
              <a:cxnSpLocks/>
              <a:endCxn id="19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FDB8CC80-535F-CB78-9F3D-C436EFFF1962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Textfeld 14">
            <a:extLst>
              <a:ext uri="{FF2B5EF4-FFF2-40B4-BE49-F238E27FC236}">
                <a16:creationId xmlns:a16="http://schemas.microsoft.com/office/drawing/2014/main" id="{03902AEE-ED06-54C4-C269-08AABD815823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16" name="Gerade Verbindung mit Pfeil 15">
            <a:extLst>
              <a:ext uri="{FF2B5EF4-FFF2-40B4-BE49-F238E27FC236}">
                <a16:creationId xmlns:a16="http://schemas.microsoft.com/office/drawing/2014/main" id="{1FCF48E1-F031-E07C-6E9A-F16020020992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7" name="Textfeld 16">
            <a:extLst>
              <a:ext uri="{FF2B5EF4-FFF2-40B4-BE49-F238E27FC236}">
                <a16:creationId xmlns:a16="http://schemas.microsoft.com/office/drawing/2014/main" id="{31001B81-990C-35E9-0E81-CA79B02F0A60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2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5</xdr:col>
      <xdr:colOff>583622</xdr:colOff>
      <xdr:row>12</xdr:row>
      <xdr:rowOff>154609</xdr:rowOff>
    </xdr:from>
    <xdr:to>
      <xdr:col>6</xdr:col>
      <xdr:colOff>692727</xdr:colOff>
      <xdr:row>21</xdr:row>
      <xdr:rowOff>24177</xdr:rowOff>
    </xdr:to>
    <xdr:grpSp>
      <xdr:nvGrpSpPr>
        <xdr:cNvPr id="43" name="Gruppieren 42">
          <a:extLst>
            <a:ext uri="{FF2B5EF4-FFF2-40B4-BE49-F238E27FC236}">
              <a16:creationId xmlns:a16="http://schemas.microsoft.com/office/drawing/2014/main" id="{43A20452-A11A-8E72-C05E-098D156DB7DC}"/>
            </a:ext>
          </a:extLst>
        </xdr:cNvPr>
        <xdr:cNvGrpSpPr/>
      </xdr:nvGrpSpPr>
      <xdr:grpSpPr>
        <a:xfrm>
          <a:off x="4547836" y="2612966"/>
          <a:ext cx="871105" cy="1638497"/>
          <a:chOff x="3416011" y="1359881"/>
          <a:chExt cx="871105" cy="1525899"/>
        </a:xfrm>
      </xdr:grpSpPr>
      <xdr:grpSp>
        <xdr:nvGrpSpPr>
          <xdr:cNvPr id="44" name="Gruppieren 43">
            <a:extLst>
              <a:ext uri="{FF2B5EF4-FFF2-40B4-BE49-F238E27FC236}">
                <a16:creationId xmlns:a16="http://schemas.microsoft.com/office/drawing/2014/main" id="{6419C350-7D47-F44C-CBB9-0D0384CE3E72}"/>
              </a:ext>
            </a:extLst>
          </xdr:cNvPr>
          <xdr:cNvGrpSpPr/>
        </xdr:nvGrpSpPr>
        <xdr:grpSpPr>
          <a:xfrm>
            <a:off x="3810000" y="1359881"/>
            <a:ext cx="264365" cy="1525899"/>
            <a:chOff x="3542531" y="10234268"/>
            <a:chExt cx="264365" cy="1504976"/>
          </a:xfrm>
        </xdr:grpSpPr>
        <xdr:cxnSp macro="">
          <xdr:nvCxnSpPr>
            <xdr:cNvPr id="49" name="Gerader Verbinder 48">
              <a:extLst>
                <a:ext uri="{FF2B5EF4-FFF2-40B4-BE49-F238E27FC236}">
                  <a16:creationId xmlns:a16="http://schemas.microsoft.com/office/drawing/2014/main" id="{421D9430-9E08-BE57-9D78-5B3A67287A53}"/>
                </a:ext>
              </a:extLst>
            </xdr:cNvPr>
            <xdr:cNvCxnSpPr>
              <a:cxnSpLocks/>
              <a:endCxn id="50" idx="1"/>
            </xdr:cNvCxnSpPr>
          </xdr:nvCxnSpPr>
          <xdr:spPr>
            <a:xfrm>
              <a:off x="3669268" y="10234268"/>
              <a:ext cx="5446" cy="41880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0" name="Textfeld 49">
              <a:extLst>
                <a:ext uri="{FF2B5EF4-FFF2-40B4-BE49-F238E27FC236}">
                  <a16:creationId xmlns:a16="http://schemas.microsoft.com/office/drawing/2014/main" id="{893BBC12-A5D2-4F59-9434-D024F9E1D50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</a:t>
              </a:r>
            </a:p>
          </xdr:txBody>
        </xdr:sp>
        <xdr:cxnSp macro="">
          <xdr:nvCxnSpPr>
            <xdr:cNvPr id="51" name="Gerader Verbinder 50">
              <a:extLst>
                <a:ext uri="{FF2B5EF4-FFF2-40B4-BE49-F238E27FC236}">
                  <a16:creationId xmlns:a16="http://schemas.microsoft.com/office/drawing/2014/main" id="{539F5BD0-5876-77FF-AF60-5C3A3D02017F}"/>
                </a:ext>
              </a:extLst>
            </xdr:cNvPr>
            <xdr:cNvCxnSpPr>
              <a:cxnSpLocks/>
              <a:endCxn id="5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35211C2F-A426-5882-56EF-2502C414092B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DC252E91-ECD3-7237-9057-CAE1CFD2F4BE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L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96707AD2-0D8A-D542-B673-459A06026B1F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8" name="Textfeld 47">
            <a:extLst>
              <a:ext uri="{FF2B5EF4-FFF2-40B4-BE49-F238E27FC236}">
                <a16:creationId xmlns:a16="http://schemas.microsoft.com/office/drawing/2014/main" id="{476EEF5E-EE36-E109-5DB4-667002C7B888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L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4</xdr:col>
      <xdr:colOff>691029</xdr:colOff>
      <xdr:row>20</xdr:row>
      <xdr:rowOff>123263</xdr:rowOff>
    </xdr:from>
    <xdr:to>
      <xdr:col>5</xdr:col>
      <xdr:colOff>58978</xdr:colOff>
      <xdr:row>21</xdr:row>
      <xdr:rowOff>79988</xdr:rowOff>
    </xdr:to>
    <xdr:sp macro="" textlink="">
      <xdr:nvSpPr>
        <xdr:cNvPr id="449" name="Ellipse 448">
          <a:extLst>
            <a:ext uri="{FF2B5EF4-FFF2-40B4-BE49-F238E27FC236}">
              <a16:creationId xmlns:a16="http://schemas.microsoft.com/office/drawing/2014/main" id="{1CC0F4F4-7D8C-4EA2-871E-5C608E146EA7}"/>
            </a:ext>
          </a:extLst>
        </xdr:cNvPr>
        <xdr:cNvSpPr/>
      </xdr:nvSpPr>
      <xdr:spPr>
        <a:xfrm>
          <a:off x="3739029" y="3935131"/>
          <a:ext cx="129949" cy="141622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663501</xdr:colOff>
      <xdr:row>12</xdr:row>
      <xdr:rowOff>75194</xdr:rowOff>
    </xdr:from>
    <xdr:to>
      <xdr:col>5</xdr:col>
      <xdr:colOff>31450</xdr:colOff>
      <xdr:row>13</xdr:row>
      <xdr:rowOff>31919</xdr:rowOff>
    </xdr:to>
    <xdr:sp macro="" textlink="">
      <xdr:nvSpPr>
        <xdr:cNvPr id="450" name="Ellipse 449">
          <a:extLst>
            <a:ext uri="{FF2B5EF4-FFF2-40B4-BE49-F238E27FC236}">
              <a16:creationId xmlns:a16="http://schemas.microsoft.com/office/drawing/2014/main" id="{60C37C0C-C017-22EB-54D0-B4C2C4DE7518}"/>
            </a:ext>
          </a:extLst>
        </xdr:cNvPr>
        <xdr:cNvSpPr/>
      </xdr:nvSpPr>
      <xdr:spPr>
        <a:xfrm>
          <a:off x="3866110" y="2543411"/>
          <a:ext cx="129949" cy="13894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631860</xdr:colOff>
      <xdr:row>36</xdr:row>
      <xdr:rowOff>119254</xdr:rowOff>
    </xdr:from>
    <xdr:to>
      <xdr:col>20</xdr:col>
      <xdr:colOff>36286</xdr:colOff>
      <xdr:row>58</xdr:row>
      <xdr:rowOff>78223</xdr:rowOff>
    </xdr:to>
    <xdr:graphicFrame macro="">
      <xdr:nvGraphicFramePr>
        <xdr:cNvPr id="477" name="Diagramm 476">
          <a:extLst>
            <a:ext uri="{FF2B5EF4-FFF2-40B4-BE49-F238E27FC236}">
              <a16:creationId xmlns:a16="http://schemas.microsoft.com/office/drawing/2014/main" id="{ADB562CD-3418-61AD-F40F-9CFA36FF3A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6737B9-4C72-4BBD-8926-9EF27B792EC9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13</xdr:col>
      <xdr:colOff>394320</xdr:colOff>
      <xdr:row>8</xdr:row>
      <xdr:rowOff>68860</xdr:rowOff>
    </xdr:from>
    <xdr:to>
      <xdr:col>13</xdr:col>
      <xdr:colOff>394680</xdr:colOff>
      <xdr:row>8</xdr:row>
      <xdr:rowOff>69220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14:cNvPr>
            <xdr14:cNvContentPartPr/>
          </xdr14:nvContentPartPr>
          <xdr14:nvPr macro=""/>
          <xdr14:xfrm>
            <a:off x="10300320" y="1656360"/>
            <a:ext cx="360" cy="3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0291680" y="16477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393720</xdr:colOff>
      <xdr:row>12</xdr:row>
      <xdr:rowOff>36060</xdr:rowOff>
    </xdr:from>
    <xdr:to>
      <xdr:col>14</xdr:col>
      <xdr:colOff>394080</xdr:colOff>
      <xdr:row>12</xdr:row>
      <xdr:rowOff>36420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14:cNvPr>
            <xdr14:cNvContentPartPr/>
          </xdr14:nvContentPartPr>
          <xdr14:nvPr macro=""/>
          <xdr14:xfrm>
            <a:off x="11061720" y="2360160"/>
            <a:ext cx="360" cy="36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052720" y="23511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0</xdr:row>
      <xdr:rowOff>171450</xdr:rowOff>
    </xdr:from>
    <xdr:to>
      <xdr:col>1</xdr:col>
      <xdr:colOff>393700</xdr:colOff>
      <xdr:row>2</xdr:row>
      <xdr:rowOff>141531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FD94BB-70AD-4531-9273-5A6F3DDBDCE0}"/>
            </a:ext>
          </a:extLst>
        </xdr:cNvPr>
        <xdr:cNvSpPr/>
      </xdr:nvSpPr>
      <xdr:spPr>
        <a:xfrm rot="10800000">
          <a:off x="552450" y="171450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7</xdr:row>
      <xdr:rowOff>171449</xdr:rowOff>
    </xdr:from>
    <xdr:to>
      <xdr:col>3</xdr:col>
      <xdr:colOff>1219200</xdr:colOff>
      <xdr:row>7</xdr:row>
      <xdr:rowOff>1003299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D86B70D0-0730-1ECD-5D4E-265BFE8E3E2F}"/>
            </a:ext>
          </a:extLst>
        </xdr:cNvPr>
        <xdr:cNvSpPr/>
      </xdr:nvSpPr>
      <xdr:spPr>
        <a:xfrm>
          <a:off x="3181350" y="1438274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82551</xdr:colOff>
      <xdr:row>7</xdr:row>
      <xdr:rowOff>171449</xdr:rowOff>
    </xdr:from>
    <xdr:to>
      <xdr:col>4</xdr:col>
      <xdr:colOff>1238251</xdr:colOff>
      <xdr:row>7</xdr:row>
      <xdr:rowOff>1000124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814EAA-F6F7-F7AF-334D-A1D0DFD3C9B6}"/>
            </a:ext>
          </a:extLst>
        </xdr:cNvPr>
        <xdr:cNvSpPr/>
      </xdr:nvSpPr>
      <xdr:spPr>
        <a:xfrm>
          <a:off x="4330701" y="1438274"/>
          <a:ext cx="115570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661989</xdr:colOff>
      <xdr:row>7</xdr:row>
      <xdr:rowOff>171449</xdr:rowOff>
    </xdr:from>
    <xdr:to>
      <xdr:col>4</xdr:col>
      <xdr:colOff>661989</xdr:colOff>
      <xdr:row>7</xdr:row>
      <xdr:rowOff>1003299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54C65564-2700-C38B-3BAF-D3916BA5F153}"/>
            </a:ext>
          </a:extLst>
        </xdr:cNvPr>
        <xdr:cNvCxnSpPr>
          <a:stCxn id="3" idx="0"/>
          <a:endCxn id="3" idx="2"/>
        </xdr:cNvCxnSpPr>
      </xdr:nvCxnSpPr>
      <xdr:spPr>
        <a:xfrm>
          <a:off x="5024439" y="1438274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171451</xdr:colOff>
      <xdr:row>7</xdr:row>
      <xdr:rowOff>165100</xdr:rowOff>
    </xdr:from>
    <xdr:to>
      <xdr:col>5</xdr:col>
      <xdr:colOff>1304925</xdr:colOff>
      <xdr:row>7</xdr:row>
      <xdr:rowOff>619126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52B770D5-EC23-38A1-1024-F037A0521AFA}"/>
            </a:ext>
          </a:extLst>
        </xdr:cNvPr>
        <xdr:cNvSpPr/>
      </xdr:nvSpPr>
      <xdr:spPr>
        <a:xfrm>
          <a:off x="5953126" y="1431925"/>
          <a:ext cx="1133474" cy="45402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736601</xdr:colOff>
      <xdr:row>7</xdr:row>
      <xdr:rowOff>161925</xdr:rowOff>
    </xdr:from>
    <xdr:to>
      <xdr:col>5</xdr:col>
      <xdr:colOff>736601</xdr:colOff>
      <xdr:row>7</xdr:row>
      <xdr:rowOff>615951</xdr:rowOff>
    </xdr:to>
    <xdr:cxnSp macro="">
      <xdr:nvCxnSpPr>
        <xdr:cNvPr id="8" name="Gerader Verbinder 7">
          <a:extLst>
            <a:ext uri="{FF2B5EF4-FFF2-40B4-BE49-F238E27FC236}">
              <a16:creationId xmlns:a16="http://schemas.microsoft.com/office/drawing/2014/main" id="{AD0E0B78-DE06-DEC6-4127-35258D8E4337}"/>
            </a:ext>
          </a:extLst>
        </xdr:cNvPr>
        <xdr:cNvCxnSpPr>
          <a:stCxn id="7" idx="0"/>
          <a:endCxn id="7" idx="2"/>
        </xdr:cNvCxnSpPr>
      </xdr:nvCxnSpPr>
      <xdr:spPr>
        <a:xfrm>
          <a:off x="6518276" y="1428750"/>
          <a:ext cx="0" cy="454026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8</xdr:row>
      <xdr:rowOff>723900</xdr:rowOff>
    </xdr:from>
    <xdr:to>
      <xdr:col>3</xdr:col>
      <xdr:colOff>781050</xdr:colOff>
      <xdr:row>8</xdr:row>
      <xdr:rowOff>819150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D940CE7D-5495-56E6-8205-539921357BEF}"/>
            </a:ext>
          </a:extLst>
        </xdr:cNvPr>
        <xdr:cNvSpPr/>
      </xdr:nvSpPr>
      <xdr:spPr>
        <a:xfrm>
          <a:off x="3619500" y="31432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425450</xdr:colOff>
      <xdr:row>8</xdr:row>
      <xdr:rowOff>542925</xdr:rowOff>
    </xdr:from>
    <xdr:to>
      <xdr:col>3</xdr:col>
      <xdr:colOff>533400</xdr:colOff>
      <xdr:row>8</xdr:row>
      <xdr:rowOff>638175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2EFEACB6-EDCF-087F-3BF3-29B20F2414D7}"/>
            </a:ext>
          </a:extLst>
        </xdr:cNvPr>
        <xdr:cNvSpPr/>
      </xdr:nvSpPr>
      <xdr:spPr>
        <a:xfrm>
          <a:off x="3368675" y="29622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923925</xdr:colOff>
      <xdr:row>8</xdr:row>
      <xdr:rowOff>549275</xdr:rowOff>
    </xdr:from>
    <xdr:to>
      <xdr:col>3</xdr:col>
      <xdr:colOff>1028700</xdr:colOff>
      <xdr:row>8</xdr:row>
      <xdr:rowOff>644525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03D15E13-E716-D111-7E53-B42D4F336E37}"/>
            </a:ext>
          </a:extLst>
        </xdr:cNvPr>
        <xdr:cNvSpPr/>
      </xdr:nvSpPr>
      <xdr:spPr>
        <a:xfrm>
          <a:off x="3867150" y="2968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409575</xdr:rowOff>
    </xdr:from>
    <xdr:to>
      <xdr:col>4</xdr:col>
      <xdr:colOff>771525</xdr:colOff>
      <xdr:row>8</xdr:row>
      <xdr:rowOff>504825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AD5CEF0C-38E5-63BB-7B7A-E8FF8776C20B}"/>
            </a:ext>
          </a:extLst>
        </xdr:cNvPr>
        <xdr:cNvSpPr/>
      </xdr:nvSpPr>
      <xdr:spPr>
        <a:xfrm>
          <a:off x="5026025" y="28289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225425</xdr:rowOff>
    </xdr:from>
    <xdr:to>
      <xdr:col>4</xdr:col>
      <xdr:colOff>523875</xdr:colOff>
      <xdr:row>8</xdr:row>
      <xdr:rowOff>320675</xdr:rowOff>
    </xdr:to>
    <xdr:sp macro="" textlink="">
      <xdr:nvSpPr>
        <xdr:cNvPr id="13" name="Ellipse 12">
          <a:extLst>
            <a:ext uri="{FF2B5EF4-FFF2-40B4-BE49-F238E27FC236}">
              <a16:creationId xmlns:a16="http://schemas.microsoft.com/office/drawing/2014/main" id="{11F8D1BB-C4DC-A5B8-C5C7-5C9EDED47EE1}"/>
            </a:ext>
          </a:extLst>
        </xdr:cNvPr>
        <xdr:cNvSpPr/>
      </xdr:nvSpPr>
      <xdr:spPr>
        <a:xfrm>
          <a:off x="4781550" y="26447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234950</xdr:rowOff>
    </xdr:from>
    <xdr:to>
      <xdr:col>4</xdr:col>
      <xdr:colOff>1019175</xdr:colOff>
      <xdr:row>8</xdr:row>
      <xdr:rowOff>330200</xdr:rowOff>
    </xdr:to>
    <xdr:sp macro="" textlink="">
      <xdr:nvSpPr>
        <xdr:cNvPr id="14" name="Ellipse 13">
          <a:extLst>
            <a:ext uri="{FF2B5EF4-FFF2-40B4-BE49-F238E27FC236}">
              <a16:creationId xmlns:a16="http://schemas.microsoft.com/office/drawing/2014/main" id="{66909E8A-33FE-13B3-6C83-1794D047B044}"/>
            </a:ext>
          </a:extLst>
        </xdr:cNvPr>
        <xdr:cNvSpPr/>
      </xdr:nvSpPr>
      <xdr:spPr>
        <a:xfrm>
          <a:off x="5273675" y="26543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930275</xdr:rowOff>
    </xdr:from>
    <xdr:to>
      <xdr:col>4</xdr:col>
      <xdr:colOff>768350</xdr:colOff>
      <xdr:row>8</xdr:row>
      <xdr:rowOff>1025525</xdr:rowOff>
    </xdr:to>
    <xdr:sp macro="" textlink="">
      <xdr:nvSpPr>
        <xdr:cNvPr id="15" name="Ellipse 14">
          <a:extLst>
            <a:ext uri="{FF2B5EF4-FFF2-40B4-BE49-F238E27FC236}">
              <a16:creationId xmlns:a16="http://schemas.microsoft.com/office/drawing/2014/main" id="{39888435-8BE6-EFC2-1D5A-9DF2EE366F2A}"/>
            </a:ext>
          </a:extLst>
        </xdr:cNvPr>
        <xdr:cNvSpPr/>
      </xdr:nvSpPr>
      <xdr:spPr>
        <a:xfrm>
          <a:off x="5026025" y="3349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749300</xdr:rowOff>
    </xdr:from>
    <xdr:to>
      <xdr:col>4</xdr:col>
      <xdr:colOff>520700</xdr:colOff>
      <xdr:row>8</xdr:row>
      <xdr:rowOff>844550</xdr:rowOff>
    </xdr:to>
    <xdr:sp macro="" textlink="">
      <xdr:nvSpPr>
        <xdr:cNvPr id="16" name="Ellipse 15">
          <a:extLst>
            <a:ext uri="{FF2B5EF4-FFF2-40B4-BE49-F238E27FC236}">
              <a16:creationId xmlns:a16="http://schemas.microsoft.com/office/drawing/2014/main" id="{089C4D51-B027-1F83-BA07-E870580A63C7}"/>
            </a:ext>
          </a:extLst>
        </xdr:cNvPr>
        <xdr:cNvSpPr/>
      </xdr:nvSpPr>
      <xdr:spPr>
        <a:xfrm>
          <a:off x="4781550" y="3168650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762000</xdr:rowOff>
    </xdr:from>
    <xdr:to>
      <xdr:col>4</xdr:col>
      <xdr:colOff>1016000</xdr:colOff>
      <xdr:row>8</xdr:row>
      <xdr:rowOff>857250</xdr:rowOff>
    </xdr:to>
    <xdr:sp macro="" textlink="">
      <xdr:nvSpPr>
        <xdr:cNvPr id="17" name="Ellipse 16">
          <a:extLst>
            <a:ext uri="{FF2B5EF4-FFF2-40B4-BE49-F238E27FC236}">
              <a16:creationId xmlns:a16="http://schemas.microsoft.com/office/drawing/2014/main" id="{E63BF7FF-4447-7EC8-EE8F-ADB45780B278}"/>
            </a:ext>
          </a:extLst>
        </xdr:cNvPr>
        <xdr:cNvSpPr/>
      </xdr:nvSpPr>
      <xdr:spPr>
        <a:xfrm>
          <a:off x="5273675" y="31813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8</xdr:row>
      <xdr:rowOff>190500</xdr:rowOff>
    </xdr:from>
    <xdr:to>
      <xdr:col>5</xdr:col>
      <xdr:colOff>1054100</xdr:colOff>
      <xdr:row>8</xdr:row>
      <xdr:rowOff>466725</xdr:rowOff>
    </xdr:to>
    <xdr:grpSp>
      <xdr:nvGrpSpPr>
        <xdr:cNvPr id="30" name="Gruppieren 29">
          <a:extLst>
            <a:ext uri="{FF2B5EF4-FFF2-40B4-BE49-F238E27FC236}">
              <a16:creationId xmlns:a16="http://schemas.microsoft.com/office/drawing/2014/main" id="{5F4341E3-F659-1EF8-56D6-8D1D749A2419}"/>
            </a:ext>
          </a:extLst>
        </xdr:cNvPr>
        <xdr:cNvGrpSpPr/>
      </xdr:nvGrpSpPr>
      <xdr:grpSpPr>
        <a:xfrm>
          <a:off x="6221896" y="2614543"/>
          <a:ext cx="596900" cy="276225"/>
          <a:chOff x="6238875" y="2609850"/>
          <a:chExt cx="596900" cy="276225"/>
        </a:xfrm>
      </xdr:grpSpPr>
      <xdr:sp macro="" textlink="">
        <xdr:nvSpPr>
          <xdr:cNvPr id="18" name="Ellipse 17">
            <a:extLst>
              <a:ext uri="{FF2B5EF4-FFF2-40B4-BE49-F238E27FC236}">
                <a16:creationId xmlns:a16="http://schemas.microsoft.com/office/drawing/2014/main" id="{7A4C8011-4E4C-2391-84A8-FC164EF262A9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9" name="Ellipse 18">
            <a:extLst>
              <a:ext uri="{FF2B5EF4-FFF2-40B4-BE49-F238E27FC236}">
                <a16:creationId xmlns:a16="http://schemas.microsoft.com/office/drawing/2014/main" id="{F0043146-02A3-0DF5-2556-AE486B6CBB2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" name="Ellipse 19">
            <a:extLst>
              <a:ext uri="{FF2B5EF4-FFF2-40B4-BE49-F238E27FC236}">
                <a16:creationId xmlns:a16="http://schemas.microsoft.com/office/drawing/2014/main" id="{C23E945B-4115-B773-97A7-94022FC6522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923925</xdr:colOff>
      <xdr:row>8</xdr:row>
      <xdr:rowOff>406400</xdr:rowOff>
    </xdr:from>
    <xdr:to>
      <xdr:col>5</xdr:col>
      <xdr:colOff>1200150</xdr:colOff>
      <xdr:row>8</xdr:row>
      <xdr:rowOff>1009650</xdr:rowOff>
    </xdr:to>
    <xdr:grpSp>
      <xdr:nvGrpSpPr>
        <xdr:cNvPr id="24" name="Gruppieren 23">
          <a:extLst>
            <a:ext uri="{FF2B5EF4-FFF2-40B4-BE49-F238E27FC236}">
              <a16:creationId xmlns:a16="http://schemas.microsoft.com/office/drawing/2014/main" id="{67351CD9-BD62-B81E-7AA3-737FA7C0AA7A}"/>
            </a:ext>
          </a:extLst>
        </xdr:cNvPr>
        <xdr:cNvGrpSpPr/>
      </xdr:nvGrpSpPr>
      <xdr:grpSpPr>
        <a:xfrm rot="7823849">
          <a:off x="6525109" y="2993955"/>
          <a:ext cx="603250" cy="276225"/>
          <a:chOff x="6734175" y="3581400"/>
          <a:chExt cx="596900" cy="276225"/>
        </a:xfrm>
      </xdr:grpSpPr>
      <xdr:sp macro="" textlink="">
        <xdr:nvSpPr>
          <xdr:cNvPr id="21" name="Ellipse 20">
            <a:extLst>
              <a:ext uri="{FF2B5EF4-FFF2-40B4-BE49-F238E27FC236}">
                <a16:creationId xmlns:a16="http://schemas.microsoft.com/office/drawing/2014/main" id="{6E4BD11A-3EE0-7E66-98AF-5BF16BC2B43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" name="Ellipse 21">
            <a:extLst>
              <a:ext uri="{FF2B5EF4-FFF2-40B4-BE49-F238E27FC236}">
                <a16:creationId xmlns:a16="http://schemas.microsoft.com/office/drawing/2014/main" id="{DC5055F5-9E36-7C38-6536-0382F63B6C7E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3" name="Ellipse 22">
            <a:extLst>
              <a:ext uri="{FF2B5EF4-FFF2-40B4-BE49-F238E27FC236}">
                <a16:creationId xmlns:a16="http://schemas.microsoft.com/office/drawing/2014/main" id="{E0212C94-23E3-C1B3-3DDF-595D4D2E833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87312</xdr:colOff>
      <xdr:row>8</xdr:row>
      <xdr:rowOff>582612</xdr:rowOff>
    </xdr:from>
    <xdr:to>
      <xdr:col>5</xdr:col>
      <xdr:colOff>687387</xdr:colOff>
      <xdr:row>8</xdr:row>
      <xdr:rowOff>865187</xdr:rowOff>
    </xdr:to>
    <xdr:grpSp>
      <xdr:nvGrpSpPr>
        <xdr:cNvPr id="25" name="Gruppieren 24">
          <a:extLst>
            <a:ext uri="{FF2B5EF4-FFF2-40B4-BE49-F238E27FC236}">
              <a16:creationId xmlns:a16="http://schemas.microsoft.com/office/drawing/2014/main" id="{84416C61-73DE-E957-DBE0-6A1E25402401}"/>
            </a:ext>
          </a:extLst>
        </xdr:cNvPr>
        <xdr:cNvGrpSpPr/>
      </xdr:nvGrpSpPr>
      <xdr:grpSpPr>
        <a:xfrm rot="13412045">
          <a:off x="5852008" y="3006655"/>
          <a:ext cx="600075" cy="282575"/>
          <a:chOff x="6734175" y="3581400"/>
          <a:chExt cx="596900" cy="276225"/>
        </a:xfrm>
      </xdr:grpSpPr>
      <xdr:sp macro="" textlink="">
        <xdr:nvSpPr>
          <xdr:cNvPr id="26" name="Ellipse 25">
            <a:extLst>
              <a:ext uri="{FF2B5EF4-FFF2-40B4-BE49-F238E27FC236}">
                <a16:creationId xmlns:a16="http://schemas.microsoft.com/office/drawing/2014/main" id="{FB69D678-98B4-68F0-0613-351C72160E1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7" name="Ellipse 26">
            <a:extLst>
              <a:ext uri="{FF2B5EF4-FFF2-40B4-BE49-F238E27FC236}">
                <a16:creationId xmlns:a16="http://schemas.microsoft.com/office/drawing/2014/main" id="{401F6C4E-38EF-B45F-E7D3-50BF658FD70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8" name="Ellipse 27">
            <a:extLst>
              <a:ext uri="{FF2B5EF4-FFF2-40B4-BE49-F238E27FC236}">
                <a16:creationId xmlns:a16="http://schemas.microsoft.com/office/drawing/2014/main" id="{A573C459-CC99-A481-E470-A78E55CF4D37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219075</xdr:colOff>
      <xdr:row>7</xdr:row>
      <xdr:rowOff>171449</xdr:rowOff>
    </xdr:from>
    <xdr:to>
      <xdr:col>6</xdr:col>
      <xdr:colOff>1200150</xdr:colOff>
      <xdr:row>7</xdr:row>
      <xdr:rowOff>581025</xdr:rowOff>
    </xdr:to>
    <xdr:sp macro="" textlink="">
      <xdr:nvSpPr>
        <xdr:cNvPr id="29" name="Rechteck 28">
          <a:extLst>
            <a:ext uri="{FF2B5EF4-FFF2-40B4-BE49-F238E27FC236}">
              <a16:creationId xmlns:a16="http://schemas.microsoft.com/office/drawing/2014/main" id="{68704385-8775-57FD-52CE-DAD4BA9E421C}"/>
            </a:ext>
          </a:extLst>
        </xdr:cNvPr>
        <xdr:cNvSpPr/>
      </xdr:nvSpPr>
      <xdr:spPr>
        <a:xfrm>
          <a:off x="7419975" y="1438274"/>
          <a:ext cx="981075" cy="40957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7</xdr:row>
      <xdr:rowOff>771525</xdr:rowOff>
    </xdr:from>
    <xdr:to>
      <xdr:col>5</xdr:col>
      <xdr:colOff>1057275</xdr:colOff>
      <xdr:row>7</xdr:row>
      <xdr:rowOff>1044575</xdr:rowOff>
    </xdr:to>
    <xdr:grpSp>
      <xdr:nvGrpSpPr>
        <xdr:cNvPr id="31" name="Gruppieren 30">
          <a:extLst>
            <a:ext uri="{FF2B5EF4-FFF2-40B4-BE49-F238E27FC236}">
              <a16:creationId xmlns:a16="http://schemas.microsoft.com/office/drawing/2014/main" id="{418539B4-2A8D-B570-F85A-5910F3F4ECE0}"/>
            </a:ext>
          </a:extLst>
        </xdr:cNvPr>
        <xdr:cNvGrpSpPr/>
      </xdr:nvGrpSpPr>
      <xdr:grpSpPr>
        <a:xfrm>
          <a:off x="6221896" y="2047047"/>
          <a:ext cx="600075" cy="273050"/>
          <a:chOff x="6238875" y="2609850"/>
          <a:chExt cx="596900" cy="276225"/>
        </a:xfrm>
      </xdr:grpSpPr>
      <xdr:sp macro="" textlink="">
        <xdr:nvSpPr>
          <xdr:cNvPr id="32" name="Ellipse 31">
            <a:extLst>
              <a:ext uri="{FF2B5EF4-FFF2-40B4-BE49-F238E27FC236}">
                <a16:creationId xmlns:a16="http://schemas.microsoft.com/office/drawing/2014/main" id="{FB9968FE-711E-A282-F39C-67A42C948D1A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3" name="Ellipse 32">
            <a:extLst>
              <a:ext uri="{FF2B5EF4-FFF2-40B4-BE49-F238E27FC236}">
                <a16:creationId xmlns:a16="http://schemas.microsoft.com/office/drawing/2014/main" id="{2E280F0F-B0E3-F5B7-F80D-478C93A2537E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4" name="Ellipse 33">
            <a:extLst>
              <a:ext uri="{FF2B5EF4-FFF2-40B4-BE49-F238E27FC236}">
                <a16:creationId xmlns:a16="http://schemas.microsoft.com/office/drawing/2014/main" id="{375CCEB7-D56B-C57C-649E-2EFC9ECE69A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409575</xdr:colOff>
      <xdr:row>7</xdr:row>
      <xdr:rowOff>777875</xdr:rowOff>
    </xdr:from>
    <xdr:to>
      <xdr:col>6</xdr:col>
      <xdr:colOff>1006475</xdr:colOff>
      <xdr:row>7</xdr:row>
      <xdr:rowOff>1054100</xdr:rowOff>
    </xdr:to>
    <xdr:grpSp>
      <xdr:nvGrpSpPr>
        <xdr:cNvPr id="35" name="Gruppieren 34">
          <a:extLst>
            <a:ext uri="{FF2B5EF4-FFF2-40B4-BE49-F238E27FC236}">
              <a16:creationId xmlns:a16="http://schemas.microsoft.com/office/drawing/2014/main" id="{31572044-4E09-BB5B-F5F5-C67246BDBF53}"/>
            </a:ext>
          </a:extLst>
        </xdr:cNvPr>
        <xdr:cNvGrpSpPr/>
      </xdr:nvGrpSpPr>
      <xdr:grpSpPr>
        <a:xfrm>
          <a:off x="7587836" y="2053397"/>
          <a:ext cx="596900" cy="276225"/>
          <a:chOff x="6238875" y="2609850"/>
          <a:chExt cx="596900" cy="276225"/>
        </a:xfrm>
      </xdr:grpSpPr>
      <xdr:sp macro="" textlink="">
        <xdr:nvSpPr>
          <xdr:cNvPr id="36" name="Ellipse 35">
            <a:extLst>
              <a:ext uri="{FF2B5EF4-FFF2-40B4-BE49-F238E27FC236}">
                <a16:creationId xmlns:a16="http://schemas.microsoft.com/office/drawing/2014/main" id="{2681E868-A56D-29E9-25C3-0C8EC8A820C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7" name="Ellipse 36">
            <a:extLst>
              <a:ext uri="{FF2B5EF4-FFF2-40B4-BE49-F238E27FC236}">
                <a16:creationId xmlns:a16="http://schemas.microsoft.com/office/drawing/2014/main" id="{F84D63C6-2A86-43BA-1396-53142A10BF2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8" name="Ellipse 37">
            <a:extLst>
              <a:ext uri="{FF2B5EF4-FFF2-40B4-BE49-F238E27FC236}">
                <a16:creationId xmlns:a16="http://schemas.microsoft.com/office/drawing/2014/main" id="{E642EB43-BD48-41D8-1BDD-E425911E984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219075</xdr:colOff>
      <xdr:row>12</xdr:row>
      <xdr:rowOff>171449</xdr:rowOff>
    </xdr:from>
    <xdr:to>
      <xdr:col>2</xdr:col>
      <xdr:colOff>1200150</xdr:colOff>
      <xdr:row>12</xdr:row>
      <xdr:rowOff>581025</xdr:rowOff>
    </xdr:to>
    <xdr:sp macro="" textlink="">
      <xdr:nvSpPr>
        <xdr:cNvPr id="39" name="Rechteck 38">
          <a:extLst>
            <a:ext uri="{FF2B5EF4-FFF2-40B4-BE49-F238E27FC236}">
              <a16:creationId xmlns:a16="http://schemas.microsoft.com/office/drawing/2014/main" id="{1CEFC80E-2E24-4583-A468-8BC9B396726C}"/>
            </a:ext>
          </a:extLst>
        </xdr:cNvPr>
        <xdr:cNvSpPr/>
      </xdr:nvSpPr>
      <xdr:spPr>
        <a:xfrm>
          <a:off x="7416800" y="1438274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12</xdr:row>
      <xdr:rowOff>777875</xdr:rowOff>
    </xdr:from>
    <xdr:to>
      <xdr:col>2</xdr:col>
      <xdr:colOff>1006475</xdr:colOff>
      <xdr:row>12</xdr:row>
      <xdr:rowOff>1057275</xdr:rowOff>
    </xdr:to>
    <xdr:grpSp>
      <xdr:nvGrpSpPr>
        <xdr:cNvPr id="40" name="Gruppieren 39">
          <a:extLst>
            <a:ext uri="{FF2B5EF4-FFF2-40B4-BE49-F238E27FC236}">
              <a16:creationId xmlns:a16="http://schemas.microsoft.com/office/drawing/2014/main" id="{400C1E83-E5F3-452A-A52F-7AD16501458C}"/>
            </a:ext>
          </a:extLst>
        </xdr:cNvPr>
        <xdr:cNvGrpSpPr/>
      </xdr:nvGrpSpPr>
      <xdr:grpSpPr>
        <a:xfrm>
          <a:off x="1930400" y="6045614"/>
          <a:ext cx="600075" cy="279400"/>
          <a:chOff x="6238875" y="2609850"/>
          <a:chExt cx="596900" cy="276225"/>
        </a:xfrm>
      </xdr:grpSpPr>
      <xdr:sp macro="" textlink="">
        <xdr:nvSpPr>
          <xdr:cNvPr id="41" name="Ellipse 40">
            <a:extLst>
              <a:ext uri="{FF2B5EF4-FFF2-40B4-BE49-F238E27FC236}">
                <a16:creationId xmlns:a16="http://schemas.microsoft.com/office/drawing/2014/main" id="{4D5DAC7C-D2BE-1D70-62AB-C37E09405F38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2" name="Ellipse 41">
            <a:extLst>
              <a:ext uri="{FF2B5EF4-FFF2-40B4-BE49-F238E27FC236}">
                <a16:creationId xmlns:a16="http://schemas.microsoft.com/office/drawing/2014/main" id="{2F0FA1AA-2A80-1A7E-EBF7-4B12814FA5AA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3" name="Ellipse 42">
            <a:extLst>
              <a:ext uri="{FF2B5EF4-FFF2-40B4-BE49-F238E27FC236}">
                <a16:creationId xmlns:a16="http://schemas.microsoft.com/office/drawing/2014/main" id="{FB84D0AD-E790-2AF1-FDB0-0ADD505573D9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12</xdr:row>
      <xdr:rowOff>161925</xdr:rowOff>
    </xdr:from>
    <xdr:ext cx="407740" cy="374141"/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33FF686-F2A2-A845-696F-7951A34FAF32}"/>
            </a:ext>
          </a:extLst>
        </xdr:cNvPr>
        <xdr:cNvSpPr txBox="1"/>
      </xdr:nvSpPr>
      <xdr:spPr>
        <a:xfrm>
          <a:off x="2057400" y="6038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457200</xdr:colOff>
      <xdr:row>8</xdr:row>
      <xdr:rowOff>190500</xdr:rowOff>
    </xdr:from>
    <xdr:to>
      <xdr:col>6</xdr:col>
      <xdr:colOff>1057275</xdr:colOff>
      <xdr:row>8</xdr:row>
      <xdr:rowOff>463550</xdr:rowOff>
    </xdr:to>
    <xdr:grpSp>
      <xdr:nvGrpSpPr>
        <xdr:cNvPr id="45" name="Gruppieren 44">
          <a:extLst>
            <a:ext uri="{FF2B5EF4-FFF2-40B4-BE49-F238E27FC236}">
              <a16:creationId xmlns:a16="http://schemas.microsoft.com/office/drawing/2014/main" id="{6EB986EF-9175-4AEE-AC91-69BA40FD673B}"/>
            </a:ext>
          </a:extLst>
        </xdr:cNvPr>
        <xdr:cNvGrpSpPr/>
      </xdr:nvGrpSpPr>
      <xdr:grpSpPr>
        <a:xfrm>
          <a:off x="7635461" y="2614543"/>
          <a:ext cx="600075" cy="273050"/>
          <a:chOff x="6238875" y="2609850"/>
          <a:chExt cx="596900" cy="276225"/>
        </a:xfrm>
      </xdr:grpSpPr>
      <xdr:sp macro="" textlink="">
        <xdr:nvSpPr>
          <xdr:cNvPr id="46" name="Ellipse 45">
            <a:extLst>
              <a:ext uri="{FF2B5EF4-FFF2-40B4-BE49-F238E27FC236}">
                <a16:creationId xmlns:a16="http://schemas.microsoft.com/office/drawing/2014/main" id="{553CD867-07AE-D67A-A87E-A7D969451087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7" name="Ellipse 46">
            <a:extLst>
              <a:ext uri="{FF2B5EF4-FFF2-40B4-BE49-F238E27FC236}">
                <a16:creationId xmlns:a16="http://schemas.microsoft.com/office/drawing/2014/main" id="{78C56036-8A1A-3FEB-9AD4-5C243E8A4926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8" name="Ellipse 47">
            <a:extLst>
              <a:ext uri="{FF2B5EF4-FFF2-40B4-BE49-F238E27FC236}">
                <a16:creationId xmlns:a16="http://schemas.microsoft.com/office/drawing/2014/main" id="{6AABA76A-D0B3-E34E-16BA-F4EB7DC9B6B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920750</xdr:colOff>
      <xdr:row>8</xdr:row>
      <xdr:rowOff>409575</xdr:rowOff>
    </xdr:from>
    <xdr:to>
      <xdr:col>6</xdr:col>
      <xdr:colOff>1200150</xdr:colOff>
      <xdr:row>8</xdr:row>
      <xdr:rowOff>1009650</xdr:rowOff>
    </xdr:to>
    <xdr:grpSp>
      <xdr:nvGrpSpPr>
        <xdr:cNvPr id="49" name="Gruppieren 48">
          <a:extLst>
            <a:ext uri="{FF2B5EF4-FFF2-40B4-BE49-F238E27FC236}">
              <a16:creationId xmlns:a16="http://schemas.microsoft.com/office/drawing/2014/main" id="{F86D01B3-AFF4-463F-BB5A-1F09531695C9}"/>
            </a:ext>
          </a:extLst>
        </xdr:cNvPr>
        <xdr:cNvGrpSpPr/>
      </xdr:nvGrpSpPr>
      <xdr:grpSpPr>
        <a:xfrm rot="7823849">
          <a:off x="7938673" y="2993956"/>
          <a:ext cx="600075" cy="279400"/>
          <a:chOff x="6734175" y="3581400"/>
          <a:chExt cx="596900" cy="276225"/>
        </a:xfrm>
      </xdr:grpSpPr>
      <xdr:sp macro="" textlink="">
        <xdr:nvSpPr>
          <xdr:cNvPr id="50" name="Ellipse 49">
            <a:extLst>
              <a:ext uri="{FF2B5EF4-FFF2-40B4-BE49-F238E27FC236}">
                <a16:creationId xmlns:a16="http://schemas.microsoft.com/office/drawing/2014/main" id="{92B0E9D1-D190-1599-607A-4A262B58801E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1" name="Ellipse 50">
            <a:extLst>
              <a:ext uri="{FF2B5EF4-FFF2-40B4-BE49-F238E27FC236}">
                <a16:creationId xmlns:a16="http://schemas.microsoft.com/office/drawing/2014/main" id="{0AB70C31-1C9F-C42C-9D33-9D70A7DA8BC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2" name="Ellipse 51">
            <a:extLst>
              <a:ext uri="{FF2B5EF4-FFF2-40B4-BE49-F238E27FC236}">
                <a16:creationId xmlns:a16="http://schemas.microsoft.com/office/drawing/2014/main" id="{BB8A55C3-806E-BB87-4CF6-24289B00B5A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84137</xdr:colOff>
      <xdr:row>8</xdr:row>
      <xdr:rowOff>579437</xdr:rowOff>
    </xdr:from>
    <xdr:to>
      <xdr:col>6</xdr:col>
      <xdr:colOff>687387</xdr:colOff>
      <xdr:row>8</xdr:row>
      <xdr:rowOff>868362</xdr:rowOff>
    </xdr:to>
    <xdr:grpSp>
      <xdr:nvGrpSpPr>
        <xdr:cNvPr id="53" name="Gruppieren 52">
          <a:extLst>
            <a:ext uri="{FF2B5EF4-FFF2-40B4-BE49-F238E27FC236}">
              <a16:creationId xmlns:a16="http://schemas.microsoft.com/office/drawing/2014/main" id="{CA26969F-8AC0-4E57-9F16-AFE27E424E1C}"/>
            </a:ext>
          </a:extLst>
        </xdr:cNvPr>
        <xdr:cNvGrpSpPr/>
      </xdr:nvGrpSpPr>
      <xdr:grpSpPr>
        <a:xfrm rot="13412045">
          <a:off x="7262398" y="3003480"/>
          <a:ext cx="603250" cy="288925"/>
          <a:chOff x="6734175" y="3581400"/>
          <a:chExt cx="596900" cy="276225"/>
        </a:xfrm>
      </xdr:grpSpPr>
      <xdr:sp macro="" textlink="">
        <xdr:nvSpPr>
          <xdr:cNvPr id="54" name="Ellipse 53">
            <a:extLst>
              <a:ext uri="{FF2B5EF4-FFF2-40B4-BE49-F238E27FC236}">
                <a16:creationId xmlns:a16="http://schemas.microsoft.com/office/drawing/2014/main" id="{1C09DD68-08B7-2C28-9B70-A84EBEC6DFE8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5" name="Ellipse 54">
            <a:extLst>
              <a:ext uri="{FF2B5EF4-FFF2-40B4-BE49-F238E27FC236}">
                <a16:creationId xmlns:a16="http://schemas.microsoft.com/office/drawing/2014/main" id="{A9EF221F-2A3D-DAF5-601F-7320FB438589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6" name="Ellipse 55">
            <a:extLst>
              <a:ext uri="{FF2B5EF4-FFF2-40B4-BE49-F238E27FC236}">
                <a16:creationId xmlns:a16="http://schemas.microsoft.com/office/drawing/2014/main" id="{5F71F3A3-5A9C-B04A-153F-B6EAD390318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7</xdr:col>
      <xdr:colOff>228600</xdr:colOff>
      <xdr:row>8</xdr:row>
      <xdr:rowOff>542924</xdr:rowOff>
    </xdr:from>
    <xdr:to>
      <xdr:col>7</xdr:col>
      <xdr:colOff>657225</xdr:colOff>
      <xdr:row>8</xdr:row>
      <xdr:rowOff>634999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F4A489C2-C712-1B1B-23A3-5BF8F876C601}"/>
            </a:ext>
          </a:extLst>
        </xdr:cNvPr>
        <xdr:cNvGrpSpPr/>
      </xdr:nvGrpSpPr>
      <xdr:grpSpPr>
        <a:xfrm>
          <a:off x="8820426" y="2966967"/>
          <a:ext cx="428625" cy="92075"/>
          <a:chOff x="8848725" y="2895600"/>
          <a:chExt cx="1130300" cy="161925"/>
        </a:xfrm>
      </xdr:grpSpPr>
      <xdr:cxnSp macro="">
        <xdr:nvCxnSpPr>
          <xdr:cNvPr id="58" name="Gerader Verbinder 57">
            <a:extLst>
              <a:ext uri="{FF2B5EF4-FFF2-40B4-BE49-F238E27FC236}">
                <a16:creationId xmlns:a16="http://schemas.microsoft.com/office/drawing/2014/main" id="{9F3218A7-94D8-7831-28D8-A96DD9F19682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9" name="Gerader Verbinder 58">
            <a:extLst>
              <a:ext uri="{FF2B5EF4-FFF2-40B4-BE49-F238E27FC236}">
                <a16:creationId xmlns:a16="http://schemas.microsoft.com/office/drawing/2014/main" id="{AD770260-0FB0-B372-6901-FD17FF8736C9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Gerader Verbinder 59">
            <a:extLst>
              <a:ext uri="{FF2B5EF4-FFF2-40B4-BE49-F238E27FC236}">
                <a16:creationId xmlns:a16="http://schemas.microsoft.com/office/drawing/2014/main" id="{D793B180-00FA-7846-6A13-7A63BC8C9EEF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1162212</xdr:colOff>
      <xdr:row>8</xdr:row>
      <xdr:rowOff>640340</xdr:rowOff>
    </xdr:from>
    <xdr:to>
      <xdr:col>6</xdr:col>
      <xdr:colOff>1217286</xdr:colOff>
      <xdr:row>8</xdr:row>
      <xdr:rowOff>1020672</xdr:rowOff>
    </xdr:to>
    <xdr:grpSp>
      <xdr:nvGrpSpPr>
        <xdr:cNvPr id="64" name="Gruppieren 63">
          <a:extLst>
            <a:ext uri="{FF2B5EF4-FFF2-40B4-BE49-F238E27FC236}">
              <a16:creationId xmlns:a16="http://schemas.microsoft.com/office/drawing/2014/main" id="{8AF3AFFB-4264-527C-FB9C-D914B2E04D70}"/>
            </a:ext>
          </a:extLst>
        </xdr:cNvPr>
        <xdr:cNvGrpSpPr/>
      </xdr:nvGrpSpPr>
      <xdr:grpSpPr>
        <a:xfrm rot="18546573">
          <a:off x="8177844" y="3227012"/>
          <a:ext cx="380332" cy="55074"/>
          <a:chOff x="8848725" y="2895600"/>
          <a:chExt cx="1130300" cy="161925"/>
        </a:xfrm>
      </xdr:grpSpPr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0BBC2493-8D9E-849F-6B0C-99F5C0378C10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Gerader Verbinder 65">
            <a:extLst>
              <a:ext uri="{FF2B5EF4-FFF2-40B4-BE49-F238E27FC236}">
                <a16:creationId xmlns:a16="http://schemas.microsoft.com/office/drawing/2014/main" id="{9A712855-7F54-13B1-DA05-F672CABF5453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Gerader Verbinder 66">
            <a:extLst>
              <a:ext uri="{FF2B5EF4-FFF2-40B4-BE49-F238E27FC236}">
                <a16:creationId xmlns:a16="http://schemas.microsoft.com/office/drawing/2014/main" id="{AF9D45AF-48F4-F889-9166-AE187342A45E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238125</xdr:colOff>
      <xdr:row>12</xdr:row>
      <xdr:rowOff>171449</xdr:rowOff>
    </xdr:from>
    <xdr:to>
      <xdr:col>4</xdr:col>
      <xdr:colOff>1219200</xdr:colOff>
      <xdr:row>12</xdr:row>
      <xdr:rowOff>1003299</xdr:rowOff>
    </xdr:to>
    <xdr:sp macro="" textlink="">
      <xdr:nvSpPr>
        <xdr:cNvPr id="68" name="Rechteck 67">
          <a:extLst>
            <a:ext uri="{FF2B5EF4-FFF2-40B4-BE49-F238E27FC236}">
              <a16:creationId xmlns:a16="http://schemas.microsoft.com/office/drawing/2014/main" id="{7B377AA1-727B-4376-AA35-2EC6060C5A69}"/>
            </a:ext>
          </a:extLst>
        </xdr:cNvPr>
        <xdr:cNvSpPr/>
      </xdr:nvSpPr>
      <xdr:spPr>
        <a:xfrm>
          <a:off x="3178175" y="1438274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676275</xdr:colOff>
      <xdr:row>13</xdr:row>
      <xdr:rowOff>723900</xdr:rowOff>
    </xdr:from>
    <xdr:to>
      <xdr:col>4</xdr:col>
      <xdr:colOff>781050</xdr:colOff>
      <xdr:row>13</xdr:row>
      <xdr:rowOff>819150</xdr:rowOff>
    </xdr:to>
    <xdr:sp macro="" textlink="">
      <xdr:nvSpPr>
        <xdr:cNvPr id="69" name="Ellipse 68">
          <a:extLst>
            <a:ext uri="{FF2B5EF4-FFF2-40B4-BE49-F238E27FC236}">
              <a16:creationId xmlns:a16="http://schemas.microsoft.com/office/drawing/2014/main" id="{82BA4A68-410F-4CB7-B826-47BACB54263F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13</xdr:row>
      <xdr:rowOff>542925</xdr:rowOff>
    </xdr:from>
    <xdr:to>
      <xdr:col>4</xdr:col>
      <xdr:colOff>533400</xdr:colOff>
      <xdr:row>13</xdr:row>
      <xdr:rowOff>638175</xdr:rowOff>
    </xdr:to>
    <xdr:sp macro="" textlink="">
      <xdr:nvSpPr>
        <xdr:cNvPr id="70" name="Ellipse 69">
          <a:extLst>
            <a:ext uri="{FF2B5EF4-FFF2-40B4-BE49-F238E27FC236}">
              <a16:creationId xmlns:a16="http://schemas.microsoft.com/office/drawing/2014/main" id="{568F7C01-460E-464E-97C2-8CA2A97079C2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13</xdr:row>
      <xdr:rowOff>549275</xdr:rowOff>
    </xdr:from>
    <xdr:to>
      <xdr:col>4</xdr:col>
      <xdr:colOff>1028700</xdr:colOff>
      <xdr:row>13</xdr:row>
      <xdr:rowOff>644525</xdr:rowOff>
    </xdr:to>
    <xdr:sp macro="" textlink="">
      <xdr:nvSpPr>
        <xdr:cNvPr id="71" name="Ellipse 70">
          <a:extLst>
            <a:ext uri="{FF2B5EF4-FFF2-40B4-BE49-F238E27FC236}">
              <a16:creationId xmlns:a16="http://schemas.microsoft.com/office/drawing/2014/main" id="{F65DB80B-6EE9-41D5-9348-4753EF8436E2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4</xdr:col>
      <xdr:colOff>523875</xdr:colOff>
      <xdr:row>12</xdr:row>
      <xdr:rowOff>377825</xdr:rowOff>
    </xdr:from>
    <xdr:ext cx="407740" cy="374141"/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E6FCC766-B769-563B-22A9-7DCDC84B7408}"/>
            </a:ext>
          </a:extLst>
        </xdr:cNvPr>
        <xdr:cNvSpPr txBox="1"/>
      </xdr:nvSpPr>
      <xdr:spPr>
        <a:xfrm>
          <a:off x="48863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133351</xdr:colOff>
      <xdr:row>12</xdr:row>
      <xdr:rowOff>133349</xdr:rowOff>
    </xdr:from>
    <xdr:to>
      <xdr:col>6</xdr:col>
      <xdr:colOff>1285876</xdr:colOff>
      <xdr:row>12</xdr:row>
      <xdr:rowOff>965199</xdr:rowOff>
    </xdr:to>
    <xdr:sp macro="" textlink="">
      <xdr:nvSpPr>
        <xdr:cNvPr id="73" name="Rechteck 72">
          <a:extLst>
            <a:ext uri="{FF2B5EF4-FFF2-40B4-BE49-F238E27FC236}">
              <a16:creationId xmlns:a16="http://schemas.microsoft.com/office/drawing/2014/main" id="{68C4C28D-4D49-4598-A726-F13DB774A732}"/>
            </a:ext>
          </a:extLst>
        </xdr:cNvPr>
        <xdr:cNvSpPr/>
      </xdr:nvSpPr>
      <xdr:spPr>
        <a:xfrm>
          <a:off x="7334251" y="5410199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708026</xdr:colOff>
      <xdr:row>12</xdr:row>
      <xdr:rowOff>133349</xdr:rowOff>
    </xdr:from>
    <xdr:to>
      <xdr:col>6</xdr:col>
      <xdr:colOff>708026</xdr:colOff>
      <xdr:row>12</xdr:row>
      <xdr:rowOff>962024</xdr:rowOff>
    </xdr:to>
    <xdr:cxnSp macro="">
      <xdr:nvCxnSpPr>
        <xdr:cNvPr id="74" name="Gerader Verbinder 73">
          <a:extLst>
            <a:ext uri="{FF2B5EF4-FFF2-40B4-BE49-F238E27FC236}">
              <a16:creationId xmlns:a16="http://schemas.microsoft.com/office/drawing/2014/main" id="{D9A86C45-C08B-4F72-9B2C-56A95A4B6995}"/>
            </a:ext>
          </a:extLst>
        </xdr:cNvPr>
        <xdr:cNvCxnSpPr>
          <a:stCxn id="73" idx="0"/>
          <a:endCxn id="73" idx="2"/>
        </xdr:cNvCxnSpPr>
      </xdr:nvCxnSpPr>
      <xdr:spPr>
        <a:xfrm>
          <a:off x="7908926" y="5410199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676275</xdr:colOff>
      <xdr:row>13</xdr:row>
      <xdr:rowOff>723900</xdr:rowOff>
    </xdr:from>
    <xdr:to>
      <xdr:col>6</xdr:col>
      <xdr:colOff>781050</xdr:colOff>
      <xdr:row>13</xdr:row>
      <xdr:rowOff>819150</xdr:rowOff>
    </xdr:to>
    <xdr:sp macro="" textlink="">
      <xdr:nvSpPr>
        <xdr:cNvPr id="75" name="Ellipse 74">
          <a:extLst>
            <a:ext uri="{FF2B5EF4-FFF2-40B4-BE49-F238E27FC236}">
              <a16:creationId xmlns:a16="http://schemas.microsoft.com/office/drawing/2014/main" id="{B8641F9D-961D-4483-B104-222CDFA9232D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425450</xdr:colOff>
      <xdr:row>13</xdr:row>
      <xdr:rowOff>542925</xdr:rowOff>
    </xdr:from>
    <xdr:to>
      <xdr:col>6</xdr:col>
      <xdr:colOff>533400</xdr:colOff>
      <xdr:row>13</xdr:row>
      <xdr:rowOff>638175</xdr:rowOff>
    </xdr:to>
    <xdr:sp macro="" textlink="">
      <xdr:nvSpPr>
        <xdr:cNvPr id="76" name="Ellipse 75">
          <a:extLst>
            <a:ext uri="{FF2B5EF4-FFF2-40B4-BE49-F238E27FC236}">
              <a16:creationId xmlns:a16="http://schemas.microsoft.com/office/drawing/2014/main" id="{952BDC79-0752-4100-ADC4-4DB2AC4177D1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923925</xdr:colOff>
      <xdr:row>13</xdr:row>
      <xdr:rowOff>549275</xdr:rowOff>
    </xdr:from>
    <xdr:to>
      <xdr:col>6</xdr:col>
      <xdr:colOff>1028700</xdr:colOff>
      <xdr:row>13</xdr:row>
      <xdr:rowOff>644525</xdr:rowOff>
    </xdr:to>
    <xdr:sp macro="" textlink="">
      <xdr:nvSpPr>
        <xdr:cNvPr id="77" name="Ellipse 76">
          <a:extLst>
            <a:ext uri="{FF2B5EF4-FFF2-40B4-BE49-F238E27FC236}">
              <a16:creationId xmlns:a16="http://schemas.microsoft.com/office/drawing/2014/main" id="{6B06204A-8244-4AC1-9AD0-AF346716212C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6</xdr:col>
      <xdr:colOff>228600</xdr:colOff>
      <xdr:row>12</xdr:row>
      <xdr:rowOff>352425</xdr:rowOff>
    </xdr:from>
    <xdr:ext cx="407740" cy="374141"/>
    <xdr:sp macro="" textlink="">
      <xdr:nvSpPr>
        <xdr:cNvPr id="78" name="Textfeld 77">
          <a:extLst>
            <a:ext uri="{FF2B5EF4-FFF2-40B4-BE49-F238E27FC236}">
              <a16:creationId xmlns:a16="http://schemas.microsoft.com/office/drawing/2014/main" id="{C498327D-B1EB-21A4-2EB3-53D643D5DC86}"/>
            </a:ext>
          </a:extLst>
        </xdr:cNvPr>
        <xdr:cNvSpPr txBox="1"/>
      </xdr:nvSpPr>
      <xdr:spPr>
        <a:xfrm>
          <a:off x="7429500" y="56292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790575</xdr:colOff>
      <xdr:row>12</xdr:row>
      <xdr:rowOff>358775</xdr:rowOff>
    </xdr:from>
    <xdr:ext cx="407740" cy="374141"/>
    <xdr:sp macro="" textlink="">
      <xdr:nvSpPr>
        <xdr:cNvPr id="79" name="Textfeld 78">
          <a:extLst>
            <a:ext uri="{FF2B5EF4-FFF2-40B4-BE49-F238E27FC236}">
              <a16:creationId xmlns:a16="http://schemas.microsoft.com/office/drawing/2014/main" id="{209D9190-27A4-AF3D-E8BB-A7A2F97C4018}"/>
            </a:ext>
          </a:extLst>
        </xdr:cNvPr>
        <xdr:cNvSpPr txBox="1"/>
      </xdr:nvSpPr>
      <xdr:spPr>
        <a:xfrm>
          <a:off x="7991475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457200</xdr:colOff>
      <xdr:row>12</xdr:row>
      <xdr:rowOff>190500</xdr:rowOff>
    </xdr:from>
    <xdr:to>
      <xdr:col>8</xdr:col>
      <xdr:colOff>1054100</xdr:colOff>
      <xdr:row>12</xdr:row>
      <xdr:rowOff>466725</xdr:rowOff>
    </xdr:to>
    <xdr:grpSp>
      <xdr:nvGrpSpPr>
        <xdr:cNvPr id="80" name="Gruppieren 79">
          <a:extLst>
            <a:ext uri="{FF2B5EF4-FFF2-40B4-BE49-F238E27FC236}">
              <a16:creationId xmlns:a16="http://schemas.microsoft.com/office/drawing/2014/main" id="{5F5B6607-9824-4722-930C-6A6B00960D27}"/>
            </a:ext>
          </a:extLst>
        </xdr:cNvPr>
        <xdr:cNvGrpSpPr/>
      </xdr:nvGrpSpPr>
      <xdr:grpSpPr>
        <a:xfrm>
          <a:off x="9722678" y="5458239"/>
          <a:ext cx="596900" cy="276225"/>
          <a:chOff x="6238875" y="2609850"/>
          <a:chExt cx="596900" cy="276225"/>
        </a:xfrm>
      </xdr:grpSpPr>
      <xdr:sp macro="" textlink="">
        <xdr:nvSpPr>
          <xdr:cNvPr id="81" name="Ellipse 80">
            <a:extLst>
              <a:ext uri="{FF2B5EF4-FFF2-40B4-BE49-F238E27FC236}">
                <a16:creationId xmlns:a16="http://schemas.microsoft.com/office/drawing/2014/main" id="{6C9593B7-A68B-A93D-2CDD-2FC927581B9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2" name="Ellipse 81">
            <a:extLst>
              <a:ext uri="{FF2B5EF4-FFF2-40B4-BE49-F238E27FC236}">
                <a16:creationId xmlns:a16="http://schemas.microsoft.com/office/drawing/2014/main" id="{96E4F5F6-9A08-494A-7B71-9B1F6E015D72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3" name="Ellipse 82">
            <a:extLst>
              <a:ext uri="{FF2B5EF4-FFF2-40B4-BE49-F238E27FC236}">
                <a16:creationId xmlns:a16="http://schemas.microsoft.com/office/drawing/2014/main" id="{4873B364-066E-DB25-53CA-4E7812D57E02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923925</xdr:colOff>
      <xdr:row>12</xdr:row>
      <xdr:rowOff>406400</xdr:rowOff>
    </xdr:from>
    <xdr:to>
      <xdr:col>8</xdr:col>
      <xdr:colOff>1200150</xdr:colOff>
      <xdr:row>12</xdr:row>
      <xdr:rowOff>1009650</xdr:rowOff>
    </xdr:to>
    <xdr:grpSp>
      <xdr:nvGrpSpPr>
        <xdr:cNvPr id="84" name="Gruppieren 83">
          <a:extLst>
            <a:ext uri="{FF2B5EF4-FFF2-40B4-BE49-F238E27FC236}">
              <a16:creationId xmlns:a16="http://schemas.microsoft.com/office/drawing/2014/main" id="{AEAA5628-3006-417E-A839-991457C2A25D}"/>
            </a:ext>
          </a:extLst>
        </xdr:cNvPr>
        <xdr:cNvGrpSpPr/>
      </xdr:nvGrpSpPr>
      <xdr:grpSpPr>
        <a:xfrm rot="7823849">
          <a:off x="10025891" y="5837651"/>
          <a:ext cx="603250" cy="276225"/>
          <a:chOff x="6734175" y="3581400"/>
          <a:chExt cx="596900" cy="276225"/>
        </a:xfrm>
      </xdr:grpSpPr>
      <xdr:sp macro="" textlink="">
        <xdr:nvSpPr>
          <xdr:cNvPr id="85" name="Ellipse 84">
            <a:extLst>
              <a:ext uri="{FF2B5EF4-FFF2-40B4-BE49-F238E27FC236}">
                <a16:creationId xmlns:a16="http://schemas.microsoft.com/office/drawing/2014/main" id="{DF0DF01D-1415-9BAC-DAF6-343F4CE87CDA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6" name="Ellipse 85">
            <a:extLst>
              <a:ext uri="{FF2B5EF4-FFF2-40B4-BE49-F238E27FC236}">
                <a16:creationId xmlns:a16="http://schemas.microsoft.com/office/drawing/2014/main" id="{733D7A6F-2437-E098-9EDB-AE06E6970BB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7" name="Ellipse 86">
            <a:extLst>
              <a:ext uri="{FF2B5EF4-FFF2-40B4-BE49-F238E27FC236}">
                <a16:creationId xmlns:a16="http://schemas.microsoft.com/office/drawing/2014/main" id="{EFEED028-AE93-1284-45E1-D4ABBC9BD06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87312</xdr:colOff>
      <xdr:row>12</xdr:row>
      <xdr:rowOff>582612</xdr:rowOff>
    </xdr:from>
    <xdr:to>
      <xdr:col>8</xdr:col>
      <xdr:colOff>687387</xdr:colOff>
      <xdr:row>12</xdr:row>
      <xdr:rowOff>865187</xdr:rowOff>
    </xdr:to>
    <xdr:grpSp>
      <xdr:nvGrpSpPr>
        <xdr:cNvPr id="88" name="Gruppieren 87">
          <a:extLst>
            <a:ext uri="{FF2B5EF4-FFF2-40B4-BE49-F238E27FC236}">
              <a16:creationId xmlns:a16="http://schemas.microsoft.com/office/drawing/2014/main" id="{B10FB031-E4B3-47B0-B9CA-5A4B33A2A52C}"/>
            </a:ext>
          </a:extLst>
        </xdr:cNvPr>
        <xdr:cNvGrpSpPr/>
      </xdr:nvGrpSpPr>
      <xdr:grpSpPr>
        <a:xfrm rot="13412045">
          <a:off x="9352790" y="5850351"/>
          <a:ext cx="600075" cy="282575"/>
          <a:chOff x="6734175" y="3581400"/>
          <a:chExt cx="596900" cy="276225"/>
        </a:xfrm>
      </xdr:grpSpPr>
      <xdr:sp macro="" textlink="">
        <xdr:nvSpPr>
          <xdr:cNvPr id="89" name="Ellipse 88">
            <a:extLst>
              <a:ext uri="{FF2B5EF4-FFF2-40B4-BE49-F238E27FC236}">
                <a16:creationId xmlns:a16="http://schemas.microsoft.com/office/drawing/2014/main" id="{70A14222-3425-D72D-9BA6-7E04E71A0C59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0" name="Ellipse 89">
            <a:extLst>
              <a:ext uri="{FF2B5EF4-FFF2-40B4-BE49-F238E27FC236}">
                <a16:creationId xmlns:a16="http://schemas.microsoft.com/office/drawing/2014/main" id="{6D5DD857-1CA0-8AC3-B134-6EB5A16A0D9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1" name="Ellipse 90">
            <a:extLst>
              <a:ext uri="{FF2B5EF4-FFF2-40B4-BE49-F238E27FC236}">
                <a16:creationId xmlns:a16="http://schemas.microsoft.com/office/drawing/2014/main" id="{E5C612BB-F3CD-4194-BB0A-D0676EA0B43C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1162212</xdr:colOff>
      <xdr:row>12</xdr:row>
      <xdr:rowOff>637165</xdr:rowOff>
    </xdr:from>
    <xdr:to>
      <xdr:col>8</xdr:col>
      <xdr:colOff>1217286</xdr:colOff>
      <xdr:row>12</xdr:row>
      <xdr:rowOff>1017497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B67389F-FF35-4816-B8B6-6FA5BD03745F}"/>
            </a:ext>
          </a:extLst>
        </xdr:cNvPr>
        <xdr:cNvGrpSpPr/>
      </xdr:nvGrpSpPr>
      <xdr:grpSpPr>
        <a:xfrm rot="18546573">
          <a:off x="10265061" y="6067533"/>
          <a:ext cx="380332" cy="55074"/>
          <a:chOff x="8848725" y="2895600"/>
          <a:chExt cx="1130300" cy="161925"/>
        </a:xfrm>
      </xdr:grpSpPr>
      <xdr:cxnSp macro="">
        <xdr:nvCxnSpPr>
          <xdr:cNvPr id="93" name="Gerader Verbinder 92">
            <a:extLst>
              <a:ext uri="{FF2B5EF4-FFF2-40B4-BE49-F238E27FC236}">
                <a16:creationId xmlns:a16="http://schemas.microsoft.com/office/drawing/2014/main" id="{D41991BC-5149-D7EB-2738-BC133290C66F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8C647582-6F95-71AB-2558-D42991A07157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DC3179B-8A5A-7116-C0F8-9ECFB1242E60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663575</xdr:colOff>
      <xdr:row>12</xdr:row>
      <xdr:rowOff>409575</xdr:rowOff>
    </xdr:from>
    <xdr:to>
      <xdr:col>10</xdr:col>
      <xdr:colOff>771525</xdr:colOff>
      <xdr:row>12</xdr:row>
      <xdr:rowOff>504825</xdr:rowOff>
    </xdr:to>
    <xdr:sp macro="" textlink="">
      <xdr:nvSpPr>
        <xdr:cNvPr id="96" name="Ellipse 95">
          <a:extLst>
            <a:ext uri="{FF2B5EF4-FFF2-40B4-BE49-F238E27FC236}">
              <a16:creationId xmlns:a16="http://schemas.microsoft.com/office/drawing/2014/main" id="{DCDBEA9D-B1EC-4AC7-9B20-83092D0D0958}"/>
            </a:ext>
          </a:extLst>
        </xdr:cNvPr>
        <xdr:cNvSpPr/>
      </xdr:nvSpPr>
      <xdr:spPr>
        <a:xfrm>
          <a:off x="5026025" y="28257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225425</xdr:rowOff>
    </xdr:from>
    <xdr:to>
      <xdr:col>10</xdr:col>
      <xdr:colOff>523875</xdr:colOff>
      <xdr:row>12</xdr:row>
      <xdr:rowOff>320675</xdr:rowOff>
    </xdr:to>
    <xdr:sp macro="" textlink="">
      <xdr:nvSpPr>
        <xdr:cNvPr id="97" name="Ellipse 96">
          <a:extLst>
            <a:ext uri="{FF2B5EF4-FFF2-40B4-BE49-F238E27FC236}">
              <a16:creationId xmlns:a16="http://schemas.microsoft.com/office/drawing/2014/main" id="{031F2A84-B09F-4023-9DE4-35F3F1269F1C}"/>
            </a:ext>
          </a:extLst>
        </xdr:cNvPr>
        <xdr:cNvSpPr/>
      </xdr:nvSpPr>
      <xdr:spPr>
        <a:xfrm>
          <a:off x="4781550" y="2644775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234950</xdr:rowOff>
    </xdr:from>
    <xdr:to>
      <xdr:col>10</xdr:col>
      <xdr:colOff>1019175</xdr:colOff>
      <xdr:row>12</xdr:row>
      <xdr:rowOff>330200</xdr:rowOff>
    </xdr:to>
    <xdr:sp macro="" textlink="">
      <xdr:nvSpPr>
        <xdr:cNvPr id="98" name="Ellipse 97">
          <a:extLst>
            <a:ext uri="{FF2B5EF4-FFF2-40B4-BE49-F238E27FC236}">
              <a16:creationId xmlns:a16="http://schemas.microsoft.com/office/drawing/2014/main" id="{7F1B8113-921A-41BC-BA63-ED3CCFC340BD}"/>
            </a:ext>
          </a:extLst>
        </xdr:cNvPr>
        <xdr:cNvSpPr/>
      </xdr:nvSpPr>
      <xdr:spPr>
        <a:xfrm>
          <a:off x="5273675" y="26574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663575</xdr:colOff>
      <xdr:row>12</xdr:row>
      <xdr:rowOff>930275</xdr:rowOff>
    </xdr:from>
    <xdr:to>
      <xdr:col>10</xdr:col>
      <xdr:colOff>768350</xdr:colOff>
      <xdr:row>12</xdr:row>
      <xdr:rowOff>1025525</xdr:rowOff>
    </xdr:to>
    <xdr:sp macro="" textlink="">
      <xdr:nvSpPr>
        <xdr:cNvPr id="99" name="Ellipse 98">
          <a:extLst>
            <a:ext uri="{FF2B5EF4-FFF2-40B4-BE49-F238E27FC236}">
              <a16:creationId xmlns:a16="http://schemas.microsoft.com/office/drawing/2014/main" id="{77FAF790-8716-47A6-91E3-FF3628F03A94}"/>
            </a:ext>
          </a:extLst>
        </xdr:cNvPr>
        <xdr:cNvSpPr/>
      </xdr:nvSpPr>
      <xdr:spPr>
        <a:xfrm>
          <a:off x="5026025" y="3349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749300</xdr:rowOff>
    </xdr:from>
    <xdr:to>
      <xdr:col>10</xdr:col>
      <xdr:colOff>520700</xdr:colOff>
      <xdr:row>12</xdr:row>
      <xdr:rowOff>844550</xdr:rowOff>
    </xdr:to>
    <xdr:sp macro="" textlink="">
      <xdr:nvSpPr>
        <xdr:cNvPr id="100" name="Ellipse 99">
          <a:extLst>
            <a:ext uri="{FF2B5EF4-FFF2-40B4-BE49-F238E27FC236}">
              <a16:creationId xmlns:a16="http://schemas.microsoft.com/office/drawing/2014/main" id="{CE0F9A57-869E-4B24-A9A0-8CC07F57049A}"/>
            </a:ext>
          </a:extLst>
        </xdr:cNvPr>
        <xdr:cNvSpPr/>
      </xdr:nvSpPr>
      <xdr:spPr>
        <a:xfrm>
          <a:off x="4781550" y="31718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762000</xdr:rowOff>
    </xdr:from>
    <xdr:to>
      <xdr:col>10</xdr:col>
      <xdr:colOff>1016000</xdr:colOff>
      <xdr:row>12</xdr:row>
      <xdr:rowOff>857250</xdr:rowOff>
    </xdr:to>
    <xdr:sp macro="" textlink="">
      <xdr:nvSpPr>
        <xdr:cNvPr id="101" name="Ellipse 100">
          <a:extLst>
            <a:ext uri="{FF2B5EF4-FFF2-40B4-BE49-F238E27FC236}">
              <a16:creationId xmlns:a16="http://schemas.microsoft.com/office/drawing/2014/main" id="{48546A6E-AF97-40CC-B06D-254EF3F883D2}"/>
            </a:ext>
          </a:extLst>
        </xdr:cNvPr>
        <xdr:cNvSpPr/>
      </xdr:nvSpPr>
      <xdr:spPr>
        <a:xfrm>
          <a:off x="5273675" y="31813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561975</xdr:colOff>
      <xdr:row>7</xdr:row>
      <xdr:rowOff>368300</xdr:rowOff>
    </xdr:from>
    <xdr:ext cx="407740" cy="374141"/>
    <xdr:sp macro="" textlink="">
      <xdr:nvSpPr>
        <xdr:cNvPr id="119" name="Textfeld 118">
          <a:extLst>
            <a:ext uri="{FF2B5EF4-FFF2-40B4-BE49-F238E27FC236}">
              <a16:creationId xmlns:a16="http://schemas.microsoft.com/office/drawing/2014/main" id="{A836502B-D26A-9C4F-7DD9-DC953DF663A3}"/>
            </a:ext>
          </a:extLst>
        </xdr:cNvPr>
        <xdr:cNvSpPr txBox="1"/>
      </xdr:nvSpPr>
      <xdr:spPr>
        <a:xfrm>
          <a:off x="3505200" y="16351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187325</xdr:colOff>
      <xdr:row>7</xdr:row>
      <xdr:rowOff>381000</xdr:rowOff>
    </xdr:from>
    <xdr:ext cx="407740" cy="374141"/>
    <xdr:sp macro="" textlink="">
      <xdr:nvSpPr>
        <xdr:cNvPr id="120" name="Textfeld 119">
          <a:extLst>
            <a:ext uri="{FF2B5EF4-FFF2-40B4-BE49-F238E27FC236}">
              <a16:creationId xmlns:a16="http://schemas.microsoft.com/office/drawing/2014/main" id="{98D98C2B-B6B2-4525-1891-5F201B47440B}"/>
            </a:ext>
          </a:extLst>
        </xdr:cNvPr>
        <xdr:cNvSpPr txBox="1"/>
      </xdr:nvSpPr>
      <xdr:spPr>
        <a:xfrm>
          <a:off x="454977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777875</xdr:colOff>
      <xdr:row>7</xdr:row>
      <xdr:rowOff>381000</xdr:rowOff>
    </xdr:from>
    <xdr:ext cx="407740" cy="374141"/>
    <xdr:sp macro="" textlink="">
      <xdr:nvSpPr>
        <xdr:cNvPr id="121" name="Textfeld 120">
          <a:extLst>
            <a:ext uri="{FF2B5EF4-FFF2-40B4-BE49-F238E27FC236}">
              <a16:creationId xmlns:a16="http://schemas.microsoft.com/office/drawing/2014/main" id="{DDB273CA-CE4A-9A68-B923-713CA91042FD}"/>
            </a:ext>
          </a:extLst>
        </xdr:cNvPr>
        <xdr:cNvSpPr txBox="1"/>
      </xdr:nvSpPr>
      <xdr:spPr>
        <a:xfrm>
          <a:off x="514032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254000</xdr:colOff>
      <xdr:row>7</xdr:row>
      <xdr:rowOff>209550</xdr:rowOff>
    </xdr:from>
    <xdr:ext cx="407740" cy="374141"/>
    <xdr:sp macro="" textlink="">
      <xdr:nvSpPr>
        <xdr:cNvPr id="122" name="Textfeld 121">
          <a:extLst>
            <a:ext uri="{FF2B5EF4-FFF2-40B4-BE49-F238E27FC236}">
              <a16:creationId xmlns:a16="http://schemas.microsoft.com/office/drawing/2014/main" id="{A68A0A39-3F9F-5755-D226-3C8B759AE511}"/>
            </a:ext>
          </a:extLst>
        </xdr:cNvPr>
        <xdr:cNvSpPr txBox="1"/>
      </xdr:nvSpPr>
      <xdr:spPr>
        <a:xfrm>
          <a:off x="6035675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828675</xdr:colOff>
      <xdr:row>7</xdr:row>
      <xdr:rowOff>209550</xdr:rowOff>
    </xdr:from>
    <xdr:ext cx="407740" cy="374141"/>
    <xdr:sp macro="" textlink="">
      <xdr:nvSpPr>
        <xdr:cNvPr id="123" name="Textfeld 122">
          <a:extLst>
            <a:ext uri="{FF2B5EF4-FFF2-40B4-BE49-F238E27FC236}">
              <a16:creationId xmlns:a16="http://schemas.microsoft.com/office/drawing/2014/main" id="{23386433-152A-AC32-96C6-D8731FB35460}"/>
            </a:ext>
          </a:extLst>
        </xdr:cNvPr>
        <xdr:cNvSpPr txBox="1"/>
      </xdr:nvSpPr>
      <xdr:spPr>
        <a:xfrm>
          <a:off x="6610350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539750</xdr:colOff>
      <xdr:row>7</xdr:row>
      <xdr:rowOff>200025</xdr:rowOff>
    </xdr:from>
    <xdr:ext cx="407740" cy="374141"/>
    <xdr:sp macro="" textlink="">
      <xdr:nvSpPr>
        <xdr:cNvPr id="124" name="Textfeld 123">
          <a:extLst>
            <a:ext uri="{FF2B5EF4-FFF2-40B4-BE49-F238E27FC236}">
              <a16:creationId xmlns:a16="http://schemas.microsoft.com/office/drawing/2014/main" id="{D86A6985-AB69-B579-DA5C-46C6120E0D75}"/>
            </a:ext>
          </a:extLst>
        </xdr:cNvPr>
        <xdr:cNvSpPr txBox="1"/>
      </xdr:nvSpPr>
      <xdr:spPr>
        <a:xfrm>
          <a:off x="7740650" y="1466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219075</xdr:colOff>
      <xdr:row>13</xdr:row>
      <xdr:rowOff>171449</xdr:rowOff>
    </xdr:from>
    <xdr:to>
      <xdr:col>12</xdr:col>
      <xdr:colOff>1200150</xdr:colOff>
      <xdr:row>13</xdr:row>
      <xdr:rowOff>581025</xdr:rowOff>
    </xdr:to>
    <xdr:sp macro="" textlink="">
      <xdr:nvSpPr>
        <xdr:cNvPr id="125" name="Rechteck 124">
          <a:extLst>
            <a:ext uri="{FF2B5EF4-FFF2-40B4-BE49-F238E27FC236}">
              <a16:creationId xmlns:a16="http://schemas.microsoft.com/office/drawing/2014/main" id="{A8AC266E-9FA4-432C-8EF4-FC73F692FB1E}"/>
            </a:ext>
          </a:extLst>
        </xdr:cNvPr>
        <xdr:cNvSpPr/>
      </xdr:nvSpPr>
      <xdr:spPr>
        <a:xfrm>
          <a:off x="1739900" y="5448299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409575</xdr:colOff>
      <xdr:row>13</xdr:row>
      <xdr:rowOff>777875</xdr:rowOff>
    </xdr:from>
    <xdr:to>
      <xdr:col>12</xdr:col>
      <xdr:colOff>1006475</xdr:colOff>
      <xdr:row>13</xdr:row>
      <xdr:rowOff>1054100</xdr:rowOff>
    </xdr:to>
    <xdr:grpSp>
      <xdr:nvGrpSpPr>
        <xdr:cNvPr id="126" name="Gruppieren 125">
          <a:extLst>
            <a:ext uri="{FF2B5EF4-FFF2-40B4-BE49-F238E27FC236}">
              <a16:creationId xmlns:a16="http://schemas.microsoft.com/office/drawing/2014/main" id="{4F203852-C7B6-459A-9754-6633A3B6311E}"/>
            </a:ext>
          </a:extLst>
        </xdr:cNvPr>
        <xdr:cNvGrpSpPr/>
      </xdr:nvGrpSpPr>
      <xdr:grpSpPr>
        <a:xfrm>
          <a:off x="13827401" y="7260397"/>
          <a:ext cx="596900" cy="276225"/>
          <a:chOff x="6238875" y="2609850"/>
          <a:chExt cx="596900" cy="276225"/>
        </a:xfrm>
      </xdr:grpSpPr>
      <xdr:sp macro="" textlink="">
        <xdr:nvSpPr>
          <xdr:cNvPr id="127" name="Ellipse 126">
            <a:extLst>
              <a:ext uri="{FF2B5EF4-FFF2-40B4-BE49-F238E27FC236}">
                <a16:creationId xmlns:a16="http://schemas.microsoft.com/office/drawing/2014/main" id="{78D1888C-642A-6267-BB77-6654E46F2A2D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57636DAD-4992-A4AA-3AB5-DD80B88E523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9" name="Ellipse 128">
            <a:extLst>
              <a:ext uri="{FF2B5EF4-FFF2-40B4-BE49-F238E27FC236}">
                <a16:creationId xmlns:a16="http://schemas.microsoft.com/office/drawing/2014/main" id="{49DA8F24-1507-8D9A-1351-93B1FB22D7B7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533400</xdr:colOff>
      <xdr:row>13</xdr:row>
      <xdr:rowOff>161925</xdr:rowOff>
    </xdr:from>
    <xdr:ext cx="407740" cy="374141"/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47B30383-315D-433E-8742-EAAB1689A943}"/>
            </a:ext>
          </a:extLst>
        </xdr:cNvPr>
        <xdr:cNvSpPr txBox="1"/>
      </xdr:nvSpPr>
      <xdr:spPr>
        <a:xfrm>
          <a:off x="2057400" y="54356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238125</xdr:colOff>
      <xdr:row>12</xdr:row>
      <xdr:rowOff>171449</xdr:rowOff>
    </xdr:from>
    <xdr:to>
      <xdr:col>12</xdr:col>
      <xdr:colOff>1219200</xdr:colOff>
      <xdr:row>12</xdr:row>
      <xdr:rowOff>1003299</xdr:rowOff>
    </xdr:to>
    <xdr:sp macro="" textlink="">
      <xdr:nvSpPr>
        <xdr:cNvPr id="131" name="Rechteck 130">
          <a:extLst>
            <a:ext uri="{FF2B5EF4-FFF2-40B4-BE49-F238E27FC236}">
              <a16:creationId xmlns:a16="http://schemas.microsoft.com/office/drawing/2014/main" id="{8C92C773-06D9-4158-8708-C44D8387B5F2}"/>
            </a:ext>
          </a:extLst>
        </xdr:cNvPr>
        <xdr:cNvSpPr/>
      </xdr:nvSpPr>
      <xdr:spPr>
        <a:xfrm>
          <a:off x="4597400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12</xdr:col>
      <xdr:colOff>523875</xdr:colOff>
      <xdr:row>12</xdr:row>
      <xdr:rowOff>377825</xdr:rowOff>
    </xdr:from>
    <xdr:ext cx="407740" cy="374141"/>
    <xdr:sp macro="" textlink="">
      <xdr:nvSpPr>
        <xdr:cNvPr id="132" name="Textfeld 131">
          <a:extLst>
            <a:ext uri="{FF2B5EF4-FFF2-40B4-BE49-F238E27FC236}">
              <a16:creationId xmlns:a16="http://schemas.microsoft.com/office/drawing/2014/main" id="{17CA937B-FC80-449D-BFE0-856558CE85A7}"/>
            </a:ext>
          </a:extLst>
        </xdr:cNvPr>
        <xdr:cNvSpPr txBox="1"/>
      </xdr:nvSpPr>
      <xdr:spPr>
        <a:xfrm>
          <a:off x="4883150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238125</xdr:colOff>
      <xdr:row>12</xdr:row>
      <xdr:rowOff>171449</xdr:rowOff>
    </xdr:from>
    <xdr:to>
      <xdr:col>14</xdr:col>
      <xdr:colOff>1219200</xdr:colOff>
      <xdr:row>12</xdr:row>
      <xdr:rowOff>1003299</xdr:rowOff>
    </xdr:to>
    <xdr:sp macro="" textlink="">
      <xdr:nvSpPr>
        <xdr:cNvPr id="141" name="Rechteck 140">
          <a:extLst>
            <a:ext uri="{FF2B5EF4-FFF2-40B4-BE49-F238E27FC236}">
              <a16:creationId xmlns:a16="http://schemas.microsoft.com/office/drawing/2014/main" id="{CC3A05EA-CA95-45EB-B853-915552B4E526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523875</xdr:colOff>
      <xdr:row>12</xdr:row>
      <xdr:rowOff>377825</xdr:rowOff>
    </xdr:from>
    <xdr:ext cx="407740" cy="374141"/>
    <xdr:sp macro="" textlink="">
      <xdr:nvSpPr>
        <xdr:cNvPr id="142" name="Textfeld 141">
          <a:extLst>
            <a:ext uri="{FF2B5EF4-FFF2-40B4-BE49-F238E27FC236}">
              <a16:creationId xmlns:a16="http://schemas.microsoft.com/office/drawing/2014/main" id="{B121CC7E-245E-4097-A954-A78183E98995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225425</xdr:colOff>
      <xdr:row>13</xdr:row>
      <xdr:rowOff>114299</xdr:rowOff>
    </xdr:from>
    <xdr:to>
      <xdr:col>14</xdr:col>
      <xdr:colOff>1209675</xdr:colOff>
      <xdr:row>13</xdr:row>
      <xdr:rowOff>590550</xdr:rowOff>
    </xdr:to>
    <xdr:sp macro="" textlink="">
      <xdr:nvSpPr>
        <xdr:cNvPr id="143" name="Rechteck 142">
          <a:extLst>
            <a:ext uri="{FF2B5EF4-FFF2-40B4-BE49-F238E27FC236}">
              <a16:creationId xmlns:a16="http://schemas.microsoft.com/office/drawing/2014/main" id="{F3542D13-7DC6-49A4-B5B7-DBBC641F7EC9}"/>
            </a:ext>
          </a:extLst>
        </xdr:cNvPr>
        <xdr:cNvSpPr/>
      </xdr:nvSpPr>
      <xdr:spPr>
        <a:xfrm>
          <a:off x="15732125" y="6559549"/>
          <a:ext cx="984250" cy="47625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517525</xdr:colOff>
      <xdr:row>13</xdr:row>
      <xdr:rowOff>193675</xdr:rowOff>
    </xdr:from>
    <xdr:ext cx="407740" cy="374141"/>
    <xdr:sp macro="" textlink="">
      <xdr:nvSpPr>
        <xdr:cNvPr id="144" name="Textfeld 143">
          <a:extLst>
            <a:ext uri="{FF2B5EF4-FFF2-40B4-BE49-F238E27FC236}">
              <a16:creationId xmlns:a16="http://schemas.microsoft.com/office/drawing/2014/main" id="{EB814FA5-A713-488A-AD30-5CD31539B723}"/>
            </a:ext>
          </a:extLst>
        </xdr:cNvPr>
        <xdr:cNvSpPr txBox="1"/>
      </xdr:nvSpPr>
      <xdr:spPr>
        <a:xfrm>
          <a:off x="16024225" y="66389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14</xdr:col>
      <xdr:colOff>676275</xdr:colOff>
      <xdr:row>14</xdr:row>
      <xdr:rowOff>723900</xdr:rowOff>
    </xdr:from>
    <xdr:to>
      <xdr:col>14</xdr:col>
      <xdr:colOff>781050</xdr:colOff>
      <xdr:row>14</xdr:row>
      <xdr:rowOff>819150</xdr:rowOff>
    </xdr:to>
    <xdr:sp macro="" textlink="">
      <xdr:nvSpPr>
        <xdr:cNvPr id="145" name="Ellipse 144">
          <a:extLst>
            <a:ext uri="{FF2B5EF4-FFF2-40B4-BE49-F238E27FC236}">
              <a16:creationId xmlns:a16="http://schemas.microsoft.com/office/drawing/2014/main" id="{DE8A16B4-C895-4A1E-870E-E615EA6C5EC2}"/>
            </a:ext>
          </a:extLst>
        </xdr:cNvPr>
        <xdr:cNvSpPr/>
      </xdr:nvSpPr>
      <xdr:spPr>
        <a:xfrm>
          <a:off x="5035550" y="71628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425450</xdr:colOff>
      <xdr:row>14</xdr:row>
      <xdr:rowOff>542925</xdr:rowOff>
    </xdr:from>
    <xdr:to>
      <xdr:col>14</xdr:col>
      <xdr:colOff>533400</xdr:colOff>
      <xdr:row>14</xdr:row>
      <xdr:rowOff>638175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19AD87FA-A6BA-41C5-968C-FD253477FD48}"/>
            </a:ext>
          </a:extLst>
        </xdr:cNvPr>
        <xdr:cNvSpPr/>
      </xdr:nvSpPr>
      <xdr:spPr>
        <a:xfrm>
          <a:off x="4791075" y="69786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923925</xdr:colOff>
      <xdr:row>14</xdr:row>
      <xdr:rowOff>549275</xdr:rowOff>
    </xdr:from>
    <xdr:to>
      <xdr:col>14</xdr:col>
      <xdr:colOff>1028700</xdr:colOff>
      <xdr:row>14</xdr:row>
      <xdr:rowOff>644525</xdr:rowOff>
    </xdr:to>
    <xdr:sp macro="" textlink="">
      <xdr:nvSpPr>
        <xdr:cNvPr id="147" name="Ellipse 146">
          <a:extLst>
            <a:ext uri="{FF2B5EF4-FFF2-40B4-BE49-F238E27FC236}">
              <a16:creationId xmlns:a16="http://schemas.microsoft.com/office/drawing/2014/main" id="{AC684087-E40F-4D1F-B1AD-91F077FA57EA}"/>
            </a:ext>
          </a:extLst>
        </xdr:cNvPr>
        <xdr:cNvSpPr/>
      </xdr:nvSpPr>
      <xdr:spPr>
        <a:xfrm>
          <a:off x="5283200" y="69881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133351</xdr:colOff>
      <xdr:row>12</xdr:row>
      <xdr:rowOff>133349</xdr:rowOff>
    </xdr:from>
    <xdr:to>
      <xdr:col>16</xdr:col>
      <xdr:colOff>1285876</xdr:colOff>
      <xdr:row>12</xdr:row>
      <xdr:rowOff>965199</xdr:rowOff>
    </xdr:to>
    <xdr:sp macro="" textlink="">
      <xdr:nvSpPr>
        <xdr:cNvPr id="148" name="Rechteck 147">
          <a:extLst>
            <a:ext uri="{FF2B5EF4-FFF2-40B4-BE49-F238E27FC236}">
              <a16:creationId xmlns:a16="http://schemas.microsoft.com/office/drawing/2014/main" id="{FA9C7184-DB82-42A2-BC2F-441466D7FE8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12</xdr:row>
      <xdr:rowOff>133349</xdr:rowOff>
    </xdr:from>
    <xdr:to>
      <xdr:col>16</xdr:col>
      <xdr:colOff>708026</xdr:colOff>
      <xdr:row>12</xdr:row>
      <xdr:rowOff>962024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A16F7E70-C779-4E23-A40D-723BA844EC32}"/>
            </a:ext>
          </a:extLst>
        </xdr:cNvPr>
        <xdr:cNvCxnSpPr>
          <a:stCxn id="148" idx="0"/>
          <a:endCxn id="148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12</xdr:row>
      <xdr:rowOff>352425</xdr:rowOff>
    </xdr:from>
    <xdr:ext cx="407740" cy="374141"/>
    <xdr:sp macro="" textlink="">
      <xdr:nvSpPr>
        <xdr:cNvPr id="150" name="Textfeld 149">
          <a:extLst>
            <a:ext uri="{FF2B5EF4-FFF2-40B4-BE49-F238E27FC236}">
              <a16:creationId xmlns:a16="http://schemas.microsoft.com/office/drawing/2014/main" id="{C4164143-8666-411F-A5F5-B386E3C57D06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12</xdr:row>
      <xdr:rowOff>358775</xdr:rowOff>
    </xdr:from>
    <xdr:ext cx="407740" cy="374141"/>
    <xdr:sp macro="" textlink="">
      <xdr:nvSpPr>
        <xdr:cNvPr id="151" name="Textfeld 150">
          <a:extLst>
            <a:ext uri="{FF2B5EF4-FFF2-40B4-BE49-F238E27FC236}">
              <a16:creationId xmlns:a16="http://schemas.microsoft.com/office/drawing/2014/main" id="{227D413D-8350-4B1E-B64B-344406B67FFE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17</xdr:col>
      <xdr:colOff>133351</xdr:colOff>
      <xdr:row>12</xdr:row>
      <xdr:rowOff>133349</xdr:rowOff>
    </xdr:from>
    <xdr:to>
      <xdr:col>17</xdr:col>
      <xdr:colOff>1285876</xdr:colOff>
      <xdr:row>12</xdr:row>
      <xdr:rowOff>965199</xdr:rowOff>
    </xdr:to>
    <xdr:sp macro="" textlink="">
      <xdr:nvSpPr>
        <xdr:cNvPr id="152" name="Rechteck 151">
          <a:extLst>
            <a:ext uri="{FF2B5EF4-FFF2-40B4-BE49-F238E27FC236}">
              <a16:creationId xmlns:a16="http://schemas.microsoft.com/office/drawing/2014/main" id="{CE2CBDE3-2B63-4FC0-804D-78914B9F7417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708026</xdr:colOff>
      <xdr:row>12</xdr:row>
      <xdr:rowOff>133349</xdr:rowOff>
    </xdr:from>
    <xdr:to>
      <xdr:col>17</xdr:col>
      <xdr:colOff>708026</xdr:colOff>
      <xdr:row>12</xdr:row>
      <xdr:rowOff>962024</xdr:rowOff>
    </xdr:to>
    <xdr:cxnSp macro="">
      <xdr:nvCxnSpPr>
        <xdr:cNvPr id="153" name="Gerader Verbinder 152">
          <a:extLst>
            <a:ext uri="{FF2B5EF4-FFF2-40B4-BE49-F238E27FC236}">
              <a16:creationId xmlns:a16="http://schemas.microsoft.com/office/drawing/2014/main" id="{56CEEA93-5272-43AE-BE56-29B914BB839C}"/>
            </a:ext>
          </a:extLst>
        </xdr:cNvPr>
        <xdr:cNvCxnSpPr>
          <a:stCxn id="152" idx="0"/>
          <a:endCxn id="152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228600</xdr:colOff>
      <xdr:row>12</xdr:row>
      <xdr:rowOff>352425</xdr:rowOff>
    </xdr:from>
    <xdr:ext cx="407740" cy="374141"/>
    <xdr:sp macro="" textlink="">
      <xdr:nvSpPr>
        <xdr:cNvPr id="154" name="Textfeld 153">
          <a:extLst>
            <a:ext uri="{FF2B5EF4-FFF2-40B4-BE49-F238E27FC236}">
              <a16:creationId xmlns:a16="http://schemas.microsoft.com/office/drawing/2014/main" id="{2979BAF1-5C62-40C1-966B-2503E1C96C23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790575</xdr:colOff>
      <xdr:row>12</xdr:row>
      <xdr:rowOff>358775</xdr:rowOff>
    </xdr:from>
    <xdr:ext cx="407740" cy="374141"/>
    <xdr:sp macro="" textlink="">
      <xdr:nvSpPr>
        <xdr:cNvPr id="155" name="Textfeld 154">
          <a:extLst>
            <a:ext uri="{FF2B5EF4-FFF2-40B4-BE49-F238E27FC236}">
              <a16:creationId xmlns:a16="http://schemas.microsoft.com/office/drawing/2014/main" id="{F63EFE07-9D4B-4419-9D11-F3A5D892F6C9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16</xdr:col>
      <xdr:colOff>133351</xdr:colOff>
      <xdr:row>13</xdr:row>
      <xdr:rowOff>133349</xdr:rowOff>
    </xdr:from>
    <xdr:to>
      <xdr:col>16</xdr:col>
      <xdr:colOff>1285876</xdr:colOff>
      <xdr:row>13</xdr:row>
      <xdr:rowOff>965199</xdr:rowOff>
    </xdr:to>
    <xdr:sp macro="" textlink="">
      <xdr:nvSpPr>
        <xdr:cNvPr id="156" name="Rechteck 155">
          <a:extLst>
            <a:ext uri="{FF2B5EF4-FFF2-40B4-BE49-F238E27FC236}">
              <a16:creationId xmlns:a16="http://schemas.microsoft.com/office/drawing/2014/main" id="{4530420D-967E-4F7E-BE13-99F0E3C7883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13</xdr:row>
      <xdr:rowOff>133349</xdr:rowOff>
    </xdr:from>
    <xdr:to>
      <xdr:col>16</xdr:col>
      <xdr:colOff>708026</xdr:colOff>
      <xdr:row>13</xdr:row>
      <xdr:rowOff>962024</xdr:rowOff>
    </xdr:to>
    <xdr:cxnSp macro="">
      <xdr:nvCxnSpPr>
        <xdr:cNvPr id="157" name="Gerader Verbinder 156">
          <a:extLst>
            <a:ext uri="{FF2B5EF4-FFF2-40B4-BE49-F238E27FC236}">
              <a16:creationId xmlns:a16="http://schemas.microsoft.com/office/drawing/2014/main" id="{B492CDE5-5BC3-42CC-AC61-4DFA25C8BCA6}"/>
            </a:ext>
          </a:extLst>
        </xdr:cNvPr>
        <xdr:cNvCxnSpPr>
          <a:stCxn id="156" idx="0"/>
          <a:endCxn id="156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13</xdr:row>
      <xdr:rowOff>352425</xdr:rowOff>
    </xdr:from>
    <xdr:ext cx="407740" cy="374141"/>
    <xdr:sp macro="" textlink="">
      <xdr:nvSpPr>
        <xdr:cNvPr id="158" name="Textfeld 157">
          <a:extLst>
            <a:ext uri="{FF2B5EF4-FFF2-40B4-BE49-F238E27FC236}">
              <a16:creationId xmlns:a16="http://schemas.microsoft.com/office/drawing/2014/main" id="{8D124546-498A-4325-BB9F-A126135E64C4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13</xdr:row>
      <xdr:rowOff>358775</xdr:rowOff>
    </xdr:from>
    <xdr:ext cx="407740" cy="374141"/>
    <xdr:sp macro="" textlink="">
      <xdr:nvSpPr>
        <xdr:cNvPr id="159" name="Textfeld 158">
          <a:extLst>
            <a:ext uri="{FF2B5EF4-FFF2-40B4-BE49-F238E27FC236}">
              <a16:creationId xmlns:a16="http://schemas.microsoft.com/office/drawing/2014/main" id="{2C50A4ED-6C64-42EF-9676-6565A0DC2300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12</xdr:row>
      <xdr:rowOff>171449</xdr:rowOff>
    </xdr:from>
    <xdr:to>
      <xdr:col>19</xdr:col>
      <xdr:colOff>1219200</xdr:colOff>
      <xdr:row>12</xdr:row>
      <xdr:rowOff>1003299</xdr:rowOff>
    </xdr:to>
    <xdr:sp macro="" textlink="">
      <xdr:nvSpPr>
        <xdr:cNvPr id="172" name="Rechteck 171">
          <a:extLst>
            <a:ext uri="{FF2B5EF4-FFF2-40B4-BE49-F238E27FC236}">
              <a16:creationId xmlns:a16="http://schemas.microsoft.com/office/drawing/2014/main" id="{4FD4DD99-4767-497D-9911-9C64FF690461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12</xdr:row>
      <xdr:rowOff>377825</xdr:rowOff>
    </xdr:from>
    <xdr:ext cx="407740" cy="374141"/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5B4C0301-2731-40F2-BB18-BDC534CCC5A0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20</xdr:col>
      <xdr:colOff>238125</xdr:colOff>
      <xdr:row>12</xdr:row>
      <xdr:rowOff>171449</xdr:rowOff>
    </xdr:from>
    <xdr:to>
      <xdr:col>20</xdr:col>
      <xdr:colOff>1219200</xdr:colOff>
      <xdr:row>12</xdr:row>
      <xdr:rowOff>1003299</xdr:rowOff>
    </xdr:to>
    <xdr:sp macro="" textlink="">
      <xdr:nvSpPr>
        <xdr:cNvPr id="174" name="Rechteck 173">
          <a:extLst>
            <a:ext uri="{FF2B5EF4-FFF2-40B4-BE49-F238E27FC236}">
              <a16:creationId xmlns:a16="http://schemas.microsoft.com/office/drawing/2014/main" id="{C80968CC-5872-4CCF-BA46-0606A4BAA9D8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20</xdr:col>
      <xdr:colOff>523875</xdr:colOff>
      <xdr:row>12</xdr:row>
      <xdr:rowOff>377825</xdr:rowOff>
    </xdr:from>
    <xdr:ext cx="407740" cy="374141"/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EAE2BF81-9A64-4BA5-90A5-E47A1C070A63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13</xdr:row>
      <xdr:rowOff>171449</xdr:rowOff>
    </xdr:from>
    <xdr:to>
      <xdr:col>19</xdr:col>
      <xdr:colOff>1219200</xdr:colOff>
      <xdr:row>13</xdr:row>
      <xdr:rowOff>1003299</xdr:rowOff>
    </xdr:to>
    <xdr:sp macro="" textlink="">
      <xdr:nvSpPr>
        <xdr:cNvPr id="176" name="Rechteck 175">
          <a:extLst>
            <a:ext uri="{FF2B5EF4-FFF2-40B4-BE49-F238E27FC236}">
              <a16:creationId xmlns:a16="http://schemas.microsoft.com/office/drawing/2014/main" id="{17E24DD1-99AB-4BC4-A6E5-B14E00C3DED4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13</xdr:row>
      <xdr:rowOff>377825</xdr:rowOff>
    </xdr:from>
    <xdr:ext cx="407740" cy="374141"/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FD09ADFB-E9EE-4E9E-BCB0-5AD24D024FE7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95250</xdr:colOff>
      <xdr:row>13</xdr:row>
      <xdr:rowOff>257175</xdr:rowOff>
    </xdr:from>
    <xdr:ext cx="1235788" cy="546368"/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64DFA6F8-8814-5860-BB53-F10916C10BD7}"/>
            </a:ext>
          </a:extLst>
        </xdr:cNvPr>
        <xdr:cNvSpPr txBox="1"/>
      </xdr:nvSpPr>
      <xdr:spPr>
        <a:xfrm>
          <a:off x="19259550" y="669607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20</xdr:col>
      <xdr:colOff>676275</xdr:colOff>
      <xdr:row>13</xdr:row>
      <xdr:rowOff>723900</xdr:rowOff>
    </xdr:from>
    <xdr:to>
      <xdr:col>20</xdr:col>
      <xdr:colOff>781050</xdr:colOff>
      <xdr:row>13</xdr:row>
      <xdr:rowOff>819150</xdr:rowOff>
    </xdr:to>
    <xdr:sp macro="" textlink="">
      <xdr:nvSpPr>
        <xdr:cNvPr id="185" name="Ellipse 184">
          <a:extLst>
            <a:ext uri="{FF2B5EF4-FFF2-40B4-BE49-F238E27FC236}">
              <a16:creationId xmlns:a16="http://schemas.microsoft.com/office/drawing/2014/main" id="{89585711-A233-491A-9231-659BC4D468D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425450</xdr:colOff>
      <xdr:row>13</xdr:row>
      <xdr:rowOff>542925</xdr:rowOff>
    </xdr:from>
    <xdr:to>
      <xdr:col>20</xdr:col>
      <xdr:colOff>533400</xdr:colOff>
      <xdr:row>13</xdr:row>
      <xdr:rowOff>638175</xdr:rowOff>
    </xdr:to>
    <xdr:sp macro="" textlink="">
      <xdr:nvSpPr>
        <xdr:cNvPr id="186" name="Ellipse 185">
          <a:extLst>
            <a:ext uri="{FF2B5EF4-FFF2-40B4-BE49-F238E27FC236}">
              <a16:creationId xmlns:a16="http://schemas.microsoft.com/office/drawing/2014/main" id="{A8A57911-8E67-475E-86CA-14E7C7BB8AD5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923925</xdr:colOff>
      <xdr:row>13</xdr:row>
      <xdr:rowOff>549275</xdr:rowOff>
    </xdr:from>
    <xdr:to>
      <xdr:col>20</xdr:col>
      <xdr:colOff>1028700</xdr:colOff>
      <xdr:row>13</xdr:row>
      <xdr:rowOff>644525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0152BD55-2B45-4F87-BDE4-A48EF3FC735B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88" name="Ellipse 187">
          <a:extLst>
            <a:ext uri="{FF2B5EF4-FFF2-40B4-BE49-F238E27FC236}">
              <a16:creationId xmlns:a16="http://schemas.microsoft.com/office/drawing/2014/main" id="{6FFCABB2-B716-4193-A236-973A76CEE342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4CE6AF49-5BF8-45C7-8EA8-272048BDBF89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FF4E3CA2-FD26-4139-A987-A7B86A8A51E6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91" name="Ellipse 190">
          <a:extLst>
            <a:ext uri="{FF2B5EF4-FFF2-40B4-BE49-F238E27FC236}">
              <a16:creationId xmlns:a16="http://schemas.microsoft.com/office/drawing/2014/main" id="{005A90E8-8AB9-4CB6-9DDC-4BBBFB11097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92" name="Ellipse 191">
          <a:extLst>
            <a:ext uri="{FF2B5EF4-FFF2-40B4-BE49-F238E27FC236}">
              <a16:creationId xmlns:a16="http://schemas.microsoft.com/office/drawing/2014/main" id="{72EAEA08-09E4-479C-A168-8118B51568DE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204CEFB2-2B85-44FA-BEC6-710E96454622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4" name="Ellipse 193">
          <a:extLst>
            <a:ext uri="{FF2B5EF4-FFF2-40B4-BE49-F238E27FC236}">
              <a16:creationId xmlns:a16="http://schemas.microsoft.com/office/drawing/2014/main" id="{95EB11A3-D739-4B1F-B07C-97AC9AB84E70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5" name="Ellipse 194">
          <a:extLst>
            <a:ext uri="{FF2B5EF4-FFF2-40B4-BE49-F238E27FC236}">
              <a16:creationId xmlns:a16="http://schemas.microsoft.com/office/drawing/2014/main" id="{C5547009-75DA-4AC2-862A-0695B64E435B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6" name="Ellipse 195">
          <a:extLst>
            <a:ext uri="{FF2B5EF4-FFF2-40B4-BE49-F238E27FC236}">
              <a16:creationId xmlns:a16="http://schemas.microsoft.com/office/drawing/2014/main" id="{E96A151F-77E6-43A7-9924-77DF0EE41539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7" name="Ellipse 196">
          <a:extLst>
            <a:ext uri="{FF2B5EF4-FFF2-40B4-BE49-F238E27FC236}">
              <a16:creationId xmlns:a16="http://schemas.microsoft.com/office/drawing/2014/main" id="{CE6D83C8-AD3C-4173-ADD2-EB23F024E081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8" name="Ellipse 197">
          <a:extLst>
            <a:ext uri="{FF2B5EF4-FFF2-40B4-BE49-F238E27FC236}">
              <a16:creationId xmlns:a16="http://schemas.microsoft.com/office/drawing/2014/main" id="{E8C07E0C-DB29-47F5-B771-E87228620E33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9" name="Ellipse 198">
          <a:extLst>
            <a:ext uri="{FF2B5EF4-FFF2-40B4-BE49-F238E27FC236}">
              <a16:creationId xmlns:a16="http://schemas.microsoft.com/office/drawing/2014/main" id="{1D19BA3A-DE1C-4C23-A34C-5C17983F6FF8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390525</xdr:colOff>
      <xdr:row>13</xdr:row>
      <xdr:rowOff>765175</xdr:rowOff>
    </xdr:from>
    <xdr:to>
      <xdr:col>14</xdr:col>
      <xdr:colOff>987425</xdr:colOff>
      <xdr:row>13</xdr:row>
      <xdr:rowOff>1041400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D1360B46-E17A-F1E0-AF30-00B156F5E60C}"/>
            </a:ext>
          </a:extLst>
        </xdr:cNvPr>
        <xdr:cNvGrpSpPr/>
      </xdr:nvGrpSpPr>
      <xdr:grpSpPr>
        <a:xfrm>
          <a:off x="16679655" y="7247697"/>
          <a:ext cx="596900" cy="276225"/>
          <a:chOff x="6238875" y="2609850"/>
          <a:chExt cx="596900" cy="276225"/>
        </a:xfrm>
      </xdr:grpSpPr>
      <xdr:sp macro="" textlink="">
        <xdr:nvSpPr>
          <xdr:cNvPr id="6" name="Ellipse 5">
            <a:extLst>
              <a:ext uri="{FF2B5EF4-FFF2-40B4-BE49-F238E27FC236}">
                <a16:creationId xmlns:a16="http://schemas.microsoft.com/office/drawing/2014/main" id="{05DAAB15-6285-1738-826E-08BC2CA2267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7" name="Ellipse 56">
            <a:extLst>
              <a:ext uri="{FF2B5EF4-FFF2-40B4-BE49-F238E27FC236}">
                <a16:creationId xmlns:a16="http://schemas.microsoft.com/office/drawing/2014/main" id="{6A25047D-2466-644D-1645-1022E76100F4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61" name="Ellipse 60">
            <a:extLst>
              <a:ext uri="{FF2B5EF4-FFF2-40B4-BE49-F238E27FC236}">
                <a16:creationId xmlns:a16="http://schemas.microsoft.com/office/drawing/2014/main" id="{5D807097-AAB7-C8AB-9F56-F93684BCBC9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133351</xdr:colOff>
      <xdr:row>20</xdr:row>
      <xdr:rowOff>133349</xdr:rowOff>
    </xdr:from>
    <xdr:to>
      <xdr:col>6</xdr:col>
      <xdr:colOff>1285876</xdr:colOff>
      <xdr:row>20</xdr:row>
      <xdr:rowOff>502478</xdr:rowOff>
    </xdr:to>
    <xdr:sp macro="" textlink="">
      <xdr:nvSpPr>
        <xdr:cNvPr id="62" name="Rechteck 61">
          <a:extLst>
            <a:ext uri="{FF2B5EF4-FFF2-40B4-BE49-F238E27FC236}">
              <a16:creationId xmlns:a16="http://schemas.microsoft.com/office/drawing/2014/main" id="{5D54416B-47A2-422C-BDE4-D8C14819AEE9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709614</xdr:colOff>
      <xdr:row>20</xdr:row>
      <xdr:rowOff>133349</xdr:rowOff>
    </xdr:from>
    <xdr:to>
      <xdr:col>6</xdr:col>
      <xdr:colOff>709614</xdr:colOff>
      <xdr:row>20</xdr:row>
      <xdr:rowOff>502478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FBC97FE4-8741-445F-A2BA-7A54697DCDB1}"/>
            </a:ext>
          </a:extLst>
        </xdr:cNvPr>
        <xdr:cNvCxnSpPr>
          <a:stCxn id="62" idx="0"/>
          <a:endCxn id="62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245165</xdr:colOff>
      <xdr:row>20</xdr:row>
      <xdr:rowOff>87382</xdr:rowOff>
    </xdr:from>
    <xdr:ext cx="407740" cy="374141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29E1B8F3-997B-4440-9A2B-8A93AD13221E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801618</xdr:colOff>
      <xdr:row>20</xdr:row>
      <xdr:rowOff>99253</xdr:rowOff>
    </xdr:from>
    <xdr:ext cx="407740" cy="374141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CD8B25C6-3FD0-4798-B642-27F968A76AAE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392044</xdr:colOff>
      <xdr:row>20</xdr:row>
      <xdr:rowOff>706783</xdr:rowOff>
    </xdr:from>
    <xdr:to>
      <xdr:col>6</xdr:col>
      <xdr:colOff>992119</xdr:colOff>
      <xdr:row>20</xdr:row>
      <xdr:rowOff>986183</xdr:rowOff>
    </xdr:to>
    <xdr:grpSp>
      <xdr:nvGrpSpPr>
        <xdr:cNvPr id="108" name="Gruppieren 107">
          <a:extLst>
            <a:ext uri="{FF2B5EF4-FFF2-40B4-BE49-F238E27FC236}">
              <a16:creationId xmlns:a16="http://schemas.microsoft.com/office/drawing/2014/main" id="{54E0C651-5B0E-486F-8B03-7F74FC97F43E}"/>
            </a:ext>
          </a:extLst>
        </xdr:cNvPr>
        <xdr:cNvGrpSpPr/>
      </xdr:nvGrpSpPr>
      <xdr:grpSpPr>
        <a:xfrm>
          <a:off x="7570305" y="10474740"/>
          <a:ext cx="600075" cy="279400"/>
          <a:chOff x="6238875" y="2609850"/>
          <a:chExt cx="596900" cy="276225"/>
        </a:xfrm>
      </xdr:grpSpPr>
      <xdr:sp macro="" textlink="">
        <xdr:nvSpPr>
          <xdr:cNvPr id="109" name="Ellipse 108">
            <a:extLst>
              <a:ext uri="{FF2B5EF4-FFF2-40B4-BE49-F238E27FC236}">
                <a16:creationId xmlns:a16="http://schemas.microsoft.com/office/drawing/2014/main" id="{9E148AE2-3F53-220E-C877-EAAC6883622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0" name="Ellipse 109">
            <a:extLst>
              <a:ext uri="{FF2B5EF4-FFF2-40B4-BE49-F238E27FC236}">
                <a16:creationId xmlns:a16="http://schemas.microsoft.com/office/drawing/2014/main" id="{9F474132-3B65-B3FB-0226-C0C223BEAC1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1" name="Ellipse 110">
            <a:extLst>
              <a:ext uri="{FF2B5EF4-FFF2-40B4-BE49-F238E27FC236}">
                <a16:creationId xmlns:a16="http://schemas.microsoft.com/office/drawing/2014/main" id="{266EF3B3-A01C-2F97-8A32-273C3B455E33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133351</xdr:colOff>
      <xdr:row>20</xdr:row>
      <xdr:rowOff>133349</xdr:rowOff>
    </xdr:from>
    <xdr:to>
      <xdr:col>8</xdr:col>
      <xdr:colOff>1285876</xdr:colOff>
      <xdr:row>20</xdr:row>
      <xdr:rowOff>965199</xdr:rowOff>
    </xdr:to>
    <xdr:sp macro="" textlink="">
      <xdr:nvSpPr>
        <xdr:cNvPr id="112" name="Rechteck 111">
          <a:extLst>
            <a:ext uri="{FF2B5EF4-FFF2-40B4-BE49-F238E27FC236}">
              <a16:creationId xmlns:a16="http://schemas.microsoft.com/office/drawing/2014/main" id="{C20F6D44-A049-42E0-8B78-2186E00E5BDA}"/>
            </a:ext>
          </a:extLst>
        </xdr:cNvPr>
        <xdr:cNvSpPr/>
      </xdr:nvSpPr>
      <xdr:spPr>
        <a:xfrm>
          <a:off x="7311612" y="5401088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708026</xdr:colOff>
      <xdr:row>20</xdr:row>
      <xdr:rowOff>133349</xdr:rowOff>
    </xdr:from>
    <xdr:to>
      <xdr:col>8</xdr:col>
      <xdr:colOff>708026</xdr:colOff>
      <xdr:row>20</xdr:row>
      <xdr:rowOff>962024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538008C6-ADFC-4783-85DD-0B11C5BF5D35}"/>
            </a:ext>
          </a:extLst>
        </xdr:cNvPr>
        <xdr:cNvCxnSpPr>
          <a:stCxn id="112" idx="0"/>
          <a:endCxn id="112" idx="2"/>
        </xdr:cNvCxnSpPr>
      </xdr:nvCxnSpPr>
      <xdr:spPr>
        <a:xfrm>
          <a:off x="7886287" y="5401088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228600</xdr:colOff>
      <xdr:row>20</xdr:row>
      <xdr:rowOff>352425</xdr:rowOff>
    </xdr:from>
    <xdr:ext cx="407740" cy="374141"/>
    <xdr:sp macro="" textlink="">
      <xdr:nvSpPr>
        <xdr:cNvPr id="114" name="Textfeld 113">
          <a:extLst>
            <a:ext uri="{FF2B5EF4-FFF2-40B4-BE49-F238E27FC236}">
              <a16:creationId xmlns:a16="http://schemas.microsoft.com/office/drawing/2014/main" id="{29D804AE-3604-4A0D-9E8E-245EF22FDD13}"/>
            </a:ext>
          </a:extLst>
        </xdr:cNvPr>
        <xdr:cNvSpPr txBox="1"/>
      </xdr:nvSpPr>
      <xdr:spPr>
        <a:xfrm>
          <a:off x="7406861" y="56201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790575</xdr:colOff>
      <xdr:row>20</xdr:row>
      <xdr:rowOff>358775</xdr:rowOff>
    </xdr:from>
    <xdr:ext cx="407740" cy="374141"/>
    <xdr:sp macro="" textlink="">
      <xdr:nvSpPr>
        <xdr:cNvPr id="115" name="Textfeld 114">
          <a:extLst>
            <a:ext uri="{FF2B5EF4-FFF2-40B4-BE49-F238E27FC236}">
              <a16:creationId xmlns:a16="http://schemas.microsoft.com/office/drawing/2014/main" id="{3C32F5CD-28EB-4574-AA24-21CEEBEB943D}"/>
            </a:ext>
          </a:extLst>
        </xdr:cNvPr>
        <xdr:cNvSpPr txBox="1"/>
      </xdr:nvSpPr>
      <xdr:spPr>
        <a:xfrm>
          <a:off x="7968836" y="562651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133351</xdr:colOff>
      <xdr:row>21</xdr:row>
      <xdr:rowOff>133349</xdr:rowOff>
    </xdr:from>
    <xdr:to>
      <xdr:col>8</xdr:col>
      <xdr:colOff>1285876</xdr:colOff>
      <xdr:row>21</xdr:row>
      <xdr:rowOff>502478</xdr:rowOff>
    </xdr:to>
    <xdr:sp macro="" textlink="">
      <xdr:nvSpPr>
        <xdr:cNvPr id="116" name="Rechteck 115">
          <a:extLst>
            <a:ext uri="{FF2B5EF4-FFF2-40B4-BE49-F238E27FC236}">
              <a16:creationId xmlns:a16="http://schemas.microsoft.com/office/drawing/2014/main" id="{62ED6BEC-D344-4416-BAED-E60816130BFD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709614</xdr:colOff>
      <xdr:row>21</xdr:row>
      <xdr:rowOff>133349</xdr:rowOff>
    </xdr:from>
    <xdr:to>
      <xdr:col>8</xdr:col>
      <xdr:colOff>709614</xdr:colOff>
      <xdr:row>21</xdr:row>
      <xdr:rowOff>502478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74B76969-1700-40FC-9F63-E7E32FFC2B94}"/>
            </a:ext>
          </a:extLst>
        </xdr:cNvPr>
        <xdr:cNvCxnSpPr>
          <a:stCxn id="116" idx="0"/>
          <a:endCxn id="116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245165</xdr:colOff>
      <xdr:row>21</xdr:row>
      <xdr:rowOff>87382</xdr:rowOff>
    </xdr:from>
    <xdr:ext cx="407740" cy="374141"/>
    <xdr:sp macro="" textlink="">
      <xdr:nvSpPr>
        <xdr:cNvPr id="118" name="Textfeld 117">
          <a:extLst>
            <a:ext uri="{FF2B5EF4-FFF2-40B4-BE49-F238E27FC236}">
              <a16:creationId xmlns:a16="http://schemas.microsoft.com/office/drawing/2014/main" id="{A2359F5F-3A37-44E2-A02F-B3DAF76BFDA6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801618</xdr:colOff>
      <xdr:row>21</xdr:row>
      <xdr:rowOff>99253</xdr:rowOff>
    </xdr:from>
    <xdr:ext cx="407740" cy="374141"/>
    <xdr:sp macro="" textlink="">
      <xdr:nvSpPr>
        <xdr:cNvPr id="133" name="Textfeld 132">
          <a:extLst>
            <a:ext uri="{FF2B5EF4-FFF2-40B4-BE49-F238E27FC236}">
              <a16:creationId xmlns:a16="http://schemas.microsoft.com/office/drawing/2014/main" id="{0F9E8FE2-CE30-4429-83A4-3A28CE6B08F2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397566</xdr:colOff>
      <xdr:row>21</xdr:row>
      <xdr:rowOff>717827</xdr:rowOff>
    </xdr:from>
    <xdr:to>
      <xdr:col>8</xdr:col>
      <xdr:colOff>997641</xdr:colOff>
      <xdr:row>21</xdr:row>
      <xdr:rowOff>997227</xdr:rowOff>
    </xdr:to>
    <xdr:grpSp>
      <xdr:nvGrpSpPr>
        <xdr:cNvPr id="138" name="Gruppieren 137">
          <a:extLst>
            <a:ext uri="{FF2B5EF4-FFF2-40B4-BE49-F238E27FC236}">
              <a16:creationId xmlns:a16="http://schemas.microsoft.com/office/drawing/2014/main" id="{661C803B-8BFE-5535-800A-9FA89D5C2466}"/>
            </a:ext>
          </a:extLst>
        </xdr:cNvPr>
        <xdr:cNvGrpSpPr/>
      </xdr:nvGrpSpPr>
      <xdr:grpSpPr>
        <a:xfrm>
          <a:off x="9663044" y="11717131"/>
          <a:ext cx="600075" cy="279400"/>
          <a:chOff x="6238875" y="2609850"/>
          <a:chExt cx="596900" cy="276225"/>
        </a:xfrm>
      </xdr:grpSpPr>
      <xdr:sp macro="" textlink="">
        <xdr:nvSpPr>
          <xdr:cNvPr id="139" name="Ellipse 138">
            <a:extLst>
              <a:ext uri="{FF2B5EF4-FFF2-40B4-BE49-F238E27FC236}">
                <a16:creationId xmlns:a16="http://schemas.microsoft.com/office/drawing/2014/main" id="{E8E35827-6D0A-3CDD-8DCE-57815B2233E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40" name="Ellipse 139">
            <a:extLst>
              <a:ext uri="{FF2B5EF4-FFF2-40B4-BE49-F238E27FC236}">
                <a16:creationId xmlns:a16="http://schemas.microsoft.com/office/drawing/2014/main" id="{8F7D1BCB-2BD0-371D-173A-61AE9FFB67D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0" name="Ellipse 159">
            <a:extLst>
              <a:ext uri="{FF2B5EF4-FFF2-40B4-BE49-F238E27FC236}">
                <a16:creationId xmlns:a16="http://schemas.microsoft.com/office/drawing/2014/main" id="{3DEF05C2-6A6C-2E9C-097B-D911D25D6180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215900</xdr:colOff>
      <xdr:row>20</xdr:row>
      <xdr:rowOff>171449</xdr:rowOff>
    </xdr:from>
    <xdr:to>
      <xdr:col>2</xdr:col>
      <xdr:colOff>1200150</xdr:colOff>
      <xdr:row>20</xdr:row>
      <xdr:rowOff>577850</xdr:rowOff>
    </xdr:to>
    <xdr:sp macro="" textlink="">
      <xdr:nvSpPr>
        <xdr:cNvPr id="161" name="Rechteck 160">
          <a:extLst>
            <a:ext uri="{FF2B5EF4-FFF2-40B4-BE49-F238E27FC236}">
              <a16:creationId xmlns:a16="http://schemas.microsoft.com/office/drawing/2014/main" id="{9A1F6B3A-D5A6-4219-8D53-60E23534188D}"/>
            </a:ext>
          </a:extLst>
        </xdr:cNvPr>
        <xdr:cNvSpPr/>
      </xdr:nvSpPr>
      <xdr:spPr>
        <a:xfrm>
          <a:off x="1739900" y="9944927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20</xdr:row>
      <xdr:rowOff>777875</xdr:rowOff>
    </xdr:from>
    <xdr:to>
      <xdr:col>2</xdr:col>
      <xdr:colOff>1006475</xdr:colOff>
      <xdr:row>20</xdr:row>
      <xdr:rowOff>1057275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6A8D0FF5-E9EB-479C-9943-360035E94A95}"/>
            </a:ext>
          </a:extLst>
        </xdr:cNvPr>
        <xdr:cNvGrpSpPr/>
      </xdr:nvGrpSpPr>
      <xdr:grpSpPr>
        <a:xfrm>
          <a:off x="1930400" y="10545832"/>
          <a:ext cx="600075" cy="279400"/>
          <a:chOff x="6238875" y="2609850"/>
          <a:chExt cx="596900" cy="276225"/>
        </a:xfrm>
      </xdr:grpSpPr>
      <xdr:sp macro="" textlink="">
        <xdr:nvSpPr>
          <xdr:cNvPr id="163" name="Ellipse 162">
            <a:extLst>
              <a:ext uri="{FF2B5EF4-FFF2-40B4-BE49-F238E27FC236}">
                <a16:creationId xmlns:a16="http://schemas.microsoft.com/office/drawing/2014/main" id="{C0D2509B-E1CE-1097-1BEA-97707BB59BE3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4" name="Ellipse 163">
            <a:extLst>
              <a:ext uri="{FF2B5EF4-FFF2-40B4-BE49-F238E27FC236}">
                <a16:creationId xmlns:a16="http://schemas.microsoft.com/office/drawing/2014/main" id="{88FEA577-C8CF-3D67-0F9D-0E5A1D129AB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5" name="Ellipse 164">
            <a:extLst>
              <a:ext uri="{FF2B5EF4-FFF2-40B4-BE49-F238E27FC236}">
                <a16:creationId xmlns:a16="http://schemas.microsoft.com/office/drawing/2014/main" id="{7364415A-1F06-A2A1-7C36-C859B92F4A5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20</xdr:row>
      <xdr:rowOff>161925</xdr:rowOff>
    </xdr:from>
    <xdr:ext cx="407740" cy="374141"/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B7FCC149-7612-4D69-9F72-2EF704D0603A}"/>
            </a:ext>
          </a:extLst>
        </xdr:cNvPr>
        <xdr:cNvSpPr txBox="1"/>
      </xdr:nvSpPr>
      <xdr:spPr>
        <a:xfrm>
          <a:off x="2057400" y="992988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4</xdr:col>
      <xdr:colOff>676275</xdr:colOff>
      <xdr:row>20</xdr:row>
      <xdr:rowOff>723900</xdr:rowOff>
    </xdr:from>
    <xdr:to>
      <xdr:col>4</xdr:col>
      <xdr:colOff>781050</xdr:colOff>
      <xdr:row>20</xdr:row>
      <xdr:rowOff>819150</xdr:rowOff>
    </xdr:to>
    <xdr:sp macro="" textlink="">
      <xdr:nvSpPr>
        <xdr:cNvPr id="167" name="Ellipse 166">
          <a:extLst>
            <a:ext uri="{FF2B5EF4-FFF2-40B4-BE49-F238E27FC236}">
              <a16:creationId xmlns:a16="http://schemas.microsoft.com/office/drawing/2014/main" id="{F9F98510-AA0D-40AF-AE5C-C1E5CE510504}"/>
            </a:ext>
          </a:extLst>
        </xdr:cNvPr>
        <xdr:cNvSpPr/>
      </xdr:nvSpPr>
      <xdr:spPr>
        <a:xfrm>
          <a:off x="5027405" y="7206422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20</xdr:row>
      <xdr:rowOff>542925</xdr:rowOff>
    </xdr:from>
    <xdr:to>
      <xdr:col>4</xdr:col>
      <xdr:colOff>533400</xdr:colOff>
      <xdr:row>20</xdr:row>
      <xdr:rowOff>638175</xdr:rowOff>
    </xdr:to>
    <xdr:sp macro="" textlink="">
      <xdr:nvSpPr>
        <xdr:cNvPr id="168" name="Ellipse 167">
          <a:extLst>
            <a:ext uri="{FF2B5EF4-FFF2-40B4-BE49-F238E27FC236}">
              <a16:creationId xmlns:a16="http://schemas.microsoft.com/office/drawing/2014/main" id="{9D783827-B1AC-4F04-AB98-71AE511125EC}"/>
            </a:ext>
          </a:extLst>
        </xdr:cNvPr>
        <xdr:cNvSpPr/>
      </xdr:nvSpPr>
      <xdr:spPr>
        <a:xfrm>
          <a:off x="4776580" y="7025447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20</xdr:row>
      <xdr:rowOff>549275</xdr:rowOff>
    </xdr:from>
    <xdr:to>
      <xdr:col>4</xdr:col>
      <xdr:colOff>1028700</xdr:colOff>
      <xdr:row>20</xdr:row>
      <xdr:rowOff>644525</xdr:rowOff>
    </xdr:to>
    <xdr:sp macro="" textlink="">
      <xdr:nvSpPr>
        <xdr:cNvPr id="169" name="Ellipse 168">
          <a:extLst>
            <a:ext uri="{FF2B5EF4-FFF2-40B4-BE49-F238E27FC236}">
              <a16:creationId xmlns:a16="http://schemas.microsoft.com/office/drawing/2014/main" id="{1D6E647C-C738-498D-B0A3-D5E2DB31C419}"/>
            </a:ext>
          </a:extLst>
        </xdr:cNvPr>
        <xdr:cNvSpPr/>
      </xdr:nvSpPr>
      <xdr:spPr>
        <a:xfrm>
          <a:off x="5275055" y="7031797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238125</xdr:colOff>
      <xdr:row>20</xdr:row>
      <xdr:rowOff>171449</xdr:rowOff>
    </xdr:from>
    <xdr:to>
      <xdr:col>10</xdr:col>
      <xdr:colOff>1219200</xdr:colOff>
      <xdr:row>20</xdr:row>
      <xdr:rowOff>1003299</xdr:rowOff>
    </xdr:to>
    <xdr:sp macro="" textlink="">
      <xdr:nvSpPr>
        <xdr:cNvPr id="170" name="Rechteck 169">
          <a:extLst>
            <a:ext uri="{FF2B5EF4-FFF2-40B4-BE49-F238E27FC236}">
              <a16:creationId xmlns:a16="http://schemas.microsoft.com/office/drawing/2014/main" id="{94B6D724-77E7-49C7-BAC0-CC94D3145496}"/>
            </a:ext>
          </a:extLst>
        </xdr:cNvPr>
        <xdr:cNvSpPr/>
      </xdr:nvSpPr>
      <xdr:spPr>
        <a:xfrm>
          <a:off x="4589255" y="5439188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523875</xdr:colOff>
      <xdr:row>20</xdr:row>
      <xdr:rowOff>377825</xdr:rowOff>
    </xdr:from>
    <xdr:ext cx="407740" cy="374141"/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6F7BED43-4C43-4E39-9C03-040F4DD4FA66}"/>
            </a:ext>
          </a:extLst>
        </xdr:cNvPr>
        <xdr:cNvSpPr txBox="1"/>
      </xdr:nvSpPr>
      <xdr:spPr>
        <a:xfrm>
          <a:off x="4875005" y="56455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133351</xdr:colOff>
      <xdr:row>21</xdr:row>
      <xdr:rowOff>133349</xdr:rowOff>
    </xdr:from>
    <xdr:to>
      <xdr:col>10</xdr:col>
      <xdr:colOff>1285876</xdr:colOff>
      <xdr:row>21</xdr:row>
      <xdr:rowOff>502478</xdr:rowOff>
    </xdr:to>
    <xdr:sp macro="" textlink="">
      <xdr:nvSpPr>
        <xdr:cNvPr id="178" name="Rechteck 177">
          <a:extLst>
            <a:ext uri="{FF2B5EF4-FFF2-40B4-BE49-F238E27FC236}">
              <a16:creationId xmlns:a16="http://schemas.microsoft.com/office/drawing/2014/main" id="{7D672878-5615-4298-9614-0760D3945326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536574</xdr:colOff>
      <xdr:row>21</xdr:row>
      <xdr:rowOff>115818</xdr:rowOff>
    </xdr:from>
    <xdr:ext cx="407740" cy="374141"/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07762611-AA63-439E-B1CB-1171C2EB7654}"/>
            </a:ext>
          </a:extLst>
        </xdr:cNvPr>
        <xdr:cNvSpPr txBox="1"/>
      </xdr:nvSpPr>
      <xdr:spPr>
        <a:xfrm>
          <a:off x="11889270" y="1111512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392044</xdr:colOff>
      <xdr:row>21</xdr:row>
      <xdr:rowOff>706783</xdr:rowOff>
    </xdr:from>
    <xdr:to>
      <xdr:col>10</xdr:col>
      <xdr:colOff>992119</xdr:colOff>
      <xdr:row>21</xdr:row>
      <xdr:rowOff>986183</xdr:rowOff>
    </xdr:to>
    <xdr:grpSp>
      <xdr:nvGrpSpPr>
        <xdr:cNvPr id="182" name="Gruppieren 181">
          <a:extLst>
            <a:ext uri="{FF2B5EF4-FFF2-40B4-BE49-F238E27FC236}">
              <a16:creationId xmlns:a16="http://schemas.microsoft.com/office/drawing/2014/main" id="{D31A6684-100A-4F56-85AF-D9C4800BDE1C}"/>
            </a:ext>
          </a:extLst>
        </xdr:cNvPr>
        <xdr:cNvGrpSpPr/>
      </xdr:nvGrpSpPr>
      <xdr:grpSpPr>
        <a:xfrm>
          <a:off x="11744740" y="11706087"/>
          <a:ext cx="600075" cy="279400"/>
          <a:chOff x="6238875" y="2609850"/>
          <a:chExt cx="596900" cy="276225"/>
        </a:xfrm>
      </xdr:grpSpPr>
      <xdr:sp macro="" textlink="">
        <xdr:nvSpPr>
          <xdr:cNvPr id="183" name="Ellipse 182">
            <a:extLst>
              <a:ext uri="{FF2B5EF4-FFF2-40B4-BE49-F238E27FC236}">
                <a16:creationId xmlns:a16="http://schemas.microsoft.com/office/drawing/2014/main" id="{2B894295-62E9-38BF-AE68-DCB56CB2ED3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0" name="Ellipse 199">
            <a:extLst>
              <a:ext uri="{FF2B5EF4-FFF2-40B4-BE49-F238E27FC236}">
                <a16:creationId xmlns:a16="http://schemas.microsoft.com/office/drawing/2014/main" id="{31284DBF-7B71-91FF-D631-D285EC194A3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1" name="Ellipse 200">
            <a:extLst>
              <a:ext uri="{FF2B5EF4-FFF2-40B4-BE49-F238E27FC236}">
                <a16:creationId xmlns:a16="http://schemas.microsoft.com/office/drawing/2014/main" id="{04597ED7-6356-D917-FB61-3BD8832C02C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16</xdr:col>
      <xdr:colOff>95250</xdr:colOff>
      <xdr:row>20</xdr:row>
      <xdr:rowOff>257175</xdr:rowOff>
    </xdr:from>
    <xdr:ext cx="1235788" cy="546368"/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836128BC-B3F6-4690-BDD8-7BC0BB3D9658}"/>
            </a:ext>
          </a:extLst>
        </xdr:cNvPr>
        <xdr:cNvSpPr txBox="1"/>
      </xdr:nvSpPr>
      <xdr:spPr>
        <a:xfrm>
          <a:off x="19252924" y="674756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17</xdr:col>
      <xdr:colOff>457200</xdr:colOff>
      <xdr:row>20</xdr:row>
      <xdr:rowOff>190500</xdr:rowOff>
    </xdr:from>
    <xdr:to>
      <xdr:col>17</xdr:col>
      <xdr:colOff>1057275</xdr:colOff>
      <xdr:row>20</xdr:row>
      <xdr:rowOff>463550</xdr:rowOff>
    </xdr:to>
    <xdr:grpSp>
      <xdr:nvGrpSpPr>
        <xdr:cNvPr id="203" name="Gruppieren 202">
          <a:extLst>
            <a:ext uri="{FF2B5EF4-FFF2-40B4-BE49-F238E27FC236}">
              <a16:creationId xmlns:a16="http://schemas.microsoft.com/office/drawing/2014/main" id="{DD4FC557-1FE0-4570-8C8F-ECCEC82AEB50}"/>
            </a:ext>
          </a:extLst>
        </xdr:cNvPr>
        <xdr:cNvGrpSpPr/>
      </xdr:nvGrpSpPr>
      <xdr:grpSpPr>
        <a:xfrm>
          <a:off x="20412765" y="9958457"/>
          <a:ext cx="600075" cy="273050"/>
          <a:chOff x="6238875" y="2609850"/>
          <a:chExt cx="596900" cy="276225"/>
        </a:xfrm>
      </xdr:grpSpPr>
      <xdr:sp macro="" textlink="">
        <xdr:nvSpPr>
          <xdr:cNvPr id="204" name="Ellipse 203">
            <a:extLst>
              <a:ext uri="{FF2B5EF4-FFF2-40B4-BE49-F238E27FC236}">
                <a16:creationId xmlns:a16="http://schemas.microsoft.com/office/drawing/2014/main" id="{6B7D2152-2E5C-D998-1C8B-D3A71A8C39C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5" name="Ellipse 204">
            <a:extLst>
              <a:ext uri="{FF2B5EF4-FFF2-40B4-BE49-F238E27FC236}">
                <a16:creationId xmlns:a16="http://schemas.microsoft.com/office/drawing/2014/main" id="{0A1DDFBF-D371-C5C3-B1AA-9CE499E1EABD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6" name="Ellipse 205">
            <a:extLst>
              <a:ext uri="{FF2B5EF4-FFF2-40B4-BE49-F238E27FC236}">
                <a16:creationId xmlns:a16="http://schemas.microsoft.com/office/drawing/2014/main" id="{0EDC4F12-06FC-B335-1DA5-EBD7028D23A1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920750</xdr:colOff>
      <xdr:row>20</xdr:row>
      <xdr:rowOff>409575</xdr:rowOff>
    </xdr:from>
    <xdr:to>
      <xdr:col>17</xdr:col>
      <xdr:colOff>1200150</xdr:colOff>
      <xdr:row>20</xdr:row>
      <xdr:rowOff>1009650</xdr:rowOff>
    </xdr:to>
    <xdr:grpSp>
      <xdr:nvGrpSpPr>
        <xdr:cNvPr id="207" name="Gruppieren 206">
          <a:extLst>
            <a:ext uri="{FF2B5EF4-FFF2-40B4-BE49-F238E27FC236}">
              <a16:creationId xmlns:a16="http://schemas.microsoft.com/office/drawing/2014/main" id="{00531FE4-204A-4D4E-85F8-F30893F17BA3}"/>
            </a:ext>
          </a:extLst>
        </xdr:cNvPr>
        <xdr:cNvGrpSpPr/>
      </xdr:nvGrpSpPr>
      <xdr:grpSpPr>
        <a:xfrm rot="7823849">
          <a:off x="20715977" y="10337870"/>
          <a:ext cx="600075" cy="279400"/>
          <a:chOff x="6734175" y="3581400"/>
          <a:chExt cx="596900" cy="276225"/>
        </a:xfrm>
      </xdr:grpSpPr>
      <xdr:sp macro="" textlink="">
        <xdr:nvSpPr>
          <xdr:cNvPr id="208" name="Ellipse 207">
            <a:extLst>
              <a:ext uri="{FF2B5EF4-FFF2-40B4-BE49-F238E27FC236}">
                <a16:creationId xmlns:a16="http://schemas.microsoft.com/office/drawing/2014/main" id="{C48E60F0-E868-25BA-9B74-9F9FDAABCFDD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9" name="Ellipse 208">
            <a:extLst>
              <a:ext uri="{FF2B5EF4-FFF2-40B4-BE49-F238E27FC236}">
                <a16:creationId xmlns:a16="http://schemas.microsoft.com/office/drawing/2014/main" id="{E15DA00E-9F4E-D1AE-10BD-6A2AEB65AF3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0" name="Ellipse 209">
            <a:extLst>
              <a:ext uri="{FF2B5EF4-FFF2-40B4-BE49-F238E27FC236}">
                <a16:creationId xmlns:a16="http://schemas.microsoft.com/office/drawing/2014/main" id="{3FEA6143-A91C-92BD-C658-EE42B2158D2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84137</xdr:colOff>
      <xdr:row>20</xdr:row>
      <xdr:rowOff>579437</xdr:rowOff>
    </xdr:from>
    <xdr:to>
      <xdr:col>17</xdr:col>
      <xdr:colOff>687387</xdr:colOff>
      <xdr:row>20</xdr:row>
      <xdr:rowOff>868362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5F756E72-58DE-481D-87EB-9F429BADD2E5}"/>
            </a:ext>
          </a:extLst>
        </xdr:cNvPr>
        <xdr:cNvGrpSpPr/>
      </xdr:nvGrpSpPr>
      <xdr:grpSpPr>
        <a:xfrm rot="13412045">
          <a:off x="20039702" y="10347394"/>
          <a:ext cx="603250" cy="288925"/>
          <a:chOff x="6734175" y="3581400"/>
          <a:chExt cx="596900" cy="276225"/>
        </a:xfrm>
      </xdr:grpSpPr>
      <xdr:sp macro="" textlink="">
        <xdr:nvSpPr>
          <xdr:cNvPr id="212" name="Ellipse 211">
            <a:extLst>
              <a:ext uri="{FF2B5EF4-FFF2-40B4-BE49-F238E27FC236}">
                <a16:creationId xmlns:a16="http://schemas.microsoft.com/office/drawing/2014/main" id="{73A8E94C-47D9-D8D9-EBB1-A8C368B18E42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3" name="Ellipse 212">
            <a:extLst>
              <a:ext uri="{FF2B5EF4-FFF2-40B4-BE49-F238E27FC236}">
                <a16:creationId xmlns:a16="http://schemas.microsoft.com/office/drawing/2014/main" id="{4008D128-266E-105F-74CF-58C73723A33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4" name="Ellipse 213">
            <a:extLst>
              <a:ext uri="{FF2B5EF4-FFF2-40B4-BE49-F238E27FC236}">
                <a16:creationId xmlns:a16="http://schemas.microsoft.com/office/drawing/2014/main" id="{98529B22-D408-BF94-E51F-F36A706E72C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142603</xdr:colOff>
      <xdr:row>20</xdr:row>
      <xdr:rowOff>254000</xdr:rowOff>
    </xdr:from>
    <xdr:ext cx="1141082" cy="655949"/>
    <xdr:sp macro="" textlink="">
      <xdr:nvSpPr>
        <xdr:cNvPr id="219" name="Textfeld 218">
          <a:extLst>
            <a:ext uri="{FF2B5EF4-FFF2-40B4-BE49-F238E27FC236}">
              <a16:creationId xmlns:a16="http://schemas.microsoft.com/office/drawing/2014/main" id="{2BDEDE81-025D-4AB0-B353-7F1A68C63296}"/>
            </a:ext>
          </a:extLst>
        </xdr:cNvPr>
        <xdr:cNvSpPr txBox="1"/>
      </xdr:nvSpPr>
      <xdr:spPr>
        <a:xfrm>
          <a:off x="13593560" y="10027478"/>
          <a:ext cx="1141082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DSL Doses</a:t>
          </a:r>
          <a:br>
            <a:rPr lang="de-CH" sz="1800"/>
          </a:br>
          <a:endParaRPr lang="de-CH" sz="1800"/>
        </a:p>
      </xdr:txBody>
    </xdr:sp>
    <xdr:clientData/>
  </xdr:oneCellAnchor>
  <xdr:twoCellAnchor>
    <xdr:from>
      <xdr:col>13</xdr:col>
      <xdr:colOff>457200</xdr:colOff>
      <xdr:row>20</xdr:row>
      <xdr:rowOff>190500</xdr:rowOff>
    </xdr:from>
    <xdr:to>
      <xdr:col>13</xdr:col>
      <xdr:colOff>1054100</xdr:colOff>
      <xdr:row>20</xdr:row>
      <xdr:rowOff>466725</xdr:rowOff>
    </xdr:to>
    <xdr:grpSp>
      <xdr:nvGrpSpPr>
        <xdr:cNvPr id="105" name="Gruppieren 104">
          <a:extLst>
            <a:ext uri="{FF2B5EF4-FFF2-40B4-BE49-F238E27FC236}">
              <a16:creationId xmlns:a16="http://schemas.microsoft.com/office/drawing/2014/main" id="{88C20260-326B-4E3C-93E4-6457B9A7D7D9}"/>
            </a:ext>
          </a:extLst>
        </xdr:cNvPr>
        <xdr:cNvGrpSpPr/>
      </xdr:nvGrpSpPr>
      <xdr:grpSpPr>
        <a:xfrm>
          <a:off x="15310678" y="9958457"/>
          <a:ext cx="596900" cy="276225"/>
          <a:chOff x="6238875" y="2609850"/>
          <a:chExt cx="596900" cy="276225"/>
        </a:xfrm>
      </xdr:grpSpPr>
      <xdr:sp macro="" textlink="">
        <xdr:nvSpPr>
          <xdr:cNvPr id="106" name="Ellipse 105">
            <a:extLst>
              <a:ext uri="{FF2B5EF4-FFF2-40B4-BE49-F238E27FC236}">
                <a16:creationId xmlns:a16="http://schemas.microsoft.com/office/drawing/2014/main" id="{0737FA2C-7BAE-ED8A-6A8A-155966DF461F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7" name="Ellipse 106">
            <a:extLst>
              <a:ext uri="{FF2B5EF4-FFF2-40B4-BE49-F238E27FC236}">
                <a16:creationId xmlns:a16="http://schemas.microsoft.com/office/drawing/2014/main" id="{19B979B5-C992-42F5-EEB2-DBFCD0291511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4" name="Ellipse 133">
            <a:extLst>
              <a:ext uri="{FF2B5EF4-FFF2-40B4-BE49-F238E27FC236}">
                <a16:creationId xmlns:a16="http://schemas.microsoft.com/office/drawing/2014/main" id="{CB9B1435-D197-2953-FF5A-FC0738DFBB9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923925</xdr:colOff>
      <xdr:row>20</xdr:row>
      <xdr:rowOff>406400</xdr:rowOff>
    </xdr:from>
    <xdr:to>
      <xdr:col>13</xdr:col>
      <xdr:colOff>1200150</xdr:colOff>
      <xdr:row>20</xdr:row>
      <xdr:rowOff>1009650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EA13A521-188A-4242-A902-553C3E56C469}"/>
            </a:ext>
          </a:extLst>
        </xdr:cNvPr>
        <xdr:cNvGrpSpPr/>
      </xdr:nvGrpSpPr>
      <xdr:grpSpPr>
        <a:xfrm rot="7823849">
          <a:off x="15613891" y="10337869"/>
          <a:ext cx="603250" cy="276225"/>
          <a:chOff x="6734175" y="3581400"/>
          <a:chExt cx="596900" cy="276225"/>
        </a:xfrm>
      </xdr:grpSpPr>
      <xdr:sp macro="" textlink="">
        <xdr:nvSpPr>
          <xdr:cNvPr id="136" name="Ellipse 135">
            <a:extLst>
              <a:ext uri="{FF2B5EF4-FFF2-40B4-BE49-F238E27FC236}">
                <a16:creationId xmlns:a16="http://schemas.microsoft.com/office/drawing/2014/main" id="{D26B4D00-DA66-C63B-30D2-F709958784F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7" name="Ellipse 136">
            <a:extLst>
              <a:ext uri="{FF2B5EF4-FFF2-40B4-BE49-F238E27FC236}">
                <a16:creationId xmlns:a16="http://schemas.microsoft.com/office/drawing/2014/main" id="{DE45653B-D42F-8957-FF32-6967ED51BC0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79" name="Ellipse 178">
            <a:extLst>
              <a:ext uri="{FF2B5EF4-FFF2-40B4-BE49-F238E27FC236}">
                <a16:creationId xmlns:a16="http://schemas.microsoft.com/office/drawing/2014/main" id="{F693F24B-5DEA-AAE0-88F3-48A981818EC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87312</xdr:colOff>
      <xdr:row>20</xdr:row>
      <xdr:rowOff>582612</xdr:rowOff>
    </xdr:from>
    <xdr:to>
      <xdr:col>13</xdr:col>
      <xdr:colOff>687387</xdr:colOff>
      <xdr:row>20</xdr:row>
      <xdr:rowOff>865187</xdr:rowOff>
    </xdr:to>
    <xdr:grpSp>
      <xdr:nvGrpSpPr>
        <xdr:cNvPr id="180" name="Gruppieren 179">
          <a:extLst>
            <a:ext uri="{FF2B5EF4-FFF2-40B4-BE49-F238E27FC236}">
              <a16:creationId xmlns:a16="http://schemas.microsoft.com/office/drawing/2014/main" id="{F58451BA-ABA8-45CA-9C81-2E485712267F}"/>
            </a:ext>
          </a:extLst>
        </xdr:cNvPr>
        <xdr:cNvGrpSpPr/>
      </xdr:nvGrpSpPr>
      <xdr:grpSpPr>
        <a:xfrm rot="13412045">
          <a:off x="14940790" y="10350569"/>
          <a:ext cx="600075" cy="282575"/>
          <a:chOff x="6734175" y="3581400"/>
          <a:chExt cx="596900" cy="276225"/>
        </a:xfrm>
      </xdr:grpSpPr>
      <xdr:sp macro="" textlink="">
        <xdr:nvSpPr>
          <xdr:cNvPr id="215" name="Ellipse 214">
            <a:extLst>
              <a:ext uri="{FF2B5EF4-FFF2-40B4-BE49-F238E27FC236}">
                <a16:creationId xmlns:a16="http://schemas.microsoft.com/office/drawing/2014/main" id="{1E1FB9F7-953A-BD96-73AF-12D27C80F64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6" name="Ellipse 215">
            <a:extLst>
              <a:ext uri="{FF2B5EF4-FFF2-40B4-BE49-F238E27FC236}">
                <a16:creationId xmlns:a16="http://schemas.microsoft.com/office/drawing/2014/main" id="{6BDA024A-B395-E039-F903-81BB653C774C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7" name="Ellipse 216">
            <a:extLst>
              <a:ext uri="{FF2B5EF4-FFF2-40B4-BE49-F238E27FC236}">
                <a16:creationId xmlns:a16="http://schemas.microsoft.com/office/drawing/2014/main" id="{EA8E15B9-E352-D4A4-2620-DE3583605755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30908"/>
          <a:ext cx="1696152" cy="1173771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70610"/>
          <a:ext cx="1581439" cy="1496530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188049"/>
          <a:ext cx="2645276" cy="70964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5523"/>
          <a:ext cx="4143664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379886"/>
          <a:ext cx="4151095" cy="2449964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480245"/>
          <a:ext cx="5125354" cy="1536507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623145"/>
          <a:ext cx="3891695" cy="2564082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8709179"/>
          <a:ext cx="968608" cy="243117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618862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13</xdr:col>
      <xdr:colOff>0</xdr:colOff>
      <xdr:row>4</xdr:row>
      <xdr:rowOff>24848</xdr:rowOff>
    </xdr:from>
    <xdr:to>
      <xdr:col>13</xdr:col>
      <xdr:colOff>0</xdr:colOff>
      <xdr:row>7</xdr:row>
      <xdr:rowOff>173935</xdr:rowOff>
    </xdr:to>
    <xdr:cxnSp macro="">
      <xdr:nvCxnSpPr>
        <xdr:cNvPr id="24" name="Gerader Verbinder 23">
          <a:extLst>
            <a:ext uri="{FF2B5EF4-FFF2-40B4-BE49-F238E27FC236}">
              <a16:creationId xmlns:a16="http://schemas.microsoft.com/office/drawing/2014/main" id="{7BE249C2-7891-474F-9A79-C43994FA7BE5}"/>
            </a:ext>
          </a:extLst>
        </xdr:cNvPr>
        <xdr:cNvCxnSpPr>
          <a:cxnSpLocks/>
        </xdr:cNvCxnSpPr>
      </xdr:nvCxnSpPr>
      <xdr:spPr>
        <a:xfrm flipV="1">
          <a:off x="9450457" y="869674"/>
          <a:ext cx="0" cy="695739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110848</xdr:rowOff>
    </xdr:from>
    <xdr:to>
      <xdr:col>13</xdr:col>
      <xdr:colOff>0</xdr:colOff>
      <xdr:row>12</xdr:row>
      <xdr:rowOff>74543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1BEDE7B8-0A3D-B18F-794F-3610D901B4C7}"/>
            </a:ext>
          </a:extLst>
        </xdr:cNvPr>
        <xdr:cNvCxnSpPr>
          <a:cxnSpLocks/>
        </xdr:cNvCxnSpPr>
      </xdr:nvCxnSpPr>
      <xdr:spPr>
        <a:xfrm flipV="1">
          <a:off x="9450457" y="1684544"/>
          <a:ext cx="0" cy="6925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11458</xdr:colOff>
      <xdr:row>8</xdr:row>
      <xdr:rowOff>3175</xdr:rowOff>
    </xdr:from>
    <xdr:to>
      <xdr:col>14</xdr:col>
      <xdr:colOff>8283</xdr:colOff>
      <xdr:row>8</xdr:row>
      <xdr:rowOff>3175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478BEEDF-8779-75D1-B146-65C23DD135BC}"/>
            </a:ext>
          </a:extLst>
        </xdr:cNvPr>
        <xdr:cNvCxnSpPr>
          <a:cxnSpLocks/>
        </xdr:cNvCxnSpPr>
      </xdr:nvCxnSpPr>
      <xdr:spPr>
        <a:xfrm>
          <a:off x="9155458" y="1576871"/>
          <a:ext cx="60973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8283</xdr:colOff>
      <xdr:row>8</xdr:row>
      <xdr:rowOff>105741</xdr:rowOff>
    </xdr:from>
    <xdr:to>
      <xdr:col>14</xdr:col>
      <xdr:colOff>11458</xdr:colOff>
      <xdr:row>8</xdr:row>
      <xdr:rowOff>105741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9D314197-3948-07BE-FC3D-4A1739F43189}"/>
            </a:ext>
          </a:extLst>
        </xdr:cNvPr>
        <xdr:cNvCxnSpPr>
          <a:cxnSpLocks/>
        </xdr:cNvCxnSpPr>
      </xdr:nvCxnSpPr>
      <xdr:spPr>
        <a:xfrm>
          <a:off x="9152283" y="1679437"/>
          <a:ext cx="61608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56</xdr:row>
      <xdr:rowOff>103654</xdr:rowOff>
    </xdr:from>
    <xdr:to>
      <xdr:col>12</xdr:col>
      <xdr:colOff>1820022</xdr:colOff>
      <xdr:row>99</xdr:row>
      <xdr:rowOff>98076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21</xdr:col>
      <xdr:colOff>682626</xdr:colOff>
      <xdr:row>4</xdr:row>
      <xdr:rowOff>37777</xdr:rowOff>
    </xdr:from>
    <xdr:to>
      <xdr:col>22</xdr:col>
      <xdr:colOff>1139826</xdr:colOff>
      <xdr:row>10</xdr:row>
      <xdr:rowOff>120650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27</xdr:col>
      <xdr:colOff>121790</xdr:colOff>
      <xdr:row>0</xdr:row>
      <xdr:rowOff>161585</xdr:rowOff>
    </xdr:from>
    <xdr:to>
      <xdr:col>34</xdr:col>
      <xdr:colOff>44823</xdr:colOff>
      <xdr:row>17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660401</xdr:colOff>
      <xdr:row>22</xdr:row>
      <xdr:rowOff>88901</xdr:rowOff>
    </xdr:from>
    <xdr:to>
      <xdr:col>22</xdr:col>
      <xdr:colOff>939800</xdr:colOff>
      <xdr:row>28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27</xdr:col>
      <xdr:colOff>141603</xdr:colOff>
      <xdr:row>18</xdr:row>
      <xdr:rowOff>145624</xdr:rowOff>
    </xdr:from>
    <xdr:to>
      <xdr:col>34</xdr:col>
      <xdr:colOff>78441</xdr:colOff>
      <xdr:row>36</xdr:row>
      <xdr:rowOff>145675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21</xdr:col>
      <xdr:colOff>368300</xdr:colOff>
      <xdr:row>43</xdr:row>
      <xdr:rowOff>133349</xdr:rowOff>
    </xdr:from>
    <xdr:to>
      <xdr:col>22</xdr:col>
      <xdr:colOff>665694</xdr:colOff>
      <xdr:row>52</xdr:row>
      <xdr:rowOff>25682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27</xdr:col>
      <xdr:colOff>179294</xdr:colOff>
      <xdr:row>39</xdr:row>
      <xdr:rowOff>44822</xdr:rowOff>
    </xdr:from>
    <xdr:to>
      <xdr:col>34</xdr:col>
      <xdr:colOff>100851</xdr:colOff>
      <xdr:row>60</xdr:row>
      <xdr:rowOff>123264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15</xdr:row>
      <xdr:rowOff>6350</xdr:rowOff>
    </xdr:from>
    <xdr:to>
      <xdr:col>6</xdr:col>
      <xdr:colOff>346364</xdr:colOff>
      <xdr:row>24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263277" y="3420409"/>
          <a:ext cx="4207911" cy="1929889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18</xdr:row>
      <xdr:rowOff>85341</xdr:rowOff>
    </xdr:from>
    <xdr:to>
      <xdr:col>6</xdr:col>
      <xdr:colOff>287671</xdr:colOff>
      <xdr:row>20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21</xdr:row>
      <xdr:rowOff>97320</xdr:rowOff>
    </xdr:from>
    <xdr:to>
      <xdr:col>6</xdr:col>
      <xdr:colOff>278324</xdr:colOff>
      <xdr:row>23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20</xdr:row>
      <xdr:rowOff>167447</xdr:rowOff>
    </xdr:from>
    <xdr:to>
      <xdr:col>6</xdr:col>
      <xdr:colOff>575641</xdr:colOff>
      <xdr:row>20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21</xdr:row>
      <xdr:rowOff>85863</xdr:rowOff>
    </xdr:from>
    <xdr:to>
      <xdr:col>6</xdr:col>
      <xdr:colOff>578816</xdr:colOff>
      <xdr:row>21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91514</xdr:colOff>
      <xdr:row>35</xdr:row>
      <xdr:rowOff>51734</xdr:rowOff>
    </xdr:from>
    <xdr:to>
      <xdr:col>11</xdr:col>
      <xdr:colOff>802715</xdr:colOff>
      <xdr:row>60</xdr:row>
      <xdr:rowOff>37353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1334620</xdr:colOff>
      <xdr:row>45</xdr:row>
      <xdr:rowOff>170703</xdr:rowOff>
    </xdr:from>
    <xdr:to>
      <xdr:col>24</xdr:col>
      <xdr:colOff>756770</xdr:colOff>
      <xdr:row>67</xdr:row>
      <xdr:rowOff>141942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119529</xdr:colOff>
      <xdr:row>62</xdr:row>
      <xdr:rowOff>82178</xdr:rowOff>
    </xdr:from>
    <xdr:to>
      <xdr:col>11</xdr:col>
      <xdr:colOff>830730</xdr:colOff>
      <xdr:row>87</xdr:row>
      <xdr:rowOff>149973</xdr:rowOff>
    </xdr:to>
    <xdr:graphicFrame macro="">
      <xdr:nvGraphicFramePr>
        <xdr:cNvPr id="57" name="Diagramm 56">
          <a:extLst>
            <a:ext uri="{FF2B5EF4-FFF2-40B4-BE49-F238E27FC236}">
              <a16:creationId xmlns:a16="http://schemas.microsoft.com/office/drawing/2014/main" id="{D0424069-EBF1-42E9-AAD2-9893DE6D3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47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231323</xdr:colOff>
      <xdr:row>21</xdr:row>
      <xdr:rowOff>122464</xdr:rowOff>
    </xdr:from>
    <xdr:to>
      <xdr:col>57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47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476250</xdr:colOff>
      <xdr:row>0</xdr:row>
      <xdr:rowOff>104775</xdr:rowOff>
    </xdr:from>
    <xdr:to>
      <xdr:col>1</xdr:col>
      <xdr:colOff>429414</xdr:colOff>
      <xdr:row>2</xdr:row>
      <xdr:rowOff>115838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0DF7B6-2EE8-4AA1-AB0E-C658D856CF61}"/>
            </a:ext>
          </a:extLst>
        </xdr:cNvPr>
        <xdr:cNvSpPr/>
      </xdr:nvSpPr>
      <xdr:spPr>
        <a:xfrm rot="10800000">
          <a:off x="476250" y="104775"/>
          <a:ext cx="715164" cy="52541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38100</xdr:colOff>
      <xdr:row>36</xdr:row>
      <xdr:rowOff>76200</xdr:rowOff>
    </xdr:from>
    <xdr:to>
      <xdr:col>19</xdr:col>
      <xdr:colOff>692150</xdr:colOff>
      <xdr:row>51</xdr:row>
      <xdr:rowOff>101600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0C6B798-F8E6-FB89-5D55-7EC0AFA9E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468312</xdr:colOff>
      <xdr:row>18</xdr:row>
      <xdr:rowOff>92075</xdr:rowOff>
    </xdr:from>
    <xdr:to>
      <xdr:col>16</xdr:col>
      <xdr:colOff>474662</xdr:colOff>
      <xdr:row>33</xdr:row>
      <xdr:rowOff>123825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36A5E5B-B55E-3723-60CC-A8BB56A02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69849</xdr:rowOff>
    </xdr:from>
    <xdr:to>
      <xdr:col>28</xdr:col>
      <xdr:colOff>352425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38:26.86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966 850 14720,'0'0'2069,"-2"-4"-1045,-41-65 1664,42 68-2454,67 4 605,88 16-1,-94-10-897,116 2-1,-23-14 307,273-9 231,-299-1-452,149-33 0,-138 20 93,-23 3 78,-50 10-92,2 1 0,94-4 0,30 18 358,46 0-308,-171-4-107,167-12 288,-230 14-336,4-2 0,0 2 0,0-1 0,1 1 0,-1 0 0,0 0 0,9 2 0</inkml:trace>
  <inkml:trace contextRef="#ctx0" brushRef="#br0" timeOffset="608.16">4073 118 18047,'-4'45'128,"3"-43"-103,0 0 0,0 0 0,0-1 0,-1 1 0,1-1 0,0 1 0,-1-1 0,1 1 0,-1-1-1,1 0 1,-1 0 0,0 0 0,0 0 0,1 0 0,-1 0 0,0 0 0,0 0 0,-4 0 0,-16 11 227,11-2-187,0 1 1,1-1 0,0 2-1,1 0 1,0 0 0,1 1 0,1-1-1,0 2 1,-5 16 0,-4 13 852,-14 74 0,10-36-275,-24 78-289,-37 152 17,26-56-94,55-235-3711,6-43-3892,3-30 1,-3 0 2378,-2 16 5068,4-28-121</inkml:trace>
  <inkml:trace contextRef="#ctx0" brushRef="#br0" timeOffset="1473.77">3791 126 20095,'5'-25'179,"2"-13"-97,-7 36-82,1 1-1,-1-1 1,1 1 0,-1-1 0,1 1 0,0 0-1,0-1 1,0 1 0,-1 0 0,1 0 0,0 0-1,0 0 1,0-1 0,1 1 0,-1 1-1,0-1 1,0 0 0,1 0 0,-1 0 0,2 0-1,12-2 22,0 1-1,1 1 1,-1 0-1,1 1 1,-1 0-1,26 3 1,-7 1 70,44 5 278,116 28-1,-184-35-316,61 13 144,2-3-1,0-3 1,0-3 0,1-3-1,83-8 1,-109-3-87,-1-2 0,0-1 0,76-31 0,33-9 73,-152 50-151,1 0 0,-1 0 0,0 1 0,1-1 0,-1 1 0,1 0 0,-1 0 1,0 1-1,1-1 0,4 2 0,-9-1-29,1-1 0,-1 0 0,0 1 0,1-1 0,-1 1 0,0-1 0,0 1 0,1-1 0,-1 1 0,0-1 0,0 1 1,0-1-1,0 1 0,0-1 0,0 1 0,0-1 0,0 1 0,0-1 0,0 1 0,0-1 0,0 1 0,0-1 0,0 1 0,-1 0 1,-3 17-9,2-11 2,-3 24 4,1-1 0,2 2 0,1-1 0,4 35 0,22 128 0,-7-72 0,6 43 0,14 145 0,-41-213 125,1-65-17,2 43 1,1-66-91,1 19-6,-1 39 0,-1-51 34,1-15-41,-1 0 0,0 0 0,0 0 1,0 0-1,0 0 0,0 0 1,0 0-1,0 0 0,0 0 0,0 0 1,0 0-1,0 0 0,-1 0 0,1 0 1,0 0-1,-1-1 0,1 1 0,-1 0 1,1 0-1,-1 0 0,1 0 1,-1-1-1,1 1 0,-1 0 0,0 0 1,1-1-1,-1 1 0,0-1 0,0 1 1,0 0-1,0-1 0,1 0 0,-1 1 1,0-1-1,0 1 0,0-1 0,0 0 1,0 0-1,-1 1 0,-17 3-5,1 0 0,-1-1 0,0 0 0,-1-2 0,1 0 0,-31-4 0,1 2 0,8 1 4,-154-3 70,147-1-64,-1-1-1,-47-13 1,-31-12-46,2-7 1,-200-86-1,310 116-1558,0 0-1,-1 1 0,0 1 1,-25-4-1,37 8 1299,1 0-1,-1 1 1,0 0-1,1-1 1,-1 2-1,0-1 1,0 0-1,1 1 1,-1-1-1,1 1 1,-1 0-1,0 1 1,1-2-1,0 1 1,-1 1-1,1 0 1,0 0-1,0 0 1,0 0-1,0 0 1,0 1 0,0-1-1,1 1 1,-1 0-1,1 0 1,-2 3-1,-7 12-684,0-2-3819</inkml:trace>
  <inkml:trace contextRef="#ctx0" brushRef="#br0" timeOffset="3013.79">7440 850 11648,'3'5'245,"4"9"462,-7-13-600,0-1 1,0 0 0,0 1-1,0-1 1,-3 6 2370,3-6-2371,-1 0 1,1 0 0,0 0 0,-1 0-1,1 0 1,0 0 0,0 0-1,-1 0 1,1 0 0,0 0 0,-1 0-1,1 0 1,0 0 0,0 0 0,-1 0-1,1 0 1,0 0 0,-1 0-1,1 0 1,-1 0-61,0 0 0,0 0 0,0 0-1,1 1 1,-1-1 0,0 0 0,0 1 0,1-1-1,-1 1 1,0-1 0,1 1 0,-1-1 0,0 1 0,1 0-1,-1-1 1,1 1 0,-1 0 0,1-1 0,-1 1-1,1 0 1,-1 0 0,1-1 0,0 1 0,0 0 0,-1 0-1,1 0 1,0 0 0,0 0 0,0-1 0,0 1 0,0 0-1,0 0 1,0 0 0,0 0 0,0 0 0,1 1-1,4 37 511,-4-35-499,9 69 588,-3 2 1,-4 127 0,-4-113-305,-8 39-37,5-95-545,1 1 0,2-1 0,1 2-1,6 37 1,7-17-10917</inkml:trace>
  <inkml:trace contextRef="#ctx0" brushRef="#br0" timeOffset="3828.79">6874 1799 19199,'10'6'158,"0"-1"0,0-1 0,0 0 0,1 0 0,-1-1 0,1 0 0,20 2 0,23 6 520,27 9 271,158 22 0,160 3-927,-149-34-22,-144-13-4431,-95 2 3592,48-4-14483,-36 0 12664,-17 4 2975,14-4-317</inkml:trace>
  <inkml:trace contextRef="#ctx0" brushRef="#br0" timeOffset="4340.82">6554 2323 18431,'15'8'175,"1"-2"-1,0 0 0,0 0 1,0-2-1,25 5 0,88 1 479,-76-6-410,273 17 448,237 20 828,-175 2-9766,-256-25-841</inkml:trace>
  <inkml:trace contextRef="#ctx0" brushRef="#br0" timeOffset="5594.17">7193 2528 22143,'20'49'230,"60"162"287,-61-150-468,-3 0 0,12 92 0,-3 128 83,-1-14 336,-24-265-467,35 389 296,-27-267-175,27 144-1,-23-189-108,-7-25-16,-5-43 5,1 1 1,0-1 0,0 0 0,1-1 0,1 1-1,0 0 1,0 0 0,9 17 0,11 20 103,-14-35 39,-20-20 201,0 3-355,0 1 1,0 0-1,0 1 1,0 0-1,0 1 1,0 0-1,0 0 1,-1 1-1,-15 3 0,-14-2-12,-190 10 201,101-2-104,-423 29 217,299-18-202,-274 7-161,69-4 12,-498 5 80,108-7 980,-297-9-490,696 11-7540,216-8-514,173-10-1378,-9 0 5787,2-5 3133</inkml:trace>
  <inkml:trace contextRef="#ctx0" brushRef="#br0" timeOffset="6637.39">7286 749 20095,'13'29'406,"-13"-28"-383,0-1 0,1 1 0,-1-1 0,0 0 0,1 1 0,-1-1 0,0 0 0,1 0 0,-1 1 0,1-1 0,-1 0 0,1 0 1,-1 0-1,0 1 0,1-1 0,-1 0 0,1 0 0,-1 0 0,1 0 0,-1 0 0,1 0 0,-1 0 0,1 0 0,-1 0 0,1 0 0,-1 0 0,1 0 1,-1-1-1,0 1 0,1 0 0,-1 0 0,1-1 0,18-9 539,-10 4-349,-5 5-165,1-1 0,-1 1 1,1 0-1,-1 1 0,1-1 0,-1 1 1,1 0-1,0 0 0,8 1 0,44 12 176,-25-5-162,254 71 450,-22-10 255,-111-33-532,-72-16-18,2-4 0,-1-4 0,1-3 0,1-4 0,157-10 0,-34-30 20,-118 16-218,-8 3 51,393-65-268,-346 63 1070,59-7-9154,148-20-9417,-152 21 20259</inkml:trace>
  <inkml:trace contextRef="#ctx0" brushRef="#br0" timeOffset="7576.82">7535 4626 17535,'0'0'2454,"4"0"-2156,29 3 5,-1 2 0,0 1 0,0 0 0,48 20 0,25 12 451,1-3 0,151 28-1,-206-53-723,1-3 0,0-3 0,1-1 0,64-6 0,489-15-457,-517 17-59,-2-4-3737,86-14-12721,-145 15 16720,-2-1 0,0 0 0,45-18 0,-4-4-885</inkml:trace>
  <inkml:trace contextRef="#ctx0" brushRef="#br0" timeOffset="8585.98">7701 4591 22143,'-8'-17'22,"7"14"106,5-19 106,-5 19-257,1 0 0,-1 1-1,0-1 1,0 0 0,0 0 0,0 1-1,-1-1 1,1 1 0,-1-1 0,1 1-1,-1-1 1,0 1 0,0 1-1,0-1 1,0 0 0,-1 0 0,1 0-1,0 1 1,-1-1 0,1 1 0,-1-1-1,0 1 1,1 0 0,-1 0-1,0 0 1,0 0 0,0 1 0,1-1-1,-1 1 1,0 0 0,0 0 0,-5 0-1,0 0-40,0 2 0,1-1 0,-1 1 0,0 0 0,1 0 0,-1 1 0,1 0 0,0 0 0,0 0 0,0 1 0,-8 6 0,2 0 79,-1 0-1,2 1 0,-1 1 0,2-1 0,0 2 1,0 0-1,1 1 0,-14 24 0,20-30-7,1 0 0,-1 0 0,2 0-1,-1 0 1,1 0 0,0 0 0,1 0-1,0 1 1,1 0 0,-1-1-1,2 1 1,-1-1 0,1 0 0,0 1-1,1-1 1,0 0 0,0 1 0,7 14-1,-5-16 9,-1-2-1,1 2 0,0-1 0,1 0 0,-1 0 0,1 0 0,0 0 1,1-1-1,0 0 0,-1 0 0,2 0 0,-1-2 0,0 1 1,1 0-1,0-1 0,0 0 0,0 0 0,0 0 0,10 1 1,-7-2 57,0 0 1,0-1 0,0 0-1,0 0 1,1-1 0,-1-1 0,0 0-1,0 0 1,1-1 0,-1 0-1,-1-1 1,1 0 0,16-8 0,-21 8-10,0 0 0,0 0 1,0-1-1,0 0 0,-1 0 1,1 0-1,-1-1 0,0 0 1,-1 1-1,1-2 0,-1 1 1,0 0-1,0-1 0,-1 1 1,3-7-1,2-9 62,-1 0-1,5-40 0,-7 42-50,-2 0-1,0 0 1,-2 0-1,0 0 1,-1 0-1,0-1 1,-2 2-1,-6-24 1,8 35-47,-1 0-1,-1 0 1,1 1 0,-1-1 0,0 0 0,-1 0 0,1 1 0,-1 0 0,-1 0 0,1 0 0,-1 0 0,0 0 0,0 2 0,-1-1 0,0 0 0,0 1 0,0-1 0,-9-4 0,6 5-28,-1 0 0,1 1 0,-1-1 1,0 2-1,0-1 0,0 2 0,0-1 1,0 1-1,0 1 0,0 0 0,0 0 1,-1 1-1,1 0 0,0 1 0,-13 4 1,14-4-8,1 1 1,0 0 0,0 0 0,0 1-1,1 0 1,-1 1 0,1-1 0,0 1 0,1 1-1,-1-2 1,1 2 0,0 1 0,0-1-1,1 1 1,0 0 0,0 0 0,0 0-1,-4 11 1,4-5-2,0 1 0,1-1 0,1 1 0,1 0-1,0 0 1,0 0 0,1 1 0,1-1 0,1-1-1,3 27 1,-2-29-221,0-2-1,1 2 0,0-1 0,1 1 0,0-1 1,0 0-1,1 0 0,1-2 0,-1 2 1,2-1-1,-1 0 0,1-1 0,0 0 0,15 12 1,-17-17-809,0 0 0,0 1 0,1-2 0,-1 1 1,1-1-1,0 1 0,11 1 0,0 1-1615,46 17-2018</inkml:trace>
  <inkml:trace contextRef="#ctx0" brushRef="#br0" timeOffset="9523.52">7440 836 22271,'29'9'142,"-27"-8"-53,-3-1 22,-15-4 187,8 2-278,1 0 0,-1 0-1,1-1 1,0 0 0,0-1-1,0 0 1,1 0 0,-1 0 0,1 0-1,0-1 1,0 0 0,-9-11-1,15 15-64,-1 0 0,0 0-1,0 0 1,0 0 0,0 0-1,-1 0 1,1 0-1,0 0 1,0 0 0,0 0-1,-1 1 1,1-1 0,0 1-1,-1-1 1,1 1 0,-1-1-1,1 1 1,-1 0 0,1 0-1,-1-1 1,1 1 0,0 0-1,-1 0 1,1 1 0,-1-1-1,1 0 1,-1 0-1,1 1 1,-1-1 0,1 1-1,0-1 1,-1 1 0,1 0-1,0-1 1,0 1 0,-1 0-1,1 0 1,0 0 0,0 0-1,0 0 1,0 0 0,0 0-1,-1 2 1,-2 3 39,0 0 0,0-1 0,0 1 1,1 0-1,0 0 0,0 0 0,1 1 0,-2 8 0,2-5 44,0 0 0,1-1 0,1 1 0,-1 0 0,2 0 0,-1 1 0,2-1 0,-1 0 0,1-1 0,1 0 0,0 1 0,0 0 0,1-1 0,0 0 0,9 14 0,-10-18-14,0 0-1,0-1 0,1 1 0,0-1 0,0 0 0,0 0 1,1 0-1,-1 0 0,1-1 0,0 0 0,0 0 0,0 0 1,0 0-1,0-2 0,1 1 0,-1 0 0,1-1 0,-1 1 1,1-1-1,0 0 0,0-1 0,-1 0 0,1 1 0,0-2 1,0 1-1,-1-1 0,1 0 0,8-2 0,0-1 4,0-1 0,0-1-1,-1 0 1,0-1 0,0-1-1,-1 0 1,0-1 0,-1 0-1,20-19 1,-18 15-7,-1 0 0,-1-1 0,0 0 0,-1-1 0,-1 0 0,0-1 0,12-28 0,-15 26 135,-1 0 0,0 0 0,-1-1 0,-1 0 0,-1 1 0,0-1 0,-2-26 1,-1 37-81,0-1 0,-1 1 0,0 0 0,0 0 0,0 0 0,-1 1 0,0-1 0,-6-10 1,6 13-53,-1 1 0,1-1 0,-1 0 1,0 1-1,0 0 0,-1 0 0,1 1 0,-1-1 1,0 1-1,0-1 0,0 1 0,-10-4 1,8 5-15,1 0 0,-1 0-1,0 1 1,0 0 0,1 0 0,-1 1 0,0 0 0,0 0 0,0 0 0,1 1 0,-1 0 0,0 0 0,1 1 0,-1 0 0,1 0 0,-1 1 0,1-1 0,-12 8 0,6-3-49,-1 1 0,1 1 0,0 0 0,1 1 0,0 0 0,1 1 0,-16 21 0,6-3-320,1-1 0,2 3-1,0-1 1,3 2 0,-18 53-1,26-61-1627,0-1-1,-3 40 0,8-48 467,1 0 0,2 21-1,3-10 841,1 2 0,1-1 0,14 37 0,1-2-5718</inkml:trace>
  <inkml:trace contextRef="#ctx0" brushRef="#br0" timeOffset="11048.96">9367 4894 17535,'32'-5'683,"0"-2"0,42-16-1,-64 20-577,-1 1-1,1 0 0,-1 0 0,0 1 0,1 0 1,-1 0-1,1 1 0,12 1 0,8 3 207,38 10-1,-3 0 393,-27-9-450,0-1 0,0-3 1,47-3-1,115-24 568,-106 10-927,0 4-1,168 0 0,-207 14 919,-1 0-4657,73 4-9246,-34-6 12682,6 0-3473</inkml:trace>
  <inkml:trace contextRef="#ctx0" brushRef="#br0" timeOffset="12035.87">10906 2341 19839,'1'16'100,"-1"0"-1,0 0 1,-2 1-1,0-1 1,-7 30-1,-3 15 179,3 9 113,-27 289 803,35-310-1095,2-1-1,2 0 1,2 0-1,3 1 1,18 64-1,-23-101-68,1-1 0,0 0-1,11 20 1,-14-28-7,1-1 0,0 0-1,-1 1 1,1-1 0,0 0-1,0 0 1,0 0 0,0 0 0,1 0-1,-1 0 1,1-1 0,-1 1-1,1-1 1,-1 0 0,1 1-1,0-1 1,-1-1 0,1 0 0,0 1-1,0 0 1,3-1 0,3 0-21,0-1 1,0 0 0,-1 1 0,0-2-1,1-1 1,-1 1 0,0-1-1,0 0 1,-1-1 0,1 0 0,-1 0-1,0-1 1,0 0 0,0 0-1,0 0 1,9-12 0,8-8 31,-1-1 1,32-48-1,84-155 48,-16-12 35,28-52-39,-147 286-78,0-2 0,1 1 0,0 0 0,1 0 0,9-11 0,-15 19 0,0 0 0,1-1 0,-1 1 0,0 0 0,0 0 0,0-1 0,0 1 0,1 0 0,-1 0 0,0 0 0,0 0 0,0-1 0,1 1 0,-1 0 0,0 0 0,0 0 0,1 0 0,-1 0 0,0 0 0,0 0 0,1 0 0,-1-1 0,0 1 0,0 0 0,1 0 0,-1 0 0,0 0 0,1 0 0,-1 0 0,0 1 0,0-1 0,1 0 0,-1 0 0,0 0 0,0 0 0,1 0 0,1 11 0,-6 16 0,3-26 0,-21 94 0,-11 48 0,4 21 18,-33 217-142,59-360-171,1 0 0,2-1 0,1 27 0,8 0-4115</inkml:trace>
  <inkml:trace contextRef="#ctx0" brushRef="#br0" timeOffset="13583.8">12219 3148 20351,'-1'0'0,"0"1"0,0-1 0,0 1 0,0-1 0,0 1 0,0-1 0,0 0 0,0 0 0,0 0 0,0 0 0,0 0 0,0 0 0,0 0 0,0 0 0,0 0 0,0 0 0,0 0 0,0 0 0,0 0 0,0 0 0,0 0 0,0 0 0,-1-2 0,1 0 0,1 0 0,-1 0 0,1 0 0,0-1 0,0 1 0,0 0 0,0 0 0,0-1 0,0 1 0,2-4 0,-2 5 0,0-2 17,-1 0 0,1-1-1,-1 1 1,1 0 0,-1 0 0,0 0-1,0 0 1,0 0 0,-1 0-1,1 0 1,-1 1 0,0-1-1,0 1 1,0-1 0,0 1-1,0-1 1,0 1 0,-1 0 0,1 0-1,-1 0 1,1 0 0,-6-3-1,-4-2 80,0 0 0,-1 1 0,-25-9 0,31 13-85,0 0-1,0 1 0,0-1 0,0 1 0,0 1 0,-1 0 1,1 0-1,0 0 0,0 1 0,-1 0 0,1 0 1,0 1-1,0 0 0,0-1 0,1 1 0,-1 1 0,0 0 1,1 1-1,0-1 0,0 1 0,-11 9 0,9-6 1,0 0 0,1 1-1,0 0 1,0-1 0,1 2-1,0 0 1,1 0 0,0 0-1,0 0 1,1 1 0,0-1-1,0 1 1,1 0 0,-2 16-1,2-4-10,2 1 0,0 0 0,4 38 0,-1-47 0,0 0 0,1 0 0,1 0 0,0 0 0,0-1 0,2 0 0,6 14 0,-10-23 10,1 0 1,0 1-1,0-1 0,0 0 0,0-2 0,0 2 0,1 0 0,0-1 0,0 0 0,0 0 1,0 0-1,0 0 0,0-1 0,1 1 0,-1-1 0,1 0 0,0-1 0,0 1 0,-1-1 0,1 0 1,0 0-1,0-1 0,0 1 0,0-1 0,0 0 0,0 0 0,0-1 0,0 1 0,0-1 0,0 0 1,0-1-1,0 1 0,0-1 0,-1 0 0,1 0 0,-1-1 0,9-5 0,-1-2 18,0 0 0,-1-2 0,0 0 0,-1 0 0,0-1 0,-1 1 0,0-2 0,-1 0 0,12-28 0,-8 11-13,-1 0 1,-2-2-1,10-55 1,-16 68-150,-1 12-115,0-1 0,-1 0 0,0 0 0,-1 0 0,0 2 0,-2-19-1,2 25 194,0 1 0,0-1-1,0 0 1,-1 1 0,1-1 0,-1 0-1,1 1 1,0-1 0,-1 1-1,1-1 1,-1 1 0,1-1-1,-1 1 1,1-1 0,-1 1-1,1-1 1,-1 1 0,0 0 0,1-1-1,-1 1 1,0 0 0,1-1-1,-1 1 1,0 0 0,1 0-1,-1 0 1,0 0 0,0 0 0,1 0-1,-1 0 1,0 0 0,1 0-1,-1 0 1,0 0 0,0 0-1,1 0 1,-1 0 0,0 1-1,1-1 1,-2 1 0,-27 14-2224,25-13 1386,-26 15-9111</inkml:trace>
  <inkml:trace contextRef="#ctx0" brushRef="#br0" timeOffset="14228.78">12486 3196 20607,'-34'34'0,"34"-33"0,0-1 0,-1 0 0,1 0 0,0 1 0,0-1 0,0 0 0,0 0 0,-1 1 0,1-1 0,0 0 0,0 0 0,-1 0 0,1 0 0,0 1 0,0-1 0,-1 0 0,1 0 0,0 0 0,-1 0 0,1 0 0,0 0 0,-1 0 0,1 0 0,0 0 0,0 0 0,-1 0 0,1 0 0,0 0 0,-1 0 0,1 0 0,0 0 0,-1 0 0,1 0 0,0 0 0,0 0 0,-1 0 0,1-1 0,0 1 0,-1 0 0,1 0 0,0 0 0,0 0 0,0-1 0,-1 1 0,1 0 0,0 0 0,0-1 0,0 1 0,-1-1 0,-2-16 0,0 6 0,2 11 0,0 0 0,0 0 0,0 0 0,0 0 0,0 0 0,0 1 0,0-1 0,0 0 0,0 1 0,0-1 0,0 0 0,0 1 0,1-1 0,-1 1 0,0 0 0,0-1 0,0 1 0,1 0 0,-1-1 0,0 1 0,0 1 0,-18 17 0,14-10 21,0 0-1,0 1 0,1-1 0,0 1 0,1-1 1,0 1-1,1 0 0,0 0 0,0 0 0,1 0 0,0 0 1,1 0-1,1 19 0,1-13 22,0-1 0,1 1 0,1 0 0,0 0 0,1-2 0,1 2 1,1-1-1,8 15 0,-13-27 4,1 1-1,-1 0 1,1 0 0,0 0 0,1 0 0,-1-1 0,1 1 0,-1-1 0,2 0-1,-1 0 1,0 0 0,1-1 0,-1 1 0,7 2 0,-7-4-16,0 0 0,-1-1 0,1 1 0,0-1 0,0 0 0,0 1 0,0-2 0,0 1 0,0 0 0,0-1 0,0 0 0,0 0 0,-1 0 0,1 0 0,0-1 0,-1 1 0,1-1 0,3-2 0,4-4 15,-1 1-1,0-1 1,0-1-1,-1 0 1,0 1-1,0-2 1,12-20-1,43-78 240,-56 90-164,-1-1-1,10-33 1,-5 10 12,-12 42-131,1 0-1,-1 0 1,0 0-1,0 0 1,0 0-1,0 0 1,0 0 0,0 0-1,0 0 1,0 0-1,0 0 1,0 0-1,0 0 1,0 0 0,0 0-1,0 0 1,0 0-1,0 0 1,0 0-1,0 0 1,0 0 0,1 0-1,-1 0 1,0 0-1,0 0 1,0 0-1,0 0 1,0 0 0,0 0-1,0 0 1,0 0-1,0 0 1,0 0 0,0 0-1,0 0 1,0 0-1,0 13 6,-2 17-12,-10 41-138,3-24-456,-4 93 0,13-139 508,0 0-1,0 0 0,-1 0 1,1 0-1,0 1 0,0-1 1,1 0-1,-1 0 1,0 0-1,0 0 0,0 0 1,1 0-1,-1 0 0,0 0 1,1 0-1,-1 0 0,1 0 1,-1-1-1,1 1 0,0 0 1,-1 0-1,1 0 1,0-1-1,0 1 0,-1 0 1,2 0-1,-1-1-58,0 0 0,0 0 1,0 0-1,0-1 0,0 1 0,0 0 1,0-1-1,0 1 0,0 0 0,0-1 1,0 1-1,-1-1 0,1 0 0,0 1 1,0-1-1,0 0 0,-1 1 0,1-1 1,-1 0-1,1 0 0,0 0 0,-1 1 0,1-1 1,-1 0-1,1-2 0</inkml:trace>
  <inkml:trace contextRef="#ctx0" brushRef="#br0" timeOffset="14512.7">13002 3148 21887,'-1'22'0,"-3"15"0,1 8 0,2 10 0,1 2 0,0 5 0,4 13 0,5 8-128,-4-33 128,-1-19-1280,1-7 0,0-11-256</inkml:trace>
  <inkml:trace contextRef="#ctx0" brushRef="#br0" timeOffset="14708.11">12896 3182 18687,'0'0'0,"29"27"0,19 16 0,-3-14 0,4-1-128,-13-10 128,-4-9-256,-5-10 128</inkml:trace>
  <inkml:trace contextRef="#ctx0" brushRef="#br0" timeOffset="16497.05">1 2379 18943,'8'22'55,"-1"0"0,0-1-1,-2 2 1,3 22 0,3 91 472,4 25-176,-4-96-257,24 73-1,-26-111-57,2 1 1,0-1-1,2 0 1,1-1-1,18 25 1,-30-47-20,1 0 1,0 0-1,0-1 1,0 0 0,0 0-1,0 0 1,1 0-1,0 0 1,-1-1 0,1 1-1,0-1 1,5 3-1,-6-4 16,1-1-1,-1 1 0,1 0 1,-1-1-1,1 0 1,-1 0-1,1 0 0,-1 0 1,1-1-1,-1 1 0,0-1 1,1 0-1,-1 0 1,0 0-1,6-3 0,2-1 41,-1 0-1,0-1 1,0 0 0,0-1-1,0 0 1,-1-1-1,-1 0 1,1-1-1,-1 0 1,-1 0 0,9-12-1,5-14-68,33-70 0,-31 58 13,128-236 56,111-247 110,-260 523-181,9-18-6,-8 21 9,-2 15 14,-6 35 47,-19 77 0,8-51 15,-65 398 196,69-397-1860,-7 64-6126,18-120 6830,1 0 0,1 0 0,0-1 0,2 1 0,-1 0 0,8 19 0,-5-19-4027</inkml:trace>
  <inkml:trace contextRef="#ctx0" brushRef="#br0" timeOffset="16910.71">1268 2849 24703,'0'0'0,"-27"0"-128,27 3 128,7 2 0,-2-1 0,3-1-128,0-1 128,3-1-768,-3 1 128</inkml:trace>
  <inkml:trace contextRef="#ctx0" brushRef="#br0" timeOffset="17176.99">1332 2222 23807,'0'0'0,"-9"40"0,11-10 0,3 4-256,-2-6 128,3-3-4736,-4-4 129,-1-6-1793,10 6 640,-1 0 6784</inkml:trace>
  <inkml:trace contextRef="#ctx0" brushRef="#br0" timeOffset="17775.74">1722 2798 23423,'-26'-3'-157,"22"2"-26,10 4 4,8 4 80,-13-6 98,1 0-1,-1 0 1,0 0 0,0 0 0,0 1 0,1-1 0,-1 0 0,0 1 0,0-1-1,-1 0 1,1 1 0,0-1 0,0 1 0,-1 0 0,1-1 0,-1 0 0,1 1-1,-1-1 1,0 3 0,2 39 55,-1-27 0,7 186 95,-5-189-157,-3-12 7,0-1 0,0 0 1,0 0-1,0 0 0,0 0 1,0 0-1,0 0 0,1 0 0,-1 1 1,0-1-1,0 0 0,0 0 1,0 0-1,0 0 0,0 0 1,0 0-1,1 0 0,-1 0 0,0 0 1,0 0-1,0 0 0,0 0 1,0 0-1,0 0 0,1 0 1,-1 0-1,0 0 0,0 0 0,0 0 1,0 0-1,0 0 0,0 0 1,1 0-1,-1 0 0,0 0 0,0 0 1,0 0-1,0 0 0,0 0 1,0 0-1,1 0 0,-1-1 1,14-19-154,-12 18 133,14-27-281,-2-2 0,-1 0-1,-1-1 1,10-44 0,-10 33 151,31-73 0,-38 106 236,1-1 0,0 2 0,0 0 0,1 0 0,13-15-1,-18 22-37,0 0-1,0 0 0,1-1 0,-1 1 0,0 1 0,1-1 0,0 0 0,-1 1 0,1-1 0,0 1 0,0 0 0,-1 0 0,1 0 0,0 0 0,0 0 0,0 1 0,0 0 0,1 0 0,-1 0 0,0 0 0,0 0 0,0 0 0,0 0 0,0 0 0,5 2 0,1 2-27,0 1 0,-1 0 0,0 0 0,0 1 0,0 0 0,0 1 0,-1-1 0,0 2 0,11 12 0,-10-9-16,0 1 1,-1 0-1,0 0 1,-1 0-1,0 0 0,5 19 1,-5-8 62,-2 1 1,4 32-1,-4-10-2621,-1-8-3867,2-1-5685,-5-12 10187,0-24 1920,-2 0 0,1 0 0,1 1 0,-1-1 0,0 0 0,0 0 0,0 0 0,0 0 0,0 0 0,-1 0 0,1-1 0,-1 2 0</inkml:trace>
  <inkml:trace contextRef="#ctx0" brushRef="#br0" timeOffset="18233.74">1197 2727 22015,'30'5'0,"20"6"0,-41-11 0,-21-5 128,3 2 0,-4-2 0,0 16 0,0 7 0,4 9 128,4 8-256,8 16 128,8 12-512,13 28 0,12 22-10367,-6 4-641,2 14 11392,29 116 3200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38:48.93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0 574 18687,'33'5'128,"-33"-5"-124,0 0 0,-1 0-1,1 0 1,0 0 0,0 0-1,0 0 1,0 0 0,0 0-1,0 0 1,0 0 0,0 0-1,0 0 1,0 0 0,0 0-1,0 0 1,0 1-1,0-1 1,0 0 0,0 0-1,0 0 1,0 0 0,0 0-1,0 0 1,0 0 0,0 0-1,0 0 1,0 0 0,0 0-1,0 0 1,0 0 0,0 0-1,0 1 1,0-1-1,0 0 1,0 0 0,0 0-1,0 0 1,0 0 0,1 0-1,-1 0 1,0 0 0,0 0-1,0 0 1,0 0 0,0 0-1,0 0 1,0 0 0,0 0-1,0 0 1,0 0-1,0 0 1,0 0 0,0 0-1,0 0 1,0 0 0,1 0-1,-1 0 1,0 0 0,0 0-1,0 0 1,0 0 0,0 0-1,0 0 1,0 0 0,0 0-1,0 0 1,0 0-1,-6 2 190,6-2-192,-1 0 1,1 0-1,0 0 0,-1 0 0,1 0 1,0 0-1,-1 0 0,1 0 0,0-1 0,-1 1 1,1 0-1,0 0 0,-1 0 0,1 0 1,0-1-1,0 1 0,-1 0 0,1 0 1,0 0-1,0-1 0,-1 1 0,1 0 0,0 0 1,0-1-1,0 1 0,-1 0 0,1-1 1,0 1-1,0 0 0,0 0 0,0-1 1,0 1-1,0 0 0,0-1 0,0 1 0,0 0 1,0-1-1,0 1 0,0 0 0,0-1 1,0 1-1,0 0 0,0-1 0,0 1 0,0 0 1,0-1-1,0 1 0,0 0 0,1-1 1,-1 1-1,0 0 0,0 0 0,0-1 1,1 1-1,-1 0 0,0 0 0,1-1 0,14-29 2,3 1 0,0 1-1,1 0 1,2 1 0,1 2-1,1 0 1,40-34 0,12-13 295,-54 50-154,1 0 0,1 2 0,40-29 0,-36 34-63,0 1 1,1 1-1,43-13 0,92-18 128,-128 37-147,0 1-1,1 2 1,-1 1 0,1 2 0,0 2 0,0 1 0,-1 1 0,1 2-1,53 16 1,-77-17-62,0 0 0,0 1 0,-1 0 0,1 1 0,-1 1-1,-1 0 1,1 0 0,-1 1 0,-1 0 0,1 1 0,12 14-1,-9-5 5,-1-1 0,0 2 0,-1 0 0,-1 0 0,15 39 0,-2 2 49,49 88 0,-67-138-52,1 2 13,1 0 0,0 0 0,0-1 0,2 0 1,-1 0-1,1-1 0,0 0 0,19 15 0,-18-18-8,-3-2 46,-1-1 1,1 1-1,-1-1 1,15 6 0,-19-10-29,1 1 1,-1-1 0,1 1 0,-1-1 0,1 0 0,-1 1 0,1-1 0,0-1 0,-1 1 0,1 0 0,-1-1 0,1 1 0,-1-1 0,0 1 0,1-1 0,-1 0 0,1 0 0,-1-1 0,3-1 0,206-143 423,-114 76-362,-28 21-1159,-5 2-8812,84-47 1,-9 22 8476,75-42 4181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14.27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1749 1 18815,'3'23'0,"-4"-20"0,0-10 0,1 1 0,5 9 0,0 7 0,0 0 0,-1 0 0,0 1 0,0 0 0,-2 1 0,1-1 0,1 17 0,-1-5 0,39 170 201,5 29 110,41 657 585,-84-12 256,-7-506-656,3-276-352,3 258 368,-4-339-521,1 0 0,0 0-1,1 0 1,-1 0 0,1 0-1,0 0 1,-1-1 0,2 1-1,-1 0 1,0-1 0,1 0-1,0 1 1,0-1 0,0 0-1,4 6 1,-5-9-50,-1 0 0,0 0 1,1 0-1,-1 0 0,0 0 0,1 0 1,-1 0-1,0 0 0,1 0 0,-1-1 1,0 1-1,1 0 0,-1 0 0,0 0 1,1-1-1,-1 1 0,0 0 0,1 0 1,-1-1-1,0 1 0,0 0 0,0-1 1,1 1-1,-1 0 0,0-1 0,0 1 1,0 0-1,0-1 0,1 1 0,-1 0 1,0-1-1,0 1 0,0-1 0,7-15-844,0-11-2084,0-3-8255</inkml:trace>
  <inkml:trace contextRef="#ctx0" brushRef="#br0" timeOffset="1132.93">358 2374 17535,'323'39'1429,"-109"-9"-575,244 47 191,-369-58-831,0-4-1,1-4 0,0-4 1,0-4-1,173-17 0,193-22 180,-22 3-39,32-7-77,-379 36-277,0 4 0,140 15 0,-7 6 138,53 9 87,-189-16-143,96 23 135,-150-27-161,1-2 1,0-2 0,0-1 0,0-1 0,57 1 0,113 1 83,-84-1 19,-21 5 203,-37-7-763,-19 7-3656</inkml:trace>
  <inkml:trace contextRef="#ctx0" brushRef="#br0" timeOffset="2931.01">1978 3019 15616,'0'-1'0,"7"-15"0,-7 16 0,0 0 0,0-1 0,0 1 0,1 0 0,-1-1 0,0 1 0,0 0 0,1 0 0,-1 0 0,0 0 0,1 0 0,-1 0 0,0-1 0,1 1 0,-1 0 0,0 0 0,1 0 0,-1-1 0,0 1 0,1 0 0,-1 0 0,1 0 0,-1 0 0,0 0 0,1 0 0,-1 0 0,1 0 0,-1 0 0,0 0 0,1 0 0,-1 0 0,1 0 0,-1 0 0,0 1 0,1-1 0,-1 0 0,0 0 0,1 0 0,-1 0 0,0 1 0,1-1 0,-1 0 0,0 0 0,1 0 0,-1 0 0,0 0 0,0 1 0,1-1 0,-1 0 0,0 1 0,0-1 0,0 0 0,1 1 0,-1 0 0,2 4 61,-1 0 1,0 0 0,0 0 0,0 0 0,-1 0 0,1 1 0,-1-1-1,-1 0 1,0 6 0,-1 23 143,-5 107 1041,9-87-952,1 141 436,8 65 192,1-45-95,1-52-182,-5-94-373,1 37 166,-7 167-1,-9-156-1162,11-190-3073,-1 5-8169</inkml:trace>
  <inkml:trace contextRef="#ctx0" brushRef="#br0" timeOffset="4132.14">5 2386 17407,'6'3'0,"27"5"0,-35-9 12,-2-1 1,1 0 0,-1 0 0,0 0 0,0 1 0,0-1 0,0 1 0,0 0-1,-7 0 1,14 0 19,-1 1 0,0-1-1,0 1 1,0 0 0,0-1-1,0 0 1,0 0 0,0 0-1,-1 0 1,1 0 0,0 0-1,0-1 1,-1 1 0,2-2-1,-2 1-15,1 1-1,-1 0 0,0-1 1,0 1-1,1 0 1,-1 0-1,0 0 0,1 0 1,-1 0-1,1 0 0,-1 1 1,1-1-1,0 0 1,-1 1-1,1 0 0,0-1 1,-1 1-1,1 0 0,0-1 1,0 1-1,-1 0 1,1 1-1,0-1 0,0 0 1,3 1-1,29 14 188,-20-8-123,0-1 0,1-1 0,0 0 0,0 0 0,30 4 0,21-7 345,-42-2-254,41 5 1,-23 4 108,73 25 1,-23-5 11,-82-27-258,0-1 0,0 0 0,-1-1 0,1 0 1,0-1-1,0 0 0,0 0 0,-1-1 0,1-1 0,-1 1 0,12-6 0,-8 3-5,1 1 0,-1 1 0,1 0 1,26-1-1,-24 5-138,1 1 0,-1 0 0,0 2 0,0 0 0,0 1 0,19 8 0,-1-1-2008,48 15-10512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32.78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19 16128,'38'-9'21,"-29"4"141,-12 1 290,3 4-429,0 0 0,0 0 1,-1 0-1,1 0 0,0-1 1,0 1-1,0 0 0,-1 0 1,1 0-1,0 0 1,0 0-1,-1 0 0,1 0 1,0 0-1,0 0 0,-1 0 1,1 0-1,0 0 0,0 0 1,-1 0-1,1 0 1,0 1-1,0-1 0,-1 0 1,1 0-1,0 0 0,0 0 1,-1 0-1,1 0 0,0 1 1,0-1-1,0 0 1,0 0-1,-1 0 0,1 1 1,0-1-1,0 0 0,0 0 1,0 0-1,0 1 0,0-1 1,-1 0-1,1 0 1,0 1-1,0-1 0,0 0 1,0 0-1,0 1 0,0-1 1,0 0-1,0 0 0,0 1 1,0-1-1,0 0 0,2 3 6,-1 0 0,0-1-1,1 1 1,-1-1 0,1 0-1,0 0 1,-1 1 0,1-1 0,0 0-1,1 0 1,-1-1 0,0 1-1,0 0 1,1-1 0,-1 1-1,1-1 1,-1 0 0,1 0-1,0 0 1,4 1 0,5 1 246,1 0 1,24 2 0,57 11 640,-72-11-862,1-1-1,0 0 1,44-1-1,56-10 222,-11 0 110,141 8 1,148 5 262,-236-8-400,250-3 93,-312 5-197,-20 1-3,156-18 1,-205 12 644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40.821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39 47 14208,'14'48'149,"-15"-46"251,-4-8-24,-4-7 197,9 13-550,0 0-1,0-1 1,0 1-1,0 0 0,0 0 1,-1 0-1,1-1 0,0 1 1,0 0-1,0 0 0,-1 0 1,1 0-1,0-1 1,0 1-1,0 0 0,-1 0 1,1 0-1,0 0 0,0 0 1,-1 0-1,1-1 0,0 1 1,0 0-1,-1 0 0,1 0 1,0 0-1,0 0 1,-1 0-1,1 0 0,0 0 1,0 0-1,-1 0 0,1 0 1,0 1-1,-1-1 0,-2 4 91,0 0 0,0 0 0,0 1 0,0-1 0,1 1-1,0-1 1,0 1 0,0 0 0,0 0 0,1 0 0,0 0-1,0 0 1,-1 10 0,2 3 38,1 0 0,4 30 0,2 18 462,-4 185 603,4-8-388,-3-170-782,-4-72-45,0-1-1,0 1 0,0 0 0,1-1 0,-1 1 0,0-1 1,0 1-1,0-1 0,0 1 0,1-1 0,-1 1 0,0-1 1,1 1-1,-1-1 0,0 0 0,1 1 0,-1-1 0,0 1 1,1-1-1,-1 0 0,1 1 0,-1-1-1,0 0 0,1 0 1,-1 0-1,0 0 0,0 0 0,0 0 0,1 0 0,-1 0 1,0 0-1,0 0 0,0 0 0,0 0 0,1-1 0,-1 1 0,0 0 1,0 0-1,0 0 0,0 0 0,1 0 0,-1 0 0,0-1 1,0 1-1,0 0 0,0 0 0,0 0 0,0 0 0,0-1 0,1 1 1,-1 0-1,0 0 0,0 0 0,0 0 0,0-1 0,0 1 1,0 0-1,0 0 0,0 0 0,0-1 0,0 1 0,0 0 1,0 0-1,0 0 0,0-1 0,0 1 0,0 0 0,0 0 0,-1 0 1,1-1-1,0 1 0,0 0 0,0 0 0,0 0 0,0 0 1,-1-1-1,0-14-152,0 0 1,0 0-1,3-18 1,-1-19-70,-5-38-365,9-105 0,-1 154 373,0 16 134,-2-1 0,-1 0 1,-4-44-1,1 42 45,0-1 0,4-35 0,-2 51 33,1 1 51,-1 1 1,-1 0-1,0 0 0,-1 0 0,0 0 0,-1 0 0,0 0 0,0 1 0,-9-18 0,10 24-28,3 4-21,-1 0 0,0 0 0,0 0 0,0 0 0,0 0 0,0 0 0,0 0 0,0 1 0,0-1-1,0 0 1,0 0 0,0 0 0,1 0 0,-1 0 0,0 0 0,0 0 0,0 0 0,0 0 0,0 0-1,0 0 1,0 0 0,1 0 0,-1 0 0,0 0 0,0 0 0,0 0 0,0 0 0,0 0 0,0 0-1,0 0 1,1 0 0,-1 0 0,0 0 0,0 0 0,0 0 0,0 0 0,0 0 0,0 0 0,0 0 0,0-1-1,0 1 1,1 0 0,-1 0 0,0 0 0,0 0 0,0 0 0,0 0 0,0 0 0,0 0 0,0 0-1,0-1 1,0 1 0,0 0 0,0 0 0,6 9 27,6 17 199,2 0 0,1-1 0,1 0 0,37 44 0,-32-51-123,0 0 0,1-1 0,0-1 0,2-1 0,36 18 0,-11-6 69,-6 0-44,-1 2 0,-1 1 0,42 42 0,-81-70-89,0 0 1,0 0 0,-1 0 0,1 1-1,-1-1 1,1 0 0,-1 1 0,0-1-1,1 1 1,-2 0 0,1-1 0,0 1 0,0 0-1,-1 0 1,1 0 0,-1-1 0,0 1-1,0 0 1,0 0 0,0 0 0,-2 5-1,0-6-31,-1 0 1,0 0-1,0 0 0,0-1 0,0 1 0,0-1 0,0 1 1,-1-1-1,1 0 0,0 0 0,-1-1 0,-3 1 0,-7 3 14,-56 23 42,1 3 0,2 3 0,-72 47 0,121-67-156,0-1-1,-28 28 1,46-39-121,0-3 211,0 0 0,0 1 0,0-1 0,0 1 0,0-1 0,1 1 0,-1-1 0,1 1 0,-1-1 0,2-1 0,18-45-131,33-54 0,-7 17 15,-7 21 58,-3 4-29,-59 71-530,10-2 602,1 1-1,0 0 0,1 1 0,0 1 0,1-1 1,0 2-1,0-1 0,-14 28 0,3 2-30,-27 74 0,36-93 176,12-23-126,0 1-1,0-1 0,0 0 1,0 0-1,0 0 0,0 0 1,-1 0-1,1 0 1,0 0-1,0 0 0,0 0 1,0 0-1,0 0 0,0 0 1,0 0-1,0 0 0,0 0 1,0 0-1,0 0 0,-1 0 1,1 0-1,0 0 0,0 0 1,0 0-1,0 0 1,0 0-1,0 0 0,0 0 1,0 0-1,0 0 0,0 0 1,0 0-1,-1 0 0,1 0 1,0 0-1,0 0 0,0 0 1,0 0-1,0 0 0,0 0 1,0-1-1,0 1 1,0 0-1,0 0 0,0 0 1,0 0-1,0 0 0,0 0 1,0 0-1,0 0 0,0 0 1,0 0-1,0 0 0,0 0 1,0-1-1,0 1 1,0 0-1,0 0 0,0 0 1,0 0-1,0 0 0,0 0 1,0 0-1,0 0 0,1-16 39,8-26-40,2 0 0,2 1 0,2 1 0,39-76 0,-41 90 15,0 1 23,-1 0-1,9-28 1,-42 75-166,2 3 146,2 0 0,1 2 0,1 0-1,1 0 1,-17 49 0,28-68 54,-6 17 361,7-23-233,4-15-116,8-19-38,1 1-1,25-52 0,-20 50 15,22-68 0,-38 101-60,0 0 0,0 0 0,0 0 0,0 0 0,0 0 0,0 0 0,0 0 0,0 0 0,-1 0 0,1 0 0,0 0 0,0 0 0,0 0 0,0 0 0,0 0 0,0 0 0,0 0 0,0 0 0,-1 0 0,1 0 0,0 0 0,0 0 0,0-1 0,0 1 0,0 0 0,0 0 0,0 0 0,0 0 0,0 0 0,0 0 0,-1 0 0,1 0 0,0 0 0,0 0 0,0 0 0,0-1 0,0 1 0,0 0 0,0 0 0,0 0 0,0 0 0,0 0 0,0 0 0,0 0 0,0 0 0,0-1 0,0 1 0,0 0 0,0 0 0,0 0 0,0 0 0,0 0 0,0 0 0,0 0 0,0 0 0,0-1 0,0 1 0,0 0 0,0 0 0,0 0 0,1 0 0,-1 0 0,0 0 0,0 0 0,0 0 0,-11 9 0,-11 17 0,15-14-16,-1 0-1,-7 20 1,14-29 13,-1 0-1,1 0 1,0 0 0,0 1-1,0-1 1,0 0-1,1 1 1,0-1 0,-1 1-1,1-1 1,0 1 0,1-1-1,-1 0 1,0 1-1,1-1 1,1 5 0,-1-7 12,0 0 0,0-1 1,0 1-1,0 0 1,0-1-1,0 1 0,0-1 1,0 0-1,0 1 1,0-1-1,0 0 0,0 1 1,0-1-1,0 0 1,0 0-1,0 0 0,1 0 1,-1 0-1,0 0 1,1-1-1,24-5 156,-19 0-376,10-5-1242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45.16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0 319 15872,'27'2'91,"-23"-1"-53,0 0 0,0-1 1,0 0-1,0 1 0,1-1 0,-1-1 1,0 1-1,0-1 0,0 1 0,7-4 1,-8 4 62,1 0 0,-1-1 1,0 1-1,0 0 1,0 0-1,0 1 1,0-1-1,1 1 1,-1-1-1,5 3 1,11 1 83,189 43 1009,-27-5 150,-2-6-909,92 14 304,18-29-542,4-24-32,-223-1-122,0-4 0,74-17-1,191-25 446,-42 9-58,-17 4 39,-168 18-446,-10 1-25,-76 13 2,-18 4 0,-1 0 0,1 0 0,-1 0 0,1 1 0,0-1 0,-1 1 0,10 1 2754</inkml:trace>
  <inkml:trace contextRef="#ctx0" brushRef="#br0" timeOffset="1028.36">2998 0 17663,'9'35'22,"-9"-35"-22,0 0 1,0 0 0,0 0-1,0 0 1,0 1 0,0-1-1,0 0 1,0 0 0,0 0-1,0 0 1,0 0 0,0 1-1,0-1 1,0 0-1,0 0 1,0 0 0,0 0-1,0 0 1,0 1 0,0-1-1,0 0 1,0 0 0,0 0-1,0 0 1,0 0 0,0 1-1,0-1 1,0 0-1,0 0 1,0 0 0,0 0-1,-1 0 1,1 0 0,0 1-1,0-1 1,0 0 0,0 0-1,0 0 1,0 0-1,-1 0 1,1 0 0,0 0-1,0 0 1,0 0 0,0 0-1,-1 0 1,1 0 0,0 0-1,0 0 1,0 0 0,0 0-1,0 0 1,-1 0-1,-10-6 35,-9-11 2,19 17-33,1-1 0,0 1 0,-1 0 0,1 0 0,0 0 0,-1-1 0,1 1 0,0 0 0,-1 0 0,1 0 0,0 0 0,-1-1 0,1 1 0,-1 0 0,1 0 0,0 0-1,-1 0 1,1 0 0,-1 0 0,1 0 0,0 0 0,-1 0 0,1 0 0,-1 0 0,1 1 0,0-1 0,-1 0 0,1 0 0,-1 0 0,1 0 0,0 1 0,-1-1 0,1 0 0,0 0-1,0 1 1,-1-1 0,1 0 0,0 1 0,-1-1 0,1 0 0,0 1 0,0-1 0,-10 17 278,9-15-243,-2 4 25,1 1 0,0-1 0,0 1 0,1 0 0,-1 0-1,1 0 1,1-1 0,-1 1 0,2 10 0,1 8 475,8 32 1,1 9-82,-8-17-262,-2-1-1,-2 1 1,-2-1-1,-2 1 1,-16 63-1,17-190 189,3-16-384,-1 25 0,8-79 0,-2 123 30,1 1 0,11-31 0,1-2 8,-17 55-38,0 0 0,1 0 0,-1 0 0,1 0 0,0 0 0,0 0 0,-1 0 0,1 0 0,0 0 0,1 0 0,-1 1 0,0-1 0,1 0 0,1-2 0,-1 4 0,-1 0 0,0-1 0,0 1 0,0 0 0,1 0 0,-1 0 0,0 0 0,0 0 0,0 0 0,1 0 0,-1 0 0,0 0 0,0 1 0,0-1 0,1 0 0,-1 1 0,0-1 0,0 1 0,0-1 0,0 1 0,0 0 0,0-1 0,0 1 0,0 0 0,1 1 0,51 36 23,-33-25-6,0 1 1,-1 0 0,-1 2-1,0 0 1,23 29-1,-37-40 12,-1 0-1,0 0 1,0 1-1,-1-1 1,0 1-1,0 0 1,0-1 0,-1 1-1,1 0 1,-1 0-1,0 8 1,-1-10-7,0 0 0,0 0 1,0-1-1,-1 1 1,1 0-1,-1-1 0,0 1 1,0 0-1,-1-1 1,1 1-1,-1-1 0,1 0 1,-1 1-1,0-1 1,0 0-1,-1 0 0,1 0 1,-5 5-1,0-3-13,1-1-1,-1 1 0,0-1 1,0 0-1,0 0 0,0-1 1,-15 5-1,1-3-25,-36 3-1,49-7 50,2 0-55,0 0 0,1 0 0,-1 0 0,1 1 0,0 0 0,-1 0 0,1 0 0,0 1 0,0 0 0,-8 6 0,11-8-99,0 1 0,0 0 0,0 0 0,1-1 0,-1 1 0,1 0 0,0 0 0,-1 1 0,1-1 0,0 0 0,0 0 0,0 1 0,1-1 0,-1 0 0,0 1 0,1-1 0,0 0 0,-1 1 0,1-1 0,0 1 0,0-1 0,1 1 0,-1-1 0,0 1 0,1-1 0,0 0 0,1 5 0,-1-5-931,54 39-17200,-27-35 18253</inkml:trace>
  <inkml:trace contextRef="#ctx0" brushRef="#br0" timeOffset="6496.77">1062 795 16511,'-1'0'38,"0"0"-1,0 0 0,-1 0 0,1 0 0,0 0 0,0 0 0,0 0 0,0 0 0,0 1 0,-1-1 1,1 0-1,0 1 0,0-1 0,0 1 0,0-1 0,-1 1 0,2 0 28,-1 0 0,1 0 0,0 0 0,-1 0 0,1 0 1,0 0-1,0 0 0,0 0 0,-1 0 0,1 0 0,0 0 0,1 0 0,-1 0 0,0 1 0,0 10 120,-1 7-7,-1-1 0,-1 1 0,-1-1-1,-12 32 1,-4 24 299,10-21-315,-5 70 1,14-103-121,1-1 0,1 1 0,0-1 0,2 1 0,0-1 0,1 0 0,7 20 0,-10-37-40,0 1-1,0-1 1,0 0-1,0 1 1,0-1-1,1 0 1,-1 0-1,1 0 1,0 0-1,-1 0 1,1 0-1,0 0 1,2 1-1,-2-2 0,0 0 1,-1-1-1,1 1 0,-1 0 0,1-1 0,0 1 0,0-1 0,-1 0 0,1 0 0,0 1 0,0-1 0,0 0 0,-1-1 0,1 1 0,0 0 0,0 0 1,-1-1-1,1 1 0,3-2 0,18-8 191,41-25 0,-21 10-107,-18 11 1,-1-1 0,-1-1 0,-1-1 0,0-2 0,-1 0 1,28-32-1,-17 10 104,-1-1 0,41-74 0,-53 85-152,1 1-1,2 1 0,28-29 1,-69 104 474,2 1-199,2 0 1,2 1-1,-10 74 1,9-49-2994,-2 0-4342,13-35-2322,3-29 6251</inkml:trace>
  <inkml:trace contextRef="#ctx0" brushRef="#br0" timeOffset="7578.37">1841 1158 17663,'-2'2'63,"0"-1"-1,0 1 1,0 0-1,1 0 1,-1-1-1,0 1 0,1 0 1,-1 0-1,1 1 1,-1-1-1,1 0 0,0 0 1,0 1-1,0-1 1,1 1-1,-1-1 1,0 0-1,1 1 0,0-1 1,-1 1-1,1 0 1,0-1-1,0 1 0,1-1 1,-1 1-1,1 3 1,4 33 59,-2 1 0,-2-1-1,-4 46 1,2-72-119,-3 43 392,-23 107 0,27-163-423,0 1 0,0 0-1,0-1 1,0 1 0,0-1 0,0 1 0,-1 0 0,1-1 0,0 1 0,0-1 0,0 1 0,-1-1 0,1 1 0,0-1-1,-1 1 1,1-1 0,0 1 0,-1-1 0,1 1 0,-1-1 0,1 1 0,0-1 0,-1 0 0,0 1 0,-7-11-1282,-2-25-2459,8 13 2961,1 0 0,1 0 0,1 0 0,5-30 0,-1 4 496,3-35 1592,29-129 0,-27 168 188,-9 31-1207,2 0-1,0 0 1,0 0-1,1 1 1,1 0 0,0 0-1,1 0 1,0 0 0,8-11-1,-13 21-199,1 0 0,-1 0 0,1 0 0,0 0 0,0 0 0,0 0 1,0 0-1,0 0 0,0 1 0,0-1 0,0 1 0,0 0 0,5-2 0,-5 3-6,-1 0 0,1 0 1,-1 0-1,1 1 0,-1-1 0,1 1 1,-1-1-1,0 1 0,1-1 0,-1 1 1,0 0-1,1 0 0,-1 0 0,0 0 1,0-1-1,0 2 0,0-1 0,0 0 1,0 0-1,0 0 0,0 0 0,0 1 1,0-1-1,-1 0 0,1 1 1,0 1-1,8 15 83,-1-1 1,-1 1-1,9 31 0,8 59 183,-22-99-246,0 0 0,-1 0-1,0 0 1,-1 0 0,0 0-1,-1 0 1,0 0 0,0 0-1,-1 0 1,0 0 0,-5 15-1,6-23-62,1-1 0,-1 1-1,1 0 1,-1-1-1,1 1 1,-1 0-1,0-1 1,1 1 0,-1-1-1,0 1 1,0-1-1,1 0 1,-1 1 0,0-1-1,0 0 1,0 1-1,0-1 1,1 0-1,-1 0 1,0 0 0,0 0-1,0 0 1,0 0-1,0 0 1,0 0 0,1 0-1,-2 0 1,-8 0 47,10 0-59,0 0 0,0 1 0,0-1 0,-1 0 0,1 0 0,0 0 0,0 0 0,0 1 0,0-1 0,-1 0 0,1 0 0,0 1 0,0-1 0,0 0 0,0 0 0,0 0 0,0 1 0,0-1 0,0 0 0,0 0 0,0 1 0,0-1 0,0 0 0,0 0 0,0 1 0,0-1 0,0 0 0,0 0 0,0 1 0,0-1 0,0 0 0,0 0 0,0 1 0,0-1 0,0 0 0,1 1 0,4 11 0,4 7 0,0-1 0,2 0 0,0 0 0,1-1 0,1 0 0,1-1 0,30 28 0,-4-13-372,48 37-2924,4-6-3403,-58-44-1457,7-1 6155,-37-15 2174,63 28 1747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47.216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330 1 19455,'-1'3'41,"-2"1"82,1 1 1,0 0-1,1 0 1,-1 0-1,1 1 1,0-1-1,0 0 1,1 8-1,-2 19 152,-7 40-1,0 8-33,-21 1076 1401,33-1111-1612,-1 12 47,-2-45-43,0-1-1,1 0 1,1 0-1,3 19 1,3 1-2670,-2-10-2185,-1 0-3463,-5-21 8138,0 0 0,-1 1 0,1-1 0,0 1 0,0-1 0,0 0-1,0 1 1,1-1 0,-1 0 0,0 1 0,0-1 0,0 1 0,0-1 0,0 0 0,0 1 0,1-1-1,8-8-3043,-7-4 2315</inkml:trace>
  <inkml:trace contextRef="#ctx0" brushRef="#br0" timeOffset="811.16">1 1106 19327,'4'7'40,"11"19"-121,-14-25 101,-1 0 0,0 0-1,1 0 1,-1 0 0,0-1 0,1 1-1,-1 0 1,0 0 0,0 0-1,0 0 1,0 0 0,0 0-1,0 0 1,0 0 0,0 0-1,0-1 1,-1 1 0,1 0 0,0 0-1,0 0 1,-1 0 0,1 0-1,-1-1 1,1 1 0,-1 0-1,0 1 1,0-1 3,0 0 0,1 0 0,-1 0 0,1 0 0,-1 1 0,1-1 0,-1 0 0,1 0 0,-1 1 0,1-1 0,0 0 0,0 0 0,0 1 0,0-1 0,0 0 0,0 1 0,0-1 0,0 0 0,0 0 0,1 1 0,-1-1 0,0 0 0,1 0 1,0 2-1,16 34 150,-14-31-111,51 85 365,67 84 0,-101-147-407,-12-16 137,1-1-1,19 20 1,-28-31-158,0 0 1,0 0 0,0 0 0,0 0-1,1 0 1,-1 1 0,0-1 0,0 0-1,0 0 1,0 0 0,0 0 0,1 0-1,-1 0 1,0 0 0,0 0 0,0 0-1,0 0 1,1 1 0,-1-1-1,0 0 1,0 0 0,0 0 0,1 0-1,-1 0 1,0 0 0,0 0 0,0 0-1,0-1 1,1 1 0,-1 0 0,0 0-1,0 0 1,0 0 0,1 0 0,-1 0-1,0 0 1,0 0 0,0 0 0,0 0-1,0-1 1,1 1 0,-1 0-1,0 0 1,0 0 0,4-13-160,-3-14-138,-3-13 202,-2 0 0,-2 1 0,-1 0 0,-2 0 0,-1 0 0,-3 2 0,-29-66 0,29 73-138,15 29 247,-1-1 0,1 0-1,0 1 1,-1-1 0,1 1 0,0-1 0,0 1 0,0 0 0,0 0 0,0 0 0,0 0 0,1 0 0,1 0-1,-1-1 21,7-1-29,1 0-1,0 0 1,-1 0 0,1 2-1,0-1 1,0 1 0,0 1-1,0 0 1,19 3 0,-1 1 83,-1 1 0,42 14 1,-61-16 13,1 0 1,-1 0 0,0 1-1,-1 0 1,1 1 0,14 10 0,-20-13-82,-1 0 0,0 1 0,0-1 0,1 0 1,-2 1-1,1-1 0,0 1 0,0 0 0,-1 0 1,0 0-1,1-1 0,-1 1 0,0 1 1,0-1-1,-1 0 0,1 0 0,-1 0 0,0 0 1,1 0-1,-1 0 0,0 1 0,-1-1 0,1 0 1,-1 0-1,0 3 0,-3 8 34,0-1 1,-1-1-1,-1 1 1,0-1-1,-14 23 0,-47 54 43,33-46-8,26-32-92,-81 116-626,76-106-1490,-10 26-1,17-33-1149,1 1 1,-7 28-1,10-23 2394,0-1-3903</inkml:trace>
  <inkml:trace contextRef="#ctx0" brushRef="#br0" timeOffset="1646.34">871 483 17151,'0'0'1920,"-1"4"-1770,-13 29 63,1 0 0,2 1 0,1 1 0,-8 62-1,11-36 173,2-1 0,5 65-1,0-116-368,0 0-1,1 0 0,1 0 0,-1 0 1,1-1-1,1 1 0,0 0 0,0-1 0,1 1 1,0-1-1,0 0 0,1 0 0,9 12 1,-13-19-6,1 0 0,-1 0 0,0 0 0,0 0 0,0 0 0,1 0 0,-1-1 0,0 1 1,1 0-1,-1-1 0,1 1 0,-1-1 0,1 0 0,-1 1 0,1-1 0,-1 0 0,1 0 1,-1 0-1,1 0 0,-1 0 0,1 0 0,-1 0 0,1-1 0,-1 1 0,1-1 0,-1 1 0,1-1 1,-1 1-1,0-1 0,1 0 0,-1 0 0,0 1 0,1-1 0,-1 0 0,1-2 0,7-4 54,0-1 0,0 0-1,11-15 1,-12 14-64,4-3 0,0-1 0,0 0 0,-1-1 0,0 0 0,16-31 0,72-181-128,-28 57 235,-63 151-101,16-25 0,-21 38 18,0 1 0,0-1 0,1 1 0,-1 0 0,1 0 1,0 0-1,0 1 0,1 0 0,-1-1 0,6-2 0,-9 6-21,-1 0 0,0 0 0,0 0-1,1 0 1,-1 0 0,0 0 0,0 0-1,0 0 1,1 0 0,-1 0 0,0 0-1,0 0 1,1 0 0,-1 0 0,0 0-1,0 0 1,1 0 0,-1 0 0,0 0 0,0 0-1,1 0 1,-1 0 0,0 1 0,0-1-1,0 0 1,1 0 0,-1 0 0,0 0-1,0 1 1,0-1 0,0 0 0,0 0-1,1 0 1,-1 1 0,0-1 0,0 0-1,0 0 1,0 0 0,0 1 0,0-1 0,0 0-1,0 0 1,0 1 0,0-1 0,0 0-1,0 0 1,0 1 0,0-1 0,0 0-1,0 0 1,0 1 0,0-1 0,0 0-1,0 0 1,0 1 0,0-1 0,0 0-1,-1 0 1,1 0 0,0 1 0,0-1 0,-5 18 60,-17 52 117,-18 103 1,27-106-31,-43 130 0,52-187-350,-2 6-5375</inkml:trace>
  <inkml:trace contextRef="#ctx0" brushRef="#br0" timeOffset="3061.32">1502 925 20479,'-60'-4'150,"61"5"-65,-4-2-244,1 0 0,-1 0 0,0 0 0,1 0 0,-1 1 0,0-1 0,0 1 0,-3 0 0,6-1 137,-1 1-1,0 0 1,0 0 0,1 1-1,-1-1 1,0 0 0,0 0-1,1 0 1,-1 0-1,0 1 1,0-1 0,1 0-1,-1 1 1,0-1-1,1 0 1,-1 1 0,1-1-1,-1 1 1,0-1 0,1 1-1,-1-1 1,1 1-1,-1-1 1,1 1 0,0 0-1,-1-1 1,1 1-1,0 0 1,-1-1 0,1 1-1,0 0 1,0 0-1,-1-1 1,1 1 0,0 0-1,0 0 1,0-1 0,0 2-1,5 133 684,-9-100 214,17-29-1040,-10-5 312,0 1-1,0 0 1,1-1-1,-1 0 1,1 0-1,-1 0 1,1 0-1,-1 0 1,1-1-1,0 0 0,-1 0 1,1 0-1,0 0 1,-1 0-1,1-1 1,5-1-1,-1 0-110,0 1 0,0 0 0,0 0 0,0 0 0,11 2 0,21-3 154,-23-3-64,-14 4-105,0 0 1,1 0-1,-1 0 1,0 1-1,1-1 1,-1 1-1,1 0 1,-1 0-1,5 0 1,-3 1-129,-5-1 112,1 0 0,0 0 0,-1 1 0,1-1-1,0 0 1,0 0 0,-1 0 0,1 0 0,0 0-1,0 0 1,-1 0 0,1 0 0,0-1 0,-1 1-1,1 0 1,0 0 0,0-1 0,-1 1 0,2-1-1,-7-6 156,1 4-160,1-1 0,-1 1 0,1-1 0,0 0 0,-4-7 0,5 8 0,0 0 0,0 0 0,0 0 0,0 0 0,-1 0 0,0 0 0,1 1 0,-1-1 0,0 1 0,0 0 0,-6-3 0,-110-37-95,59 24 62,58 14 33,8-2 0,7-2 0,17-9-26,0-1-1,-1-2 0,38-33 1,30-21 132,-94 72-1216,-2 1 740,0 1 0,0-1 0,0 1 0,0 0 0,0-1 0,0 1 0,0 0 0,0-1 0,0 1 0,0 0 0,0 0 0,1 0 0,-1 0 248,-1 0 0,0 0 0,0 1 0,-3 19-6781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1:21.404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0 364 17023,'0'0'534,"1"-3"-321,6-45 726,13 49 575,-20-2-1478,1 0-1,-1 1 0,1-1 1,0 0-1,0 1 0,-1-1 0,1 1 1,0-1-1,0 1 0,0-1 1,0 1-1,0 0 0,-1-1 0,1 1 1,0 0-1,0 0 0,0-1 1,0 1-1,0 0 0,0 0 1,2 0-1,-1 1 35,0 0 0,0 0 0,0 0 0,0 0 1,0 0-1,0 0 0,-1 0 0,4 4 0,1-2-7,0-1-1,0 1 0,1-1 0,-1 0 0,0-1 1,1 0-1,-1 0 0,1 0 0,11 0 0,-12-1-22,28 2 97,-13-1-12,1 0 0,37 9 0,-49-8-68,0-1 0,1 1 0,-1-2 1,0 0-1,1 0 0,15-2 1,61-17 181,-64 14-197,1 0 1,0 1 0,-1 2-1,31 0 1,207 2 234,-231 0-277,128-4 0,-129 4 0,0 1 0,-1 1 0,49 10 0,-62-10 0,6 1 0,-1-2 0,1-1 0,-1-1 0,1 0 0,31-7 0,-27 4 0,1 1 0,44 0 0,-43 3 0,49-6 0,-51 3 0,-1 1 0,41 1 0,-34 2 47,-1-3 0,0 0 0,1-2 0,52-13 0,-37 5-30,62-11-8,-97 22-9,0 0-1,1 1 0,-1 0 1,0 0-1,0 1 0,0 1 1,19 4-1,-15 2 1,-14-7 0,1 1 0,0-1 0,0 0 0,1 0 0,-1 0 0,0 0 0,0-1 0,0 1 0,0-1 0,4 1 0,-3 2 0,-3-3 0,1 0 0,0 0 0,-1 0 0,1 0 0,-1 0 0,1 0 0,0 0 0,-1-1 0,1 1 0,-1 0 0,1 0 0,-1 0 0,1-1 0,0 1 0,-1 0 0,1 0 0,-1-1 0,1 1 0,-1 0 0,0-1 0,1 1 0,-1-1 0,1 1 0,-1-1 0,0 1 0,1-2 0,1 1 0,-1-2-140,-7 3-232,6 0 349,0 0-1,0 0 1,0 0-1,-1 0 1,1-1-1,0 1 1,0 0-1,0 0 1,-1 0-1,1 0 1,0 0-1,0 1 1,0-1-1,-1 0 1,1 0-1,0 0 1,0 0-1,0 0 1,-1 0-1,1 0 1,0 0-1,0 0 1,0 0-1,0 1 1,-1-1-1,1 0 1,0 0-1,0 0 1,0 0-1,0 1 0,0-1 1,-1 0-1,1 0 1,0 0-1,0 0 1,0 1-1,0-1 1,0 0-1,0 0 1,0 0-1,0 1 1,0-1-1,0 0 1,0 0-1,0 0 1,0 1-1,0-1 1,0 0-1,14-6-4392</inkml:trace>
  <inkml:trace contextRef="#ctx0" brushRef="#br0" timeOffset="1420.05">2287 0 17279,'0'0'640,"-1"6"-512,-3 26 184,3 0-1,0 0 1,2 0-1,10 59 1,-3-33 509,2 79 0,-10-129-714,-1 0 0,1 0-1,-1 0 1,0 1 0,-4 9-1,12-41-1,-2 0-1,0 0 1,2-42-1,-5-75-138,-2 116 34,-1 0 0,-1 0 0,-1 1 0,-1-1 0,-1 1 0,-11-31 0,14 50 0,2 4 0,0 0 0,-1-1 0,1 1 0,0 0 0,0 0 0,-1-1 0,1 1 0,0 0 0,-1 0 0,1 0 0,0-1 0,-1 1 0,1 0 0,0 0 0,-1 0 0,1 0 0,0 0 0,-1 0 0,1 0 0,0-1 0,-1 1 0,1 0 0,-1 0 0,1 1 0,0-1 0,-1 0 0,1 0 0,0 0 0,-1 0 0,1 0 0,-1 0 0,1 0 0,0 1 0,0-1 0,0 0 0,0 0 0,0 0 0,0 0 0,-1 0 0,1 1 0,0-1 0,0 0 0,0 0 0,0 0 0,0 1 0,0-1 0,0 0 0,0 0 0,0 0 0,0 1 0,0-1 0,0 0 0,0 0 0,0 0 0,0 1 0,0-1 0,0 0 0,0 0 0,0 0 0,0 1 0,0-1 0,0 0 0,0 0 0,0 0 0,0 0 0,1 1 0,-1-1 0,41 36 0,-31-29 0,0-1 0,0 0 0,1 0 0,-1-1 0,1 0 0,0-1 0,13 4 0,-11-4 0,0 0 0,-1 1 0,1 1 0,-1 0 0,13 9 0,-1 4 0,-1 1 0,25 29 0,-46-46 0,1-1 10,-1 1 0,0-1-1,0 1 1,0 0 0,0 0 0,-1 0-1,1 0 1,-1 0 0,1 0-1,1 6 1,-4-9-1,1 1 0,0-1 0,-1 1 0,1-1 0,0 0 0,0 1 0,-1-1-1,1 1 1,-1-1 0,1 0 0,0 1 0,-1-1 0,1 0 0,-1 0 0,1 1 0,-1-1 0,1 0 0,-1 0 0,1 1 0,-1-1 0,1 0-1,-1 0 1,1 0 0,-1 0 0,1 0 0,-2 0 0,-19 2 73,14-2-21,-20 4-22,0 1-1,0 1 1,-27 11 0,42-13-27,1 0 0,0 1 0,0 1 1,0 0-1,1 1 0,0 0 0,0 0 1,1 1-1,-12 11 0,17-13-12,0 0 0,0 0 0,0 0 0,-4 10 0,7-14 0,0-1 0,0 1 0,1 0 0,-1 0 0,0 0 0,1-1 0,-1 1 0,1 0 0,0 0 0,0 0 0,-1 0 0,1 0 0,0 0 0,1 0 0,-1 0 0,0 0 0,1 0 0,-1 0 0,1-1 0,-1 1 0,2 3 0,0-5-83,-1 0 0,1 0 0,-1 0 0,1 0 0,-1 0 0,1 0 0,-1 0 0,1-1 0,-1 1 0,1 0 0,-1-1-1,1 1 1,-1-1 0,1 0 0,-1 1 0,0-1 0,0 0 0,2-1 0,5-2-579,27-6-3689</inkml:trace>
  <inkml:trace contextRef="#ctx0" brushRef="#br0" timeOffset="2020.63">2529 281 18687,'0'0'512,"-4"4"-405,-23 34 21,19-26-49,0 1 0,-1-1 1,-1-1-1,0 1 0,-1-2 0,-18 15 1,12-13 19,11-7 47,-1 0 1,0 0 0,0-1-1,-9 3 1,16-7-145,0 1-1,0-1 1,0 0 0,-1 0 0,1 0 0,0 0 0,0 0-1,-1 0 1,1 0 0,0 0 0,0 0 0,-1 0 0,1 0-1,0 0 1,0 0 0,-1 0 0,1 0 0,0-1 0,0 1-1,-1 0 1,1 0 0,0 0 0,0 0 0,0 0 0,-1 0-1,1-1 1,0 1 0,0 0 0,0 0 0,0 0 0,-1 0-1,1-1 1,0 1 0,0 0 0,0 0 0,0-1 0,0 1-1,0 0 1,0 0 0,0 0 0,0-1 0,0 1 0,-1 0-1,1 0 1,0-1 0,0 1 0,0 0 0,0 0 0,1-1-1,-1 1 1,0 0 0,0 0 0,0-1 0,0 1 0,0 0-1,0 0 1,0 0 0,0-1 0,0 1 0,1 0 0,-1 0-1,0 0 1,0-1 0,8-15 51,-1 11-221,-1 1 0,1 0 0,0 1 0,0-1 0,0 1 0,1 1-1,-1 0 1,1 0 0,-1 0 0,1 1 0,9-1 0,1-1-375,2 2-3680</inkml:trace>
  <inkml:trace contextRef="#ctx0" brushRef="#br0" timeOffset="2768.87">2487 832 20607,'-13'15'-106,"9"-20"65,-8-8 412,12 12-363,0 1 1,-1 0-1,1 0 0,0 0 1,-1 0-1,1 0 1,-1 0-1,1 0 0,0 0 1,-1 0-1,1 0 1,0 0-1,-1 0 0,1 0 1,-1 0-1,1 0 1,0 0-1,-1 0 1,1 0-1,0 1 0,-1-1 1,1 0-1,0 0 1,-1 0-1,1 1 0,0-1 1,-1 0-1,1 0 1,0 1-1,0-1 0,-1 0 1,1 1-1,0-1 1,0 0-1,0 1 0,-1-1 1,1 0-1,0 1 1,0-1-1,0 1 1,0-1-1,0 0 0,0 1 1,0-1-1,0 1 1,0-1-1,-11 35 124,1 0-1,-8 59 1,6-23-15,-47 160 310,59-231-489,0 1 0,0 0-1,0-1 1,-1 1 0,1-1 0,0 1 0,0-1 0,0 1 0,0-1 0,-1 1 0,1-1 0,0 1 0,0-1 0,-1 1 0,1-1-1,0 1 1,-1-1 0,1 0 0,-1 1 0,1-1 0,0 1 0,-1-1 0,1 0 0,-1 0 0,1 1 0,-1-1 0,1 0 0,-1 0-1,0 1 1,0-2-27,0 1 0,1-1 0,-1 0 0,0 1 0,1-1-1,-1 0 1,1 0 0,-1 1 0,1-1 0,-1 0 0,1 0 0,0 0-1,-1 0 1,1 1 0,0-3 0,-8-37-4003,4 13-5828</inkml:trace>
  <inkml:trace contextRef="#ctx0" brushRef="#br0" timeOffset="3211.24">2124 826 20351,'7'2'46,"0"1"-1,-1-1 0,1-1 0,0 1 0,0-1 0,0-1 1,0 1-1,0-1 0,0 0 0,0-1 0,0 1 0,0-1 1,0-1-1,0 1 0,0-1 0,9-5 0,10 0 137,-1 0-1,1 2 0,0 0 0,36 0 1,105 8 554,-155-3-729,8 1 2,1 1 0,0 1 0,35 9 0,-54-12-107,0 1 1,0 0 0,0 0-1,0 0 1,-1 0 0,1 0 0,0 0-1,-1 1 1,1-1 0,-1 1-1,0-1 1,1 1 0,-1-1-1,2 4 1,-1-2-582,-1 1 0,1-1 1,-1 1-1,0-1 0,0 1 0,0-1 0,0 6 0</inkml:trace>
  <inkml:trace contextRef="#ctx0" brushRef="#br0" timeOffset="3616.26">2004 1500 20735,'13'-4'62,"-6"2"34,0-1 1,1 0-1,-1 0 0,0 0 1,9-7-1,-12 8-65,-1 0 0,1 0 0,0 0 0,0 1 0,0-1 0,0 1 0,0 0 0,1 0 0,5 0 0,42-1 137,-45 3-134,18 0 40,0 1-1,-1 2 1,41 11-1,68 28 16,-105-33-66,283 113-407,-253-103-2475,-4 0-10303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2:26.23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0 679 19071,'13'-3'74,"0"1"0,0 0 0,1 0-1,-1 2 1,19 1 0,67 11 766,1 1-331,68 2 200,-86-6-306,138-3 0,-79-19-28,-81 5-244,-1 4 0,79 3 0,-97 4-31,131 13 56,42-4-105,-55-6 410,-100 6-205,-53-13-235,-6 1-27,1 0 0,0 0 0,-1 0 0,1 0-1,0 0 1,0 0 0,-1 0 0,1 0 0,0 0 0,-1 0 0,1 0 0,0 0 0,0 1 0,-1-1 0,1 0 0,0 1 0,-1-1-1,1 0 1,-1 1 0,2 0 0</inkml:trace>
  <inkml:trace contextRef="#ctx0" brushRef="#br0" timeOffset="1447.73">1862 494 18943,'58'176'768,"-51"-151"-520,-1 0-1,-1 0 1,-1 0-1,1 48 0,-2-33 31,-2 74 129,-2-57-3,1-57-298,5-29-42,0-1 0,-2 0 0,-2 0 0,-1-1 0,-4-35 0,2 47-30,-2 1 0,0-1 0,-1 1 0,0 0 0,-2 1 0,-10-22 0,4 10-16,-13-50 110,26 79-126,0-1-1,0 1 0,0 0 1,0-1-1,1 1 0,-1 0 1,0-1-1,0 1 0,1 0 1,-1-1-1,0 1 0,0 0 0,1-1 1,-1 1-1,0 0 0,1 0 1,-1 0-1,0-1 0,1 1 1,-1 0-1,1 0 0,-1 0 1,0 0-1,1 0 0,-1-1 1,1 1-1,-1 0 0,0 0 1,1 0-1,-1 0 0,1 0 1,-1 0-1,0 0 0,1 1 1,-1-1-1,1 0 0,-1 0 1,0 0-1,1 1 0,25 2 70,-22-2-67,119 26-4,2 0 0,-69-14 0,-43-10 14,-8-2 2,0 0 1,0 0-1,0 1 0,0-1 1,0 1-1,8 5 0,-13-7-13,1 1 0,-1 0 0,0-1 0,0 1-1,1-1 1,-1 1 0,0-1 0,0 1 0,0 0-1,0-1 1,0 1 0,0 0 0,0-1 0,0 1 0,0-1-1,0 1 1,0 0 0,0-1 0,0 1 0,-1-1-1,1 1 1,0 0 0,0-1 0,-1 1 0,1-1 0,0 1-1,-1-1 1,1 1 0,0-1 0,-1 1 0,1-1-1,-1 0 1,1 1 0,-2 0 0,-20 23 138,17-19-125,-42 49 34,-57 89 1,43-56-24,52-75-24,-43 55 66,45-60-61,0 0 0,-1 0 0,0 0 0,0-1 0,0 0 0,-13 6 0,11-10-128,12-10-208,14-12-760,25-13-4821</inkml:trace>
  <inkml:trace contextRef="#ctx0" brushRef="#br0" timeOffset="2449.92">2123 766 18687,'-4'4'-10,"16"-14"-17,-10 9 21,1-1-1,-1 0 1,0 0 0,0 0 0,0 0-1,0 0 1,-1 0 0,1-1-1,0 1 1,1-6 0,1 0-19,-3 5 29,-9 7 17,-4 2 47,0 1 1,1 1-1,0 0 1,0 1-1,1 0 1,0 0 0,1 1-1,-14 17 1,11-9 85,0 1 0,1 0 0,0 0-1,-12 34 1,31-73 236,57-144 266,-61 155-581,-2 6-23,0-1-1,0 1 1,-1 0 0,1-1-1,-1 1 1,0-1 0,0 1-1,0-1 1,-1 1-1,1-1 1,-1 0 0,0-3-1,0 6-43,-1 1-1,1 0 0,-1 0 0,1 0 1,-1 0-1,1-1 0,-1 1 0,1 0 1,-1 0-1,1 0 0,-1 0 0,1 0 1,-1 0-1,1 0 0,-1 0 0,1 1 1,-1-1-1,1 0 0,-1 0 0,1 0 1,-1 1-1,1-1 0,-1 0 0,1 0 1,-1 1-1,1-1 0,0 0 0,-1 1 1,1-1-1,-1 0 0,1 1 0,0-1 1,-1 1-1,1-1 0,-1 2 0,-14 14 95,8-6-80,1 1 0,0-1 0,1 1 0,0 0 0,1 0 0,0 1 0,-2 11-1,0 3 92,2 0-1,-2 29 0,24-85-91,-9 8 1,-1 0-1,0-1 0,-2 0 1,-1 0-1,0 0 0,1-27 1,-7 50-13,1 1 0,-1-1 0,1 0 1,-1 0-1,1 0 0,-1 1 1,1-1-1,-1 0 0,1 0 0,-1 1 1,1-1-1,0 0 0,-1 1 0,1-1 1,0 1-1,-1-1 0,1 0 1,0 1-1,0-1 0,-1 1 0,1-1 1,0 1-1,-3 5-95,1-1 0,0 0 0,1 1 0,-1-1 0,1 1 0,-1 10 0,4 23-3728,1-4-8772</inkml:trace>
  <inkml:trace contextRef="#ctx0" brushRef="#br0" timeOffset="5149.8">2839 0 18687,'0'0'406,"-2"5"-214,-12 32 112,2 1 0,2 1-1,-9 68 1,8-45 81,11-60-376,-11 80 421,10-74-367,1 0-1,0 0 1,0 0-1,1 0 1,0 0 0,1 0-1,0-1 1,3 11-1,-5-17-49,1-1 0,-1 1 0,1 0-1,-1 0 1,1 0 0,-1-1 0,1 1-1,0 0 1,-1-1 0,1 1 0,0-1-1,0 1 1,-1-1 0,1 1 0,0-1-1,0 1 1,0-1 0,0 0 0,0 1-1,-1-1 1,1 0 0,0 0 0,0 0-1,0 1 1,0-1 0,0 0 0,0 0-1,0 0 1,0-1 0,0 1 0,0 0-1,-1 0 1,2-1 0,34-14 125,-25 10-91,3-3-5,0 0-1,0-2 1,-1 1-1,0-2 1,-1 1 0,0-2-1,13-15 1,-7 8 69,33-28 0,-32 32-15,-5 6-14,-1-1-1,22-23 1,-33 30-61,1 0-21,2 2 0,-4 2 6,0 0 0,0 0 0,0-1 0,0 1 0,-1 0-1,1 0 1,0 0 0,-1 0 0,1 0 0,-1 1 0,1-1 0,-1 0-1,1 0 1,-1 0 0,0 0 0,1 0 0,-1 1 0,0-1-1,0 0 1,0 3 0,0-3-1,2 20 39,0-1 0,-2 0 0,-1 0 0,0 0 0,-1 0 0,-6 22 0,3-16 24,1-1 0,0 47 0,4-47-68,-1-20 0,1 1 0,0 0 0,0 0 0,1 0 0,1 7 0,-2-13-10,0 0 0,0 0-1,0 0 1,0 1 0,0-1 0,0 0-1,1 0 1,-1 0 0,0 0 0,0 0-1,0 1 1,0-1 0,0 0-1,0 0 1,0 0 0,1 0 0,-1 0-1,0 0 1,0 0 0,0 1-1,0-1 1,0 0 0,1 0 0,-1 0-1,0 0 1,0 0 0,0 0 0,0 0-1,1 0 1,-1 0 0,0 0-1,0 0 1,0 0 0,0 0 0,1 0-1,-1 0 1,0 0 0,0 0 0,0 0-1,0 0 1,0 0 0,1-1-1,-1 1 1,0 0 0,0 0 0,0 0-1,0 0 1,0 0 0,1 0 0,-1 0-1,0 0 1,0-1 0,0 1-1,0 0 1,0 0 0,0 0 0,0 0-1,0-1 1,9-10-1125,-8 10 914,22-43-4131</inkml:trace>
  <inkml:trace contextRef="#ctx0" brushRef="#br0" timeOffset="5727.44">3207 3 20479,'1'19'59,"-1"0"-1,0 0 0,-5 31 1,-1 6 241,1-8-1,3-32-473,0 0 0,1 0-1,1 0 1,0 0-1,5 25 1,-5-40 61,0-1 0,0 0 0,0 1-1,0-1 1,0 1 0,0-1 0,0 0 0,0 1-1,0-1 1,0 0 0,1 1 0,-1-1 0,0 1 0,0-1-1,0 0 1,1 0 0,-1 1 0,0-1 0,0 0-1,1 1 1,-1-1 0,0 0 0,1 0 0,-1 1 0,0-1-1,0 0 1,1 0 0,-1 0 0,1 0 0,-1 1-1,0-1 1,1 0 0,-1 0 0,0 0 0,1 0 0</inkml:trace>
  <inkml:trace contextRef="#ctx0" brushRef="#br0" timeOffset="7067.14">3446 354 21247,'1'0'2,"0"0"0,0 0-1,1 0 1,-1 0-1,0 0 1,0 1-1,0-1 1,0 0 0,0 1-1,1-1 1,-1 1-1,0-1 1,0 1 0,0-1-1,0 1 1,0 0-1,0 0 1,-1-1-1,1 1 1,1 2 0,-1-2 11,0 1 0,-1-1 1,1 1-1,-1 0 1,1-1-1,-1 1 1,0 0-1,0-1 0,0 1 1,0 0-1,0 0 1,0-1-1,0 1 1,-1 3-1,-23 171 371,-1 21-107,21-186-347,0-15-105,-1-18-262,-2-44-764,2 32 634,3 0 0,2-63 0,3 61 492,15-62 0,-15 84 94,1 1 0,1 0-1,0 0 1,1 1 0,0 0 0,1 0 0,16-21-1,-20 30 30,0 1 0,0-1 0,0 1-1,1-1 1,-1 1 0,1 0 0,-1 0-1,1 1 1,0-1 0,0 1 0,0-1-1,0 1 1,0 1 0,0-1-1,0 1 1,0-1 0,0 1 0,1 0-1,-1 0 1,5 2 0,-2-2 44,1 1-1,0 1 1,0 0 0,-1 0 0,1 0-1,-1 1 1,0 0 0,1 1 0,10 7-1,-16-10-68,0 1-1,0 0 1,0-1 0,-1 1-1,1 0 1,-1 0-1,1 0 1,-1 0-1,1 1 1,-1-1-1,0 0 1,0 0 0,0 1-1,-1-1 1,2 5-1,-1-2 12,-1 1-1,0-1 1,0 0-1,0 0 1,0 0 0,-1 0-1,-2 7 1,-1 3 96,-2 1 0,1-2 0,-2 1 0,-8 13 0,-5 2 112,16-25-170,-1 1 0,1 0 0,0 1 1,1-1-1,0 1 0,-5 12 0,8-17-69,0 0 1,0 0-1,0 0 1,0 0-1,0-1 0,0 1 1,0 0-1,1 0 1,-1-1-1,1 1 0,-1 0 1,1 0-1,0-1 1,0 1-1,0-1 0,0 1 1,0-1-1,0 1 1,2 1-1,29 27 64,-14-15-53,2 2-37,28 19-1,-35-28-34,-1 1 0,0 0 0,-1 0 0,0 1 0,0 1 0,-1 0-1,17 24 1,-18-12-3675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3:16.161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431 0 12544,'0'0'1301,"-2"3"-1088,-2 3-134,1 0-1,-1 0 0,1 0 1,0 1-1,1-1 1,0 1-1,0 0 1,0 0-1,-1 11 0,-4 73 674,6-62-474,-1-7 12,-9 35 1,7-40-130,1 0 0,0 0 0,2 0 0,-1 22 0,32 374 1268,-14-27-661,-19-341-597,-1 0 0,-20 84-1,13-55 50,5-21-56,-3 44 83,7-66-168,-9 54 1,-9 37 121,15-85-146,-7 10 50,10-40-81,0 0-1,0-1 1,0 1 0,1 0-1,0 0 1,0 0-1,1 0 1,-1 0-1,3 12 1,-1-11-22,1-1 1,0 0-1,1 0 1,0 0-1,0 0 1,0 0-1,6 7 1,-5-6-2,19 40-1,-22-46 0,5 9 0,2 0 0,-1 0 0,16 16 0,-23-27-10,1 0 0,-1 0-1,0 1 1,0-1 0,1 0-1,-1 0 1,0 0-1,0 0 1,1 0 0,-1 0-1,0 0 1,0 0 0,1 0-1,-1 0 1,0 0 0,0 0-1,1 0 1,-1 0 0,0 0-1,0 0 1,1 0-1,-1 0 1,0 0 0,0 0-1,0 0 1,1-1 0,-1 1-1,0 0 1,0 0 0,1 0-1,-1 0 1,0-1 0,0 1-1,0 0 1,0 0-1,1 0 1,-1-1 0,0 1-1,0 0 1,0 0 0,0 0-1,0-1 1,0 1 0,1 0-1,6-15-790,-6 11 618,16-39-3572</inkml:trace>
  <inkml:trace contextRef="#ctx0" brushRef="#br0" timeOffset="2312.31">1 1847 16895,'0'7'10,"1"0"0,0-1 0,0 1 0,0 0-1,1-1 1,0 1 0,1-1 0,-1 1-1,1-1 1,4 6 0,6 9 89,25 28 0,-11-14-21,23 28 191,-28-36-52,-1 0-1,18 30 0,-34-46-74,-3-8 325,0-14-217,-2 9-256,3-25 49,-2-1 1,-1 0-1,-1 0 0,-1 0 1,-10-48-1,-5 7 19,-28-71 0,17 80 365,46 59-214,32 9-102,-20-3-48,1-2-1,34 0 1,-2-4 43,-1-3 1,0-3 0,-1-3-1,0-2 1,106-37 0,-138 34-29,-25 13-49,1-1 0,-1 1 1,0-1-1,1 2 0,-1-1 0,1 0 1,0 1-1,6-2 0,-11 4-21,0 0 0,0 0 1,0 0-1,0 0 0,0-1 0,0 1 0,-1 0 1,1 0-1,0 0 0,0-1 0,-1 1 0,1 0 1,-1 0-1,1 0 0,0-1 0,-1 1 1,1 0-1,-1-1 0,-1 2 0,2-1-1,-14 22 29,7-11-19,0 0 1,-1 0 0,-15 15-1,-22 19 9,21-22 15,0 1 1,-22 31-1,-43 97 53,57-93-82,-85 178-12,114-247 0,1-9 0,2 16 0,-1-38-162,2 0 0,6-50 0,-5 79 124,0 0 0,0 0-1,1 0 1,1 1-1,0-1 1,0 1-1,1 0 1,0 0 0,1 1-1,0 0 1,0 0-1,1 0 1,10-10-1,-16 18 31,0 0 0,0 0-1,0 0 1,0 1-1,0-1 1,0 0-1,0 1 1,0-1 0,0 0-1,0 1 1,0 0-1,1-1 1,-1 1-1,0 0 1,0-1 0,0 1-1,1 0 1,1 0-1,-3 0 8,0 0-1,0 0 1,0 0-1,0 0 1,1 0-1,-1 0 1,0 1-1,0-1 0,0 0 1,0 0-1,0 0 1,0 0-1,0 0 1,0 0-1,1 0 1,-1 0-1,0 1 1,0-1-1,0 0 0,0 0 1,0 0-1,0 0 1,0 0-1,0 0 1,0 1-1,0-1 1,0 0-1,0 0 1,0 0-1,0 0 0,0 0 1,0 1-1,0-1 1,0 0-1,0 0 1,0 0-1,0 0 1,0 0-1,0 0 1,0 1-1,0-1 0,0 0 1,-1 0-1,-9 10-26,3-5 31,0 0 0,1 0 0,0 1 0,0 0 0,1 0 0,-1 0 0,1 1 0,-5 8 0,-1 5 25,-13 34 1,17-35-7,-2 0 0,-19 32 0,27-51-18,1 1 0,0-1 0,0 0 0,0 0 0,0 1 0,0-1 0,0 0 0,-1 1 0,1-1 0,0 0 0,0 0 0,0 0 0,-1 1 0,1-1 0,0 0 1,0 0-1,-1 0 0,1 1 0,0-1 0,0 0 0,-1 0 0,1 0 0,0 0 0,0 0 0,-1 0 0,1 0 0,0 0 0,-1 1 0,1-1 0,0 0 0,-1 0 0,1 0 0,0 0 0,-1-1 0,-3-10 76,4-27 6,1 31-52,2-100 109,0-83-9,-6 169-134,2 20 0,1 1 0,0 0 0,0 0 0,0 0 0,0 0 0,0 0 0,-1 0 0,1 0 0,0 0 0,0 0 0,0 0 0,0 0 0,-1 0 0,1 0 0,0 0 0,0 0 0,0 0 0,-1 0 0,1 0 0,0 0 0,0 0 0,0 0 0,0 0 0,0 0 0,-1 0 0,1 0 0,0 1 0,0-1 0,0 0 0,0 0 0,0 0 0,-1 0 0,1 0 0,0 0 0,0 0 0,0 1 0,0-1 0,0 0 0,0 0 0,0 0 0,0 0 0,0 1 0,0-1 0,0 0 0,-1 0 0,1 0 0,0 0 0,0 1 0,0-1 0,0 0 0,-14 41 0,10-29 0,-11 27 0,-1-1 0,-28 46 0,24-37 107,20-47-106,0 0-1,0 1 1,0-1-1,0 0 1,-1 0-1,1 0 1,0 1-1,0-1 1,0 0-1,0 0 1,0 0-1,0 1 1,-1-1-1,1 0 1,0 0-1,0 0 1,0 0-1,0 1 1,-1-1-1,1 0 1,0 0-1,0 0 1,0 0-1,-1 0 1,1 0 0,0 0-1,0 0 1,0 0-1,-1 1 1,1-1-1,0 0 1,0 0-1,-1 0 1,1 0-1,0 0 1,0-1-1,-1 1 1,1 0-1,0 0 1,0 0-1,-10-8 6,-7-19-12,11 13 48,1-1-1,1 0 0,-5-24 1,6 22 47,-1 1 1,0 0 0,-14-32-1,16 45-78,0-1 0,0 0-1,0 1 1,-1-1-1,1 1 1,-1-1 0,0 1-1,0 0 1,0 0-1,-1 1 1,1-1 0,-1 1-1,1 0 1,-1-1-1,0 2 1,0-1 0,0 0-1,0 1 1,0 0-1,-5-2 1,-8 3 12,13 0-26,11 0 4,18 1-1,-1 1 0,0 0 0,0 2 0,35 11 0,-56-15 0,-1 1 0,0 0 0,1 0 0,-1 1 0,0-1 0,0 0 0,0 1 0,0-1 0,0 1 0,0 0 0,0-1 0,-1 1 0,1 0 0,-1 0 0,1 0 0,1 3 0,0 3 0,1 0 0,-2 0 0,4 13 0,-4-13 0,1 0 0,-1 0 0,8 13 0,-6-13 0,-2-4 0,0 0 0,0 1 0,1-1 0,0-1 0,-1 1 0,1 0 0,1-1 0,-1 1 0,0-1 0,6 4 0,-8-7 0,-1 0 0,1 0 0,0 0 0,-1 0 0,1 0 0,0 0 0,-1 0 0,1 0 0,0-1 0,-1 1 0,1 0 0,0 0 0,-1-1 0,1 1 0,-1 0 0,1-1 0,0 1 0,-1 0 0,1-1 0,-1 1 0,1-1 0,-1 1 0,0-1 0,1 1 0,-1-1 0,1 1 0,-1-1 0,0 0 0,1 1 0,-1-1 0,0 1 0,0-1 0,0 0 0,1 0 0,8-27 0,-8 27 0,27-146 0,-26 146 0,0 7 0,1 7 0,22 192 22,-22-193 193,-1-26-180,-1-28-29,-4 23 31,1 14-31,1 1 0,0-1 1,1 1-1,-1-1 0,1 0 1,0 1-1,0-1 0,0 0 1,1 1-1,1-8 0,-2 12-6,0 0 0,0 0 0,0-1 0,1 1 0,-1 0 0,0 0 0,0 0 0,0 0 0,1 0 0,-1 0 0,0 0 0,0 0 0,0 0 0,1 0 0,-1 0 0,0 0 0,0 0 0,0 0 0,0 0 0,1 1 0,-1-1 0,0 0 0,0 0 0,0 0 0,0 0 0,1 0 0,-1 0 0,0 0 0,0 0 0,0 1 0,0-1 0,0 0 0,0 0 0,1 0 0,-1 0 0,0 0 0,0 1 0,0-1 0,0 0 0,0 0 0,0 0 0,0 1 0,0-1 0,0 0 0,0 0 0,0 0 0,0 0 0,0 1 0,0-1 0,0 0 0,5 10 0,-3 2 8,0 0-1,0-1 0,-1 1 1,0 0-1,-1 0 0,-1-1 1,-2 21-1,-23 79 84,20-95-37,3-22 25,4-26 22,0 25-105,4-33-142,-5 38 124,1 0-1,-1 0 1,1 0-1,-1 0 1,1 0-1,0 1 0,0-1 1,0 0-1,0 0 1,1 1-1,-1-1 1,0 0-1,1 1 1,-1-1-1,1 1 1,1-2-1,-2 3-54,0 0-1,1-1 1,-1 1 0,0 0 0,0 0-1,1-1 1,-1 1 0,0 0 0,0 0-1,1 1 1,-1-1 0,0 0-1,1 0 1,-1 1 0,0-1 0,0 0-1,0 1 1,1 0 0,-1-1 0,0 1-1,0-1 1,0 1 0,2 2-1,21 19-862,-3 4-2046,-2 3-8363</inkml:trace>
  <inkml:trace contextRef="#ctx0" brushRef="#br0" timeOffset="3745.7">1066 2056 17279,'-13'30'0,"13"-30"0,0 0 0,0 0 0,0 0 0,0 0 0,0 1 0,0-1 0,0 0 0,0 0 0,0 0 0,0 0 0,0 0 0,0 1 0,0-1 0,0 0 0,0 0 0,0 0 0,-1 0 0,1 0 0,0 0 0,0 0 0,0 1 0,0-1 0,0 0 0,0 0 0,0 0 0,-1 0 0,1 0 0,0 0 0,0 0 0,0 0 0,0 0 0,0 0 0,-1 0-1,1 0 1,0 0 0,0 0 0,0 0 0,0 0 0,0 0 0,-1 0 0,1 0 0,0 0 0,0 0 0,0 0 0,0 0 0,0 0 0,-1 0 0,1 0 0,0 0 0,0 0 0,0 0 0,0 0 0,0 0 0,0-1 0,0 1 0,-1 0 0,1 0 0,0 0 0,-5-13 186,-2-2 158,7 15-337,0-1 0,0 1 1,-1 0-1,1 0 0,0 0 0,0-1 0,0 1 1,0 0-1,-1 0 0,1 0 0,0 0 0,0 0 1,0-1-1,-1 1 0,1 0 0,0 0 0,0 0 1,-1 0-1,1 0 0,0 0 0,0 0 0,-1 0 1,1 0-1,0 0 0,0 0 0,0 0 0,-1 0 1,1 0-1,0 0 0,0 0 0,-1 0 1,1 0-1,0 0 0,0 0 0,-1 1 0,1-1 1,0 0-1,0 0 0,0 0 0,-1 0 0,1 0 1,0 1-1,0-1 0,0 0 0,0 0 0,0 0 1,-1 1-1,1-1 0,0 0 0,0 1 0,-4 4 95,0 1 0,0 0 0,0 0 0,1 0-1,0 1 1,0-1 0,1 1 0,-2 6 0,0 6 146,-3 30 1,-3 20 1,5-50-183,1 1 0,0-1-1,2 1 1,0-1 0,1 1-1,1 0 1,4 35 0,0-33-7,-3-14-32,0 0 0,0 0 0,1-1 0,0 1 0,1 0 0,3 8 0,-5-15-23,-1-1 0,1 1 0,0 0 0,-1-1 0,1 1 1,0 0-1,0-1 0,-1 1 0,1-1 0,0 1 0,0-1 0,0 0 0,0 1 1,-1-1-1,1 0 0,0 1 0,0-1 0,0 0 0,0 0 0,0 0 1,0 0-1,0 0 0,0 0 0,0 0 0,0 0 0,0 0 0,-1-1 1,1 1-1,0 0 0,0-1 0,0 1 0,0 0 0,0-1 0,0 1 1,-1-1-1,1 1 0,0-1 0,0 0 0,0-1 0,6-3 24,0-1-1,0 0 1,6-8 0,-9 10-8,36-43 80,47-73-1,15-19 104,-71 108-204,-45 79 235,-2 16-128,2 2-1,3 0 1,-2 71 0,13-137-107,-1 6-3,1 0 0,0-1 1,0 1-1,0 0 0,1 0 1,0 0-1,2 9 0,-2-15-17,-1 0-1,0 0 0,0 0 1,0 0-1,0 1 0,1-1 1,-1 0-1,0 0 0,0 0 1,0 0-1,1 0 1,-1 0-1,0 0 0,0 0 1,0 0-1,1 0 0,-1 0 1,0 0-1,0 0 0,0 0 1,1-1-1,-1 1 0,0 0 1,0 0-1,0 0 0,1 0 1,-1 0-1,0 0 1,0 0-1,0 0 0,0-1 1,0 1-1,1 0 0,-1 0 1,0 0-1,0 0 0,0-1 1,0 1-1,0 0 0,0 0 1,0 0-1,0-1 0,0 1 1,1 0-1,-1 0 1,0-1-1,7-10-459,20-45-3552,-13 28-7125</inkml:trace>
  <inkml:trace contextRef="#ctx0" brushRef="#br0" timeOffset="4349.87">1822 2329 18303,'0'0'918,"-3"0"-705,-7 2-139,1 0 0,-1 1 0,1 0 0,0 1 0,0 0-1,0 0 1,-9 6 0,-14 7 124,25-13-143,1 0-1,0 0 0,0 1 0,0-1 0,0 2 0,1-1 1,-10 12-1,-14 14 46,19-23-76,-1 1 36,0 1 0,1-1 0,-11 16-1,18-22-53,1 0-1,0 0 1,0 0-1,1 1 1,-1-1-1,1 1 1,-1-1-1,1 1 1,0-1-1,0 1 1,1-1-1,-1 1 1,1 0-1,0-1 1,0 1-1,0 0 1,1 6-1,0-8 2,0 1 0,1 0 0,-1-1 0,1 1-1,-1-1 1,1 0 0,0 1 0,0-1 0,0 0 0,0 0-1,0 0 1,0 0 0,1-1 0,-1 1 0,0-1-1,1 1 1,3 0 0,2 2 24,0 0 0,0-1 0,1 0 0,11 3 0,-13-5-2,0-1 0,0 1 0,0-1 1,0 0-1,0-1 0,0 1 1,13-4-1,47-18 325,-18 5-238,-47 16-92,1 1 1,-1-1 0,1 0-1,-1 1 1,1 0 0,-1 0 0,1 0-1,0 0 1,-1 0 0,1 0-1,-1 1 1,4 0 0,20 9-2956,-23-9 2405,35 14-12551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3:24.757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0 13568,'0'0'-128,"3"1"-107,14 1 217,-7-2 17,-1 2 1,0-1-1,0 1 1,0 0-1,14 6 1,-15-4-10,0-1 48,0 1 0,0 0 0,0 0 0,0 1 0,0 0 0,10 10 0,9 8 268,0-2 0,60 36 0,-33-22-72,-26-15-106,37 36 0,-39-33-11,40 29 0,-64-51-115,279 196 679,-263-182-632,-1 1 0,-1 0 0,-1 2 0,15 19 0,-15-17 7,1 0 0,1-1 0,19 16 0,19 7 59,64 37 0,-48-34-68,28 31-47,-33-23 0,-20-18 32,-1 1 0,-1 3 0,43 50 0,-71-72-32,1 0 0,1-2 0,0 0 0,34 21 0,-38-26 0,-6-5 11,0 2 0,-1-1-1,0 1 1,0 0 0,-1 0-1,0 1 1,0 0-1,-1 0 1,1 0 0,-2 1-1,7 15 1,-8-18-11,11 21 154,1-1 0,1 0-1,1-1 1,37 41-1,-48-61-191,-1 0 0,1 0-1,0 0 1,0-1 0,0 0 0,0 0-1,13 5 1,0-1-2497,31 7 1,-29-10-5530</inkml:trace>
  <inkml:trace contextRef="#ctx0" brushRef="#br0" timeOffset="1316.86">1990 1705 14592,'5'-10'-24,"-1"5"-9,-2 0 0,1 0 1,-1 0-1,1 0 0,-1 0 0,-1-1 1,1 1-1,-1-1 0,0 1 0,0-7 1,-1 12 47,0 0 0,0 0 0,0 0 0,0-1 1,0 1-1,0 0 0,0 0 0,0-1 1,0 1-1,0 0 0,0 0 0,0 0 1,0-1-1,0 1 0,0 0 0,0 0 1,0-1-1,0 1 0,0 0 0,0 0 0,0 0 1,0-1-1,0 1 0,1 0 0,-1 0 1,0 0-1,0-1 0,0 1 0,0 0 1,0 0-1,1 0 0,-1 0 0,0-1 0,0 1 1,0 0-1,1 0 0,-1 0 0,0 0 1,0 0-1,0 0 0,1 0 0,-1 0 1,0 0-1,0 0 0,1-1 0,-1 1 0,0 0 1,1 1 19,-1-1 0,0 1 1,0-1-1,1 1 0,-1-1 1,0 1-1,0-1 0,0 1 1,0-1-1,0 1 0,0 0 1,0-1-1,0 1 0,0-1 1,0 1-1,0-1 0,0 1 1,0-1-1,0 1 0,0-1 1,0 1-1,-1-1 0,1 1 1,0-1-1,0 1 1,-1 0-1,1 0 53,-1 0 1,1 0 0,0 0-1,0 1 1,-1-1-1,1 0 1,0 0-1,0 0 1,0 1 0,1-1-1,-1 0 1,0 0-1,0 0 1,1 0-1,-1 1 1,0-1-1,1 0 1,-1 0 0,1 0-1,0 1 1,19 23 606,-7-8-434,0 2 81,1-1 0,22 23 0,-22-26-215,-1 0 1,0 1-1,13 22 1,68 108 640,-85-131-716,-1 1-1,-1 0 1,0 0 0,-1 0 0,-1 1 0,4 17-1,-9-33-50,0-1-1,0 0 0,0 1 0,0-1 0,0 0 1,0 0-1,0 1 0,0-1 0,0 0 1,0 1-1,0-1 0,0 0 0,0 0 0,0 1 1,1-1-1,-1 0 0,0 0 0,0 1 1,0-1-1,0 0 0,1 0 0,-1 0 0,0 1 1,0-1-1,0 0 0,1 0 0,-1 0 0,0 0 1,0 0-1,1 1 0,-1-1 0,0 0 1,1 0-1,-1 0 0,0 0 0,0 0 0,1 0 1,-1 0-1,0 0 0,0 0 0,1 0 1,-1 0-1,0 0 0,1 0 0,-1 0 0,0 0 1,0 0-1,1 0 0,-1-1 0,0 1 1,0 0-1,1 0 0,-1 0 0,0 0 0,0 0 1,1-1-1,-1 1 0,16-16-510,-10 10-145,18-15-3163</inkml:trace>
  <inkml:trace contextRef="#ctx0" brushRef="#br0" timeOffset="2778.07">2541 1871 15616,'0'0'-128,"-2"3"21,-17 24 84,12-20 27,1 1 0,1 0-1,0 0 1,0 0 0,-4 10 0,-12 34 689,-2 0 0,-2-2 1,-57 85-1,81-133-682,0-1 0,0 1-1,0-1 1,0 1 0,0-1-1,0 1 1,-1-1 0,1 0-1,-1 0 1,1 0 0,0 0 0,-3 2-1,3-3-12,1-1-1,0 1 1,-1 0-1,1 0 1,0 0-1,0 0 0,-1-1 1,1 1-1,0 0 1,-1 0-1,1 0 1,0-1-1,0 1 1,-1 0-1,1 0 1,0-1-1,0 1 1,0 0-1,0-1 0,-1 1 1,1 0-1,0-1 1,0 1-1,0 0 1,0-1-1,0 1 1,0 0-1,0-1 1,0 1-1,0 0 1,0-1-1,0 1 0,0 0 1,0-1-1,0 1 1,0-1-1,7-51-367,-6 41 332,1-6-10,1 0 0,1 0 0,0 0 0,1 0 0,0 1 0,2-1 0,11-21 0,-3 15 47,-7 12 263,-1 0-1,-1 0 1,9-21 384,-4 42 100,-8-4-655,1 1-1,-1-1 1,1-1-1,8 11 1,9 14 75,-9-11-93,1-1 0,0-1 0,17 18 0,12 14 40,-33-38-70,1 0 0,1-1 0,13 11-1,-14-14-6,-1 1-1,0 0 1,-1 1-1,1 0 1,6 11-1,-14-19-31,0 0-1,0 0 0,-1 1 1,1-1-1,-1 0 0,1 0 1,-1 0-1,1 0 1,-1 0-1,1 1 0,-1-1 1,0 0-1,0 0 0,0 1 1,0-1-1,0 0 0,0 2 1,0-2 2,-1 0 1,1-1-1,-1 1 1,1 0 0,0-1-1,-1 1 1,1-1-1,-1 1 1,0-1 0,1 1-1,-1-1 1,1 1 0,-1-1-1,0 1 1,1-1-1,-1 0 1,0 0 0,1 1-1,-1-1 1,0 0-1,-1 1 1,-5 0 59,-1-1 1,0 1-1,1-1 1,-14-2-1,0 1 15,-19 4-30,16 0 21,-34-2 0,52-1-65,0 0 0,0-1 0,0 0-1,1 0 1,-1 0 0,1-1 0,-1 0 0,1 0 0,-1 0 0,1-1-1,-6-3 1,9 3-7,2 2 0,-1 1 0,1-1 0,-1 0 0,1 1 0,0-1 0,-1 1 0,0-1 0,1 1 0,-1-1 0,1 1 0,-1-1 0,0 1 0,1-1 0,-1 1 0,0 0 0,1 0 0,-1-1 0,0 1 0,0 0 0,1 0 0,-3-1 0,2 1 0,-1 0 0,0 0-1,0 0 1,0 0 0,0 0-1,0 1 1,0-1 0,0 1-1,0-1 1,0 1-1,0 0 1,1-1 0,-1 1-1,-2 2 1,3-3 2,-1 1-1,1 0 1,0 0-1,0-1 1,-1 1-1,1-1 1,0 1 0,-1-1-1,1 0 1,-1 1-1,1-1 1,0 0-1,-1 0 1,1 0 0,-1 0-1,-1-1 1,-11-10 232,14 11-258,-1-1 1,0 1-1,1 0 0,-1-1 0,1 0 0,-1 1 0,0-1 0,1 1 1,0-1-1,-1 0 0,1 1 0,-1-1 0,1 0 0,0 1 0,-1-1 0,1 0 1,0 1-1,0-1 0,0 0 0,-1 0 0,1 0 0,0 1 0,0-1 0,0 0 1,0 0-1,1 0 0,5-23-3300,-4 19 1980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3:30.66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7 204 18047,'0'0'1430,"-1"4"-1217,-2 16-94,1-1-1,2 1 1,0-1 0,5 38 0,0 24 55,-5-72-157,2 37 99,-2-45-110,0 0-1,0 0 1,0 1 0,1-1-1,-1 0 1,0 0 0,1 1 0,-1-1-1,1 0 1,-1 0 0,1 0-1,0 0 1,-1 0 0,1 0 0,0 0-1,0 0 1,0 0 0,0 0 0,0 0-1,0 0 1,0-1 0,0 1-1,0 0 1,0-1 0,0 1 0,0-1-1,1 1 1,1 0 0,-1-2 4,0 0 0,0 1 1,-1-1-1,1 0 0,0 0 1,0 0-1,0 0 1,-1-1-1,1 1 0,-1 0 1,1-1-1,-1 1 0,1-1 1,-1 1-1,2-4 0,4-3 38,33-33 85,-1-2 1,-2-2-1,60-97 0,-94 136-133,20-33 27,2 0 0,1 2-1,43-47 1,-67 88 111,-4 11-58,-4 15 1,-5 52 135,-3 11-48,3-40-104,-7 87 0,18-136-328,0-1 1,1 1-1,0 0 0,0 0 1,0-1-1,0 1 1,0 0-1,1-1 1,0 1-1,0-1 1,0 0-1,0 0 1,0 1-1,4 3 0,-2-2-1116</inkml:trace>
  <inkml:trace contextRef="#ctx0" brushRef="#br0" timeOffset="684.19">740 360 21759,'-9'64'0,"8"-45"0,-7 32 0,5-36-419,1 1-1,0 0 1,1 17-1,1-17-147,-1-1 0,-1 1 0,-3 16 0</inkml:trace>
  <inkml:trace contextRef="#ctx0" brushRef="#br0" timeOffset="967.62">701 14 23167,'0'0'0,"-5"23"0,2-14 0,0-3 0,2-2 0,1 0-128,1-15-2176,3-4 1152,1-1 0</inkml:trace>
  <inkml:trace contextRef="#ctx0" brushRef="#br0" timeOffset="2394.73">952 274 16384,'0'0'2687,"-1"6"-2559,-19 149 705,1-3 20,19-151-826,0-1-21,0 1 0,0-1 0,0 1-1,0 0 1,0-1 0,0 1 0,-1-1-1,1 1 1,0 0 0,0-1 0,-1 1-1,1-1 1,0 1 0,0-1 0,-1 1-1,1-1 1,-1 1 0,1-1 0,0 1-1,-1-1 1,1 0 0,-1 1 0,1-1-1,-1 1 1,1-1 0,-1 0 0,0 0-1,1 1 1,-1-1 0,1 0 0,-1 0-1,1 0 1,-1 0 0,0 0 0,0 1-1,-9-9-5,9 8-6,1 0-1,-1 0 0,1 0 1,-1-1-1,1 1 0,-1 0 1,1-1-1,0 1 0,-1 0 1,1-1-1,-1 1 0,1-1 1,0 1-1,-1-1 0,1 1 1,0 0-1,0-1 0,-1 1 0,1-1 1,0 1-1,0-1 0,0 1 1,0-1-1,0 0 0,0 1 1,-1-1-1,1 1 0,0-1 1,1 1-1,-1-2 0,2-20-336,-1 17 275,6-42-86,-2 21 70,-2 0 0,1-26 0,-5 23 133,1 15 40,-1 0 0,2 0 1,3-26-1,7 18 442,-9 20-509,-1 1 1,-1 0-1,1-1 0,0 1 1,0 0-1,0-1 1,-1 1-1,1-1 0,-1 1 1,1-1-1,-1 0 1,0 1-1,1-1 0,-1 0 1,0 1-1,0-1 1,0 1-1,0-1 0,-1 0 1,1 1-1,-1-3 1,8 22 156,1 0 0,1-1 0,0 0 0,20 27 0,19 35-200,-36-54 21,-2 0 0,0 1 0,-2 0 0,8 41 0,-6-33 31,-10-32-84,1-1 0,-1 1 0,1-1 1,-1 0-1,1 1 0,-1-1 0,1 0 0,0 0 1,0 0-1,-1 1 0,1-1 0,0 0 1,0 0-1,0 0 0,0 0 0,1 0 1,-1-1-1,0 1 0,0 0 0,0 0 0,3 0 1,-3-1-154,1-1 0,-1 1 0,0-1 1,1 1-1,-1-1 0,0 0 0,0 1 1,1-1-1,-1 0 0,0 0 0,0 0 0,0 0 1,0 0-1,0 0 0,0 0 0,-1 0 1,2-3-1,13-22-2790,-14 24 2357</inkml:trace>
  <inkml:trace contextRef="#ctx0" brushRef="#br0" timeOffset="2649.85">1236 276 21119,'0'0'0,"-5"23"128,2-14 0,-1-4 0,-5 7 0,-3 2 0,6 5 0,1 6-128,-1 12 0,-1 11-768,5 15 128,2 13-384,2 17 0,-1 0-12159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38.90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17 23835,'5523'0'0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42.65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669 0 13440,'1'2'24,"0"1"1,0-1-1,0 0 1,1 0-1,-1 0 1,1 0-1,-1-1 0,1 1 1,2 2-1,-3-4-5,-1 0 0,0 0 0,1 0 0,-1 0-1,0 0 1,1 1 0,-1-1 0,0 0 0,1 0-1,-1 0 1,0 0 0,1 0 0,-1 0 0,0 0-1,0-1 1,1 1 0,-1 0 0,0 0 0,1 0-1,-1 0 1,0 0 0,1 0 0,-1-1 0,0 1-1,0 0 1,1-1 0,8-17 5009,-16 32-3811,3 22-390,1 39-1,0 2-517,-32 186-124,-2 45 164,12-55-248,17-184-74,5-38 319,9-61-13237,1 9 11364,-1-2 452,-1 4-4151</inkml:trace>
  <inkml:trace contextRef="#ctx0" brushRef="#br0" timeOffset="710.95">0 1193 17535,'58'-7'22,"-57"6"-16,-1 1 0,1 0 1,-1 0-1,1 0 1,-1 0-1,1 0 0,-1-1 1,1 1-1,-1 0 0,1 0 1,-1-1-1,1 1 0,-1 0 1,1-1-1,-1 1 0,0-1 1,1 1-1,-1 0 0,0-1 1,1 1-1,-1-1 0,0 1 1,0-1-1,0 1 0,1-1 1,-1 1-1,0-1 0,0 1 1,0-1-1,0 1 0,0-1 1,0 1-1,0-1 0,0 0 1,0 1-1,0-1 0,-6-17 613,4 15 320,7 3-807,0 2 1,0-1 0,0 0-1,0 1 1,0 0-1,-1 0 1,1 1 0,-1-1-1,1 1 1,4 4 0,24 12 93,22 0 387,0-3 1,1-3-1,113 13 0,-167-26-611,309 28 269,-226-25-183,142-12-1,-186 3-5299,15-1-8358,-21 7 9462,-19 5 4300,-1 3-1301</inkml:trace>
  <inkml:trace contextRef="#ctx0" brushRef="#br0" timeOffset="1498.43">106 1560 18175,'0'0'1024,"4"2"-853,5 3 34,1-1-1,0 0 0,1 0 1,-1-1-1,1-1 1,13 3-1,69 1 1001,-7 0-833,-13 0-255,103-5 0,-85-2 33,-22 1-55,-2-2 124,91 12 0,-134-7-1323,52 5 3469,-39-10-5184,-4-7-7740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45.61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0 22935,'0'1060'0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51.46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32 26404,'8381'-32'0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53.03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2386 99 17407,'5'51'22,"-24"-80"895,18 26-852,-1 0-1,0 0 1,0 0 0,0 1-1,0-1 1,0 1-1,0-1 1,-1 1 0,1 0-1,-1 0 1,0 0-1,1 0 1,-1 0 0,0 1-1,0-1 1,0 1-1,0 0 1,0 0 0,-1 0-1,1 0 1,0 1-1,0-1 1,-1 1 0,1 0-1,0 0 1,-1 0 0,1 0-1,0 1 1,-1-1-1,1 1 1,0 0 0,0 0-1,0 0 1,-5 2-1,5-2-62,1 0 0,-1 1 0,0-1 0,1 0 0,-1 1 0,1 0 0,-1 0 0,1 0 0,0 0 0,-1 0 0,1 0 0,1 0 0,-1 1 0,0-1-1,0 1 1,1-1 0,-1 1 0,1 0 0,0 0 0,0-1 0,0 1 0,0 0 0,1 0 0,-1 0 0,1 0 0,0 0 0,-1 0 0,1 0 0,1 0 0,-1 0-1,0 0 1,2 4 0,-1-1 3,1 1 0,0-1-1,1 0 1,-1 0-1,1 0 1,1 0-1,-1 0 1,1-1 0,0 1-1,0-1 1,0 0-1,1 0 1,8 6-1,-6-6 17,0 0 0,1-1 0,-1 1 1,1-2-1,0 1 0,1-1 0,-1 0 0,1-1 0,-1 0 0,1 0 0,-1-1 0,1 0 0,0-1 0,0 0 0,0 0 0,-1-1 0,18-3 0,-16 2 13,0-1-1,-1 0 1,1 0 0,-1-1-1,0 0 1,0-1 0,0 0-1,-1-1 1,0 0 0,0 0-1,0 0 1,0-1 0,-1 0-1,-1-1 1,9-10 0,-14 16-2,0 0 1,1 0 0,-1 0 0,0 0 0,0 0-1,0 0 1,-1 0 0,1 0 0,0-1-1,-1 1 1,0 0 0,1 0 0,-1-1-1,0 1 1,0 0 0,0-1 0,0 1 0,-1 0-1,0-4 1,0 3-11,-1 0 0,1 0 0,-1 0 1,0 0-1,0 0 0,0 0 0,0 0 0,0 0 0,-1 1 0,1 0 0,-6-4 0,0 0 44,0 1 0,0 0 0,-1 0 0,0 1 0,0 0 0,0 1 0,-1 0 0,-9-2 0,8 3-22,0 1 0,0 1 0,0 0-1,0 1 1,0 0 0,0 0 0,0 1 0,0 0-1,-20 8 1,24-7-63,0 0-1,0 0 1,0 0 0,1 0-1,0 1 1,0 0 0,0 1-1,0 0 1,0-1-1,1 2 1,0-1 0,0 1-1,1-1 1,-1 1 0,-5 12-1,8-14 6,1-1 0,0 1 0,0-1-1,0 1 1,0-1 0,1 1 0,-1 0 0,1 6-1,0-9 12,0 0 0,0 0 1,1 0-1,-1 0 0,0-1 0,0 1 0,0 0 0,1 0 0,-1 0 0,0-1 0,1 1 0,-1 0 0,1 0 1,-1-1-1,1 1 0,-1 0 0,1-1 0,-1 1 0,1-1 0,0 1 0,-1-1 0,1 1 0,0-1 0,0 1 1,-1-1-1,1 0 0,0 1 0,0-1 0,0 0 0,-1 1 0,1-1 0,0 0 0,0 0 0,0 0 0,0 0 1,-1 0-1,1 0 0,0 0 0,0 0 0,0 0 0,0-1 0,0 1 0,0 0 0,11-4 5,0-1 1,0 0-1,0 0 0,-1-1 0,0-1 0,0 0 0,-1 0 0,0-1 1,16-15-1,-19 12 58,-9 6 74,1 4-101,-1 1-1,0-1 0,1 1 0,-1 0 0,0-1 1,1 1-1,-1 0 0,0 0 0,1 0 1,-1 0-1,-2 1 0,-51 10 517,23 3-4143,30-13 2830,0 0 1,0 0-1,0 1 1,0-1-1,0 1 1,0 0-1,0-1 0,1 1 1,-1 0-1,1 0 1,-3 4-1,4 27-10009,2-3 13440</inkml:trace>
  <inkml:trace contextRef="#ctx0" brushRef="#br0" timeOffset="1274.52">2283 2683 17535,'0'0'3862,"-3"-2"-3436,-4-2-401,0 0 0,0 1 0,0 0 1,0 0-1,-1 1 0,1 0 0,-1 0 0,1 1 0,-1 0 0,0 0 0,1 1 0,-1 0 0,0 0 0,1 1 0,-1 0 0,0 0 0,1 1 0,-1 0 0,1 0 0,0 1 0,-1 0 0,-8 5 0,9-2-37,1-1 0,0 1 0,0 0 0,1 1-1,-1 0 1,2-1 0,-1 2 0,1-1 0,0 0-1,0 1 1,1 0 0,0 0 0,0 0 0,1 0-1,0 0 1,1 0 0,0 1 0,0-1 0,1 0 0,0 16-1,1-20 37,0 1 0,0-1 0,1 1 0,0-1 0,-1 0 0,1 1 0,0-1 0,1 0 0,-1 0 0,1-1 0,0 1 0,0 0 0,0-1 0,0 0 0,1 0 0,-1 0 0,1 0 0,0 0 0,0-1 0,0 1 0,0-1 0,0 0 0,5 1 0,-5-2-2,0 0-1,0 0 0,0 0 1,0 0-1,0-1 0,0 0 1,0 0-1,0 0 0,0 0 1,0-1-1,0 1 0,0-1 1,0 0-1,0 0 0,0-1 1,0 1-1,0-1 0,-1 0 1,1 0-1,-1 0 0,1 0 1,-1-1-1,0 1 0,0-1 1,0 0-1,3-4 0,-1 1 3,-1 0 1,0 0-1,-1-1 0,0 0 0,0 0 0,0 0 0,-1 0 0,0 0 0,0 0 0,-1-1 1,0 1-1,1-12 0,-2 10 49,0-1 0,-1 0 0,1 1 1,-2-1-1,0 1 0,0-1 0,0 1 0,-1 0 0,-5-12 1,7 21-75,1-1 0,0 0 0,0 1 0,0-1 0,-1 1 0,1-1 0,0 1 0,0-1 0,-1 1 0,1-1 0,-1 1 0,1-1 0,0 1 0,-1 0 0,1-1 0,-1 1 0,1 0 0,-1-1 0,1 1 0,-1 0 0,1-1 0,-1 1 0,1 0 0,-1 0 0,1 0 0,-1-1 0,0 1 0,1 0 0,-1 0 0,1 0 0,-1 0 0,0 0 0,1 0 0,-1 0 0,1 0 0,-1 0 0,0 1 0,1-1 0,-1 0 0,1 0 0,-1 0 0,1 1 0,-1-1 0,1 0 0,-1 1 0,1-1 0,-1 0 0,1 1 0,-1-1 0,1 1 0,0-1 0,-1 1 0,1-1 0,0 1 0,-1-1 0,1 1 0,0-1 0,-1 1 0,-1 2-10,0 1-1,0-1 1,0 1 0,1-1-1,-1 1 1,1-1 0,-2 8-1,2-5 12,1 1 0,0 0 0,0 0 0,1 0 0,0 0 0,0-1 0,1 1 0,-1 0 0,6 10 0,-6-12 0,1-1 0,1 1 0,-1-1 0,1 1 0,0-1 0,0 0 0,0 0 0,0 0 0,1 0 0,0-1 0,0 0 0,0 1 0,7 3 0,-9-6 6,0 0 0,0-1 0,0 0 0,0 1-1,0-1 1,0 0 0,0 0 0,0 0 0,0 0-1,1 0 1,-1-1 0,0 1 0,0 0 0,0-1 0,0 0-1,-1 1 1,1-1 0,0 0 0,0 0 0,0 0-1,1-2 1,4-1 26,0-1 0,0-1 0,11-11 0,-4-1-53,0-2 0,-1 0-1,-1 0 1,-1-2 0,14-36-1,-24 56 24,0 0-1,0-1 1,0 1-1,0-1 0,-1 1 1,1-1-1,-1 1 1,0-1-1,0 1 0,0-1 1,0 0-1,0 1 1,-1-1-1,1 1 0,-1-1 1,1 1-1,-1-1 1,0 1-1,0-1 1,0 1-1,-2-3 0,2 3 2,0 1-1,-1 0 0,1-1 1,0 1-1,-1 0 1,1 0-1,-1 0 0,1 0 1,-1 1-1,0-1 0,1 0 1,-1 1-1,0-1 0,1 1 1,-1-1-1,0 1 1,0 0-1,1 0 0,-1-1 1,0 1-1,0 1 0,0-1 1,1 0-1,-1 0 0,0 1 1,0-1-1,1 1 0,-1-1 1,0 1-1,1 0 1,-3 1-1,-18 10 118,2 3-8144,-26 18-4914</inkml:trace>
  <inkml:trace contextRef="#ctx0" brushRef="#br0" timeOffset="3693.36">2501 198 19583,'16'-9'261,"-16"9"-251,0 0 0,1 0 0,-1 0 1,0 0-1,0 0 0,0-1 0,0 1 1,0 0-1,0 0 0,0 0 0,0 0 1,0 0-1,0 0 0,0 0 0,0-1 0,0 1 1,0 0-1,0 0 0,0 0 0,0 0 1,0 0-1,0 0 0,0 0 0,-1 0 1,1-1-1,0 1 0,0 0 0,0 0 1,0 0-1,0 0 0,0 0 0,0 0 1,0 0-1,0 0 0,0 0 0,0 0 0,0 0 1,-1 0-1,1 0 0,0-1 0,0 1 1,0 0-1,0 0 0,0 0 0,0 0 1,0 0-1,0 0 0,-1 0 0,1 0 1,0 0-1,0 0 0,0 0 0,0 0 1,0 0-1,0 0 0,0 0 0,-1 1 1,-19-1 1058,19 0-817,12 6 346,30 10-354,56 13-1,-4-1 208,17 4-99,1-4 0,0-5 0,124 10 0,-138-21-132,-9 0-115,1-4-1,110-4 1,-24-18 235,54-3-168,220-27 318,-394 37-492,32-6 0,-76 11 6,-1-1 0,1 0 1,-1-1-1,0 0 0,18-11 1,-8 2 40,2 1 0,-1 0 1,2 2-1,-1 0 0,1 2 1,0 0-1,31-5 0,-7 6 830,-44 7-854,-5 0 0,1 0 86,1 0 0,-4 0 554,4 0-595,0 0-57,-1 0-1,1 0 0,0 0 0,-1 1 1,1-1-1,-1 0 0,1 0 0,0 0 1,-1 0-1,1 0 0,0 0 1,-1 0-1,1 0 0,0 0 0,-1 0 1,1 0-1,0 0 0,-1 0 0,1 0 1,-1-1-1,1 1 0,0 0 1,-1 0-1,1 0 0,0 0 0,0-1 1,-1 1-1,1 0 0,0 0 0,-1-1 1,1 1-1,0 0 0,0 0 1,0-1-1,-1 1 0,1 0 0,0-1 1,0 1-1,0 0 0,-1-1 0,1 0 227,-1 1-128,0 0-86,4-1-21,2-1 21,-5 2 86,0 0 0,-7 2 2706</inkml:trace>
  <inkml:trace contextRef="#ctx0" brushRef="#br0" timeOffset="5604.34">598 156 16895,'56'18'3584,"-55"-17"-3527,-1-1 0,1 1 0,0-1-1,-1 1 1,1 0 0,-1-1 0,1 1-1,-1 0 1,1 0 0,-1-1 0,0 1-1,1 0 1,-1 0 0,0-1 0,0 1 0,0 0-1,1 0 1,-1 0 0,0 0 0,0-1-1,0 1 1,0 0 0,0 0 0,0 0-1,-1 1 1,-4 30 128,3-22-54,0 25 10,1 1-1,2-1 0,7 47 1,2 46 87,-11-75-75,4 0 1,1-1-1,3 1 1,15 57 0,0-50 14,-17-50-144,0 1 0,-1 0 1,-1 1-1,1-1 0,-2 0 1,0 1-1,1 16 0,57 9-21527</inkml:trace>
  <inkml:trace contextRef="#ctx0" brushRef="#br0" timeOffset="6409.92">112 1065 19711,'50'4'184,"-34"-1"-74,1-2-1,16 0 0,103-17 475,-2 0 6,-65 12-111,201-17 578,206-12-567,-465 38-758</inkml:trace>
  <inkml:trace contextRef="#ctx0" brushRef="#br0" timeOffset="7495.42">0 1031 19967,'1'-1'30,"0"0"0,-1 1 0,1-1-1,0 1 1,0-1 0,0 1 0,-1-1-1,1 1 1,0-1 0,0 1-1,0 0 1,0-1 0,0 1 0,0 0-1,0 0 1,0 0 0,0 0 0,0 0-1,0 0 1,1 0 0,-1 1 35,0-1 0,-1 1 0,1 0 0,-1 0 0,1 0 0,-1 0 0,1 0 0,-1-1 0,1 1 0,-1 0 0,0 0 0,1 0 0,-1 0 0,0 2 0,6 16 255,-2-12-259,0 1-1,1 0 0,9 12 0,-8-14-6,-1 1 1,-1 0-1,1 0 0,5 13 0,0 9-54,-2 0 0,-1 1 0,5 35 0,2 95-4,-2-22 243,-11-130-233,0 1 1,1-1-1,0 0 1,1 0-1,-1 0 1,2-1-1,-1 1 0,1-1 1,5 9-1,-6-13 4,-1 1 0,1-1 1,0 1-1,0-1 0,1 0 0,-1-1 0,1 1 0,-1-1 0,1 1 0,0-1 0,0 0 0,0 0 0,0-1 1,0 1-1,0-1 0,1 0 0,-1 0 0,9 1 0,8-2 15,1 0 0,0-2-1,22-4 1,-17 2 0,39-1 0,129 13 34,-164-5-15,0 2-1,0 1 1,-1 2 0,38 14 0,-38-11 30,0-1 1,1-2 0,0-1-1,0-2 1,1 0 0,0-3-1,43-1 1,-71-1-73,-1 0-1,1-1 1,-1 1-1,0-1 1,1 0-1,-1 0 1,0 0 0,1 0-1,-1-1 1,0 1-1,0-1 1,0 0 0,0 0-1,-1 0 1,5-3-1,-4 1 10,1-1 0,-1 1-1,1-1 1,-1 1 0,-1-1 0,1 0-1,-1 0 1,4-10 0,-1-6 48,0-1-1,-2 0 1,2-42 0,-4 46-32,1-16-23,-2 1 0,-1 0 1,-1-1-1,-12-55 0,0 24-4,-29-107 0,38 155 49,-3-32 0,-3-9-403,11 57 335,0 1 0,0 0 0,0-1 0,0 1 0,0 0 0,-1-1 0,1 1 0,0 0 0,0-1 0,0 1 0,0 0-1,0-1 1,-1 1 0,1 0 0,0-1 0,0 1 0,-1 0 0,1 0 0,0-1 0,0 1 0,-1 0 0,1 0 0,0-1 0,-1 1 0,1 0-1,0 0 1,-1 0 0,1 0 0,0 0 0,-1 0 0,1-1 0,0 1 0,-1 0 0,1 0 0,-1 0 0,-11 10-958,-7 19-3333,13-17-796,5-8 3404,0 0 0,0 0 1,0 0-1,0 8 0,2 28-3021,0-33 5099,1 28-376</inkml:trace>
  <inkml:trace contextRef="#ctx0" brushRef="#br0" timeOffset="8444.27">492 1684 22015,'3'2'2,"-1"-2"11,0 1 0,0 0 0,0 0 0,0 0 0,0 0 0,-1 0 0,1 1 0,0-1 0,-1 0 0,1 1 1,-1-1-1,1 1 0,-1 0 0,1-1 0,-1 1 0,0 0 0,0 0 0,0 0 0,0 0 0,-1 0 0,1 0 0,0 0 0,-1 0 0,1 0 1,-1 3-1,1 133 307,-1-3 576,5-85-838,1 0 1,2-1 0,16 50-1,-1-34 11,-13-39 14,12 48 0,-19-61-34,1-1-1,7 17 1,-8-22-30,0 1-1,0 1 1,0-1 0,-1 0 0,0 1 0,1 16-1,6 74-18,-9-97 5,1 0 0,-1 0 0,0 0 0,0 0-1,1-1 1,-1 1 0,1 0 0,0 0 0,-1 0-1,1-1 1,0 1 0,0-1 0,0 1 0,0 0 0,1-1-1,-1 0 1,0 1 0,0-1 0,1 0 0,-1 1-1,1-1 1,-1 0 0,1 0 0,0 0 0,-1-1-1,1 1 1,0 0 0,0-1 0,-1 1 0,4 0 0,-6-1-5,1 0 0,0 0 0,0 0 0,0 0 0,0 0 0,0 0 1,-1 0-1,1 1 0,0-1 0,0 0 0,0 0 0,0 0 0,0 0 0,0 0 1,0 1-1,0-1 0,-1 0 0,1 0 0,0 0 0,0 0 0,0 0 1,0 1-1,0-1 0,0 0 0,0 0 0,0 0 0,0 0 0,0 1 0,0-1 1,0 0-1,0 0 0,0 0 0,0 0 0,0 1 0,0-1 0,1 0 1,-1 0-1,0 0 0,0 0 0,0 0 0,0 1 0,0-1 0,0 0 1,0 0-1,0 0 0,0 0 0,1 0 0,-1 0 0,0 0 0,0 1 0,0-1 1,0 0-1,0 0 0,1 0 0,-1 0 0,0 0 0,0 0 0,0 0 0,0 0-1,0 0 1,0 0-1,-1 0 1,1 0-1,0 0 1,0 0-1,0 0 1,0 0-1,-1 0 1,1 0-1,0 0 1,0 0-1,0 0 1,0 0-1,0 0 1,-1 1-1,1-1 1,0 0-1,0 0 1,0 0-1,0 0 1,0 0-1,0 0 1,-1 0-1,1 1 1,0-1-1,0 0 1,0 0-1,0 0 1,0 0-1,0 0 1,0 1-1,0-1 0,0 0 1,0 0-1,0 0 1,0 0-1,0 1 1,0-1-1,0 0 1,0 0-1,0 0 1,0 0-1,0 1 1,0-1-1,0 0 1,0 0-1,0 0 1,0 0-1,0 0 1,0 1-1,0-1 1,0 0-1,1 0 1,-1 0-1,1 2 1,0-1 0,0 0 0,0 0 0,-1 1 0,1-1 0,0 0 0,-1 1 0,1-1 0,-1 1 0,1-1 0,-1 1 0,0-1 0,0 1 0,1 0 0,-1-1 0,0 1 0,0-1 0,-1 1 0,1-1 0,0 1 0,0-1 0,-1 1 0,0 2 0,-16 43 0,10-30 0,-2 4 592,-4 20-3407,12-37 1744,1-1-1,0 0 0,-1 1 1,2-1-1,-1 0 1,0 1-1,0-1 0,1 0 1,0 1-1,0-1 1,1 4-1</inkml:trace>
  <inkml:trace contextRef="#ctx0" brushRef="#br0" timeOffset="9620.49">760 2735 21887,'5'5'0,"5"6"0,-12-10 0,-7-4 0,-14-11 52,-9-3 24,31 17-73,1 0-1,-1 0 0,1 1 1,-1-1-1,1 0 0,-1 0 0,1 0 1,0 0-1,-1 1 0,1-1 1,-1 0-1,1 0 0,0 1 0,-1-1 1,1 0-1,0 1 0,-1-1 1,1 0-1,0 1 0,0-1 1,-1 0-1,1 1 0,0-1 0,0 1 1,0-1-1,-1 0 0,1 1 1,0-1-1,0 1 0,-6 19 134,5-15-85,-1 2-27,0 0 0,1 1 0,0-1 0,0 0 0,1 0 0,0 1 0,0-1 0,0 0 0,1 0 0,0 1 0,1-1 0,0 0 0,0 0 0,0 0 0,6 10 0,2 6 8,0-1 0,1-1 0,27 38 0,-35-55-19,1-1 0,-1 1-1,1-1 1,0 0 0,-1 0-1,1 0 1,7 3 0,-10-5-9,0 0 0,1 0 1,-1 0-1,0-1 0,0 1 0,1-1 1,-1 1-1,0-1 0,1 0 1,-1 1-1,0-1 0,1 0 1,-1 0-1,1 0 0,-1 0 0,0 0 1,1 0-1,-1 0 0,1 0 1,-1-1-1,0 1 0,1-1 1,-1 1-1,0-1 0,1 1 0,-1-1 1,0 0-1,0 1 0,0-1 1,2-1-1,0-3 24,0-1 0,0 1 0,0-1 0,0 1 0,-1-1-1,0 0 1,0 0 0,-1 0 0,1 0 0,-1 0 0,-1-1 0,1 1 0,-1 0 0,0 0 0,0-1 0,-3-9 0,2 5 16,-1 1 0,-1-1 0,0 1 1,0 0-1,-1 0 0,0 0 0,-1 1 1,0 0-1,-8-11 0,8 13-63,0 1 0,-1 0 0,0 0-1,0 0 1,-1 1 0,1 0 0,-1 0 0,0 1-1,-10-5 1,14 7 11,0 1 0,-1 0 0,1 0 0,-1 0 0,1 0 0,-1 0 0,0 1 0,1-1 0,-1 1 0,1 0 0,-1 0 0,0 1 0,1-1 0,-1 1 0,1-1 0,-1 1 0,1 0 0,-1 1 0,1-1 0,0 1 0,-1-1 0,1 1 0,-5 4 0,2-2 8,0 1 0,0 0 0,1 0 0,0 1 0,0-1 0,0 1 0,1 0 0,-6 10 0,9-12 0,-1 0 0,0 0 0,1 1 0,0-1 0,0 1 0,0-1 0,1 1 0,0-1 0,-1 1 0,2-1 0,-1 1 0,0-1 0,1 1 0,2 8 0,1 3 22,1 1-1,9 19 0,-12-32-16,0 0-1,0 0 0,0 0 0,0-1 1,1 1-1,-1-1 0,1 0 0,0 1 1,0-1-1,0-1 0,0 1 0,1 0 1,-1-1-1,7 4 0,-7-5 0,0-1-1,0 0 0,0 1 1,0-1-1,-1 0 0,1 0 1,0-1-1,0 1 1,0 0-1,0-1 0,0 0 1,0 0-1,-1 0 0,1 0 1,0 0-1,-1 0 1,1-1-1,2-2 0,5-1 13,-1-2 0,0 1 0,12-13 0,-10 8 27,-1 0 0,0-1-1,0 0 1,-1 0 0,10-19-1</inkml:trace>
  <inkml:trace contextRef="#ctx0" brushRef="#br0" timeOffset="10854.24">675 163 18559,'17'24'1091,"-25"-38"-134,4 10-803,1 0-1,-1 0 0,0 1 1,0-1-1,0 1 0,0 0 0,0 0 1,-1 0-1,1 0 0,-1 1 1,-7-3-1,-8-2 47,-34-6 0,13 3-114,39 9-92,0 1 0,0-1 1,0 1-1,0 0 1,0 0-1,0 0 1,0 0-1,0 0 0,0 0 1,0 0-1,0 1 1,1-1-1,-1 1 1,0 0-1,0-1 0,0 1 1,0 0-1,0 0 1,1 0-1,-1 0 1,-1 2-1,2-2 2,0 0 0,1 0 0,-1-1 0,0 1 0,1 0 0,-1 0 0,1 0 0,-1 0 0,1 1 0,-1-1 0,1 0 0,0 0 0,0 0 0,-1 0 0,1 0 1,0 0-1,0 0 0,0 1 0,0-1 0,0 0 0,1 0 0,-1 0 0,0 0 0,0 0 0,1 0 0,-1 0 0,1 0 0,-1 1 0,1-1 0,-1-1 0,1 1 0,0 0 0,-1 0 0,1 0 0,0 0 0,0 0 0,0-1 0,1 2 0,6 6 9,1-1-1,0-1 1,0 0-1,0 0 1,1 0-1,0-1 1,0-1-1,1 0 1,-1 0-1,1-1 1,-1 0-1,20 2 1,-13-3 6,0-1 1,1-1-1,-1 0 0,0-1 1,1-1-1,-1 0 0,24-8 1,-37 9 31,-1 0 1,0 0 0,1 0 0,-1-1 0,0 0-1,0 1 1,0-1 0,0 0 0,-1 0 0,1-1-1,0 1 1,-1-1 0,0 1 0,1-1 0,-1 0-1,0 0 1,0 0 0,-1 0 0,3-5 0,-2 2 37,0 0 0,-1 0 1,1 0-1,-2 0 0,1 0 1,-1 0-1,0 0 0,0 0 1,0 0-1,-2-9 0,1 11-67,-1 1 0,1-1 0,0 0 0,-1 1 0,0-1 0,0 1 0,0-1 0,0 1 0,-1 0 0,1 0 0,-1 0 0,0 0 0,0 0 0,0 1 0,0-1 0,0 1 0,-1 0 1,1 0-1,-6-3 0,1 2-20,0 0 1,1 0 0,-1 0 0,-1 1 0,1 0 0,0 1 0,0-1 0,-10 1 0,13 2-2,0-1 1,1 1-1,-1 0 1,1 0-1,-1 0 1,1 1-1,-1 0 1,1 0-1,0 0 1,0 0-1,0 1 1,0-1-1,0 1 1,1 0-1,-1 0 1,1 1-1,0-1 1,0 1-1,0-1 1,0 1-1,0 0 0,1 0 1,0 0-1,0 0 1,0 1-1,0-1 1,1 1-1,-1-1 1,1 1-1,1-1 1,-1 1-1,0 0 1,1-1-1,0 1 1,1 7-1,1-3-6,0 0 0,1 0-1,0-1 1,1 1 0,0-1-1,0 0 1,0 0 0,1 0-1,7 7 1,-9-11 8,0 0-1,0-1 1,1 1 0,-1-1-1,1 0 1,0 0 0,0 0-1,0 0 1,1-1 0,-1 1-1,1-1 1,-1 0 0,1-1-1,0 1 1,0-1 0,-1 0-1,1 0 1,7 0 0,-11-1 7,-1 0 1,1 0-1,-1 0 1,0 0-1,1 0 1,-1 0-1,0 0 1,1 0-1,-1 0 1,0 0-1,1 0 0,-1 0 1,0 0-1,1 0 1,-1 0-1,0 0 1,1 0-1,-1-1 1,0 1-1,1 0 1,-1 0-1,0 0 1,1-1-1,-1 1 1,0 0-1,0 0 1,1-1-1,-1 1 1,0 0-1,0-1 1,0 1-1,1 0 1,-1-1-1,0 1 1,0 0-1,0-1 1,0 1-1,0 0 1,0-1-1,0 1 1,0 0-1,0-1 1,0 1-1,0 0 1,0-1-1,0 1 1,0 0-1,0-1 1,0 1-1,0-1 1,0 1-1,0 0 1,0-1-1,-1 1 1,1 0-1,0 0 1,0-1-1,0 1 1,-1 0-1,1-1 1,0 1-1,0 0 1,-1 0-1,1-1 1,-1 1-1,-20-24 182,17 20-170,-2-2-12,0 1-1,0-1 1,0 1-1,-1 0 1,0 1-1,0-1 1,0 2-1,0-1 1,-1 1-1,1 0 1,-1 0 0,0 1-1,-11-2 1,17 4 96,-1 0 1,1 0-1,0 0 1,0 0-1,0 0 1,0 0-1,0 1 1,0-1-1,0 1 1,0 0-1,-3 1 1,4-2-390,0 1 1,0 0 0,0 0-1,0 0 1,0 0 0,0 0-1,0 0 1,0 0 0,0 0-1,0 0 1,0 1 0,0-1-1,0 2 1,0 0-751,0-1 1,1 1-1,0-1 0,-1 1 1,1-1-1,0 1 0,0-1 1,0 1-1,0-1 0,1 1 1,-1-1-1,1 1 0,-1-1 1,1 1-1,5 8-3122,14 22 2755,7 15 4075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13.66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1204 1 23807,'0'0'128,"-1"6"-21,-12 97-96,-2 140-1,6-29 49,0 25 10,30 582 294,29 46 533,-49-856-897,9 50 101,-9-56-96,0 1-1,1 0 1,0 0-1,1 0 1,-1-1 0,1 0-1,5 9 1,-7-13-42,-1 0 0,1 0 0,0 0 0,0 0 0,0 0 0,0 0-1,0 0 1,0 0 0,0 0 0,0 0 0,0 0 0,0-1 0,1 1 0,-1-1 0,0 1 0,0-1 0,1 1 0,-1-1 0,0 1 0,1-1 0,-1 0-1,1 0 1,-1 0 0,0 0 0,1 0 0,-1 0 0,0 0 0,1-1 0,-1 1 0,0 0 0,1-1 0,-1 1 0,0-1 0,0 1 0,1-1 0,-1 0 0,0 1-1,0-1 1,0 0 0,0 0 0,0 0 0,2-2 0,3-3-461,0-1 1,-1 0-1,1 0 0,-1 0 0,4-11 1,2-3-740,-1-1 1,9-31 0,-3 4-10496</inkml:trace>
  <inkml:trace contextRef="#ctx0" brushRef="#br0" timeOffset="875">1 1206 20735,'65'12'0,"-45"-9"0,-18-3 0,-7-1 0,-16-4 91,-25-3 352,247 0 594,63 1-304,79 18 35,-36-7-205,-47-2-230,-238-1-301,604 11 470,-363-12-338,227-6 162,365 17 549,-821-9-854,387 18 238,-293-20-122,160-19 1,-226 10-48,0-2 1,-1-2-1,106-39 1,-166 51-87,8-3-89,1 0 0,-1 0 0,15-10 0,-22 12 35,0 1 0,0 0 0,0-1 0,-1 1 0,1-1 0,-1 0 0,1 1 0,-1-1 0,1 0 0,-1 0 0,0 0 0,0 0 0,0 0 0,0 0 0,0 0 0,-1 0 0,1-1 0,-1 1 0,1 0 0,-1 0 0,0-1 0,0 1 0,0-3 0,-8-22-3555</inkml:trace>
  <inkml:trace contextRef="#ctx0" brushRef="#br0" timeOffset="1734.7">1225 2499 19839,'5'-16'-4,"-4"11"5,-4 19 23,3-14-23,-11 45 638,5-24-292,2 0 0,0 0 0,-2 32-1,7-42-296,0 0 0,1-1-1,0 1 1,6 18 0,6 25-277,-12-40-177,1-7-2414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24.46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1401 1 16511,'-5'8'71,"4"-6"-17,0-1 0,-1 1-1,1 0 1,0-1 0,0 1-1,0 0 1,1 0 0,-1 0-1,0 0 1,0 4 2346,-2 22-1461,-10 89-364,10-75-350,-13 63-1,2-22-176,3 0 0,-1 119 0,3-18 107,5-138-59,-16 231 426,12-192-499,0 34 44,8-106-62,1 0 1,0 0-1,0 0 1,2 0-1,0 0 1,8 22-1,-2-3-231,-7-26-159,0 1 0,0 0 0,0-1 0,0 1 0,1-1 0,0 0 0,5 7 0,22-73-15188,-22 30 13333</inkml:trace>
  <inkml:trace contextRef="#ctx0" brushRef="#br0" timeOffset="969.25">1117 905 19583,'-3'6'11,"1"0"0,1 1 0,-1-1 0,1 1 0,0-1 0,1 1 0,-1-1 0,1 1 0,1-1 0,-1 1 0,1 0 0,0-1 0,1 0 0,-1 1 0,4 6 0,4 8 75,1-1 0,1 0 0,15 21 0,-16-26-51,0-1 1,-2 1-1,1 1 1,-2 0-1,0 0 1,5 18-1,0 17-99,31 79 0,-26-77 64,-8-26 0,12 27 0,-21-54-6,0 0 0,0 0 0,0 1 0,0-1 0,0 0 0,0 0 0,0 1 0,0-1 0,0 0 0,0 0 0,1 1 0,-1-1 0,0 0 0,0 0 0,0 1 0,0-1 0,0 0 0,1 0-1,-1 0 1,0 0 0,0 1 0,0-1 0,0 0 0,1 0 0,-1 0 0,0 0 0,0 0 0,1 1 0,-1-1 0,0 0 0,0 0 0,0 0 0,1 0 0,-1 0 0,0 0 0,0 0 0,1 0 0,-1 0 0,0 0 0,0 0-1,1 0 1,-1 0 0,0 0 0,5-13-272,-3-18-308,-3-122-438,-3 123 1088,0 0 0,-2 1 0,-1 0 0,-1 0 0,-22-48 0,9 35 23,16 34-63,1 0 1,0 0 0,0-1-1,0 1 1,-2-14-1,5 18-14,0-5 75,-1 0-1,1 0 1,-2 0-1,1 0 1,-1 0-1,-1 1 1,0-1-1,0 1 1,0 0-1,-1 0 1,-9-11-1,13 18-79,0 0-1,0 0 1,1 0-1,-1 0 1,1 0-1,-1 0 1,1 0-1,-1 0 1,1 0-1,-1 0 1,1 0-1,0 0 0,0 0 1,-1 0-1,1 0 1,0 0-1,0 0 1,0 0-1,0 0 1,0-1-1,1 1 1,-1 0-1,0 0 1,0 0-1,1 0 0,-1 0 1,1 0-1,-1 0 1,1 0-1,-1 0 1,1 0-1,0 0 1,-1 1-1,1-1 1,0 0-1,-1 0 1,1 0-1,0 1 1,0-1-1,0 0 0,0 1 1,2-1-1,1-3 24,1 1-1,0 1 1,1-1-1,-1 1 1,0 0-1,10-3 0,18-2-45,0 1 0,1 2 0,-1 1-1,1 1 1,0 2 0,65 9-1,-91-8 115,1 1-1,-1 1 0,0-1 1,0 1-1,0 1 0,0-1 1,11 9-1,-16-10-51,0 0 0,-1 0 0,1 0 0,-1 1 0,1-1 0,-1 1 0,0 0 0,1 0-1,-2 0 1,1 0 0,0 0 0,0 0 0,-1 0 0,0 1 0,0-1 0,0 0 0,0 1 0,0-1 0,-1 1 0,1 6 0,-2 3 17,0-1-1,-1 1 1,-1 0 0,0-1 0,0 1 0,-1-1 0,-1 0 0,-9 18-1,3-9-45,-1-2-1,-1 0 0,0 0 0,-17 17 0,9-12-14,2 1 0,1 1 0,1 1 0,1 0 0,1 1 0,2 1 0,-12 37 0,12-36 0,0 0 0,-31 47 0,23-30 20,17-37-105,0 0 0,-10 17 1,13-25-68,0-1 0,0 0 0,0 0 0,0 1 0,0-1 0,1 0 0,-1 1 0,0-1 0,1 1 0,-1-1 0,1 1 0,0-1 0,-1 1 0,1-1 0,0 1 0,0-1 0,0 1 0,0-1 0,0 1 0,0-1 0,1 3 0,53 9-18413</inkml:trace>
  <inkml:trace contextRef="#ctx0" brushRef="#br0" timeOffset="2072.27">22 608 19583,'5'36'128,"-5"-34"-81,-2-5-6,-7-17-1,2 76 88,-1 68 64,11 212 0,-3-328-172,1 1-1,0-1 0,0 0 0,0 1 1,1-1-1,5 13 0,-6-18-19,0 0 0,1-1-1,0 0 1,-1 1 0,1-1 0,0 0-1,0 0 1,0 0 0,0 0-1,1 0 1,-1 0 0,1-1-1,-1 1 1,1-1 0,-1 1-1,1-1 1,0 0 0,-1 0 0,1 0-1,0-1 1,0 1 0,3 0-1,3-1 1,0 0 0,-1 0 0,1-1 0,0 0 0,-1 0 0,1-1 0,-1-1 0,0 1 0,0-1 0,0 0 0,10-6 0,1-1 0,0-1 0,0-1 0,19-17 0,-27 20-6,-1-1 0,0-1 0,-1 0 0,0 0-1,-1-1 1,0 0 0,-1 0 0,11-25 0,-1-9-3,15-59 1,-16 46 208,-4 19-8,6-45 0,-19 97-218,1 0-1,2 19 0,1 13-21,-6 96 309,0-45-1277,12 130 1,0-168-14940,-3-33 12945,0-8 3010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35.94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208 0 20223,'11'34'128,"-11"-33"-122,0 0 0,0-1 0,0 1 0,0 0-1,0 0 1,1-1 0,-1 1 0,0-1 0,0 1-1,1 0 1,-1-1 0,0 1 0,1 0 0,-1-1 0,1 1-1,-1-1 1,0 1 0,1-1 0,-1 1 0,1-1-1,0 1 1,-1-1 0,1 0 0,-1 1 0,1-1-1,0 0 1,-1 1 0,1-1 0,-1 0 0,1 0-1,0 0 1,-1 0 0,1 1 0,0-1 0,0 0-1,-1 0 1,1 0 0,0 0 0,-1-1 0,1 1 0,1 0-1,-1 0 7,0 0-13,0 0 0,-1 1 0,1-1 0,0 1 0,-1-1 0,1 1 0,-1-1 0,1 1 0,-1 0 0,1-1 0,-1 1 0,1 0-1,-1-1 1,1 1 0,-1 0 0,0 0 0,0-1 0,1 1 0,-1 0 0,0 0 0,0 0 0,0 0 0,2 24-52,-1-15 24,3 28 6,3 39 131,-7-63-87,1-1 1,0 1-1,1 0 0,1 0 1,8 25-1,-6-24-7,0 0 0,-1 0 1,0 0-1,-2 0 0,1 1 0,-2-1 1,0 1-1,-2 21 0,-3 24 35,-18 427 563,23-427-385,7 203 314,-3-225-573,19 73 0,-23-108-117,0 1-1,1-1 1,-1 0-1,1 1 1,0-1-1,0 0 1,1 0-1,3 5 1,-4-7-621,0 0 0,0-1 0,0 1 0,0 0 0,0 0 0,0-1 0,1 1 0,-1-1 0,3 1 0,31-25-11816,-34 21 12821,9-18 106</inkml:trace>
  <inkml:trace contextRef="#ctx0" brushRef="#br0" timeOffset="810.83">0 1095 19839,'3'2'0,"1"-1"0,-1 0 0,0 1 0,0-1 0,-1 1 0,1-1 0,0 1 0,-1 0 0,1 0 0,-1 0 0,1 1 0,-1-1 0,0 1 0,0-1 0,0 1 0,0 0 0,0-1 0,1 6 0,0-1 11,0-1 0,0 1 0,0-1 0,1 0 0,-1 1 0,2-2 0,6 9 0,40 37 137,-27-29-106,24 26-64,3-2 1,109 76 0,-168-182-17073,6 53 17335,-19-56-333,2 14 4976,-42-77 0,18 58-3275,24 43-739,13 19-571,1 0 0,1 0 1,-1-1-1,1 0 0,0 1 0,0-1 1,-3-9-1,7 14-296,0 1 0,0 0 1,0-1-1,0 1 0,0-1 0,0 1 1,0-1-1,1 1 0,-1-1 1,1 1-1,-1-1 0,1 1 0,-1 0 1,1-1-1,0 1 0,-1 0 0,1 0 1,0 0-1,0-1 0,0 1 0,0 0 1,0 0-1,0 0 0,1 0 1,-1 1-1,2-2 0,38-21 163,-34 20-122,5-3 39,1 1 0,-1 0 0,1 1-1,0 0 1,1 1 0,-1 1-1,0 0 1,1 0 0,18 2-1,-23 0-3,0 1 0,0 0-1,0 1 1,-1 0-1,1 1 1,0 0-1,-1 0 1,0 1-1,0 0 1,0 0 0,0 1-1,0 0 1,-1 0-1,13 12 1,-16-12-54,0 1 1,1-1 0,-2 0-1,1 1 1,-1 0 0,0 0-1,0 0 1,0 0 0,-1 0-1,0 1 1,0-1 0,-1 1-1,0 0 1,0-1 0,0 1-1,-1 0 1,0-1 0,0 1 0,-3 11-1,-1 9 79,-2 0 0,-2 0-1,-13 35 1,17-51-94,-44 114 362,-5 15-756,21-47-8777</inkml:trace>
  <inkml:trace contextRef="#ctx0" brushRef="#br0" timeOffset="1562.97">857 1215 19583,'-1'5'0,"0"1"0,-1 0 0,0 0 0,-4 9 0,4-10 0,0 0 0,0 0 0,0 0 0,1 0 0,-1 1 0,1 5 0,0 4 0,0-1 0,0 0 0,0 1 0,-1-1 0,-1 0 0,-7 20 0,5-20 0,0 1 0,2 0 0,-1 0 0,2 0 0,0 1 0,1-1 0,0 0 0,2 16 0,-1-12 0,-1-16 0,1 0 0,0 0 0,0 0 0,0 0 0,0 0 0,0-1 0,1 1 0,-1 0 0,1 0 0,0 0 0,-1-1 0,1 1 0,1 0 0,-1-1 0,0 1 0,1-1 0,1 4 0,2-1 45,0 0-1,1 0 1,-1 0-1,1-1 1,9 6-1,-14-9-35,0 0-1,0 0 1,0-1 0,0 1 0,1-1-1,-1 1 1,0-1 0,1 0-1,-1 1 1,0-1 0,1 0-1,-1 0 1,0 0 0,1 0 0,-1 0-1,0 0 1,1 0 0,-1 0-1,0-1 1,1 1 0,-1 0-1,0-1 1,0 1 0,1-1 0,-1 1-1,0-1 1,0 0 0,0 0-1,0 1 1,0-1 0,0 0-1,0 0 1,0 0 0,0 0 0,0 0-1,0 0 1,0-2 0,81-151 161,-74 140-161,0-1-10,1 1 0,0-1-1,1 2 1,1-1 0,0 1 0,19-16-1,-30 28 2,0 1 0,0 0 0,0 0 0,0 0 0,0 0 0,1 0 0,-1 0 0,0 0 0,0 0 0,0 0 0,0 0 0,0-1 0,0 1 0,0 0 0,1 0 0,-1 0 0,0 0 0,0 0 0,0 0 0,0 0 0,0 0 0,1 0 0,-1 0 0,0 0 0,0 0 0,0 0 0,0 0 0,0 0 0,0 0 0,1 0 0,-1 0 0,0 0 0,0 1 0,0-1 0,0 0 0,0 0 0,0 0 0,1 0 0,-1 0 0,0 0 0,0 0 0,0 0 0,0 0 0,0 1 0,0-1 0,0 0 0,0 0 0,0 0 0,0 0 0,0 0 0,1 1 0,-1 10 0,-3 19 0,2-27 0,-14 127 0,13-118-81,1 0 0,1 0-1,0 1 1,0-1-1,3 13 1,-1-14-1493,0 0 0,1-1 0,5 13 1,19-1-9968,10-23 10532,-31 1 1314,13-2-1500</inkml:trace>
  <inkml:trace contextRef="#ctx0" brushRef="#br0" timeOffset="2046.93">1425 1466 19839,'-13'18'57,"-1"0"0,-20 19 0,-4 6 28,30-31-120,1 0-1,1 0 0,0 1 1,1-1-1,0 1 0,-3 17 1,4-20 28,4-7 19,-1 0 0,1 0 0,-1-1 0,1 1 0,0 0 0,0 0 0,0 0 0,0-1 0,1 1 0,-1 0 0,1 0 0,0 0 0,-1-1 0,1 1 0,1-1 0,-1 1 0,0 0 0,1-1 0,-1 0 0,1 1 0,-1-1 0,1 0 0,0 0 0,0 0 0,0 0 0,1 0 0,-1 0 0,0-1 0,1 1 0,-1-1 0,3 2 0,7 3 52,0-1 0,0 0 0,1 0 0,-1-1 0,19 3 0,-10-3-682,0-2-1,0 0 0,38-3 1,-19-2-3179,41-10-1,-43 8-4688,-2 2 6562,-6 2 1924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34.24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96 0 16000,'26'38'554,"-26"-36"-466,-1 1 0,1-1-1,-1 0 1,1 0 0,-1 0-1,0 0 1,0 0 0,0 0-1,0-1 1,-2 4 0,-1 3 35,-7 24 45,1 0 0,2 0-1,-5 45 1,-5 22 78,11-56-127,1-1-1,0 45 0,4-49-67,1-29-302,0 1 0,-1 0 0,0-1 0,-6 17-1,-4-2-8711</inkml:trace>
  <inkml:trace contextRef="#ctx0" brushRef="#br0" timeOffset="586.41">61 185 15104,'37'-34'128,"-36"32"-119,1 0 1,-1 0-1,0 0 1,1-1-1,-1 1 1,0 0-1,0-1 1,-1 1-1,1 0 1,0-1-1,-1 1 1,1-1 0,-1 1-1,0-1 1,0-3-1,3-14 73,9-13 17,4-14-70,-16 43-93,0 4 150,2 10 418,-1 0 1,0 0-1,0 11 1,-2-15-460,1 1 0,0-1 0,1 0 1,0 0-1,0 1 0,0-1 0,0 0 0,1 0 0,0 0 0,1 0 0,4 10 0,17 14 105,-19-25-109,0 1-1,0 0 1,0 1 0,-1-1 0,0 1 0,0 0 0,-1 0 0,0 0 0,0 0 0,-1 0 0,3 10-1,-3-4 50,-1-1-1,0 0 1,-1 0 0,-2 18-1,2-27-66,-1 1-1,1 0 0,-1 0 1,0-1-1,-1 1 1,1-1-1,-1 1 1,1-1-1,-1 1 1,0-1-1,0 0 1,-1 0-1,1 0 1,0 0-1,-1 0 1,0-1-1,0 1 1,-3 1-1,2-1-72,0 0 0,0-1-1,0 0 1,0 0 0,-1 0 0,1-1-1,0 1 1,-1-1 0,0 0 0,1-1 0,-1 1-1,-7 0 1,9-2-24,0 1 0,0-1 0,0 0 0,0 1 0,0-1 0,-1-1 0,2 1 0,-1 0 0,0-1 0,0 1 0,0-1 0,1 0 0,-1 0 0,1 0 0,-1 0 0,1-1 0,0 1 0,0-1 0,-2-2 0,4 5 68,1 0 0,-1 0 0,0 1 0,1-1 0,-1 0 0,0 0 0,1 0 0,-1 0 0,1 0 0,-1 0 0,0 0 1,1 0-1,-1 0 0,0 0 0,1 0 0,-1-1 0,0 1 0,1 0 0,-1 0 0,1 0 0,-1 0 0,0 0 0,0-1 0,1 1 0,-1 0 0,0 0 0,1-1 1,-1 1-1,0 0 0,0 0 0,1-1 0,-1 1 0,0 0 0,0-1 0,0 1 0,1 0 0,-1-1 0,0 1 0,0 0 0,0-1 0,0 1 0,0 0 0,0-1 1,0 1-1,0 0 0,0-1 0,0 1 0,0-1 0,0 1 0,0 0 0,0-1 0,0 1 0,0 0 0,0-1 0,0 1 0,-1 0 0,1-1 0,0 1 0,0 0 1,0-1-1,-1 1 0,1 0 0,0-1 0,0 1 0,-1 0 0,1 0 0,-1-1 0,31 8 260,-1 5 76,0 1-1,-1 2 0,44 30 0,16 9-110,-74-46-47,0 2 0,20 17 1,3 3-4069,5-7-9855,-4-9 12535,20 8 3563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54.743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1326 292 12032,'28'7'384,"-28"-6"-362,0-1 1,1 0 0,-1 0-1,0 0 1,1 0 0,-1 0 0,0 0-1,1 0 1,-1 1 0,1-1 0,-1 0-1,0 0 1,1 0 0,-1-1-1,0 1 1,1 0 0,-1 0 0,0 0-1,1 0 1,-1 0 0,1 0-1,-1 0 1,0-1 0,1 1 0,-1 0-1,0 0 1,0 0 0,1-1-1,-3-7 2174,-4 4 140,6 5-2300,0-1 0,-1 0 0,1 0 0,0 1 0,0-1 0,0 0 0,-1 0 0,1 1 0,0-1 0,0 0 0,0 1 0,0-1 0,0 0 1,0 1-1,0-1 0,0 0 0,0 1 0,0-1 0,0 0 0,0 1 0,0-1 0,0 0 0,0 1 0,0-1 0,0 0 0,0 1 0,0-1 0,1 0 0,-1 1 0,9 35 344,-4-19-133,-1 1-1,0 0 0,0 19 1,16 212 713,-18-238-878,0 10 175,-2-20-150,0-14-63,-1-20-44,-8-42 0,7 61 0,-1 1 0,-1-1 0,0 1 0,-1 0 0,-1 0 0,-7-12 0,5 8-21,0-1 0,0 0-1,2 0 1,0 0 0,1-1-1,1 0 1,1 0 0,1-1-1,0 1 1,1-1 0,1 1-1,4-23 1,-4 41 14,0 0-1,0 0 1,0 0-1,0 0 1,0 0 0,1 1-1,-1-1 1,0 0-1,1 0 1,-1 0 0,0 1-1,1-1 1,-1 0 0,1 0-1,-1 1 1,1-1-1,0 0 1,-1 1 0,1-1-1,0 1 1,-1-1-1,1 1 1,0-1 0,-1 1-1,1-1 1,0 1-1,0 0 1,0-1 0,0 1-1,-1 0 1,1 0-1,0-1 1,1 1 0,3 1 11,-1-1 0,0 1 0,0-1 0,1 1 0,7 4 1,9 0-120,79 2 89,-51-4 28,70 12 0,-110-13-31,0 1 1,1 0-1,-2 1 0,1 0 0,0 0 0,-1 1 0,11 7 0,-3-2 26,-3-7 911,-4-1-170,-9-2-738,-1 1 0,1-1 0,0 1-1,0-1 1,0 1 0,0-1 0,0 1 0,0-1 0,-1 0 0,1 1-1,0-1 1,0 1 0,-1-1 0,1 1 0,0-1 0,-1 0-1,1 1 1,0-1 0,-1 0 0,1 1 0,-1-1 0,1 0-1,-1 1 1,-115 98-21,94-79-6,1 1 1,0 0-1,-31 46 0,47-60 29,1-1 0,1 1 0,0 0 1,-4 9-1,-9 19-55,16-35-145,0-4 159,0 0 0,0-1-1,0 1 1,1 0 0,-1 0-1,1 0 1,1-5 0,36-47-332,-26 39 385,18-31 1,-20 25-47,10-31 0,-12 30-192,13-27 0,-77 150-522,31-50 621,16-31 287,0 0 1,-17 23-1,19-67 222,6 9-467,1 0 0,1 0 0,0 0 1,1 0-1,1 0 0,1 1 0,1 0 0,8-22 0,-8 69-301,-8-10-654,-3-2-3714,4-13 2348,0 0-1,0-1 0,1 1 1,-2 11-1,3 12 741,0-7 1664</inkml:trace>
  <inkml:trace contextRef="#ctx0" brushRef="#br0" timeOffset="1038.5">1973 434 16384,'-6'26'40,"4"-25"105,2-16 96,0 14-173,0 0-1,1 0 1,-1 0-1,0-1 1,0 1-1,-1 0 1,1 0-1,0 0 1,0-1-1,0 1 1,-1 0-1,1 0 1,-1 0-1,1 0 1,-1 0-1,1 0 1,-1 0-1,0 0 1,0-1-1,0 1-44,0 1 0,0-1 0,0 1 0,0 0 0,0-1 0,0 1 0,-1 0-1,1 0 1,0 0 0,0 0 0,0 0 0,0 0 0,0 0 0,0 0 0,0 0 0,0 1 0,-1-1 0,1 0 0,0 1 0,0-1 0,0 0-1,-1 2 1,-1 0 96,0 0 0,0 0-1,0 0 1,0 0-1,0 0 1,1 1-1,-1 0 1,1-1-1,0 1 1,0 0-1,0 0 1,0 0 0,0 1-1,0-1 1,1 0-1,0 1 1,0-1-1,0 0 1,-1 6-1,-2 9 187,2 1 0,-2 28-1,3-30-367,-13 80 734,2-19-4862</inkml:trace>
  <inkml:trace contextRef="#ctx0" brushRef="#br0" timeOffset="1466.62">1785 394 13952,'19'43'128,"-17"-38"204,-6-12 1214,3 6-1386,1 0 0,-1 0 0,1 0 0,-1 0 0,1 0 0,0 0 0,-1 0-1,1 0 1,0 0 0,0 0 0,0-1 0,-1 1 0,1 0 0,0 0 0,0 0 0,1 0 0,-1-1 0,3-1-140,0 1 1,0 0 0,0 0 0,0 0-1,0 0 1,1 1 0,-1-1-1,0 1 1,1 0 0,-1 0-1,1 0 1,0 0 0,5 0-1,8 1 203,30 1 0,-8 1-84,-15-4-1513,43-9-1,8-1-5433,-56 12-1150,0 0 5890,-6 2 2068</inkml:trace>
  <inkml:trace contextRef="#ctx0" brushRef="#br0" timeOffset="1885.75">1700 869 16256,'62'-82'0,"-60"77"79,-5 5 19,-13 10 155,16-9-235,-1 0 0,0-1 0,1 1 0,-1 0 0,0-1 0,1 1 0,-1 0 0,1 0 0,-1 0 0,1-1 1,0 1-1,-1 0 0,1 0 0,0 0 0,0 0 0,-1 0 0,1 1 0,1-1-4,-1 0 0,0 0 1,1-1-1,-1 1 0,1 0 0,-1-1 0,1 1 0,-1-1 0,1 1 1,-1-1-1,1 1 0,0-1 0,-1 1 0,1-1 0,0 1 1,0-1-1,-1 0 0,1 1 0,0-1 0,0 0 0,-1 0 1,1 0-1,0 0 0,0 1 0,0-1 0,-1 0 0,3-1 0,0 1 49,1-1-1,0 0 1,0 0-1,-1-1 0,1 1 1,-1-1-1,1 0 0,-1 0 1,0 0-1,0 0 0,0 0 1,4-4-1,13-8 130,-7 7 147,1 1 0,26-9 0,66-8-12528,-59 14 5079,-20 4 7110</inkml:trace>
  <inkml:trace contextRef="#ctx0" brushRef="#br0" timeOffset="2523.19">2296 566 16384,'-8'12'1,"7"-10"0,-1 0 1,0 1-1,1 0 1,-1-1-1,1 1 1,0 0 0,0 0-1,0-1 1,0 1-1,0 0 1,1 0-1,-1 4 1,0-1 1489,-8 1-828,5-3-680,1 0-1,0 1 1,0-1-1,1 1 1,-1 0-1,1 0 1,0 0-1,0 0 0,1 0 1,0 0-1,-2 7 1,-3 13-29,4-21 47,1 0 0,-1 1 0,1-1 1,0 1-1,1-1 0,-1 1 0,1-1 0,-1 1 0,1 0 0,1-1 0,-1 1 0,1 0 0,0-1 0,0 1 0,0-1 0,0 0 0,1 1 0,0-1 0,0 0 0,3 6 0,-5-10-3,2 3 66,-1 1-1,1-1 0,0 0 1,0 0-1,0 0 1,0-1-1,1 1 0,3 3 1,-5-5-36,1-1 0,0 1 0,-1 0 0,1-1 0,0 0 0,-1 1 0,1-1 0,0 0 1,-1 0-1,1 0 0,0 0 0,0 0 0,-1-1 0,1 1 0,0 0 0,-1-1 0,1 1 0,-1-1 0,4-1 0,-5 2-2,16-6-1309,37-2-16403,-23 8 19606</inkml:trace>
  <inkml:trace contextRef="#ctx0" brushRef="#br0" timeOffset="4106.08">2352 615 12160,'22'-1'240,"-18"1"585,-13-2 873,2 0-899,7 2-790,0 0-1,0 0 1,0 0-1,0 0 1,0 0 0,0 0-1,0 0 1,0 0-1,0 0 1,0 0 0,0-1-1,0 1 1,0 0-1,0 0 1,0 0-1,0 0 1,0 0 0,0 0-1,0 0 1,0 0-1,0 0 1,0 0-1,0 0 1,0-1 0,0 1-1,0 0 1,0 0-1,0 0 1,0 0-1,0 0 1,0 0 0,0 0-1,0 0 1,0 0-1,0 0 1,0 0 0,-1 0-1,1 0 1,0 0-1,0 0 1,0-1-1,0 1 1,0 0 0,0 0-1,0 0 1,0 0-1,0 0 1,0 0-1,0 0 1,-1 0 0,1 0-1,0 0 1,0 0-1,0 0 1,0 0 0,12-3 707,12-7 28,-16 5-591,1-1 0,-1 1 0,1 0 0,0 1 0,11-3 0,-20 7-139,-1 0 1,1 0 0,0 0 0,0 0-1,0 0 1,0 0 0,0 0-1,0 0 1,-1 0 0,1 0 0,0 0-1,0 0 1,0-1 0,0 1-1,0 0 1,0 0 0,0 0-1,-1 0 1,1 0 0,0 0 0,0 0-1,0 0 1,0 0 0,0 0-1,0 0 1,0 0 0,0-1-1,0 1 1,0 0 0,0 0 0,0 0-1,-1 0 1,1 0 0,0 0-1,0 0 1,0-1 0,0 1 0,0 0-1,0 0 1,0 0 0,0 0-1,0 0 1,0 0 0,0-1-1,0 1 1,0 0 0,0 0 0,0 0-1,1 0 1,-1 0 0,0 0-1,0 0 1,0-1 0,0 1 0,0 0-1,0 0 1,0 0 0,0 0-1,0 0 1,0 0 0,0 0-1,0 0 1,1 0 0,-1 0 0,0-1-1,0 1 1,0 0 0,0 0-1,0 0 1,-12-1 982,2 4-1646,0 1 0,0 1-1,-10 6 1,14-7-440,0 0 1,0 0-1,1 0 0,0 1 0,0 0 1,-5 6-1,-8 14-6228</inkml:trace>
  <inkml:trace contextRef="#ctx0" brushRef="#br0" timeOffset="5053.29">287 48 14592,'26'14'1024,"-40"-7"1173,11-1-2132,0 1 1,1-1-1,0 1 1,0 0-1,0 0 1,1 0-1,0 0 1,1 0-1,-1 10 1,1-3 4,-6 26 65,-1-1 0,-14 46 0,10-55-3324,2-13-3888,-21 29 0,25-38 5605,1-3 1472</inkml:trace>
  <inkml:trace contextRef="#ctx0" brushRef="#br0" timeOffset="5446.18">130 25 15232,'0'7'0,"1"0"-2,11 28 25,-17-62 443,5 26-439,0 0 1,0 0-1,0 0 0,0 0 0,0 0 0,0 0 0,0 0 0,0 0 0,0 0 0,0 0 0,1 0 0,-1 0 0,0 0 0,1 0 0,-1 1 0,1-1 0,-1 0 1,1 0-1,-1 0 0,1 0 0,0 1 0,-1-1 0,1 0 0,0 0 0,0 1 0,-1-1 0,1 1 0,0-1 0,0 1 0,0-1 0,0 1 0,0-1 0,1 1 0,27-3 243,1 1 0,44 4 0,-12-1 94,-20-2 2680,22-6-9442,1 0-3157,-24 5 6955,-18 2 1320</inkml:trace>
  <inkml:trace contextRef="#ctx0" brushRef="#br0" timeOffset="5833.87">1 508 15872,'0'0'0,"32"-26"128,-20 17 0,-3 4 0,-3 0 127,0 2-255,8-2 0,4 1 0,2-1 0,2 2 0,10 1 0,7 2-127,-7 0 127,-2-1-7808,3 1-640,2 1 8448,-7 1 0</inkml:trace>
  <inkml:trace contextRef="#ctx0" brushRef="#br0" timeOffset="6284.22">576 254 17023,'-23'43'150,"23"-43"-144,-1 0 1,1 0 0,0 1-1,0-1 1,0 0 0,0 0-1,0 0 1,0 0 0,0 1-1,0-1 1,0 0 0,0 0-1,1 0 1,-1 0 0,0 0-1,0 1 1,0-1 0,0 0-1,0 0 1,0 0-1,0 0 1,0 0 0,0 1-1,0-1 1,1 0 0,-1 0-1,0 0 1,0 0 0,0 0-1,0 0 1,0 0 0,1 1-1,-1-1 1,0 0 0,0 0-1,0 0 1,0 0 0,0 0-1,1 0 1,-1 0-1,0 0 1,0 0 0,0 0-1,0 0 1,1 0 0,-1 0-1,0 0 1,0 0 0,0 0-1,0 0 1,1 0 0,-1 0-1,0 0 1,0-1 0,0 1-1,0 0 1,0 0 0,1 0-1,-1 0 1,0 0-1,0 0 1,0 0 0,0-1-1,1 1 4,0 0-1,-1 0 1,1-1-1,0 1 0,-1 0 1,1 0-1,0 0 0,-1 0 1,1 0-1,0 0 0,0 0 1,-1 0-1,1 1 1,0-1-1,-1 0 0,1 0 1,0 0-1,-1 1 0,1-1 1,-1 0-1,1 1 0,0-1 1,-1 0-1,1 1 1,-1-1-1,1 1 0,-1-1 1,1 1-1,-1-1 0,0 1 1,1 0-1,5 18 53,0-1 0,-1 1 1,-2 0-1,0 0 0,1 20 0,-5 98 261,-1-88-543,5 70 0,-6-226-17806,6 62 18026</inkml:trace>
  <inkml:trace contextRef="#ctx0" brushRef="#br0" timeOffset="6783.02">611 190 18175,'6'42'22,"9"-87"84,-15 44-106,1-1 0,0 1-1,-1 0 1,1-1 0,0 1-1,0 0 1,-1-1 0,1 1-1,0 0 1,0 0-1,1 0 1,-1 0 0,0 0-1,0 0 1,0 0 0,1 0-1,-1 1 1,0-1 0,1 0-1,-1 1 1,1-1 0,-1 1-1,1 0 1,-1-1-1,3 1 1,-1-1 11,1 1-1,-1-1 1,1 1-1,-1 0 1,1 0-1,-1 0 1,1 0-1,-1 1 1,0-1 0,6 2-1,3 4 67,0 0 0,0 0 0,-1 1 0,0 0-1,-1 1 1,1 0 0,-2 1 0,1 0 0,-1 0 0,0 1 0,10 17-1,-14-21-47,-2 0 0,1 1 0,-1 0 0,0-1 0,0 1 0,-1 1-1,0-1 1,0 0 0,-1 0 0,0 1 0,0-1 0,-1 1 0,1-1-1,-2 1 1,1-1 0,-1 1 0,0-1 0,-1 0 0,0 1 0,0-1 0,-6 12-1,6-13 8,-1 0-1,-1-1 1,1 1 0,-1-1-1,0 0 1,0 0-1,-1 0 1,1 0-1,-1-1 1,0 0-1,-1 0 1,1 0 0,0-1-1,-1 1 1,0-2-1,0 1 1,-12 4-1,49 16-56,8 13-1336,13 23 3867,3 1-5732,-15-23-8895,-36-34 11221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6:03.260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91 888 16000,'-5'5'-42,"-17"13"703,40-30 639,-17 12-1286,0-1-1,0 0 0,0 0 0,0 1 0,0-1 0,0 1 0,0-1 0,0 1 0,1-1 0,-1 1 0,0 0 0,0-1 0,1 1 0,-1 0 0,0 0 0,0 0 0,0 0 1,1 0-1,-1 0 0,0 0 0,0 1 0,1-1 0,-1 0 0,0 1 0,0-1 0,0 1 0,0-1 0,0 1 0,1 0 0,-1-1 0,0 1 0,0 0 0,-1 0 0,1-1 1,0 1-1,0 0 0,0 0 0,0 0 0,-1 0 0,1 0 0,-1 0 0,1 1 0,-1-1 0,1 0 0,-1 0 0,1 0 0,-1 0 0,0 2 0,2 5 4,-2 0-1,1 0 1,-1-1-1,-1 1 1,1 0-1,-1 0 0,0-1 1,-4 12-1,-2 20 135,1 45 569,-4 32-288,7-99-390,-1 0 1,0 0 0,-1-1 0,-13 29-1,9-25-105,7-14-181,0-1 0,0 1 0,-1-1 0,0 1 0,0-1 1,-7 7-1,10-11 202,0-1 1,0 0 0,0 0 0,0 0-1,0 0 1,-1 0 0,1 1-1,0-1 1,0 0 0,0 0-1,0 0 1,-1 0 0,1 0 0,0 0-1,0 0 1,0 0 0,0 0-1,-1 0 1,1 0 0,0 0 0,0 0-1,0 0 1,-1 0 0,1 0-1,0 0 1,0 0 0,0 0-1,-1 0 1,1 0 0,0 0 0,0 0-1,0 0 1,0 0 0,-1 0-1,1 0 1,0 0 0,0 0-1,0-1 1,0 1 0,0 0 0,-1 0-1,1 0 1,-5-12-562,0-17 568,4 25-132,-5-56 383,1-1 1,4 0 0,2 0 0,2 1 0,16-81 0,-12 87-109,-6 39-94,1 0 0,0 0 0,1 0 0,0 1 0,1-1 0,1 1 0,1 0 0,7-15 0,-11 26 22,0 0 0,1 0 0,-1 1 0,1-1-1,-1 1 1,1 0 0,0 0 0,0 0-1,0 0 1,0 0 0,0 1 0,1-1-1,5-1 1,9-5 231,-16 8-228,-1-1 0,0 1 0,0 0 0,1 0 0,-1 0 0,0 0-1,1 0 1,-1 0 0,0 0 0,1 0 0,-1 0 0,0 1-1,1-1 1,-1 1 0,0-1 0,0 1 0,1-1 0,-1 1 0,2 1-1,24 17 502,-19-12-363,60 58 100,-23-32-265,2-2 1,52 26-1,-58-35 144,0 2 0,-2 2 0,62 52 0,-99-76-73,0-1-1,0 1 1,0 0-1,0 0 1,-1 0-1,1 0 1,-1 0-1,1 0 1,1 3-1,-3-4-41,0 0-1,-1 0 0,1 0 1,0 0-1,0 0 0,-1 0 0,1 0 1,0 0-1,-1 0 0,1 0 1,-1 0-1,1 0 0,-1-1 0,0 1 1,1 0-1,-1 0 0,0-1 1,1 1-1,-1 0 0,0-1 0,0 1 1,0-1-1,-1 2 0,-24 18 46,-1-1-1,-40 21 0,-185 100-85,52-35-544,134-73 150,62-30-188,-24 10-259,15-10-2119,54-35-14246</inkml:trace>
  <inkml:trace contextRef="#ctx0" brushRef="#br0" timeOffset="1916.05">186 1132 17791,'27'-20'118,"-24"17"-18,-10 11 18,1-2-70,5-5 80,12-26 128,-7 19-267,2-4-130,-5 26 37,-3 23 126,16-60 84,30-103 22,-43 120-129,1 0 0,0 1-1,1-1 1,-1 0-1,1 1 1,0 0-1,-1 0 1,1 0 0,1 0-1,-1 0 1,0 0-1,1 1 1,-1 0 0,7-3-1,-10 4 0,0 1 0,0 0 0,0 0 0,0 0-1,0 0 1,1 0 0,-1 0 0,0 0 0,0 0 0,0 0 0,0 0 0,0 0 0,1 0-1,-1 1 1,0-1 0,0 0 0,0 0 0,0 0 0,0 0 0,0 0 0,0 0-1,1 0 1,-1 0 0,0 0 0,0 0 0,0 0 0,0 1 0,0-1 0,0 0-1,0 0 1,0 0 0,0 0 0,1 0 0,-1 0 0,0 0 0,0 1 0,0-1-1,0 0 1,0 0 0,0 0 0,0 0 0,0 0 0,0 1 0,0-1 0,0 0-1,0 0 1,-1 12-15,-5 9 49,-29 133 1126,12-43-290,14-147-740,7 17-138,0-1-1,1 0 0,1 1 1,3-22-1,16-77-103,-2 22 25,-17 91 79,-3 5 7,-5 13 10,-7 21-1,5 0-6,2 0 0,2 1 0,1 0 0,-1 51 0,6-63 2,0-14 2,0 1 0,0 0 0,-1-1 0,-4 18 0,0-36 216,1-8-184,0-13 48,3-57 1,-2-13 87,1 87-152,2 13-20,0 0 0,0 0 0,0 0 1,0 0-1,0 0 0,0 0 0,0 0 0,0 0 1,0 0-1,0 0 0,0 0 0,0 0 0,0 0 1,0 0-1,0 0 0,0 0 0,0 0 0,0 0 1,0 22-48,1-7-37,-1 4 74,1 1-1,6 34 0,-5-46 15,0 0-1,0 0 0,1 0 0,0 0 0,1 0 1,-1-1-1,1 0 0,1 0 0,5 8 0,-9-15-3,-1 0 0,1 1 0,0-1 0,0 0 0,-1 1 0,1-1 0,0 0 0,-1 0 0,1 0 0,0 1 0,0-1 0,0 0 0,-1 0 0,1 0 0,0 0 0,0-1 0,-1 1 0,1 0 0,0 0 0,0 0 0,-1-1 0,1 1 0,0 0 0,-1-1 0,1 1 0,0 0 0,-1-1 0,1 1 0,0-1 0,-1 1 0,1-1 0,23-19 0,-23 18 0,66-57 128,-61 55-95,-8 8 34,-2 6-17,3-9-43,-8 21 18,1 0 0,1 1 0,-6 31-1,6-14-1858</inkml:trace>
  <inkml:trace contextRef="#ctx0" brushRef="#br0" timeOffset="2430.27">824 89 17023,'0'8'-7,"0"13"259,-13-43 527,8 11-422,-3-4 208,4 16-428,0 9-150,1 6 82,0-7-6,1 0 1,0 0-1,1 0 0,0 1 1,0-1-1,1 0 0,1 16 1,40 186 688,-37-190-715,0-6-87,-2 0 1,0 1-1,0 21 0,-3-20-3441,-2 1-3507</inkml:trace>
  <inkml:trace contextRef="#ctx0" brushRef="#br0" timeOffset="2779.38">594 23 17407,'38'26'22,"-33"-22"115,-7-5 6,-13-7 187,7 4 190,16 4 56,60-2-1323,91-12 4491,-102 7-5678,-3 0-3891,0 2-5305,9 0 9423,-37 5 1067</inkml:trace>
  <inkml:trace contextRef="#ctx0" brushRef="#br0" timeOffset="3112.86">586 615 21119,'42'-25'-106,"-42"25"105,0 0 1,0 0-1,1-1 1,-1 1-1,0 0 1,0 0-1,0 0 0,0 0 1,0 0-1,0 0 1,1 0-1,-1 0 1,0 0-1,0 0 1,0 0-1,0 0 1,0 0-1,1 0 1,-1 0-1,0 0 1,0 0-1,0 0 1,0 0-1,0 0 1,1 0-1,-1 0 0,0 0 1,0 0-1,0 0 1,0 0-1,0 0 1,1 0-1,-1 0 1,0 0-1,0 0 1,0 0-1,0 0 1,0 1-1,0-1 1,0 0-1,1 0 1,-1 0-1,0 0 0,0 0 1,0 0-1,0 1 1,0-1-1,0 0 1,0 0-1,-1 11 14,1-11-18,-1 1 1,1 0-1,0 0 1,-1 0-1,1 0 1,0 0-1,0 0 0,0-1 1,0 1-1,0 0 1,0 0-1,0 0 1,0 0-1,0 0 0,0 0 1,1 0-1,-1-1 1,0 1-1,1 0 1,-1 0-1,0 0 0,1 0 1,-1-1-1,2 2 1,0-1 3,1 0-1,-1-1 1,1 1 0,0-1 0,-1 1 0,1-1 0,0 0 0,-1 0 0,1 0-1,0 0 1,4-2 0,37-8 67,-20 4-118,10-1 2075,1-1-3857,68-21-13710,-50 15 10142,-18 4 5402</inkml:trace>
  <inkml:trace contextRef="#ctx0" brushRef="#br0" timeOffset="3497.88">1255 398 18943,'-21'17'76,"13"-11"33,1 0 0,0 1 0,-8 8 0,13-11-21,0-1 0,0 1 0,0-1 0,1 1 0,-1 0 0,1-1 0,0 1 0,0 0 0,0 6 0,-2 36 56,4-15-64,0 0-1,2 0 0,1 0 0,12 40 0,-10-49-3925,17 36 1</inkml:trace>
  <inkml:trace contextRef="#ctx0" brushRef="#br0" timeOffset="3797.47">1048 289 18943,'32'59'128,"-31"-57"87,-2-4 25,-5-13 241,5 14-467,1 1 1,-1-1-1,1 0 0,-1 0 1,1 0-1,0 0 0,-1 0 1,1 0-1,0 0 0,0 0 0,0 0 1,0 0-1,0 0 0,0 0 1,0 0-1,0 0 0,0 0 1,0 0-1,0 0 0,1 0 1,-1 0-1,0 0 0,1 0 1,-1 0-1,1 0 0,-1 0 0,1 1 1,0-1-1,-1 0 0,1 0 1,0 0-1,0 0 0,9-1-3,1 0-1,-1 0 1,1 1-1,-1 1 1,1-1-1,19 4 1,-9-2-63,32-2-2178,66-15-15148,-87 11 16613,4-1 765</inkml:trace>
  <inkml:trace contextRef="#ctx0" brushRef="#br0" timeOffset="4411">1652 628 17151,'0'-2'57,"0"0"0,0 1 0,0-1-1,0 0 1,0 1 0,0-1-1,0 0 1,0 0 0,1 1-1,-1-1 1,1 1 0,0-1 0,-1 0-1,1 1 1,1-3 0,3-5 443,-4 7-443,-1-1-1,1 1 1,-1-1-1,1 1 0,-1-1 1,0 1-1,0-1 0,0 0 1,0 1-1,-1-1 1,1 1-1,-1-1 0,1 1 1,-1-1-1,0 1 1,0-1-1,0 1 0,0 0 1,0-1-1,-3-2 0,2 2-8,1 1 0,-1-1 0,0 1 0,0-1 0,0 1 0,0 0 0,-1 0 0,1 0 0,0 0 0,-1 0 0,0 0 0,1 1 0,-1-1 0,0 1 0,0 0 0,0 0 0,-3-1 0,4 2-48,0 0 0,0 0 0,0 1 0,1-1 0,-1 0 0,0 1 0,0-1 0,0 1 0,1 0 0,-1 0 0,0-1 0,1 1 0,-1 0 0,1 1 0,-1-1 0,1 0 0,-1 0 0,1 1 0,0-1 0,0 0 0,-1 1 0,1-1 0,0 1 0,0 0 0,1-1 0,-2 4 0,-2 2 0,1 1 0,0 0 0,1 0 0,-3 12 0,4-14 0,-3 16-22,1 0 0,-1 27-1,4-44 19,0 0 0,1 1 0,-1-1 0,1 1 0,0-1 0,0 0 0,0 0 0,1 1 0,0-1 0,0 0 0,0 0 0,1-1-1,0 1 1,5 7 0,-7-11 11,1 0-1,-1 0 0,1 1 1,-1-1-1,1 0 0,-1 0 0,1 0 1,0-1-1,0 1 0,-1 0 1,1-1-1,0 1 0,0-1 0,0 1 1,0-1-1,-1 0 0,1 0 1,0 0-1,0 0 0,0 0 1,0 0-1,0-1 0,0 1 0,0-1 1,-1 1-1,1-1 0,0 0 1,0 1-1,2-3 0,4-1 38,1-1-1,-1-1 0,0 1 0,9-10 1,-3 2 18,22-27 0,3-5 27,-20 27-333,49-52-883,-40 31-4512,-24 31 2469,0 0 0,0 0 0,4-12 0,-7 6 1890,-13 7 1280</inkml:trace>
  <inkml:trace contextRef="#ctx0" brushRef="#br0" timeOffset="4905.76">2152 96 18559,'-12'42'256,"4"-41"196,7-1-427,0-1 0,0 1 0,0 0 0,0 0 0,0 0 0,0 0 0,0 0 1,0 0-1,0 0 0,0 0 0,0 0 0,0 1 0,0-1 0,0 0 0,0 0 0,1 1 1,-1-1-1,0 1 0,0-1 0,0 1 0,0-1 0,1 1 0,-1 0 0,0-1 0,0 1 1,1 0-1,-1-1 0,1 1 0,-1 0 0,0 0 0,1 0 0,-1 1 0,-1 4 5,0 0-1,1 0 0,-1 0 1,1 1-1,1-1 0,-1 0 1,1 0-1,0 1 0,0-1 1,3 9-1,1 8 4,13 34-1,0 4-36,8 113-355,-20-133-5587,0 1-6564,-4-36 10974,-1-12 1536</inkml:trace>
  <inkml:trace contextRef="#ctx0" brushRef="#br0" timeOffset="5107.21">2009 377 23679,'0'0'0,"15"30"0,-2-16 0,7 0-128,12-4 0,12-1-2816,12-7 128,12-4 2816,56 2-12159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6:18.72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1 349 18047,'4'-2'6,"3"-1"36,0 0 0,-1-1 0,0 0 0,1 0 0,-2 0 0,1-1 0,0 0 0,8-10 0,-4 5 578,-5 7-267,-6 6 616,28 10 33,-22-10-909,0-1-1,0 0 0,0 0 1,0 0-1,0-1 1,0 0-1,1 0 0,-1 0 1,0 0-1,1-1 0,7 0 1,17 2 206,5 2-119,0 0-1,1-3 0,-1-1 0,56-7 0,-55 5-121,-1 1 0,61 6 1,4 0 22,63 6-59,-133-12 0,7 1 43,39 4 0,-65-3-56,-1 1 1,1 0-1,-1 1 0,0 0 0,0 0 0,0 1 0,0 0 0,13 8 0,3 10-9,-19-16 0,-1 0 0,1-1 0,11 7 0,-15-11 0,-1 0 0,0 1 0,1-2 0,-1 1 0,1 0 0,-1 0 0,1-1 0,-1 0 0,1 1 0,-1-1 0,1 0 0,-1 0 0,1 0 0,-1-1 0,1 1 0,3-1 0,68-22 21,-2 1 33,78-13-1,-68 20-53,63-9 0,-123 21 0,0 2 0,0 1 0,1 1 0,34 6 0,-24-1 0,39 14 0,-67-19 0,0-1 0,0 1 0,0-1 0,0 0 0,0-1 0,-1 1 0,1-1 0,0 0 0,0 0 0,-1 0 0,1-1 0,0 1 0,-1-1 0,0-1 0,7-3 0,17-6 0,-6 4 0,-10 3 0,0 0 0,0 2 0,15-4 0,-16 5 10,-2 0 2,0 1 0,0 0 0,-1 0-1,1 0 1,0 1 0,0 1 0,0-1 0,0 2-1,16 3 1,55 13-12,-13-14 0,-63-4 0,-1 0 0,1 1 0,0-2 0,0 1 0,-1 0 0,1-1 0,-1 1 0,6-3 0,-5 2 0,1 0 0,-1 0 0,0 1 0,0-1 0,1 1 0,4 0 0,23-4 0,-31 4-345,0 0 124,0-1 0,0 1 1,0 0-1,0 0 1,0 0-1,0-1 0,0 1 1,0 0-1,1 0 0,-1 1 1,0-1-1,0 0 0,1 0 1,6 4-2874</inkml:trace>
  <inkml:trace contextRef="#ctx0" brushRef="#br0" timeOffset="2009.04">2688 0 18559,'0'0'512,"1"5"-405,1 14-49,0-1 1,-1 1-1,-1-1 1,-1 0-1,-3 20 0,-22 94 509,20-101-311,0 1 0,2 0 0,1 45 0,-2-119 278,5-3-380,-2 0 1,-1 0 0,-19-84-1,17 112-145,3 12 3,0-1 0,0 0 0,1 0-1,0 1 1,0-1 0,0 0 0,1 0 0,-1 0 0,2-11 0,-1 17-12,1-1 0,-1 1 0,0 0 0,0-1 0,1 1 0,-1 0 0,0-1 0,1 1 0,-1 0 0,0-1 0,1 1 0,-1 0 0,0-1 0,1 1 0,-1 0 0,1 0 0,-1 0 0,0-1 0,1 1 0,-1 0 0,1 0 0,-1 0 0,1 0 0,-1 0 0,1 0 0,-1 0 0,0 0 0,1 0 0,-1 0 0,1 0 0,-1 0 0,1 0 0,-1 0 0,1 0 0,-1 1 0,0-1 0,2 0 0,15 9 0,-15-7 0,31 13 7,1 0 1,60 16-1,-51-22 53,-30-7-45,1 1 1,15 5-1,63 32-15,-91-40 4,0 1-1,0-1 0,0 1 0,1 0 0,-1-1 1,0 1-1,0 0 0,0 0 0,0 0 0,0 0 1,-1 0-1,1 0 0,0 0 0,0 0 1,-1 0-1,1 1 0,-1-1 0,1 0 0,-1 0 1,1 0-1,0 3 0,-1-1 9,0-1 0,-1 0 1,1 0-1,0 1 0,-1-1 0,1 0 0,-1 0 1,1 0-1,-1 0 0,0 0 0,0 0 0,-1 2 1,-2 2 19,0-1 1,0 1 0,0-1-1,0 0 1,-1 0 0,0-1-1,-10 8 1,-16 8-29,2 1 0,0 1 1,1 2-1,-37 40 0,47-45 39,-30 23-1,5-5 1,35-29-40,-13 10-27,27-37-317,22-8 314,6-8 32,-18 15-5,0-3 0,2 2 0,0 0 0,33-29 0,-47 46 0,-1 3 0,0-1 0,-1 0 0,1 0 0,-1 0 0,0 0 0,0-1 0,0 1 0,0 0 0,0-1 0,0 0 0,0 1 0,-1-1 0,0 0 0,2-3 0,-3 5 3,0 1-1,0-1 0,0 1 1,0 0-1,0-1 0,0 1 1,0-1-1,0 1 0,-1 0 1,1-1-1,0 1 0,0 0 1,0-1-1,-1 1 0,1 0 1,0-1-1,0 1 0,-1 0 1,1-1-1,0 1 0,0 0 1,-1 0-1,1-1 1,0 1-1,-1 0 0,1 0 1,0 0-1,-1-1 0,1 1 1,-1 0-1,1 0 0,0 0 1,-1 0-1,1 0 0,-1 0 1,1 0-1,0 0 0,-1 0 1,1 0-1,-1 0 0,1 0 1,0 0-1,-1 0 0,1 0 1,0 0-1,-1 1 0,1-1 1,-1 0-1,1 0 0,0 0 1,-1 0-1,1 1 0,-1-1 2,-11 3 7,0 0 0,1 0-1,-1 1 1,1 0 0,-18 10-1,-49 36 54,87-58-43,-1 0-1,0 0 0,-1-1 0,1 0 0,9-16 1,42-72 175,-36 57-151,-52 70 104,-43 68-42,85-120-192,9-5-2091,36-34 0,-37 41-853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6:34.849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1 282 18303,'0'0'2582,"4"0"-2369,17-2 3,-1 2 0,28 3 0,-27-2-90,0 0 0,0-1 0,23-3 0,65-10 142,-48 7-82,65-16 0,-105 18-143,0 1-1,0 0 1,24 1 0,-14 0 56,1-2 1,38-9 0,6-1 70,-42 10-119,0 2-1,0 1 1,0 2 0,-1 1-1,1 1 1,0 3 0,44 11-1,-68-15-50,1 0 0,-1-1 0,0-1 0,0 0 0,20-2 0,13 0 0,63-3 0,-70 2 0,58 2 0,-44 7 0,-34-3 0,0-1 0,1 0 0,27-3 0,-25 1 26,-1 0-1,1 1 1,0 1 0,22 6-1,-32-4-25,-8-1 0,-5-4-85</inkml:trace>
  <inkml:trace contextRef="#ctx0" brushRef="#br0" timeOffset="1149.92">1787 22 20991,'3'0'107,"4"-1"-89,16 1-15,-23 1 1,1-1-1,0 0 1,0 1-1,-1-1 1,1 0 0,0 1-1,-1-1 1,1 1-1,-1 0 1,1-1-1,-1 1 1,1-1 0,-1 1-1,1 0 1,-1-1-1,1 1 1,-1 0-1,0-1 1,1 1-1,-1 0 1,0 0 0,0 0-1,0-1 1,1 1-1,-1 0 1,0 0-1,0-1 1,0 1-1,0 1 1,-1 9 51,-1-1-1,1 1 1,-1-1-1,-1 0 1,-5 13-1,4-12 2,1-1 0,0 1-1,1 0 1,0 0 0,-1 12-1,2 3 34,1 1 0,1-1 0,1 0 0,1 0 0,13 48 0,-12-48 47,-4-16 0,0-10-133,0 0 1,0-1 0,0 1-1,0 0 1,0 0-1,0 0 1,0 0 0,0 0-1,0 0 1,0 0 0,0 0-1,1 0 1,-1 0 0,0 0-1,0 0 1,0 0-1,0 0 1,0 0 0,0 0-1,0 0 1,0 0 0,0 0-1,0 0 1,0-1 0,0 1-1,0 0 1,0 0-1,0 0 1,0 0 0,0 0-1,0 0 1,1 0 0,-1 0-1,0 0 1,0 0 0,0 0-1,0 0 1,0 0-1,0 0 1,0 0 0,0 0-1,0 0 1,0 0 0,0 1-1,0-1 1,0 0 0,0 0-1,0 0 1,1 0-1,-1 0 1,0 0 0,0 0-1,0 0 1,0 0 0,0 0-1,0 0 1,0 0 0,0 0-1,0 0 1,0 0-1,0 0 1,0 0 0,0 0-1,0 0 1,0 1 0,1-5 3,1 0 1,-1 1-1,0-1 1,-1 0 0,1 1-1,-1-1 1,1 0-1,-1 0 1,0 1 0,-1-1-1,0-6 1,0-11 7,1-31-15,-3-1 0,-2 1 0,-16-70 0,19 113 48,0 0 0,-1 1 0,-5-16 0,7 22-38,0 0 1,0 0-1,0 0 0,-1 0 0,1 0 0,-1 0 0,1 0 0,-1 0 0,0 0 0,1 0 0,-1 1 1,0-1-1,0 1 0,0 0 0,-1-1 0,1 1 0,0 0 0,-4-1 0,31 8-10,-14-4 0,-1 0 0,0 0 0,-1 1 0,1 1 0,0 0 0,-1 0 0,0 1 0,0 0 0,14 10 0,-13-7 0,2-1 0,-1-1 0,1 0 0,15 6 0,28 16 0,-51-25 0,1-1 0,-1 2 0,0-1 0,0 0 0,0 1 0,-1 0 0,1 0 0,-1 0 0,3 6 0,-4-7 1,0 1-1,-1 0 0,0-1 0,0 1 1,0 0-1,0 0 0,-1 0 1,1 0-1,-1 0 0,0 0 1,0 0-1,0 0 0,-1 0 1,0 0-1,1 0 0,-1 0 0,-1 0 1,1-1-1,-1 1 0,1 0 1,-4 5-1,-5 7 42,-1 0 0,0 0 1,-16 16-1,17-20 17,3-4-57,-1-1 1,-1 0-1,1-1 0,-1 0 0,-1 0 1,1 0-1,-1-2 0,1 1 1,-1-1-1,-1 0 0,-13 2 1,6 0-34,0 1 1,-20 9-1,38-16 10,0 0 0,0 0-1,0 0 1,-1 0 0,1 0 0,0 0 0,0 0-1,0 0 1,-1 0 0,1 0 0,0 0 0,0 0-1,0 1 1,0-1 0,-1 0 0,1 0 0,0 0 0,0 0-1,0 0 1,0 0 0,0 0 0,-1 1 0,1-1-1,0 0 1,0 0 0,0 0 0,0 0 0,0 0-1,0 1 1,0-1 0,0 0 0,0 0 0,-1 0 0,1 0-1,0 1 1,0-1 0,0 0 0,0 0 0,0 0-1,0 1 1,0-1 0,0 0 0,0 0 0,0 0-1,0 1 1,1-1 0,-1 0 0,0 0 0,0 0 0,0 0-1,0 1 1,0-1 0,0 0 0,0 0 0,0 0-1,0 0 1,1 0 0,-1 1 0,0-1 0,0 0-1,0 0 1,1 0 0,12 4-2798</inkml:trace>
  <inkml:trace contextRef="#ctx0" brushRef="#br0" timeOffset="2792.81">2252 741 16000,'0'0'917,"-4"4"-683,-5 7-104,0 0 0,0 1 0,1 0 0,1 0-1,0 1 1,1 0 0,0 1 0,1-1-1,0 1 1,1 0 0,-3 17 0,-30 104 476,9-42-338,24-72-226,3-15-155,-1 1 1,1-1-1,-1 1 0,-1-1 1,1 0-1,-6 10 1,2-23-2670,3-6 17</inkml:trace>
  <inkml:trace contextRef="#ctx0" brushRef="#br0" timeOffset="3130.16">2030 584 19967,'4'38'22,"-4"-32"149,-3-12-77,2 5-86,1 1 0,0 0 0,0 0 0,-1-1 0,1 1 0,0 0 0,0 0 1,0-1-1,0 1 0,-1 0 0,1 0 0,0-1 0,0 1 0,0 0 0,0-1 0,0 1 1,0 0-1,0-1 0,0 1 0,0 0 0,0-1 0,0 1 0,0 0 0,0-1 0,0 1 0,0 0 1,0-1-1,0 1 0,1 0 0,-1 0 0,0-1 0,0 1 0,0 0 0,0-1 0,1 1 1,-1 0-1,0 0 0,0-1 0,0 1 0,1 0 0,7 5 55,1-1 0,0 0-1,0 0 1,0-1 0,0 0 0,0-1 0,19 3-1,3-2-69,36-2-1,-3 0-692,31 0-4036,-68-1-5781</inkml:trace>
  <inkml:trace contextRef="#ctx0" brushRef="#br0" timeOffset="3543.24">1836 1357 20863,'14'-1'52,"0"-2"0,0 0 0,0-1 0,-1 0-1,1-1 1,14-8 0,-14 7 15,0 0 0,1 1 0,-1 1 0,1 0 0,0 1 0,25-2 0,92 4-1904,-19 2-4048,-84-2-3480</inkml:trace>
  <inkml:trace contextRef="#ctx0" brushRef="#br0" timeOffset="3925.72">2593 1010 21375,'8'169'267,"-1"-75"-384,-11-44 7,3-39-17,0-1 0,0 1-1,2 19 1,-1-30 96,0 1 1,1-1-1,-1 1 0,0-1 1,0 1-1,0-1 0,0 0 0,0 1 1,0-1-1,0 1 0,0-1 1,0 1-1,0-1 0,0 1 1,0-1-1,0 0 0,0 1 1,-1-1-1,1 1 0,0-1 0,0 0 1,0 1-1,-1-1 0,1 1 1,0-1-1,-1 0 0,1 1 1,0-1-1,-1 0 0,1 0 1,0 1-1,-1-1 0,1 0 0,0 0 1,-1 1-1,1-1 0,-1 0 1,0 0-191,-1 0 1,1 0-1,0 0 1,0 0 0,0-1-1,0 1 1,0 0-1,0-1 1,0 1-1,0 0 1,0-1 0,0 1-1,0-1 1,1 0-1,-2 0 1</inkml:trace>
  <inkml:trace contextRef="#ctx0" brushRef="#br0" timeOffset="4447.84">2523 889 18943,'8'-3'56,"0"1"0,0-1 0,0 2-1,0-1 1,0 1 0,1 0-1,-1 1 1,0 0 0,1 0-1,-1 1 1,0 0 0,0 1 0,0 0-1,1 0 1,-2 0 0,1 1-1,14 7 1,-1 2 87,-1 0-1,-1 2 1,34 29-1,-30-24-72,-21-17-61,0 0 0,1 0 0,-1 0 0,0 0 1,0 0-1,0 1 0,-1-1 0,1 0 0,0 1 0,-1 0 0,0-1 0,0 1 0,1 0 0,-2 0 1,1-1-1,1 5 0,-2-3-1,0-1 1,-1 1 0,1-1 0,-1 1 0,1-1-1,-1 1 1,0-1 0,0 0 0,-1 0-1,1 1 1,-1-1 0,1 0 0,-4 4-1,-3 4-3,0-1 0,0 0 0,-1 0 0,0-1 0,-1 0 0,-18 13 0,-70 37 62,89-54-62,7-4 5,0-1 0,1 1-1,-1 0 1,1 0 0,-1 0 0,1 0 0,-1 0-1,1 0 1,0 1 0,-1-1 0,1 0-1,0 1 1,0-1 0,0 0 0,0 1 0,0 0-1,0-1 1,1 1 0,-2 2 0,2-2 0,0 0 0,1 0-1,-1 0 1,1-1 0,-1 1 0,1 0 0,-1 0 0,1 0 0,0-1 0,0 1 0,0 0 0,0-1 0,0 1-1,0-1 1,1 1 0,-1-1 0,0 0 0,3 2 0,21 21-49,2 0 0,1-3 0,1 0 0,1-1-1,0-2 1,1-2 0,1 0 0,1-2 0,0-2 0,1 0 0,69 12 0,-85-22-1184,33-1 0,-37-1-214,54 1-9933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6:54.732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1273 2203 12800,'0'0'2176,"-4"-3"-1920,-6-5-140,1-1 0,0 0 1,0 0-1,0-1 0,1 0 1,1 0-1,0-1 0,0 0 1,1 0-1,0-1 0,1 1 1,1-1-1,0-1 1,0 1-1,1 0 0,1-1 1,0 0-1,0 1 0,2-1 1,-1 0-1,3-14 0,10-91 694,29-129-1,-17 120-508,44-169 506,-1 0 50,-63 265-793,-1 0 0,-1 0 0,-2 0 0,-1 0 0,-8-46 0,8 60-32,1 0 0,0 0 0,1 0 0,1 0 0,1 0 0,8-29 0,-1 5 22,-10 36-41,1 1 0,1-1 1,-1 0-1,1 0 0,0 1 1,0-1-1,0 1 0,0 0 1,1 0-1,0 0 0,0 0 1,0 0-1,0 0 0,1 1 1,4-5-1,-8 8-9,-1 0 0,1 0 0,-1 0 0,1 0 0,-1 0 0,1 0 0,0 0 0,-1 0 0,1 0 0,-1 0 0,1 0 0,0 0 0,-1-1 0,1 1 0,-1 0 0,1 0 0,0-1 0,-1 1 0,1 0 0,0 0 0,-1-1 0,1 1 0,0 0 0,0-1 0,-1 1 0,1 0 1,0-1-1,0 1 0,0 0 0,-1-1 0,1 1 0,0-1 0,0 1 0,0 0 0,0-1 0,0 1 0,0-1 0,0 1 0,0-1 0,0 1 0,0 0 0,0-1 0,0 1 0,0-1 0,0 1 0,0-1 0,0 1 0,0 0 0,1-1 0,-1 1 0,0 0 0,0-1 0,1 1 0,-1-1 0,0 1 0,0 0 0,1 0 0,-1-1 0,0 1 0,1 0 0,-1-1 0,0 1 0,1 0 0,-1 0 0,0 0 0,1-1 0,-1 1 0,1 0 0,-1 0-4,0 0 0,1 0 0,-1 0 0,0 0 0,0 0 0,0-1 0,0 1 0,1 0 0,-1 0 0,0 0 0,0 0 0,0 0 0,0-1-1,0 1 1,0 0 0,1 0 0,-1 0 0,0 0 0,0 0 0,0-1 0,0 1 0,0 0 0,0 0 0,0 0 0,0-1 0,0 1 0,0 0 0,0 0 0,0 0-1,0-1 1,0 1 0,0 0 0,0 0 0,0 0 0,0 0 0,0-1 0,0 1 0,0 0 0,0 0 0,-1 0 0,1 0 0,0-1 0,0 1 0,0 0 0,0 0-1,0 0 1,0 0 0,-1 0 0,1-1 0,0 1 0,0 0 0,0 0 0,0 0 0,-1 0 0,1 0 0,0 0 0,0 0 0,0 0 0,0 0 0,-1 0 0,1 0-1,0 0 1,0 0 0,0 0 0,-1 0 0,1 0 0,0 0 0,6-11 26,-6 10-8,-1 1 0,1-1 0,-1 1 0,0-1 1,1 1-1,-1-1 0,0 1 0,1 0 1,-1-1-1,0 1 0,1 0 0,-1 0 0,0-1 1,0 1-1,1 0 0,-1 0 0,-1 0 0,1 0 17,-6 0-16,1 0-1,0 1 0,0 0 0,0 0 1,0 1-1,-12 4 0,8-2-18,1 1 0,-1 1 0,1 0 0,0 0 0,0 1 0,1 0 0,-8 9 0,-48 61 0,12-11 0,38-51 0,1 0 0,1 1 0,0 1 0,1 0 0,1 0 0,-15 38 0,16-34 0,6-13 0,-1 0 0,1 1 0,0-1 0,1 1 0,0 0 0,-2 17 0,4-26 0,0 0 0,1 1 0,-1-1 0,0 0 0,0 1 0,0-1 0,1 0 0,-1 1 0,0-1 0,0 0 0,1 1 0,-1-1 0,0 0 0,1 0 0,-1 1 0,0-1 0,1 0 0,-1 0 0,0 0 0,1 1 0,-1-1 0,0 0 0,1 0 0,-1 0 0,1 0 0,-1 0 0,0 0 0,1 0 0,-1 0 0,1 0 0,13 0 0,-13 0 0,327 23 0,-277-11 0,-42-9 0,0 0 0,0-1 0,0 0 0,15 1 0,-23-3 0,0-1 0,0 1 0,0 0 0,0 0 0,0 0 0,0-1 0,0 1 0,0 0 0,-1-1 0,1 1 0,0-1 0,0 1 0,0-1 0,-1 1 0,1-1 0,0 0 0,-1 1 0,1-1 0,0 0 0,-1 1 0,1-1 0,-1 0 0,1 0 0,-1 0 0,0 0 0,1 1 0,-1-1 0,0 0 0,0 0 0,1 0 0,-1-1 0,2-33 0,-2 27 0,0-28 77,-2 0-1,-9-56 1,7 74-45,0 2 1,-1-1 0,-1 0-1,-1 1 1,0 0 0,-1 0-1,-15-21 1,18 30 9,4 4-24,0 0 0,-1 1 0,0-1 0,1 1 0,-1 0 0,0-1 1,0 1-1,-1 0 0,1 0 0,0 0 0,-1 1 0,-4-4 0,5 5-18,15 10 0,-8-4 0,0 0 0,0 1 0,-1-1 0,6 14 0,11 16 0,-16-25 0,-10-22 0,1-16 0,-2-39 0,5 45 0,0-1 0,-2 1 0,-8-32 0,7 46 0,-1 10 0,-3 16 0,4-7 0,-9 11 0,-24 33 0,21-33 0,-17 32 0,22-32-25,2 0-1,0 0 0,2 1 1,-5 25-1,70-309-102,-69 304 128,-2 0 0,-23 50 0,32-86 0,-6 12 0,9-19 0,1-1 0,-1 0 0,1 1 0,-1-1 0,1 1 0,-1-1 0,0 0 0,1 0 0,-1 1 0,0-1 0,1 0 0,-1 0 0,1 0 0,-1 0 0,0 1 0,1-1 0,-1 0 0,0 0 0,1 0 0,-1-1 0,0 1 0,1 0 0,-1 0 0,0 0 0,1 0 0,-1-1 0,0 1 0,1 0 0,-1 0 0,0-1 0,-1-1 0,1 2 0,0-1 0,0 0 0,0 1 0,0-1 0,0 1 0,0-1 0,0 1 0,0 0 0,0-1 0,-1 1 0,1 0 0,0 0 0,0 0 0,0 0 0,0 0 0,0 0 0,-1 0 0,0 0 0,1 1 0,0-1 0,-1 1 0,1 0 0,0-1 0,0 1 0,0 0 0,0 0 0,0 0 0,0 0 0,0 0 0,0 0 0,0 0 0,0 0 0,0 0 0,1 0 0,-1 0 0,0 2 0,-3 3 0,-7 9 0,0 2 0,1-1 0,0 1 0,-13 36 0,23-53 0,0 0 0,0 0 0,0 0 0,0 0 0,0 1 0,0-1 0,0 0 0,-1 0 0,1 0 0,0 0 0,0 0 0,0 0 0,0 0 0,0 0 0,0 0 0,0 1 0,0-1 0,0 0 0,0 0 0,0 0 0,0 0 0,0 0 0,0 0 0,0 0 0,0 0 0,0 1 0,0-1 0,0 0 0,0 0 0,0 0 0,0 0 0,0 0 0,0 0 0,0 0 0,0 0 0,0 1 0,1-1 0,-1 0 0,0 0 0,0 0 0,0 0 0,0 0 0,0 0 0,0 0 0,0 0 0,0 0 0,0 0 0,0 0 0,0 0 0,1 0 0,-1 0 0,0 0 0,0 1 0,0-1 0,0 0 0,0 0 0,8-6 0,17-20 0,-9 9 0,-11 13 0,-1 1 0,1 0 0,1 0 0,-1 0 0,0 0 0,1 1 0,-1 0 0,1 0 0,-1 1 0,1-1 0,0 1 0,0 0 0,0 1 0,0 0 0,-1 0 0,1 0 0,0 0 0,12 3 0,-18-3 0,0 0 0,0 0 0,0 0 0,0 0 0,0 0 0,0 0 0,0 0 0,0 0 0,0 0 0,0 0 0,0 0 0,0 0 0,0 0 0,0 0 0,0-1 0,0 1 0,0 0 0,0 0 0,0 0 0,0 0 0,0 0 0,0 0 0,0 0 0,0 0 0,0 0 0,0 0 0,0 0 0,0 0 0,0 0 0,0 0 0,0 0 0,0 0 0,-1 0 0,1 1 0,-1-1 0,1 0 0,-1 0 0,1 1 0,-1-1 0,1 0 0,-1 1 0,1-1 0,-1 1 0,1-1 0,0 1 0,-1-1 0,1 1 0,0-1 0,0 1 0,-1-1 0,1 1 0,0 0 0,-1-1 0,1 1 0,0-1 0,0 0 0,0 1 0,0-1 0,0 0 0,0 1 0,0-1 0,0 0 0,0 0 0,0 1 0,0-1 0,0 0 0,0 1 0,0-1 0,0 0 0,0 1 0,1-1 0,-1 0 0,0 1 0,0-1 0,0 0 0,0 0 0,1 1 0,-1-1 0,0 0 0,0 0 0,0 1 0,1-1 0,-1 0 0,0 0 0,0 0 0,1 0 0,-1 1 0,0-1 0,1 0 0,-1 0 0,0 0 0,1 0 0,-1 0 0,0 0 0,1 0 0,-1 0 0,0 0 0,1 0 0,-1 0 0,0 0 0,0 0 0,1 0 0,-1 0 0,0 0 0,1 0 0,16-1 0,-11-1-51,17-5-5146</inkml:trace>
  <inkml:trace contextRef="#ctx0" brushRef="#br0" timeOffset="746.83">432 114 20479,'-8'25'0,"8"-25"1,0 0 0,0 0-1,0 0 1,0 0 0,0 0-1,0 0 1,0-1 0,0 1-1,0 0 1,0 0 0,0 0-1,0 0 1,0 0 0,0 0-1,0 0 1,0-1 0,0 1 0,-1 0-1,1 0 1,0 0 0,0 0-1,0 0 1,0 0 0,0 0-1,0 0 1,0 0 0,0 0-1,0-1 1,-1 1 0,1 0-1,0 0 1,0 0 0,0 0-1,0 0 1,0 0 0,0 0-1,0 0 1,-1 0 0,1 0-1,0 0 1,0 0 0,0 0-1,0 0 1,0 0 0,0 0-1,0 0 1,-1 0 0,1 0-1,0 0 1,0 0 0,0 0-1,0 1 1,0-1 0,0 0-1,0 0 1,-1 0 0,1 0-1,0 0 1,0 0 0,0 0-1,0 0 1,0 0 0,0 0 0,0 1-1,0-1 1,0-1 5,-1 1 1,1-1 0,0 1 0,0-1-1,0 1 1,0 0 0,-1-1-1,1 1 1,0-1 0,-1 1-1,1 0 1,0-1 0,-1 1-1,1 0 1,0-1 0,-1 1-1,1 0 1,-1-1 0,1 1-1,0 0 1,-1 0 0,1 0 0,-1-1-1,1 1 1,-1 0 0,1 0-1,-1 0 1,1 0 0,-1 0-1,1 0 1,-1 0 0,1 0-1,-1 0 1,1 0 0,0 0-1,-1 0 1,1 0 0,-1 1-1,1-1 1,-1 0 0,1 0 0,-1 0-1,1 1 1,0-1 0,-1 0-1,1 0 1,-1 1 0,1-1-1,0 0 1,-1 1 0,1-1-1,0 1 1,-1 0 0,-1 2 9,0 0 1,0 0-1,0 0 1,0 1-1,0-1 1,1 1 0,0-1-1,-1 1 1,1 0-1,1-1 1,-1 1-1,0 5 1,1 51 73,1-45-54,0 40-2,-1 0-1,-3 0 1,-3 0-1,-1 0 1,-3-1-1,-22 66 1,32-120-45,0 0 1,0 0-1,0 0 1,1 1 0,-1-1-1,0 0 1,0 0-1,0 0 1,-1 1-1,1-1 1,0 0 0,0 0-1,0 0 1,0 1-1,0-1 1,0 0-1,0 0 1,0 0 0,0 1-1,0-1 1,0 0-1,-1 0 1,1 0-1,0 0 1,0 1 0,0-1-1,0 0 1,-1 0-1,1 0 1,0 0-1,0 0 1,0 0 0,-1 1-1,1-1 1,0 0-1,0 0 1,0 0 0,-1 0-1,1 0 1,0 0-1,0 0 1,0 0-1,-1 0 1,1 0 0,0 0-1,-4-12-310,0-24-2934,4 35 2703</inkml:trace>
  <inkml:trace contextRef="#ctx0" brushRef="#br0" timeOffset="1102.97">178 196 18559,'11'29'-5,"-14"-46"17,3 16 3,-6-14 140,-2-10 842,9 24-969,0 0 0,0 0 0,0 0 0,0 1 0,0-1 0,0 0 0,0 1 0,0-1 0,0 0 0,1 1 1,-1-1-1,0 1 0,0 0 0,1 0 0,1-1 0,-1 1 13,110-25 433,-77 19-385,1-1-1,-1-2 1,-1-2 0,49-21 0,-58 20-216,32-18 426,-20 5-3138</inkml:trace>
  <inkml:trace contextRef="#ctx0" brushRef="#br0" timeOffset="1632">1 954 18815,'45'-42'14,"-11"10"32,50-37 1,-76 63-7,1 2 1,0-1-1,0 1 0,0 0 1,0 1-1,15-3 0,63-9 298,-40 8-169,-25 3-100,5-1 75,0 1 0,1 0 0,-1 2 1,32 2-1,-40 8-1866,-11-4-1164</inkml:trace>
  <inkml:trace contextRef="#ctx0" brushRef="#br0" timeOffset="2548.23">897 541 19711,'-3'3'0,"-1"-1"0,0 1 0,0-1 0,0 0 0,0 0 0,0-1 0,0 1 0,-1-1 0,1 0 0,0 0 0,-7 0 0,3 1 12,-1 0 0,1 0-1,0 1 1,0 0 0,0 1-1,0 0 1,0 0-1,1 0 1,-1 1 0,-7 6-1,-7 9 53,-33 35 0,44-43-57,0 1-1,1 1 0,0 0 0,1 0 1,-11 25-1,16-30-1,1 0 1,0 0 0,0 1 0,1-1 0,0 0-1,0 1 1,1 0 0,0-1 0,1 1-1,0 0 1,2 12 0,-1-19 4,0 0 0,0-1 0,0 1 1,0 0-1,1 0 0,-1 0 0,1-1 0,0 1 0,-1-1 1,1 0-1,0 1 0,0-1 0,1 0 0,-1 0 0,0 0 0,1 0 1,-1-1-1,1 1 0,0-1 0,0 1 0,-1-1 0,1 0 0,0 0 1,0 0-1,0 0 0,0-1 0,4 1 0,3 1 23,1-1-1,0-1 1,0 0-1,0 0 1,0-1-1,15-3 1,-5 0-196,-6 0 296,0 1 1,24-1 0,-36 4-321,0-1 1,0 1-1,0 1 0,0-1 1,1 0-1,-1 1 1,0-1-1,0 1 1,-1 0-1,1 0 1,0 0-1,0 1 1,0-1-1,-1 0 1,1 1-1,0 0 1,-1 0-1,4 3 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7:01.379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1969 14336,'4'-12'-56,"-2"4"49,1 0-1,0 0 1,0 0 0,0 0 0,1 1 0,1 0-1,-1 0 1,1 0 0,7-8 0,37-24 93,-38 31-1,0 0 0,0-1 0,-1 0 0,14-16 1,43-53 518,4 3 0,118-99 1,-78 69-113,-79 73-343,1 0 0,1 2 0,1 2 0,50-31 0,-75 54-108,154-95 649,-140 83-551,0 0 1,-2-2 0,0-1 0,29-35-1,-36 38-39,0 0-1,1 2 0,35-26 1,60-32 306,-73 50-283,-1-1 0,51-44 1,4-30-1,-63 63-67,45-39-1,-36 43-55,1 1 0,2 2 0,78-41 0,-108 64-1,0-1 0,-1-1 0,1 0 0,16-15 0,-21 17 4,-1 0-1,-1-1 1,1 0 0,-1 0-1,0 0 1,0-1 0,0 1-1,-1-1 1,3-10 0,3-1 615,-6 19-618,0-1-106,8-23-4758</inkml:trace>
  <inkml:trace contextRef="#ctx0" brushRef="#br0" timeOffset="1365.66">2128 33 17023,'0'0'2944,"-4"3"-2816,-47 38 232,26-19-249,-2-1 1,0-2 0,-1 0-1,-43 20 1,49-30-80,8-3 19,-1 0 0,1 0 0,-1 1 0,2 1-1,-1 1 1,1 0 0,1 0 0,-17 16 0,29-25-51,0 0 0,0 1 0,-1-1 0,1 0 0,0 1 0,-1-1 0,1 0 0,0 0 0,0 1 0,0-1 0,0 0 0,-1 1 0,1-1 0,0 0 0,0 1 0,0-1 0,0 1 0,0-1 0,0 0 0,0 1 0,0-1 0,0 0 0,0 1 0,0-1 0,0 1 0,0-1 0,0 0 0,0 1 0,0-1 0,0 0 0,0 1 0,1-1 0,11 7 0,25-3 0,-31-3 0,19 1 0,0-1 0,-1 1 0,0 1 0,0 1 0,34 11 0,-49-11 0,-1 0 0,0 1 0,0-1 0,-1 2 0,1-1 0,-1 1 0,0 0 0,-1 1 0,1 0 0,-1 0 0,5 8 0,-7-6 26,3 1 111,-6-10-132,-1-1 1,1 1 0,0 0 0,-1-1-1,1 1 1,0-1 0,-1 1 0,1-1-1,-1 1 1,1-1 0,0 0 0,-1 1-1,1-1 1,-1 0 0,0 1 0,1-1-1,-1 0 1,0 0 0,1-1 0,28-65 219,-3 4-66,-19 51-125,-2 0 0,1 1 0,-1-2 0,-1 1 0,0-1 0,-1 1 1,-1-1-1,0 0 0,1-15 0,-3 25-32,-1 0 0,0 0 0,0 1 0,0-1-1,0 0 1,0 0 0,0 0 0,-1 1 0,1-1 0,-1 1 0,0-1 0,0 1 0,-3-4 0,2 4-3,1-1 0,0 0 1,0 0-1,0 0 1,0 0-1,0 0 0,0 0 1,-1-7-1,3 10 1,0 0 0,0 0 0,0 0 0,0 0 0,0 0 0,0-1 0,0 1 0,0 0 0,0 0 0,0 0 0,0 0 0,0 0 0,0 0 0,0 0 0,0-1 0,0 1 0,0 0 0,0 0 0,0 0 0,0 0 0,0 0 0,0 0 0,0 0 0,0 0 0,0-1 0,0 1 0,0 0 0,0 0 0,0 0 0,0 0 0,-1 0 0,1 0 0,0 0 0,0 0 0,0 0 0,0 0 0,0-1 0,0 1 0,0 0 0,0 0 0,0 0 0,0 0 0,-1 0 0,1 0 0,0 0 0,0 0 0,0 0 0,0 0 0,0 0 0,0 0 0,0 0 0,-1 0 0,1 0 0,0 0 0,0 0 0,0 0 0,0 0 0,0 0 0,0 0 0,0 0 0,0 0 0,-1 0 0,1 0 0,0 0 0,0 1 0,-3 9 0,-1 15 0,3-15 0,1 1 0,1-1 0,-1 0 0,1 0 0,1 0 0,0 0 0,1 0 0,-1 0 0,2 0 0,0-1 0,0 1 0,0-1 0,8 11 0,-1-58 0,-7 12 0,-1 0 0,-1-1 0,-1 1 0,-1 0 0,-7-49 0,7 74 0,0 0 0,0 0 0,0 1 0,-1-1 0,1 0 0,0 0 0,-1 0 0,1 0 0,0 0 0,-1 0 0,1 1 0,-1-1 0,1 0 0,-1 0 0,0 1 0,-1-2 0,2 2 0,0-1 0,-1 1 0,1 0 0,-1 0 0,1 0 0,-1 0 0,1 0 0,-1 0 0,1-1 0,-1 1 0,1 0 0,-1 0 0,1 1 0,-1-1 0,1 0 0,-1 0 0,1 0 0,-1 0 0,1 0 0,-1 0 0,1 1 0,-1-1 0,-1 2 0,0-1 0,0 1 0,0-1 0,0 1 0,0 0 0,0 0 0,1 0 0,-1 0 0,1 0 0,-2 3 0,-3 9 1,0 1 0,1 0 0,1 0 0,0 1 0,-2 19 0,-4 20-49,7-35-196,5-17-653,4-11-1824</inkml:trace>
  <inkml:trace contextRef="#ctx0" brushRef="#br0" timeOffset="2092.45">2603 231 18431,'0'0'1664,"-2"3"-1557,-3 5-74,0 0 1,1 0-1,0 1 0,0-1 1,1 1-1,0 0 0,1 0 0,-2 14 1,1 9 21,0 38 0,3-44-63,-1 1-1,-7 38 0,8-63-145,-1 0 0,1 1 1,-1-1-1,0 0 0,1 0 0,-1 0 0,0 0 0,-3 3 0</inkml:trace>
  <inkml:trace contextRef="#ctx0" brushRef="#br0" timeOffset="2446.73">2304 298 14848,'36'16'-6,"-44"-20"33,7 3-13,0 0 0,0 0 0,0 1 0,0-1-1,0 0 1,0 0 0,0 0 0,0 0 0,0 0 0,0-1 0,1 1 0,-1 0 0,0 0 0,1 0-1,-1-1 1,1 1 0,0 0 0,-1 0 0,1-1 0,0-1 0,0 1 3,0 1 0,1 0 0,-1 0 1,1 0-1,-1 0 0,1 0 0,-1 0 0,1 0 0,0 0 0,-1 0 1,1 0-1,0 0 0,0 0 0,0 0 0,0 0 0,0 1 1,0-1-1,1 0 0,4-3 126,1 1 1,-1 0-1,1 1 0,-1-1 1,1 1-1,11-1 0,-3 1 161,0 1-1,0 1 1,-1 1-1,17 2 1,-13-1 128,1-1 1,25-1 0,-14-3-337,20-2 324,-14 8-4456</inkml:trace>
  <inkml:trace contextRef="#ctx0" brushRef="#br0" timeOffset="2897.93">2319 630 19327,'5'2'0,"-1"-1"0,1 0 0,0 0 0,0 0 0,0-1 0,0 0 0,0 0 0,0 0 0,0-1 0,0 1 0,0-1 0,0 0 0,0-1 0,0 1 0,-1-1 0,6-3 0,24-9 121,0 1 0,40-10 0,-33 14-112,50-12-434,-30 6-3575</inkml:trace>
  <inkml:trace contextRef="#ctx0" brushRef="#br0" timeOffset="3311.74">3012 410 20095,'1'75'0,"-14"97"0,2-133-2574,5-23 1372</inkml:trace>
  <inkml:trace contextRef="#ctx0" brushRef="#br0" timeOffset="3596.91">2898 318 16767,'0'0'2539,"5"1"-2390,147 19-270,-47-15-5240,-80-5-4004</inkml:trace>
  <inkml:trace contextRef="#ctx0" brushRef="#br0" timeOffset="4323.96">3370 693 19583,'-6'-6'0,"5"4"0,-1 1 0,1 0 0,0 0 0,0 0 0,0-1 0,0 1 0,0 0 0,0-1 0,0 1 0,0-1 0,1 1 0,-1-1 0,1 1 0,-1-3 0,5-6 0,-3 10 0,-1 0 0,0-1 0,0 1 0,1 0 0,-1 0 0,0-1 0,0 1 0,1 0 0,-1 0 0,0-1 0,0 1 0,0 0 0,0-1 0,0 1 0,1 0 0,-1-1 0,0 1 0,0 0 0,0-1 0,0 1 0,0 0 0,0-1 0,0 1 0,0 0 0,0-1 0,0 1 0,0 0 0,0-1 0,-1 1 0,1 0 0,0-1 0,0 1 0,0 0 0,0-1 0,-1 1 0,1 0 0,0-1 0,0 1 0,-4-7 0,0 1 0,0 0 0,-1 0 0,-7-7 0,9 10 0,0 1 0,0 0 0,0 0 0,0 0 0,-1 1 0,1-1 0,-1 1 0,1 0 0,-1-1 0,-6 0 0,4 1 1,-31-5 4,35 6-7,0 0 0,0-1 0,-1 1 0,1 0 0,0 1 0,-1-1 0,1 0 0,0 1 1,0-1-1,-1 1 0,1 0 0,0-1 0,-2 2 0,3 1-83,5 0 63,0 1 22,1 0 0,-1 1 0,0-1 0,4 8 0,5 4 0,-12-14 0,0-1 0,0 1 0,-1-1 0,1 1 0,0-1 0,0 1 0,-1 0 0,1-1 0,-1 1 0,0 0 0,1-1 0,-1 1 0,0 0 0,0 0 0,0-1 0,0 1 0,0 0 0,-1 0 0,1-1 0,-1 4 0,-1 10 22,2-14-16,0-1 1,1 1 0,-1-1 0,0 1-1,0-1 1,0 1 0,1-1-1,-1 0 1,0 1 0,1-1 0,-1 1-1,0-1 1,1 0 0,-1 1-1,0-1 1,1 0 0,-1 1-1,1-1 1,-1 0 0,0 0 0,1 1-1,-1-1 1,1 0 0,-1 0-1,1 0 1,-1 0 0,1 1 0,-1-1-1,1 0 1,-1 0 0,1 0-1,-1 0 1,1 0 0,-1 0-1,1-1 1,-1 1 0,1 0 0,-1 0-1,1 0 1,-1 0 0,1-1-1,-1 1 1,1 0 0,0-1 0,22-9 160,-4-15-333,-17 22-48,0 0 0,0 0 0,0 0 0,1 0 0,-1 0 1,1 0-1,4-3 0,3 0-2666</inkml:trace>
  <inkml:trace contextRef="#ctx0" brushRef="#br0" timeOffset="4728.26">3513 312 18047,'-19'16'22,"15"-12"234,4-7 197,0 7-394,-9 122 258,-6 39 112,14-160-440,0 6-327,-1-1 1,-7 20-1</inkml:trace>
  <inkml:trace contextRef="#ctx0" brushRef="#br0" timeOffset="4911.15">3484 474 20479,'0'0'0,"30"17"0,-10-2 0,2 0-128,4-3 0,3-1-1792,0-9 128,2-6 1153,31 3-10241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9:58.6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197 444 10624,'0'0'8063,"5"1"-7956,23 5 42,0 0 1,1-3-1,-1 0 0,1-2 1,0 0-1,-1-3 0,47-7 1,63-3 508,-6 1-335,-53 3-105,88 1 0,-68 5-121,77 0-8,93-6 78,-185 4-39,0 4 0,0 3 0,160 28 0,-102-18 1,-96-11-130,69 13 1,-95-10 0,-15-3 3,0-1 0,0 1 0,0-1 1,0-1-1,0 1 0,6 0 0,-10-1 39</inkml:trace>
  <inkml:trace contextRef="#ctx0" brushRef="#br0" timeOffset="871.33">2494 13 11904,'-2'42'0,"2"-42"2,0 1 1,0-1 0,0 0 0,0 0 0,0 1 0,0-1-1,0 0 1,0 1 0,0-1 0,-1 0 0,1 0 0,0 1-1,0-1 1,0 0 0,0 0 0,0 1 0,-1-1 0,1 0-1,0 0 1,0 0 0,0 1 0,-1-1 0,1 0 0,0 0-1,0 0 1,-1 0 0,1 1 0,0-1 0,0 0 0,-1 0-1,1 0 1,0 0 0,-1 0 0,1 0 0,0 0 0,0 0-1,-1 0 1,1 0 0,0 0 0,-1 0 0,1 0 0,0 0-1,0 0 1,-1 0 0,1 0 0,0 0 0,0 0 0,-1-1-1,1 1 1,0 0 0,0 0 0,-1 0 0,1 0 0,0-1-1,0 1 1,-1 0 0,-19-18 324,18 16-296,1 1 0,-1-1 0,0 0 0,1 1 0,-1-1 1,0 1-1,0 0 0,-4-2 0,6 3 118,5 14 747,9 22-388,-3 0 1,0 1-1,-3 1 1,0-1-1,1 47 0,0 38 314,-1-31-198,-6 109 0,-3-185-474,0-9-117,0-1 0,1 1 0,0 0 0,0 0 0,0-1 0,1 1 1,0 0-1,2 9 0,-2-14-69,-1-1 1,0 0-1,1 0 1,-1 1-1,1-1 0,-1 0 1,1 0-1,-1 1 1,1-1-1,-1 0 1,0 0-1,1 0 0,-1 0 1,1 0-1,-1 1 1,1-1-1,-1 0 1,1 0-1,-1 0 1,1-1-1,-1 1 0,1 0 1,-1 0-1,1 0 1,-1 0-1,1 0 1,-1 0-1,1-1 0,-1 1 1,1 0-1,-1 0 1,0-1-1,1 1 1,-1 0-1,1-1 1,17-13-4125,-12 8 2688,0 0 1,-1-1-1,0 0 1,5-8 0,13-34-2510,-12 16 3400,7-39-1,-7 25-634</inkml:trace>
  <inkml:trace contextRef="#ctx0" brushRef="#br0" timeOffset="2098.08">2518 87 11008,'17'22'0,"-4"-5"241,-19-23 312,-15-18 466,-9-8 1690,45 37-1216,-5-2-1320,0-1 0,1 0 0,-1-1 0,0 0 0,1-1 0,10-1-1,26 2 304,45 3-203,108-10 1,-117 1-46,157 10-1,31 14-168,-224-20-36,0-1-1,-1-3 1,84-18 0,-43-2 403,63-13 129,-149 38-546,0 0 1,-1 0-1,1 0 0,0 1 0,-1-1 1,1 0-1,-1 1 0,1-1 0,0 0 1,-1 1-1,1-1 0,-1 1 0,1-1 1,-1 1-1,1-1 0,-1 1 1,0-1-1,1 1 0,-1 0 0,1-1 1,-1 1-1,0 0 0,0-1 0,1 1 1,-1 0-1,0-1 0,0 1 0,0 0 1,0-1-1,0 1 0,0 0 0,0 0 1,2 24-145,2 346 7,18-127 106,-18-189 60,0-5 71,-3 71 0,-1-120-109,0 3-23,0-1 0,-1 1-1,1-1 1,0 1 0,1 0 0,-1-1-1,1 1 1,-1-1 0,1 1 0,2 5-1,8-6 24,-7-3 0,-10-3 0,-45-16 72,27 8 6,-1 2 0,0 1 0,-39-7 0,20 10-129,-1 2 0,0 2 0,1 2 0,-52 7-1,17-3 118,-2-3-1,-90-11 0,-90 2 102,140 18-223,-137 30 0,242-38 61,-152 20-602,164-22 455,0-1-1,0 0 1,1-1-1,-1 1 1,0 0 0,-6-2-1,7 1-609,0 0 0,1-1-1,-1 1 1,0 0 0,0-1 0,1 0-1,-1 1 1,0-1 0,1 0-1,0 0 1,-3-4 0,2 2-562,0 0 0,0 0 0,1 0 0,-1 0 0,1 0 0,-3-9 0,-1-16 14,2 1 1300</inkml:trace>
  <inkml:trace contextRef="#ctx0" brushRef="#br0" timeOffset="7717.21">4105 563 16000,'11'-6'223,"-8"5"-124,-1 0 0,0 0 1,0-1-1,0 1 0,0 0 0,0-1 1,-1 1-1,1-1 0,2-2 0,-2 0-30,1 0-1,-1 1 0,1-1 0,0 1 1,0-1-1,0 1 0,1 0 0,-1 0 0,1 1 1,-1-1-1,1 1 0,6-3 0,51-23 237,-60 28-302,20-7 81,-1 1 1,1 0-1,0 2 0,0 1 1,0 0-1,37 1 0,-7 4 282,85 16 1,-52-6-213,1-3 1,0-4 0,125-8-1,-41-21 370,-36 3-152,-121 19-350,0 1-1,0 0 0,0 1 1,-1 1-1,15 1 0,-25-1-19,10 8 1020,-10 14-894,16 59-96,5 89 0,-7 86 32,-15-231-24,-1 1-1,-6 30 0,3-27 9,-1 36 0,5-66-112,5-8 242,-2-18 257,-3 24-401,0 1 0,0-1 0,0 0 0,-1 0 0,1 0 0,0 1 0,-1-1 0,1 0 0,-1 1 0,0-1 0,0 0 1,-1-2-1,1 4-27,1-1 1,-1 0-1,0 1 1,0-1-1,1 1 1,-1-1-1,0 1 1,0-1-1,0 1 1,0-1-1,0 1 1,0 0-1,0 0 1,1-1-1,-1 1 1,0 0-1,0 0 1,0 0-1,0 0 1,0 0-1,0 0 1,0 0-1,0 1 1,0-1-1,0 0 1,-2 1-1,-6 4-56,0-1 1,0 1-1,0 1 0,1 0 0,-1 0 1,-12 13-1,11-9-15,1-2 22,0 1 0,1 0 0,1 1-1,0 0 1,0 0 0,1 0 0,0 1 0,0 0 0,-3 13 0,-1 5-67,1 0 1,-7 45-1,15-66 100,0 1 0,1 0 0,0 0-1,1 0 1,0 0 0,0 0 0,1 0 0,0 0-1,0-1 1,5 12 0,-2-9-8,0-1 1,0 1-1,1-1 0,0 0 1,1-1-1,0 1 0,13 12 1,-14-17 17,0 1 1,0-2 0,1 1 0,0-1 0,-1 0 0,2 0 0,11 4-1,-15-7-1,-1 1-1,1-1 0,0 0 0,-1-1 0,1 1 0,0-1 1,0 1-1,0-1 0,-1 0 0,1-1 0,0 1 1,0-1-1,-1 1 0,1-1 0,0 0 0,-1 0 0,7-3 1,-2-2 20,0 1 1,0-1 0,-1 0 0,1-1-1,-1 1 1,8-12 0,-13 16-16,0-1 0,0 1 0,0-1 0,0 0 0,-1 0 0,1 0 0,-1 0 0,0 0 0,1 0 0,-1 0 0,-1 0 0,1-1 0,0 1 0,-1 0 0,0 0 0,0-1 0,0 1 0,0 0 0,0-1 1,-1 1-1,-1-5 0,2 5-1,-1 0 1,-1 1 0,1-1 0,0 0 0,0 1-1,-1-1 1,0 1 0,1 0 0,-1-1-1,0 1 1,0 0 0,0 0 0,-1 0 0,1 0-1,0 1 1,-1-1 0,-4-2 0,5 4-14,0-1 1,0 1-1,0 0 1,0 0-1,0 0 0,-1 0 1,1 0-1,0 0 1,0 1-1,0-1 1,0 1-1,0-1 0,0 1 1,0 0-1,0 0 1,0 0-1,0 0 1,0 0-1,0 0 0,0 0 1,1 1-1,-1-1 1,0 1-1,-1 2 1,-7 6-14,1 1 1,0 1 0,1-1 0,0 2 0,1-1-1,1 1 1,0 0 0,0 0 0,1 0-1,1 1 1,0 0 0,-2 18 0,1 2-54,2 1 0,1-1 0,6 69 0,-4-99 56,1 0 1,0 0 0,0 0-1,0 0 1,1 0-1,-1-1 1,1 1 0,0 0-1,0-1 1,0 1 0,0-1-1,1 0 1,-1 0-1,1 0 1,0 0 0,0 0-1,5 3 1,-7-5 11,1 0 0,0 0 0,-1 0 0,1 0 0,0 0 0,0-1 0,0 1 0,0-1 0,0 1 0,-1-1 0,1 0 0,0 0 0,0 0 0,0 0 0,0 0 0,0 0 0,0 0 0,0-1 0,0 1 0,0 0 0,0-1 0,-1 0 0,1 0 0,0 1 0,0-1 0,-1 0 0,1 0 0,0-1 0,-1 1-1,1 0 1,-1 0 0,0-1 0,1 1 0,-1-1 0,0 1 0,0-1 0,2-2 0,1-3 7,1 0 0,-2 0 0,7-15 0,-9 19 0,0 1 0,0-1 0,0 0 0,-1 1 0,1-1 0,-1 0 0,0 1 0,0-1 0,0 0 0,0 0 0,0 1 0,0-1 0,-1 0 0,1 1 0,-2-6 0,1 8 0,1-1-1,0 1 1,0 0-1,0-1 0,-1 1 1,1 0-1,0-1 1,-1 1-1,1 0 1,0-1-1,-1 1 0,1 0 1,0-1-1,-1 1 1,1 0-1,-1 0 0,1 0 1,0-1-1,-1 1 1,1 0-1,-1 0 1,1 0-1,-1 0 0,1 0 1,0 0-1,-1 0 1,1 0-1,-1 0 1,1 0-1,-1 0 0,-15 8-48,-9 18-111,24-26 153,-6 8-11,1 1 0,-1 0 0,2 0 0,-1 0 0,1 0 0,1 1 0,0 0 0,0 0 1,1 0-1,0 1 0,1-1 0,0 1 0,-1 20 0,3-15 1,1 0 0,1-1-1,0 1 1,1 0 0,1-1 0,1 0 0,0 0 0,13 26-1,-16-35 25,1 0-1,1 0 1,-1 0-1,1 0 1,0-1-1,0 1 1,1-1 0,6 5-1,-9-8-2,0-1 0,0 1 0,1-1 0,-1 0 0,1 0 0,-1 1 0,1-2 0,-1 1 0,1 0-1,0 0 1,-1-1 0,1 0 0,0 1 0,-1-1 0,1 0 0,0 0 0,0-1 0,-1 1 0,1-1 0,0 1 0,-1-1 0,6-2 0,-4 2 9,0-1 1,0 0-1,-1 0 1,1 0-1,0 0 1,-1-1-1,1 0 1,-1 0 0,0 0-1,0 0 1,0 0-1,0 0 1,-1-1-1,3-4 1,1-4-5,0 1 0,-1-1-1,4-18 1,-8 26-13,0 3 6,-1 0 0,1-1-1,-1 1 1,1-1 0,-1 1-1,0-1 1,0 1-1,0-1 1,0 1 0,0-1-1,0 1 1,0-1 0,0 1-1,0-1 1,-1 1 0,1-1-1,-1 1 1,1-1 0,-1 1-1,0 0 1,1-1-1,-1 1 1,0 0 0,0 0-1,0-1 1,0 1 0,0 0-1,0 0 1,0 0 0,0 0-1,-1 0 1,1 0-1,0 1 1,0-1 0,-1 0-1,1 1 1,-1-1 0,-1 0-1,0 0 3,0 1-1,0-1 1,0 1 0,-1-1-1,1 1 1,0 0-1,0 0 1,-1 1-1,1-1 1,0 1-1,0-1 1,0 1 0,0 0-1,0 0 1,0 1-1,0-1 1,-5 3-1,1 2-9,1-1 0,0 1-1,0 1 1,0-1 0,0 1-1,1 0 1,0 0 0,1 0 0,0 1-1,0 0 1,0 0 0,-2 8-1,-4 17-67,-11 57-1,17-68 50,-1 1-6,1-1 0,1 1-1,1 0 1,1 23 0,1-40 27,1 0 1,-1 0-1,1 0 0,0 0 1,1-1-1,-1 1 1,1 0-1,0-1 1,1 1-1,-1-1 1,1 0-1,0 0 1,0 0-1,1 0 1,-1 0-1,1-1 0,0 0 1,0 1-1,1-2 1,-1 1-1,8 4 1,-12-7 7,1-1 0,0 1 1,0-1-1,0 1 0,0-1 0,-1 1 1,1-1-1,0 1 0,0-1 1,0 0-1,0 1 0,0-1 1,0 0-1,0 0 0,0 0 0,0 0 1,0 0-1,1 0 0,-1 0 1,0 0-1,0-1 0,0 1 0,0 0 1,-1 0-1,3-2 0,-2 1 8,0 0 1,0 0-1,-1 0 0,1 0 0,0 0 0,-1 0 0,1 0 0,-1-1 1,1 1-1,-1 0 0,1-1 0,-1 1 0,0 0 0,0-1 0,0 1 0,0-2 1,0-8 62,0 1 0,-1-1 0,-4-15 0,5 25-75,-1-5-22,-5-16-229,6 22 247,0-1 0,0 1 0,0 0 0,0 0 0,0-1 0,-1 1 0,1 0-1,0-1 1,0 1 0,0 0 0,0 0 0,-1-1 0,1 1 0,0 0 0,0 0-1,-1 0 1,1-1 0,0 1 0,0 0 0,-1 0 0,1 0 0,0 0 0,-1 0 0,1 0-1,0-1 1,0 1 0,-1 0 0,1 0 0,0 0 0,-1 0 0,1 0 0,0 0-1,-1 0 1,1 0 0,0 0 0,-1 0 0,1 1 0,0-1 0,0 0 0,-1 0-1,1 0 1,0 0 0,-1 0 0,1 0 0,0 1 0,0-1 0,-1 0 0,1 0 0,0 1-1,0-1 1,0 0 0,-1 0 0,1 0 0,0 1 0,0-1 0,0 0 0,0 1-1,-3 3-2,1 0-1,0 0 0,0 1 0,0-1 1,0 1-1,1-1 0,0 1 0,0-1 1,0 1-1,1 0 0,-1 7 1,-2 13 78,-2 15-62,1 0-1,2 1 1,2-1-1,10 78 1,-9-98-31,4-31 111,-3 9-61,0-1-1,0 0 0,-1 1 1,1-1-1,-1 0 1,0 0-1,0 0 0,0 0 1,1-6-1,2 24 700,0-1 565,-5-11-1215,1-1 0,-1 1-1,0 0 1,0-1 0,0 1-1,0 0 1,0-1 0,-2 4-1,-1 10-76,2-12 10,0 2 0,1-1 0,-1 0 0,1 0-1,0 1 1,0-1 0,1 0 0,-1 1 0,1-1 0,1 0 0,-1 1-1,2 6 1,5 5-6,-3-12 14,-5-4 6,0 0 0,0 0 0,0 0 0,-1 0 0,1 0 1,0 0-1,0 0 0,-1 0 0,1-1 0,-1 1 1,1 0-1,-1-1 0,1 0 0,-3 1 0,-50 10-66,-1-3-1,-74 2 0,71-10-1,-179 3-7,164 1 34,-89 18 1,1 7 80,-2-7 0,0-7 0,-279-11 0,-33-42-64,-1 0 0,263 18 0,117 9 0,0 3 0,-144 8 0,-185 64-120,352-51 112,-4-2-13,0-3 0,-91-3 0,-156-19-44,316 13 65,-420-34 256,204 0-369,-37-3-30,130 33 143</inkml:trace>
  <inkml:trace contextRef="#ctx0" brushRef="#br0" timeOffset="9408.41">5310 2997 12672,'5'0'77,"-1"0"17,0 0 0,1-1 0,-1 1 0,0-1 0,1 1 0,-1-1 0,6-3 0,-9 4-40,-1 0 0,1-1 0,-1 1 0,1-1 0,0 1 0,-1-1 0,1 1 0,-1-1 0,1 1 0,-1-1 0,1 1 0,-1-1 0,0 0 0,1 1 0,-1-1 0,0 0 0,1 1 0,-1-1 0,0-1 0,1 0 106,-1 0 0,-1 1 0,1-1 0,0 0 0,0 1 0,0-1 0,-1 0 0,1 1 0,-1-1 0,0 0 0,1 1 0,-5-9 3032,6 14-2404,10 12-278,-9-14-411,1 0 0,-1 0 0,1-1-1,-1 1 1,1-1 0,0 1-1,-1-1 1,1 0 0,0 0 0,0 0-1,0-1 1,0 1 0,3 0 0,45 0 348,-16-1-15,157 5-386,41 3-50,432 7 516,-210-17-128,-42 0-277,173 34 277,-319 6-357,-31-3-33,-40-5 252,-103-14-86,-24-5 76,115 17 530,-152-21-753,-27-6-22,1 1-1,-1-1 0,1 0 1,0 0-1,-1 0 0,1-1 1,10-1-1,-31-67-24544,-1 15 26773</inkml:trace>
  <inkml:trace contextRef="#ctx0" brushRef="#br0" timeOffset="10673.64">5456 352 16767,'6'-1'12,"15"2"133,-20-1-136,0 0 0,-1 0 0,1 1 0,0-1-1,-1 0 1,1 0 0,0 1 0,-1-1 0,1 1 0,0-1 0,-1 0 0,1 1 0,-1-1-1,1 1 1,-1 0 0,1-1 0,-1 1 0,0-1 0,1 1 0,-1 0 0,1-1 0,-1 1-1,0 0 1,0-1 0,0 1 0,1 0 0,-1 0 0,1 1 67,0 0 1,0 0 0,1-1-1,-1 1 1,1-1 0,-1 1-1,1-1 1,-1 1 0,1-1-1,0 0 1,0 0-1,0 0 1,0 0 0,-1 0-1,1 0 1,5 1 0,35 11 28,158 21 785,-60-13-372,346 53 1380,-289-47-1436,75 7-134,403-9 418,-433-30-623,-133 0 8,184 16-1,-243-1-130,-1 1 0,0 3 0,60 24 0,50 16 0,-132-47 0,0-1 0,0-2 0,0 0 0,31-1 0,-9-2 121,0 2 0,56 11 0,-94-12-91,50 7 227,-56-9-235,0 0 1,1 0-1,-1 0 1,1-1-1,-1 0 1,0 0-1,0 0 1,1-1-1,4-2 1,2 0-1853,16 0 5499</inkml:trace>
  <inkml:trace contextRef="#ctx0" brushRef="#br0" timeOffset="11824.4">5645 218 17791,'-5'-2'128,"-22"-11"-12,18 8-56,0 0 0,0 0 0,-1 1 0,1 1 0,-1 0 0,0 0 0,1 1 0,-1 0 0,-1 0 0,1 1 0,0 1 0,-13 0 0,14 2-54,0 1-1,0-1 0,0 2 0,0-1 0,1 1 0,-1 0 0,1 1 0,0 0 1,0 0-1,1 1 0,0 0 0,0 0 0,0 1 0,0 0 0,1 0 0,1 0 0,-1 1 1,1 0-1,0 0 0,1 0 0,0 1 0,0-1 0,1 1 0,-4 16 0,5-16 0,0-1 0,0 0-1,1 1 1,0-1-1,0 1 1,1 0-1,1-1 1,-1 1 0,1-1-1,1 1 1,-1-1-1,2 0 1,-1 1-1,1-1 1,0 0 0,1 0-1,0-1 1,0 1-1,0-1 1,1 0-1,0 0 1,1 0 0,-1-1-1,1 0 1,1 0-1,-1 0 1,10 5-1,-12-8 50,0 0-1,1-1 0,-1 0 1,0 0-1,1 0 0,-1 0 1,1-1-1,0 0 0,-1 0 1,1 0-1,0 0 0,0-1 1,0 0-1,9-1 0,-8 0 26,0-1-1,1 0 1,-1 0 0,0 0-1,0-1 1,-1 0-1,1 0 1,-1-1-1,1 0 1,7-6-1,-1-2-8,-1 0 1,0 0-1,0-1 0,-1 0 0,-1-1 0,13-26 0,35-92 613,-54 122-603,3-5 4,0 0 0,-2 0 1,6-32-1,-10 44-74,1 0 1,-1 0 0,0 0-1,0 0 1,0 0-1,0 0 1,-1 0 0,1 0-1,-1 0 1,1 0 0,-1 0-1,0 0 1,0 1 0,-1-1-1,1 0 1,0 1-1,-1-1 1,0 1 0,0-1-1,1 1 1,-1 0 0,0 0-1,-1 0 1,1 0-1,0 0 1,-1 0 0,1 1-1,-4-3 1,1 2-9,1 0-1,-1 0 1,0 0-1,0 1 1,-1 0-1,1 0 1,0 0 0,0 0-1,-1 1 1,1 0-1,0 0 1,0 0-1,-1 1 1,1 0-1,0 0 1,-10 3 0,10-1-3,0-1 1,0 1 0,0 0-1,1 0 1,-1 1 0,1-1-1,-1 1 1,1 0 0,1 1 0,-1-1-1,1 0 1,-1 1 0,1 0-1,0 0 1,1 0 0,-3 6-1,0 2 1,0 0 0,1 0 0,0 1 0,1 0 0,0 0 0,2-1 0,-1 2 0,2-1 0,0 0 0,0 0 0,4 18 0,1 11 51,-3-20 18,1-1-1,12 43 0,-15-64-238,1 0 1,-1 0-1,0 0 0,1 0 0,-1 0 0,1 0 0,0 0 0,-1 0 0,1-1 0,0 1 1,-1 0-1,1 0 0,0 0 0,1 0 0,5 1-2965,-6-2 2787,0 0-1,0 0 1,0 0 0,-1 0-1,1-1 1,31-27-11718</inkml:trace>
  <inkml:trace contextRef="#ctx0" brushRef="#br0" timeOffset="12856.49">5427 2904 14464,'3'-4'72,"0"0"0,0 0 0,-1 0 0,0-1 0,0 1 0,0 0 0,0-1 0,-1 1 0,1-1 0,-1 0 0,0 1-1,0-7 1,-1 1 299,-1 1-1,1-1 0,-2 1 0,1-1 1,-4-9-1,5 18-351,0 1 0,0-1 0,0 0 1,-1 0-1,1 0 0,0 1 0,-1-1 0,1 0 1,0 1-1,-1-1 0,1 0 0,-1 1 0,1-1 1,-1 0-1,1 1 0,-1-1 0,1 1 1,-1-1-1,0 1 0,1-1 0,-1 1 0,0-1 1,1 1-1,-1 0 0,-1-1 0,0 1-13,1 0 0,0 0 0,0 0 1,-1 0-1,1 1 0,0-1 0,-1 0 0,1 1 0,0-1 0,0 1 0,0-1 0,-1 1 0,1-1 0,-1 2 0,-3 2-8,0-1 0,0 1-1,1 1 1,-1-1-1,-4 8 1,1-1 95,1 1 0,1-1 0,0 2 0,1-1 0,-6 18 1,-14 69 328,18-66-273,1-5-29,0 0-1,2 1 1,1-1-1,1 38 1,2-63-98,0 0-1,0 0 1,0-1 0,1 1 0,-1 0 0,1-1-1,0 1 1,-1-1 0,1 1 0,1-1-1,-1 1 1,0-1 0,0 1 0,1-1 0,0 0-1,-1 0 1,1 0 0,0 0 0,0 0 0,0 0-1,0 0 1,0-1 0,1 1 0,-1-1 0,0 0-1,1 1 1,-1-1 0,1 0 0,2 0 0,-2 0 8,0-1 0,0 0 1,0 0-1,0 0 0,0 0 0,0 0 1,0-1-1,0 1 0,0-1 1,0 0-1,0 0 0,0 0 1,-1 0-1,1-1 0,0 1 0,-1-1 1,1 1-1,-1-1 0,0 0 1,1 0-1,-1 0 0,0 0 0,0-1 1,0 1-1,0 0 0,2-5 1,8-15 75,-1-2 1,-1 1 0,-2-1-1,0 0 1,-1-1 0,6-38-1,-11 52-93,5-50 262,-7 55-248,1 1 1,-2-1-1,1 1 0,-1-1 0,0 0 1,0 1-1,0-1 0,-3-6 1,4 11-24,-1 0 1,1 0 0,-1 0 0,1 0 0,0 0-1,-1 0 1,0 1 0,1-1 0,-1 0-1,1 0 1,-1 1 0,0-1 0,0 0 0,1 1-1,-1-1 1,0 1 0,0-1 0,0 1 0,0-1-1,0 1 1,0-1 0,0 1 0,0 0-1,1 0 1,-1-1 0,0 1 0,0 0 0,0 0-1,0 0 1,0 0 0,0 0 0,0 0-1,0 0 1,0 1 0,0-1 0,0 0 0,0 1-1,0-1 1,0 0 0,0 1 0,0-1 0,0 1-1,0-1 1,1 1 0,-2 1 0,-2 0 7,1 1 0,-1 0 0,1 0 0,0 0 0,0 1 0,0-1 1,1 1-1,-1 0 0,-1 4 0,-1 3-18,1 1-1,0 0 1,1 0 0,1 0 0,0 0-1,1 1 1,0-1 0,0 0 0,1 1-1,1-1 1,0 0 0,1 1-1,1-1 1,-1 0 0,2 0 0,7 17-1,-1-8-1870,-8-19 1258,-1-1-1,0 1 1,1 0-1,-1-1 1,1 1-1,-1-1 0,1 1 1,0-1-1,0 0 1,0 0-1,2 2 1,-2-3 105,0 1 1,0-1-1,0 1 1,0-1 0,0 0-1,1 0 1,-1 0 0,0 0-1,0 0 1,0 0-1,0-1 1,0 1 0,0-1-1,0 1 1,1-1 0,-1 0-1,-1 0 1,1 0-1,0 0 1,0 0 0,0 0-1,1-2 1,16-12-1151,-4-1 1664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24.877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4 1015 19071,'42'8'0,"-86"-7"256,43-3-256,7-1 0,7 0 0,23 2 64,70 7-1,-47-1-62,356 28 149,-291-21-46,-48-3 36,139-2 0,113-21 756,-222 8-727,92 2 942,-163 4-887,45-5 0,-59 3-75,-19 2-152,7-5-143</inkml:trace>
  <inkml:trace contextRef="#ctx0" brushRef="#br0" timeOffset="879.83">1750 951 17151,'43'38'128,"-39"-34"-57,-1 0 0,1 0-1,-1 1 1,0-1 0,0 1-1,0 0 1,0 0 0,-1 0-1,0 0 1,0 0 0,0 1-1,-1-1 1,0 0 0,0 1-1,0 6 1,5 47-66,-6-40 357,2 1-1,1-1 1,0 0 0,8 26-1,-13-55-313,0-1 0,1 1 0,0 0-1,1-1 1,0-12 0,0-8 49,-5-43 85,-22-113-1,26 182-167,1 2-8,0 1 1,-1 0 0,1-1 0,-1 1 0,1 0-1,-1-1 1,0 1 0,0 0 0,0 0-1,0 0 1,0-1 0,0 1 0,0 0 0,-1 1-1,1-1 1,-1 0 0,0 0 0,1 1 0,-5-4-1,19 12-6,-4-4 0,-1 1 0,0 1 0,0 0 0,0 0 0,0 0 0,9 10 0,9 13 32,-17-16 2,1-1-1,1 0 1,0-1 0,0 0 0,20 12 0,5-3 50,-26-15-28,0 1 0,-1-1 0,0 2 1,0-1-1,0 2 0,-1-1 0,12 12 0,-19-17-35,-1 0-1,1 0 0,-1 0 0,0 0 0,1 0 0,-1 0 1,0 0-1,0 0 0,1 0 0,-1 0 0,0 0 0,0 0 1,0 0-1,0 0 0,0 0 0,-1 0 0,1 0 0,0 0 1,0 0-1,-1 0 0,1 0 0,0 0 0,-1 0 0,1 0 1,-1 0-1,0 0 0,1 0 0,-1 0 0,-1 1 0,-25 24 92,23-22-82,-9 8-6,-1-1-1,0 0 1,0-1 0,-1-1 0,0 0-1,-1-1 1,-19 7 0,22-11-1058,0 0 0,0-1 0,-18 1-1,-2-2-2081,-42-4-9868,38 1 10888,-18-1 3909</inkml:trace>
  <inkml:trace contextRef="#ctx0" brushRef="#br0" timeOffset="1747.97">595 0 16767,'20'37'0,"-18"-33"32,-2-3 103,-4-1 194,1 14-35,2 34 219,8 72 1,-2-57-261,13 242 835,-18-303-1073,0-1 0,0 1 0,0-1 0,0 0 0,0 1 0,1-1 1,-1 0-1,0 1 0,1-1 0,-1 0 0,1 1 0,-1-1 0,1 0 0,0 0 1,0 0-1,-1 0 0,1 1 0,0-1 0,0 0 0,0 0 0,2 0 0,-2 0-5,0-1 0,0 0 0,0 0 0,0 1 0,0-1 0,0 0 0,0 0 0,0 0 0,1-1 0,-1 1 0,0 0 0,0 0 0,0 0 0,0-1 0,0 1 0,0-1 0,0 1 0,0-1 0,0 1 0,1-2 0,4-2 25,0 0 1,-1-1-1,1 0 0,-1 0 1,0-1-1,6-8 0,38-57 104,76-148-1,-101 168-95,-2-1 0,23-85-1,-44 133-42,0 1 0,-1-1 0,1 1 0,0 0 0,0 0 0,1-1 0,-1 1 0,1 0 0,-1 0 0,3-3 0,-3 6 3,-1 0 0,0 0 0,0 0 0,1 0 0,-1 0 0,0 0 0,0 0 0,1 0 0,-1 0 0,0 0-1,0 0 1,1 0 0,-1 0 0,0 0 0,0 0 0,0 0 0,1 0 0,-1 0 0,0 0 0,0 0 0,1 0 0,-1 0-1,0 0 1,0 1 0,0-1 0,1 0 0,-1 0 0,0 0 0,0 0 0,0 1 0,1-1 0,-1 0 0,0 0 0,0 0-1,0 1 1,0-1 0,0 0 0,0 0 0,0 0 0,1 1 0,-1-1 0,0 0 0,0 0 0,0 1 0,0-1 0,0 0-1,0 0 1,0 1 0,0-1 0,0 0 0,0 1 0,4 16 335,-4-16-316,5 37 147,-2 0 0,-2 0 0,-1 1 0,-7 46 0,3-32-11,-11 80-40,-1 5-1132,14-121-418,-1 19-7131,10-9-3052,-1-25 11615</inkml:trace>
  <inkml:trace contextRef="#ctx0" brushRef="#br0" timeOffset="2644.28">1138 495 19455,'-2'2'5,"0"0"0,1 0 0,-1 0 0,1 1 0,0-1 0,-1 0 0,1 1 0,0-1 0,0 0 0,1 1 0,-1-1-1,1 1 1,-1 0 0,1-1 0,0 1 0,0-1 0,0 1 0,0-1 0,0 1 0,0 0 0,1-1 0,0 1 0,-1-1 0,1 1 0,2 4-1,12 37-181,-1 2-1,11 68 0,-27-138-1633,1-33 0,1-4 1636,-2 20 73,-1 1 506,3 1-1,4-55 1,-3 89-365,1-1-1,-1 0 0,1 1 1,0 0-1,0-1 1,1 1-1,0 0 0,0 0 1,0 0-1,0 0 1,1 1-1,0-1 0,-1 1 1,2 0-1,4-4 0,-6 6 9,1-1 0,-1 1 0,1 0-1,-1-1 1,1 2 0,0-1 0,0 0-1,0 1 1,0 0 0,0 0 0,0 0-1,0 0 1,0 1 0,1-1 0,-1 1-1,0 0 1,0 0 0,0 1 0,1-1-1,-1 1 1,6 2 0,-3-1 50,0 1 1,0 0 0,0 0-1,0 1 1,0 0 0,10 8-1,-15-11-75,-1 1 0,1-1 0,-1 0 0,0 1 0,0 0 0,0-1 0,0 1 0,0 0 0,0-1 0,0 1 0,-1 0 0,1 0 0,0 0 0,-1 0-1,0 0 1,1 0 0,-1-1 0,0 1 0,0 0 0,0 0 0,0 0 0,-1 0 0,1 0 0,0 0 0,-1 0 0,1 0 0,-1 0 0,0-1 0,0 1 0,1 0 0,-1 0 0,-2 2 0,-7 11 39,0 0 1,-1 0 0,-1-1-1,0-1 1,-1 0 0,0-1-1,-1 0 1,-25 16-1,38-27-61,0-1 0,0 1 0,1 0 0,-1-1 0,0 1 0,0 0 0,1-1 0,-1 1 0,1 0 0,-1 0 0,0 0 0,1-1 0,0 1 0,-1 0 0,1 0 0,-1 0 0,1 0 0,0 0 0,0 0 0,0 0 0,-1 0 0,1 0 0,0 0 0,0 0 0,0 0 0,1 0 0,-1 0 0,0 0 0,0 0 0,0 0 0,1 0 0,-1 0 0,0 0 0,1 0 0,-1 0 0,1-1 0,-1 1 0,1 0 0,0 0 0,-1 0 0,1-1 0,0 1 0,1 1 0,4 4 0,1 1 0,0-1 0,14 10 0,-12-9 0,24 21-448,-16-13-1039,26 18 0,-36-28 827,0-1 0,0 0-1,0-1 1,1 0 0,-1 0 0,1-1 0,13 3 0,19 1-6592,21 1 5629,-30-3 386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18.780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278 0 18431,'-20'32'0,"20"-32"0,0 0 0,0 0 0,0 0 0,0 0 0,0 0 0,0 0-1,0 0 1,-1 0 0,1 0 0,0 0 0,0 0 0,0 0-1,0 0 1,0 0 0,0 0 0,0 0 0,0 0 0,0 0 0,0 0-1,0 0 1,0 0 0,0 0 0,0 0 0,-1 0 0,1 0-1,0 0 1,0 0 0,0 0 0,0 0 0,0 0 0,0 0 0,0 0-1,0 0 1,0 0 0,0 0 0,0 0 0,0 0 0,0 0 0,0 0-1,0 0 1,0 1 0,-1-1 0,1 0 0,0 0 0,0 0-1,0 0 1,0 0 0,0 0 0,0 0 0,0 0 0,0 0 0,0 0-1,0 0 1,0 0 0,2-9 34,6-13 324,-7 21-230,-5 18 150,7 2-139,-1-8 77,0 0 0,-1-1-1,-1 21 1,-2 46 195,-5 43-288,-1 8 439,10 159 1,0 24-46,-1-22-367,-1-247-22,0-42-64,0-11-832,3-103-19170,1 67 18031,1 10 1907</inkml:trace>
  <inkml:trace contextRef="#ctx0" brushRef="#br0" timeOffset="1119.48">187 509 2560,'2'8'-59,"0"0"1,0-1-1,2 14 0,-4-20 86,0-1-1,0 0 0,-1 1 1,1-1-1,0 0 0,0 1 1,0-1-1,0 0 0,0 1 1,0-1-1,0 0 0,-1 1 1,1-1-1,0 0 0,0 0 1,0 1-1,-1-1 0,1 0 1,0 0-1,0 1 1,-1-1-1,1 0 0,0 0 1,0 0-1,-1 1 0,1-1 1,0 0-1,-1 0 0,1 0 1,0 0-1,-1 0 0,1 0 1,0 0-1,-1 0 0,1 0 1,-1 0-1,-17-1 3051,5-1-750,10 3-2216,1-1-1,0 1 1,-1 0 0,1 0 0,0 0-1,-1 0 1,1 0 0,0 0 0,0 1-1,0-1 1,0 1 0,0-1 0,0 1 0,1 0-1,-1 0 1,0 0 0,1 0 0,0 0-1,-1 0 1,1 0 0,0 0 0,0 1-1,0-1 1,0 0 0,1 1 0,-1-1 0,0 0-1,1 1 1,0-1 0,0 5 0,-1 2 309,1 0 1,0 1 0,1-1-1,0 0 1,0 0 0,6 18-1,10 11 634,-13-31-953,-1 1 0,1-1-1,-1 1 1,2 8-1,3 14 378,23 55-1,-2-8-24,-8-15-69,-3 0 0,-2 1 0,7 76 0,-20-121 311,-2-30-483,-2-30-244,-51-196-1189,38 191 923,-2 1 1,-3 0 0,-24-43-1,22 50 298,5 7 0,-1 2 0,-1 0 0,-2 1 0,-25-29 0,41 54 19,2 3 2,0-1 1,0 1 0,1-1-1,-1 0 1,1 0-1,-1 0 1,1 0-1,0 0 1,0 0 0,0 0-1,-2-4 235,16 10 0,152 30 128,-107-23-106,-25-6 13,0-1 1,47-1-1,-79-2-287,-1-1 0,1 1 0,-1-1 0,1 1 0,-1 0 0,1-1 0,-1 1 0,1 0 0,-1 0 0,0-1 0,1 1 0,-1 0 0,0 0 0,0 0 0,1-1 0,-1 1 0,0 0-1,0 0 1,0 0 0,0 0 0,0-1 0,0 1 0,0 0 0,-1 0 0,1 0 0,0 0 0,-5 27 103,-10 17-33,2 2 1,2-1 0,-8 84-1,13-91-17,-1 0 1,-14 40-1,-3 20 134,23-98-195,-3 19-244,1 0 1,-1 29-1,56-111-20103</inkml:trace>
  <inkml:trace contextRef="#ctx0" brushRef="#br0" timeOffset="2585.51">530 1221 15744,'0'0'4223,"-2"3"-4116,-4 15-64,-1 1-1,2 0 1,1 0 0,0 0-1,1 1 1,0 37 0,3-47-32,-1 11 124,4 40 0,-2-55-116,0 1 0,1-1 0,-1 0 0,1 0 0,1 0 0,-1 0 0,1 0 0,0-1 0,0 1 0,8 9 0,-10-14-15,0-1-1,0 1 0,0-1 1,0 1-1,0 0 1,0-1-1,0 0 0,0 1 1,0-1-1,1 0 0,-1 0 1,0 1-1,0-1 0,0 0 1,1 0-1,-1 0 1,0-1-1,0 1 0,0 0 1,0 0-1,1-1 0,-1 1 1,0 0-1,0-1 0,0 1 1,2-2-1,31-17 131,-31 16-124,4-2 30,0 0 1,0-1-1,-1 0 1,0 0-1,-1-1 0,1 0 1,7-12-1,0-4 76,12-28 0,2-24 203,-10 25-212,-23 72-172,1-1-1,1 1 1,1 0 0,0 32-1,2-21-1155,1 0 1,10 64-1</inkml:trace>
  <inkml:trace contextRef="#ctx0" brushRef="#br0" timeOffset="3182.92">959 1363 18943,'-7'20'71,"-6"21"136,10-8-79,2 0 0,6 64 0,-1-17-64,-3-60-415,0 13-1188</inkml:trace>
  <inkml:trace contextRef="#ctx0" brushRef="#br0" timeOffset="3497.88">836 1293 15488,'23'56'149,"-21"-48"42,-6-12 103,-11-21 95,19 23-389,0 0 0,0 0 0,1 1 0,-1-1 0,0 1 0,0 0 0,8-2 0,2 2-246,-1 0-1,1 1 0,-1 1 0,1 0 0,15 3 0,27 2-2047,-18-5-5772,-11-1 3685,-9 0 4220,9 3 161</inkml:trace>
  <inkml:trace contextRef="#ctx0" brushRef="#br0" timeOffset="4367.92">1251 1501 20735,'4'-26'-106,"-4"26"191,-3 0-85,0 1-107,-25 9-679,25-10 759,1 1 1,0-1-1,0 1 0,-1 0 0,1 0 0,0 0 0,0 0 0,0 0 0,0 0 1,0 0-1,0 1 0,0-1 0,0 1 0,1 0 0,-3 1 0,-4 7-808,1 0-1,0 0 0,0 0 0,1 1 1,-6 12-1,11-19 807,-1 0 0,1 0 0,0 0 0,0 0-1,0 1 1,1-1 0,-1 0 0,1 0 0,0 1 0,0-1 0,1 0-1,-1 0 1,1 1 0,0-1 0,0 0 0,0 0 0,1 0 0,2 5 0,5 16 302,-8-20-92,0 0 0,1-1 0,0 1 0,0-1 0,3 7-1,-4-10-126,0 0-1,0 0 0,0 0 0,0 0 0,0 0 0,0 0 1,0 0-1,0-1 0,0 1 0,0 0 0,0-1 0,0 1 1,1-1-1,-1 1 0,0-1 0,0 0 0,1 1 0,-1-1 1,0 0-1,1 0 0,-1 0 0,0 0 0,1 0 0,1 0 0,0-1 33,0 1 0,-1-1 0,1 1 0,0-1 0,0 0 0,-1 0-1,1 0 1,-1 0 0,1 0 0,-1-1 0,0 1 0,1-1 0,-1 0-1,0 0 1,0 1 0,0-1 0,2-3 0,-1 0 22,0-1 0,0 1 0,0 0 0,-1-1 1,0 1-1,0-1 0,2-8 0,13-83 433,-13 55-4303,1-1-8867,-4 40 11861</inkml:trace>
  <inkml:trace contextRef="#ctx0" brushRef="#br0" timeOffset="4868.41">1579 1327 17663,'-43'25'128,"42"-25"-122,1 1 0,0-1 0,0 0 0,-1 1 0,1-1 0,0 0 0,-1 1 0,1-1 0,0 0-1,0 1 1,0-1 0,-1 0 0,1 1 0,0-1 0,0 1 0,0-1 0,0 0 0,0 1 0,0-1 0,0 1-1,0-1 1,0 1 0,0-1 0,0 0 0,0 1 0,0-1 0,0 1 0,0-1 0,0 0 0,0 1-1,0-1 1,1 1 0,-1-1 0,0 0 0,0 1 0,0-1 0,1 1 0,15 14 291,-4-3-51,-9-5-223,0 0 1,0-1-1,-1 2 0,0-1 0,0 0 0,-1 0 0,0 0 0,0 1 0,-1-1 0,0 14 0,0-14-21,1 6-553,0 1-1,1-1 1,1 0-1,5 17 0,-4-16-1019,0 1 0,2 22 1,-5-32 1145,-1 1 1,0-1 0,0 1-1,-1-1 1,1 0 0,-1 1-1,-1-1 1,1 0 0,-1 0-1,-4 9 1</inkml:trace>
  <inkml:trace contextRef="#ctx0" brushRef="#br0" timeOffset="5032.89">1575 1523 16511,'0'0'0,"9"36"0,-8-27 0,-2-6 0,13-8-5119,3-4 4991,0-2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28.83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279 0 18815,'-2'16'17,"1"-12"-7,0 0 0,1-1 0,-1 1 0,1 0 0,0-1 0,0 1 0,1 0 0,0 4 0,0-3 25,0 1-1,-1-1 1,1 0 0,-1 1 0,0-1-1,0 1 1,-1-1 0,0 0-1,-2 9 1,-2 22 407,11 107 326,-41 534 1430,28-423-1837,1-10-232,-3-190-97,7-45-88,0 1 0,0-1-1,1 1 1,0 0-1,1 0 1,0 11 0,-5-76-22621,2 31 22677</inkml:trace>
  <inkml:trace contextRef="#ctx0" brushRef="#br0" timeOffset="904.97">0 1025 18943,'4'6'24,"-1"0"-1,0-1 0,0 1 1,-1 0-1,0 1 0,0-1 0,0 0 1,-1 1-1,0-1 0,1 13 0,-2-5 6,2 0-1,0 0 1,0 1-1,1-1 1,1 0-1,0-1 1,1 1-1,11 20 0,6 4 100,38 54 0,-51-78-24,2 0 0,0 0 0,15 13 0,-23-24-80,-1-1 0,1 1 0,0-1 0,0 0 0,1 0 0,-1 0 0,0 0 0,1 0 0,-1-1 0,1 1 0,0-1 0,-1 0 0,1 0 0,0-1 0,0 1 0,-1-1 0,1 0 0,0 0 0,7-1 0,-9 1-25,-1 0 0,0-1 0,1 1 0,-1-1 0,0 0-1,0 1 1,1-1 0,-1 0 0,0 1 0,0-1 0,0 0 0,0 0-1,0 0 1,0 0 0,0 0 0,-1 0 0,1 0 0,0-1-1,0 1 1,-1 0 0,1 0 0,-1-1 0,1 1 0,-1 0 0,1 0-1,-1-1 1,0-1 0,1-4-92,-1 0 0,1 0 0,-1 0 0,-2-8 0,1 7-28,-3-38-86,-2 0 0,-2 0 0,-2 1 0,-3 0 0,-1 1 0,-2 0 0,-2 1 0,-2 1 0,-38-61 0,47 85 264,6 10 16,0 0-1,0 0 0,-1 1 0,0-1 1,-13-11-1,20 19-65,-1 0 0,0 0 0,0 0 0,0 0 0,0 0 0,1 0 0,-1 0 0,0 0 0,0-1 0,0 1 0,0 0 0,1 0 1,-1 0-1,0 0 0,0 0 0,0 0 0,0 0 0,0 0 0,0-1 0,1 1 0,-1 0 0,0 0 0,0 0 0,0 0 0,0 0 0,0-1 0,0 1 0,0 0 0,0 0 0,0 0 0,0 0 0,0-1 0,0 1 0,0 0 0,0 0 0,0 0 0,0 0 0,0-1 0,0 1 0,0 0 0,0 0 0,0 0 0,0 0 0,0-1 0,0 1 1,0 0-1,0 0 0,0 0 0,0 0 0,0 0 0,0-1 0,-1 1 0,1 0 0,0 0 0,0 0 0,0 0 0,0 0 0,0 0 0,0-1 0,-1 1 0,1 0 0,21 0 353,-14 1-303,73-1 130,303-9 1632,-371 8-1772,46-1 15,-55 2-62,-1 0-1,1 0 1,0 0 0,-1 1 0,1-1 0,-1 1 0,1 0 0,0 0 0,-1-1-1,1 2 1,-1-1 0,0 0 0,1 0 0,-1 1 0,0 0 0,0-1-1,2 3 1,-3-3 1,-1 0 0,1 0 0,0 1 0,-1-1 0,1 0 0,-1 0 0,0 1 0,1-1 0,-1 0 0,0 1 0,0-1 0,0 0 0,0 1 0,0-1 0,0 1 0,0-1 0,-1 0 0,1 1 1,0-1-1,-1 0 0,0 2 0,-15 26 81,15-28-80,-62 94 9,-64 129-1,-69 129-117,177-321 86,11-21 650</inkml:trace>
  <inkml:trace contextRef="#ctx0" brushRef="#br0" timeOffset="1587.45">86 1068 12416,'37'-11'70,"-25"6"133,-11 5 48,-4 0 142,-21 7 1937,-5 0-436,29-7-1883,0 1-1,0-1 1,-1 1 0,1-1 0,0 1 0,0 0-1,0-1 1,0 1 0,0-1 0,0 1 0,0 0 0,0-1-1,0 1 1,0-1 0,0 1 0,0 0 0,0-1-1,1 1 1,-1-1 0,0 1 0,0-1 0,1 2 0,5 15 229,-6-17-239,0 0 0,0 0 0,0 0-1,0 0 1,0 0-1,0 1 1,0-1 0,1 0-1,-1 0 1,0 0 0,0 0-1,0 0 1,0 0-1,0 0 1,0 0 0,0 0-1,0 0 1,1 0-1,-1 0 1,0 0 0,0 0-1,0 0 1,0 0-1,0 0 1,0 0 0,0 0-1,1 0 1,-1 0-1,0 0 1,0 0 0,0 0-1,0 0 1,0 0-1,0 0 1,0 0 0,0 0-1,1 0 1,-1-1-1,0 1 1,0 0 0,0 0-1,0 0 1,0 0-1,0 0 1,0 0 0,0 0-1,0 0 1,0 0 0,0 0-1,0-1 1,0 1-1,0 0 1,0 0 0,0 0-1,0 0 1,0 0-1,0 0 1,0 0 0,0-1-1,0 1 1,0 0-1,0 0 1,0 0 0,0 0-1,0 0 1,0 0-1,6-17 88,3-20 40,-6 18-94,-2-1-1,0 1 1,-1-1 0,-1 1-1,-1 0 1,-5-23-1,7 42-33,0 1 1,0-1-1,-1 0 1,1 0-1,0 0 0,0 0 1,0 0-1,0 1 1,0-1-1,0 0 0,-1 0 1,1 0-1,0 0 0,0 0 1,0 0-1,0 0 1,-1 0-1,1 0 0,0 1 1,0-1-1,0 0 0,0 0 1,-1 0-1,1 0 1,0 0-1,0 0 0,0 0 1,-1 0-1,1 0 1,0 0-1,0 0 0,0 0 1,0-1-1,-1 1 0,1 0 1,0 0-1,0 0 1,0 0-1,0 0 0,-1 0 1,1 0-1,0 0 0,0-1 1,0 1-1,0 0 1,0 0-1,-1 0 0,1 0 1,0 0-1,0-1 1,0 1-1,0 0 0,0 0 1,0 0-1,0 0 0,0-1 1,0 1-1,0 0 1,0 0-1,0 0 0,0-1 1,0 1-1,0 0 0,0 0 1,0 0-1,0 0 1,0-1-1,0 1 0,0 0 1,-6 13-7,-2 15 115,1 0 1,2 0-1,1 0 0,1 1 0,2-1 0,1 1 0,1 0 0,8 48 0,-1-48 1803,-6-25-2850,-1 0 1,2 0-1,-1 0 0,0 0 0,1-1 0,-1 1 1,6 4-1,-6-6 240,-1-1 0,1 1 1,0 0-1,0-1 0,0 0 0,1 0 1,-1 1-1,0-1 0,0-1 0,1 1 1,-1 0-1,0 0 0,1-1 0,2 1 1,-2-1 324,0 0 0,0 0 0,0-1 0,-1 1 0,1 0 0,0-1 0,0 0 0,4-2 0,16-12 373</inkml:trace>
  <inkml:trace contextRef="#ctx0" brushRef="#br0" timeOffset="2331.73">978 871 22015,'-8'4'-1,"6"-3"2,1-1 0,-1 1 0,1 0-1,-1-1 1,1 1 0,-1 0 0,1 0 0,0 0 0,0 0 0,-1 0 0,1 0-1,0 1 1,0-1 0,0 0 0,0 0 0,0 1 0,0-1 0,0 1 0,1-1-1,-1 1 1,1-1 0,-1 1 0,1-1 0,-1 1 0,1 2 0,-1 10 77,-1 1 0,0-1 1,-1 0-1,-7 20 1,4-15 34,-4 29 0,3 2-106,4 0 1,2 76-1,2-120 27,-1 1 0,1 0 0,0-1 0,0 1 0,1-1 0,0 1 1,0-1-1,0 0 0,5 8 0,-6-15-33,0 0 1,0 0-1,0 0 1,0 0-1,0 0 0,0 0 1,0 0-1,-1 0 1,1 0-1,0 0 1,-1-1-1,1 1 0,0 0 1,-1 0-1,1-2 1,0-1-4,13-23-23,0 0-1,2 2 1,0-1-1,21-22 0,-24 35 52,0 0-1,0 1 1,1 0 0,24-14-1,-38 26-25,0 0 0,0 0 0,0 0-1,1 0 1,-1-1 0,0 1 0,0 0 0,1 0-1,-1 0 1,0 0 0,0 0 0,0 0-1,1 0 1,-1 0 0,0 0 0,0 0 0,1 0-1,-1 0 1,0 0 0,0 0 0,1 0 0,-1 0-1,0 0 1,0 0 0,1 0 0,-1 0-1,0 1 1,0-1 0,0 0 0,1 0 0,-1 0-1,0 0 1,0 0 0,0 1 0,1-1-1,-1 0 1,0 0 0,0 1 0,4 12-22,-4 22-39,0-29 46,-2 28-38,-9 42 1,0 5 7,8-55-2411,-2 23-8101,5-45 9966,0-1 1,0 1 0,1-1 0,-1 1 0,1-1 0,0 1 0,0-1-1,0 0 1,0 0 0,1 1 0,1 3 0,1-2-818</inkml:trace>
  <inkml:trace contextRef="#ctx0" brushRef="#br0" timeOffset="2970.33">1388 1184 19839,'-18'27'0,"22"-7"1155,-2-16-903,-1 0 0,0 1 0,0-1 0,0 1 0,0 5 0,-3 6-268,-1 5 69,1 1-1,1-1 1,0 0-1,2 0 0,5 36 1,-6-57-50,1 1 0,-1-1 0,1 1 0,-1-1 0,0 0 0,1 1 0,-1-1-1,1 1 1,-1-1 0,1 0 0,-1 1 0,1-1 0,0 0 0,-1 0 0,1 1 0,-1-1 0,1 0 0,0 0 0,-1 0 0,1 0 0,-1 0 0,1 0 0,0 0 0,-1 0 0,1 0 0,-1 0 0,1 0 0,0 0 0,-1 0 0,1 0 0,-1-1 0,2 1 0,27-10 110,-17 6-90,32-9-445,-30 7-206,1 2 0,-1 0 0,1 1 0,23-3 0,-33 6-962,0 1 1,1-1-1,-1 1 1,0 0-1,0 0 0,0 1 1,0 0-1,0-1 1,6 5-1,14 7-2207,-14-7 4546,32 17 1278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49.838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328 68 17279,'30'12'22,"-25"-12"147,-8-6 106,-10-6 625,4 8-664,1 2 139,12 15-282,2 6-22,-1-1 0,-1 1-1,-1 0 1,1 37 0,0-16 87,6 77 140,-6 148 1,-4-251-485,-1 17-495,-3-15-5086,-19-37-3812,18-3 8769,1 0-1089</inkml:trace>
  <inkml:trace contextRef="#ctx0" brushRef="#br0" timeOffset="403.01">1 42 18047,'13'8'5,"41"18"118,-58-27-106,0 0 35,0 0 0,0-1 0,0 1 0,0-1 0,1 0 0,-1 0 0,0-1 0,1 1 0,-1-1 0,1 1-1,-5-6 1,8 8-43,0-1 1,0 1-1,0 0 0,0-1 0,1 1 0,-1-1 0,0 1 0,0-1 0,0 1 0,0-1 0,0 1 0,1 0 0,-1-1 0,0 1 0,0 0 0,0-1 0,1 1 0,-1-1 0,0 1 0,1 0 0,-1 0 0,0-1 0,1 1 1,-1 0-1,0 0 0,1-1 0,-1 1 0,1 0 0,-1 0 0,1 0 0,-1-1 0,0 1 0,1 0 0,-1 0 0,1 0 0,19-6 294,-20 6-292,39-8 546,-1 3-1,42-2 0,-21 3-305,103 1 70,-48 3-130,-108 0-386,17-1-6403,-1 1 0,29 3 1,-39 0 4826,-1 1 1771</inkml:trace>
  <inkml:trace contextRef="#ctx0" brushRef="#br0" timeOffset="879.5">110 588 19455,'61'-94'0,"-56"88"146,-10 19 113,2-7-140,0 0 1,0 0 0,1 1-1,-3 11 1,5-16-99,1-1-1,-1 0 1,0 1-1,0-1 1,1 0-1,-1 0 1,0 1-1,1-1 1,-1 0-1,1 0 1,0 0-1,-1 1 1,1-1-1,0 0 1,0 0-1,0 0 1,0 0-1,0 0 1,0-1-1,0 1 1,0 0 0,0 0-1,0-1 1,0 1-1,0-1 1,0 1-1,1-1 1,-1 1-1,3 0 1,1-1 113,1 0 1,0 0-1,-1 0 1,1 0-1,9-3 1,5 0-1,93-4-123,165 9 0,-273-2-936,0 1 0,0 0 0,0 0 0,0 0 0,5 2 0,0 2-87,-1 0 1,0 0-1,10 7 0,-19-11 966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48.062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1 209 17919,'32'85'49,"-22"-59"-23,0 1 1,20 35-1,-20-43 9,12 33 0,-11-26 45,-5-13 49,1-1 0,10 14 1,4 9-6,-17-28-72,1 0 1,-1 0-1,10 10 0,-13-16-69,1 1-1,-1 0 1,1-1-1,0 1 0,-1-1 1,1 0-1,0 1 1,0-1-1,0 0 1,0 0-1,0 0 0,0-1 1,0 1-1,0 0 1,0-1-1,1 1 1,3-1-1,-5 0-25,0 0 0,-1-1 0,1 1 0,0 0 0,0-1 0,-1 1 0,1-1 0,0 1 0,-1 0 0,1-1 0,0 0 0,-1 1 0,1-1 0,-1 1 0,1-1 0,-1 0 0,1 1 0,-1-1 0,0 0 0,1 0 0,-1 1 0,0-1 0,1 0 0,-1 0 0,0 0 0,0 1 0,0-1 0,0-1 0,3-30-230,-3 22 214,2-54 131,-2 0-1,-14-98 0,10 137 73,-1 0 1,-1 1 0,-1 0-1,-1 0 1,-1 0-1,-1 1 1,-1 1 0,-22-33-1,28 49-59,0 1 1,0 0-1,-1 1 0,0-1 1,0 1-1,0 0 0,0 0 1,-1 1-1,1 0 0,-1 0 1,-10-2-1,12 4 69,6 3-140,11 2-11,72 13 642,-67-13-650,8 5 0,-1 0 1,0 1 0,0 1 0,22 15-1,23 21 250,-56-37-148,0 0 1,1-1-1,0 0 1,0-1-1,0-1 0,1 0 1,23 6-1,-30-11-240,16 5 800,-26-5-133,-16-1-303,16-1-217,1 0 0,1 1 0,-1-1 0,0 0 0,0 1 0,0-1 0,0 1 0,0 0 0,0-1 0,0 1 0,1 0 0,-1-1 0,0 1 0,0 0 0,1 0 0,-1 0 0,0 1 0,-13 22 63,10-16-57,-95 178-244,85-159 223,-1 0 0,-2-1 1,0 0-1,-2-1 0,-33 34 1,-37 37-716,93-129 470,1 18 256,1 1 0,1 1 0,1-1 0,-1 1 0,2 0 0,19-22 0,6-9 0,-23 27 0,-1 0 0,-1-1 0,0 0 0,-1-1 0,-1 1 0,-1-2 0,-1 1 0,5-30 0,-7 38 2,0 0-1,1 1 0,5-13 1,-4 13-8,-1 1 1,-1-1 0,0 0-1,3-14 1,-6 23-1,0 0 1,0 1-1,1-1 0,-1 0 0,0 0 1,0 0-1,0 0 0,0 1 0,0-1 1,-1 0-1,1 0 0,0 0 1,0 1-1,0-1 0,-1 0 0,1 0 1,0 1-1,-1-1 0,1 0 1,-1 1-1,1-1 0,-1 0 0,1 1 1,-1-1-1,1 1 0,-1-1 0,0 0 1,1 1-1,-1 0 0,0-1 1,1 1-1,-1-1 0,0 1 0,0 0 1,1-1-1,-1 1 0,0 0 0,0 0 1,0 0-1,0 0 0,0 0 6,1 0 0,0 0 0,-1 0 0,1 0 0,0 0 0,-1 0 0,1 0 0,0 0 0,0 0 0,-1 0 0,1 1 0,0-1 0,0 0 0,-1 0 0,1 0 0,0 1 0,0-1 0,-1 0 0,1 0 0,0 0 0,0 1 0,0-1 0,-1 0 0,1 1 0,0-1 0,0 0 0,0 0 0,0 1 0,0-1 0,0 0 0,0 1 0,0-1 0,0 0 0,0 0 0,0 1 0,0-1 0,0 0 0,0 1 0,0-1 0,3 18 0,-1-6 0,-2-5 0,-1 0 0,0 0 0,-1 0 0,1 0 0,-1 0 0,0 0 0,-4 6 0,-22 46 0,-1-16-5,22-33 36,0-1 0,1 1 0,0 1 0,-8 17 0,29-55 75,12-44 6,-18 52-43,-1 0 1,-1-1-1,0 0 1,-2 0-1,0 0 0,3-39 1,-8 58-69,0 1 0,0-1 0,1 0 1,-1 0-1,0 0 0,0 0 0,0 1 0,0-1 1,0 0-1,-1 0 0,1 0 0,0 0 1,0 1-1,0-1 0,-1 0 0,1 0 0,-1 1 1,1-1-1,0 0 0,-1 0 0,1 1 1,-1-1-1,1 0 0,-1 1 0,0-1 0,1 1 1,-1-1-1,0 1 0,1-1 0,-1 1 1,0-1-1,0 1 0,1 0 0,-1-1 0,0 1 1,0 0-1,-1-1 0,0 2-1,0-1 0,0 1-1,1-1 1,-1 1 0,0-1 0,0 1-1,0 0 1,1 0 0,-1 0 0,0 0 0,1 0-1,-1 0 1,1 1 0,-1-1 0,-1 2-1,-28 29 104,2 1-1,1 1 1,1 1-1,-37 66 0,63-97-88,-1-1 0,1 1 0,-1 0 0,0-1-1,0 0 1,-1 0 0,1 1 0,-1-1 0,1 0-1,-1-1 1,0 1 0,0-1 0,0 1 0,-1-1-1,1 0 1,-7 3 0,9-5-13,0 0-1,1 0 1,-1 0 0,0 0 0,1 0-1,-1 0 1,0 0 0,1 0-1,-1-1 1,0 1 0,1 0 0,-1-1-1,1 1 1,-1 0 0,0-1-1,1 1 1,-1 0 0,1-1 0,-1 1-1,1-1 1,-1 1 0,1-1-1,0 0 1,-1 1 0,1-1 0,0 1-1,-1-1 1,1 0 0,0 1-1,0-1 1,0 0 0,-1 1-1,1-1 1,0 0 0,0 1 0,0-2-1,-5-32-4,4 26 3,-4-117 159,3 33-60,1 79-85,1 0 0,0-1 0,1 1-1,3-19 1,-3 27-8,1 0-1,-1 0 1,1 0 0,0 0-1,0 0 1,0 0-1,1 0 1,0 1-1,0-1 1,0 1 0,0 0-1,1 0 1,7-7-1,-11 11-4,0 0 0,-1-1 0,1 1 0,0 0 0,0-1 0,0 1 0,0 0 0,0-1 0,0 1 0,0 0 0,0-1 0,-1 1 0,1 0 0,0-1 0,0 1 0,0 0 0,-1 0 0,1-1 0,0 1 0,0 0 0,-1 0 0,1-1 0,0 1 0,-1 0 0,1 0 0,0 0 0,-1 0 0,1-1 0,0 1 0,-1 0 0,1 0 0,0 0 0,-1 0 0,1 0 0,-17-7 0,16 6 0,-2 0 0,0-1-21,3 2-86,-1 1-21,-1 1 126,0 0-1,0 0 1,1 1 0,-1-1-1,1 1 1,0 0-1,-1-1 1,1 1-1,0 0 1,0 0 0,1-1-1,-1 1 1,1 0-1,-1 4 1,4 43 32,-2-32-24,1-3-6,0 0 0,1 0 0,0 0 0,1 0 0,7 15 0,-4-8-1,0-1-1,6 43 0,-9-40 11,2-1 0,8 26 0,-11-42 0,0 0-1,-1 0 1,1 1 0,-2-1 0,1 0 0,-1 1 0,0-1 0,0 1 0,-1 0 0,0-1-1,-2 12 1,2-16-9,-1 1 0,0-1 0,1 1 0,-1-1 0,1 1 0,0-1 0,1 1 0,-1-1 0,0 1 0,1-1 0,0 1 0,1 3 0,-2-20 96,1-1 0,0 1 0,6-25 0,-1 22-96,-5 14 0,0 1 0,0-1 0,-1 0 0,1 0 0,-1 0 0,1 1 0,-1-1 0,0 0 0,1 0 0,-1 0 0,0 0 0,0 1 0,-1-1 0,1 0 0,-1-3 0,-1-4-26,-1-1 0,2 0 1,-1 1-1,1-1 0,1 0 0,0 0 0,0 0 0,1 0 0,0 1 0,1-1 0,0 0 0,0 1 1,5-12-1,58-103-124,-62 119 143,0 0-1,0 0 1,0 0-1,1 1 0,-1 0 1,1 0-1,0 0 1,1 0-1,-1 0 1,1 1-1,6-4 0,8-4-58,33-13-1,-43 20 57,0 1 8,0 1 0,0 0 0,0 0 0,0 1-1,1 0 1,-1 1 0,0-1 0,1 2 0,-1 0 0,0 0 0,0 1 0,0 0 0,0 0 0,0 1 0,0 0 0,0 0 0,-1 1 0,0 1 0,0-1 0,15 12 0,-23-16 8,1 1 0,0 0 0,0 0 0,0-1 0,0 1 0,0 0 0,-1 0 1,1 0-1,0 0 0,-1 0 0,1 0 0,-1 0 0,1 0 0,-1 0 0,1 1 0,-1-1 0,0 0 0,1 0 0,-1 0 0,0 0 1,0 1-1,0-1 0,0 0 0,0 0 0,0 0 0,-1 0 0,1 1 0,0-1 0,0 0 0,-1 0 0,1 0 0,-1 0 0,1 0 0,-1 0 1,-1 2-1,0 1 17,-1-1 0,0 1 1,-1-1-1,1 0 0,-1 0 1,1 0-1,-8 3 0,5-1-23,-1 0 0,1 0 0,0 1 0,1-1 0,-7 9 0,7-8 0,-1 1 0,0-1 0,0 0 0,-9 5 0,15-10-4,0-1 0,-1 0 0,1 1 0,0-1-1,-1 0 1,1 1 0,-1-1 0,1 0 0,0 1-1,-1-1 1,1 0 0,-1 0 0,1 0 0,-1 0-1,1 1 1,-1-1 0,1 0 0,-1 0 0,1 0-1,-1 0 1,1 0 0,-1 0 0,1 0 0,-1 0-1,1 0 1,-1 0 0,1-1 0,0 1 0,-1 0-1,1 0 1,-1 0 0,1-1 0,-1 1 0,1 0-1,0 0 1,-1-1 0,1 1 0,-1 0 0,1-1-1,0 1 1,-1 0 0,1-1 0,0 1 0,0-1-1,-1 1 1,1 0 0,0-1 0,0 1 0,0-1-1,-1 1 1,1-1 0,0 1 0,0-1 0,0 1-1,0-1 1,0 1 0,0-1 0,0 1 0,0-1-1,0 0 1,0-1-17,0-1 0,0 1-1,1 0 1,-1-1 0,0 1-1,1 0 1,-1-1 0,1 1-1,0 0 1,0 0 0,1-4-1,0 5 26,0-1 0,0 1-1,0 0 1,0 0-1,0-1 1,0 1 0,0 1-1,0-1 1,0 0-1,0 0 1,0 1 0,1-1-1,3 1 1,34-2 66,-30 2-63,147 4 911,-171 12-705,2-7-202,1-1-1,-2 0 1,-15 7 0,25-14 40,0 0 0,1 0 0,-1 0 0,0-1 0,0 1 0,0-1 0,1 0 0,-1 0 0,-5 0 0,2-1 15,1 1-75,0 0 0,0 1 1,0 0-1,0 0 0,1 0 1,-1 0-1,0 1 0,0-1 1,1 1-1,-1 0 0,1 1 1,0-1-1,-6 5 0,-1 2-82,0 1 0,1 1 0,-11 14 0,18-22 65,-7 8 993,-2-3-3465,-33 9-14967,22-13 13101,-9 2 7031</inkml:trace>
  <inkml:trace contextRef="#ctx0" brushRef="#br0" timeOffset="963.52">121 785 13312,'21'-101'1301,"-20"96"-921,0 1 1,0 0 0,0 0-1,1 0 1,0 0-1,0 0 1,0 0-1,0 0 1,1 0-1,-1 1 1,1-1-1,0 1 1,5-4-1,5-5-294,1 1 0,17-10 0,11-9 174,52-60-19,-68 62-195,2 2 1,0 1-1,43-29 1,-64 49 10,44-31 81,-46 33-55,-1-1-1,-1 0 1,1 0 0,0-1 0,-1 1 0,0-1 0,0 0 0,0 0 0,1-5 0,-2 9-65,-14 2 433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57.79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 22780,'301'6371'0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00.26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 25833,'7380'68'0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15.08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52 1 17407,'0'0'128,"-1"3"-21,-5 16-18,1 1 0,2-1 1,0 1-1,0 0 0,2 29 0,11 104 338,-4-110-219,-3 0-1,-1 0 1,-6 55-1,0-77-138,2-26-15,0-35-61,1 28-66,-17-127-655,0 13-137,17 108 697,1 0 1,0 0-1,1 0 0,6-33 0,-7 49 168,0 1 1,0 0 0,1 0-1,-1 0 1,0-1 0,0 1-1,1 0 1,-1 0 0,0 0-1,1 0 1,-1-1 0,1 1-1,0 0 1,-1 0-1,1 0 1,0 0 0,0 0-1,-1 1 1,1-1 0,0 0-1,0 0 1,1 0 0,1 1 28,-1 1 0,1-1 0,-1 1 0,0 0 0,0 0 0,1 0 0,-1 0 0,0 1 0,0-1-1,0 0 1,3 4 0,7 2 63,1 0 0,-1-1-1,2-1 1,-1 0-1,0 0 1,1-1 0,0-1-1,0 0 1,0-1 0,0-1-1,1 0 1,-1-1-1,0 0 1,0-1 0,1-1-1,24-6 1,-16-1-8,-13 5-43,0 0 0,18-5 0,-26 9-40,-1-1 0,1 1 0,-1 0 0,1 0 0,-1 0 0,1 0 0,-1 0 0,1 0 1,-1 0-1,1 0 0,-1 0 0,1 1 0,-1-1 0,1 1 0,-1-1 0,0 1 0,1-1 0,-1 1 0,0 0 0,1 0 0,-1-1 0,0 1 0,0 0 0,0 0 0,2 2 0,-2-1-1,-1-1 0,1 1 0,0 0 0,-1-1 0,1 1 0,-1 0 0,0-1 0,0 1 0,1 0 0,-1 0 0,0-1 0,0 1 0,-1 0 0,1-1 0,0 1 0,0 0 0,-2 2 0,-12 31 0,8-21 0,-33 94 90,20-50 8,-4 0 0,-32 61 0,48-107-428,-1 0-1,1 0 0,-11 10 1,18-22 245,-1 1 1,0 0-1,0-1 1,1 1-1,-1-1 1,0 0-1,0 1 0,0-1 1,1 1-1,-1-1 1,0 0-1,0 0 1,0 0-1,0 1 1,0-1-1,0 0 1,1 0-1,-1 0 1,0 0-1,0-1 0,0 1 1,0 0-1,0 0 1,0 0-1,0-1 1,1 1-1,-1 0 1,0-1-1,-1 0 1,-1 0-943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16.36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234 36 15616,'0'1'6,"0"0"0,0 0 1,0 0-1,0 1 1,0-1-1,0 0 0,0 0 1,1 0-1,-1 0 1,0 0-1,1 0 0,-1 0 1,0 0-1,2 1 1,-2-2-2,1 0 0,-1 0 1,1 0-1,-1-1 0,1 1 1,-1 0-1,1 0 0,-1 0 1,1-1-1,-1 1 0,1 0 1,-1 0-1,0-1 0,1 1 1,-1 0-1,1-1 0,-1 1 1,0-1-1,1 1 0,-1 0 1,0-1-1,1 1 0,-1-1 1,0 1-1,0-1 0,0 1 1,1-1-1,-1 1 0,0-2 1,0 1 271,-3 2-164,-6 7 30,-15 29 204,1 0 0,3 1 0,-18 44 1,-37 127 614,44-120-775,30-85-174,-18 58 190,17-56-168,1 1-1,0-1 0,0 1 1,1 0-1,0-1 0,0 1 1,1 10-1,0-16-28,-1 0-1,0 0 0,0 0 1,0 0-1,1 1 1,-1-1-1,1 0 1,-1 0-1,1 0 1,-1 0-1,1 0 1,-1 0-1,1 0 1,0 0-1,0-1 1,-1 1-1,1 0 0,0 0 1,0 0-1,0-1 1,0 1-1,0-1 1,0 1-1,0 0 1,0-1-1,0 0 1,0 1-1,0-1 1,0 0-1,1 1 1,-1-1-1,0 0 0,0 0 1,0 0-1,0 0 1,1 0-1,-1 0 1,0-1-1,0 1 1,2-1-1,5-1 28,0-1 0,0 0-1,-1-1 1,14-7 0,-2 0 6,-7 5-20,2 0 0,-1 1 1,1 1-1,-1 0 0,1 1 0,26-3 1,-35 6-8,1 0-1,-1 0 1,1 1 0,0-1 0,-1 1 0,0 1 0,1-1 0,-1 1-1,0 0 1,0 0 0,0 0 0,0 1 0,0 0 0,0 0 0,-1 0-1,1 0 1,-1 1 0,0 0 0,0 0 0,5 6 0,-3-1 50,-1-1 1,0 1-1,0 0 1,-1 0-1,0 1 1,0-1-1,-1 1 1,0 0-1,-1 0 0,0 0 1,-1 0-1,0 0 1,-1 13-1,0-38 140,6-172 471,0 116-585,-7-120-1,-3 142-35,-1 2 1,-3-1-1,-20-67 0,23 100-38,4 8-14,-1-1 1,-1 1 0,1-1 0,-1 1-1,-1 0 1,1 0 0,-1 1 0,0-1 0,-6-6-1,9 13-5,0-1 0,0 0 0,0 0-1,0 1 1,0-1 0,-1 1-1,1-1 1,0 1 0,0 0 0,-1-1-1,1 1 1,0 0 0,0 0 0,-1 0-1,1 0 1,0 0 0,-1 0 0,1 0-1,0 1 1,0-1 0,-1 0-1,1 1 1,0-1 0,0 0 0,0 1-1,-1 0 1,1-1 0,0 1 0,0 0-1,0 0 1,-1 0 0,-4 4-145,0 0 0,0 1 0,-9 10 0,6-5-386,0 1-1,-12 25 0,8-15-1522,-30 50-10015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36.819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0 253 12928,'0'0'5375,"4"-1"-5247,40-9 142,-15 2-149,1 1 0,0 2 0,1 0 0,42 1 0,-52 5-86,293 20 847,-91-7-368,-86-8-281,211 11 44,-195-20-277,-99 0 0,71 6 0,-69 0 79,1-1-1,72-9 0,-44 3-9,97 8 1,-118-1-60,46-3-10,-65-2 0,-1 3 0,60 7 0,-85-4 0,0-2 0,-1 0 0,1-2 0,0 0 0,0 0 0,37-8 0,-48 8 0,9-3 0,-15 2-123,-1 0 0,1 0 0,-1 0 0,1 0 0,-1 0-1,1 0 1,-1 0 0,0-1 0,0 1 0,2-3 0</inkml:trace>
  <inkml:trace contextRef="#ctx0" brushRef="#br0" timeOffset="1517.66">2731 0 16895,'0'6'35,"0"-1"-1,0 0 0,1 1 0,0-1 0,0 0 0,0 1 0,0-1 1,1 0-1,0 0 0,0 0 0,0 0 0,1 0 0,-1-1 0,5 5 0,-5-5 26,1 0-1,-1 1 1,0-1-1,0 0 0,0 1 1,0-1-1,-1 1 1,1 0-1,-1-1 0,0 10 1,2 50 409,-3-60-418,-9 133 741,3-72-582,-1 70 430,2-104-362,2-36-172,1-7-106,1 0 0,1 0 0,0 0 0,0 0 0,1 0 0,3-14 0,0-9 0,20-128 0,-13 96 0,-5 26 0,3-63 0,-9 104 0,0 0 0,0 0 0,0 0 0,0-1 0,0 1 0,0 0 0,0 0 0,0 0 0,0 0 0,0 0 0,0 0 0,0-1 0,0 1 0,0 0 0,0 0 0,0 0 0,1 0 0,-1 0 0,0 0 0,0 0 0,0 0 0,0 0 0,0-1 0,0 1 0,0 0 0,1 0 0,-1 0 0,0 0 0,0 0 0,0 0 0,0 0 0,0 0 0,0 0 0,1 0 0,-1 0 0,0 0 0,0 0 0,0 0 0,0 0 0,0 0 0,0 0 0,1 0 0,-1 0 0,0 0 0,0 0 0,0 0 0,10 5 0,9 7 0,-6-3 8,0 0 0,1 0 0,0-2 0,0 0-1,18 6 1,77 20 62,-62-20-59,-2 6 82,-37-15-57,0 0-1,0 0 1,17 4-1,-24-8-28,0 1 0,0-1 0,-1 0 0,1 0 0,0 1 0,0-1 0,0 1 0,0-1 0,-1 0 0,1 1 0,0-1 0,0 1 0,-1 0 0,1-1 0,-1 1 0,1 0 0,0-1 0,-1 1 0,1 0 0,-1 0 0,1-1 0,-1 1 0,0 0 0,1 0 0,-1 0 0,0 0 0,0 0 0,1-1 0,-1 1 0,0 0 0,0 0 0,0 0 0,0 0-1,0 0 1,0 0 0,0 0 0,-1 0 0,1 1 0,-1 1 11,0 1-1,-1 0 0,1-1 0,-1 0 0,1 1 0,-1-1 0,0 0 1,-4 6-1,-35 33 116,-2-1 0,-85 63 0,38-33-42,23-13-432,66-58 309,1 1 0,-1-1-1,1 0 1,-1 1 0,1-1 0,0 0-1,-1 1 1,1-1 0,0 1 0,-1-1-1,1 1 1,0-1 0,0 0 0,-1 1-1,1-1 1,0 1 0,0-1 0,0 1-1,0 0 1,-1-1 0,1 1 0,0-1-1,0 1 1,0-1 0,0 1 0,0-1-1,0 1 1,1-1 0,-1 1 0,0-1-1,0 1 1,0-1 0,1 2 0,13 10-2188,-6-7-10</inkml:trace>
  <inkml:trace contextRef="#ctx0" brushRef="#br0" timeOffset="2109.12">3219 729 18687,'0'0'662,"-2"7"-470,-36 213 362,22-140-337,-2 26-818,19-82-834,4-14-2057</inkml:trace>
  <inkml:trace contextRef="#ctx0" brushRef="#br0" timeOffset="2499.96">3041 715 20095,'3'3'9,"15"14"173,-12-12-74,-6-5-107,0 0 0,0 0 0,0 0 0,0 0 0,0 0 0,0 0 0,0 0 0,0-1 0,0 1 0,0 0 0,0 0 0,0 0 0,0 0 0,0 0 0,0 0 0,0 0 1,0 0-1,0 0 0,0 0 0,0 0 0,0 0 0,0 0 0,0 0 0,0 0 0,0 0 0,0 0 0,0-1 0,0 1 0,0 0 0,0 0 0,0 0 0,0 0 0,0 0 0,0 0 0,0 0 0,0 0 0,0 0 0,0 0 0,0 0 0,1 0 0,-1 0 0,0 0 0,0 0 0,0 0 0,0 0 1,0 0-1,0 0 0,0 0 0,0 0 0,0 0 0,0 0 0,0 0 0,0 0 0,0 0 0,0 0 0,0 0 0,0 0 0,0 0 0,1 0 0,-1 0 0,0 0 0,0-1 12,-1 0-1,1 0 1,0 1 0,0-1-1,0 0 1,0 0 0,0 0 0,0 1-1,0-1 1,1 0 0,-1 0-1,0 1 1,0-1 0,1 0-1,-1 0 1,0 1 0,1-1-1,-1 0 1,0 1 0,1-1-1,-1 1 1,1-1 0,-1 0 0,1 1-1,0-1 1,-1 1 0,1-1-1,0 1 1,-1 0 0,1-1-1,0 1 1,-1 0 0,1-1-1,0 1 1,0 0 0,-1 0 0,2-1-1,37-7 170,-29 6-163,159-23 225,-87 14-382,-71 8-459,0 2 0,0-1-1,1 2 1,-1-1 0,0 2-1,0-1 1,0 2 0,1-1 0,-1 1-1,0 1 1,16 6 0,-4 2-8875</inkml:trace>
  <inkml:trace contextRef="#ctx0" brushRef="#br0" timeOffset="2831.7">3247 1232 21375,'0'0'0,"36"2"0,-16-1 0,2-1 0,9 0 0,5 0-128,-1-1 128,4-1-1536,-3 0 0,2 1 768,38-3-11263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53.591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0 639 15616,'0'0'3839,"4"-1"-3711,47-10 262,1 4-1,0 1 0,66 1 1,-87 4-230,1-1 0,-1-2 0,49-12 0,-60 12-81,0 1 0,0 0 0,0 2 0,34 1 1,81 15 249,-114-12-261,0 1-1,-1 0 1,0 2-1,0 1 1,22 10-1,-36-14-67,-1 1 0,0 0 0,0 0 0,6 7 0,18 13 0,-4-11 0,1-1 0,0-1 0,1-1 0,44 9 0,-29-7 0,-11-3 0,37 6 0,-56-14 0,-1 0 0,1 0 0,-1-1 0,1-1 0,-1 0 0,22-4 0,190-39 0,-158 33 0,-45 6 0,-1-1 0,0-1 0,0 0 0,-1-1 0,26-16 0,-25 13 0,1 0 0,1 2 0,41-14 0,-7 12 0,1 2 0,82-3 0,-123 12 30,-1 1-1,25 4 1,0 1 9,-36-6-15,0 1 0,0 0 0,1 0 0,-1 0 0,0 0 0,0 1 0,0-1 0,0 1 0,4 4 0,-3-4 3,-1 0 0,1 1 0,0-1 1,0 0-1,0-1 0,0 1 0,0-1 1,0 1-1,6 0 0,-6-1-5</inkml:trace>
  <inkml:trace contextRef="#ctx0" brushRef="#br0" timeOffset="1848.98">2294 458 17023,'0'0'1024,"0"4"-896,2 20 159,10 41 0,-7-48-149,-2 1-1,0-1 1,-1 1-1,0 0 1,-2 0-1,-1 18 0,3-23 166,0-13-172,0-9-74,3-29-128,2 0 0,17-59 0,-18 78 31,-1 1 0,-1-1 1,-1-1-1,-1 1 1,0 0-1,-2-36 0,0 54 41,-1 0-1,1 0 0,0 1 1,0-1-1,0 0 0,0 0 1,-1 1-1,1-1 0,0 0 0,-1 1 1,1-1-1,-1 0 0,1 1 1,-1-1-1,1 1 0,-1-1 1,1 1-1,-1-1 0,1 1 0,-1-1 1,0 1-1,1-1 0,-1 1 1,0 0-1,1-1 0,-1 1 1,0 0-1,1 0 0,-1 0 1,0-1-1,0 1 0,1 0 0,-1 0 1,0 0-1,0 0 0,0 0 1,1 0-1,-1 1 0,0-1 1,1 0-1,-1 0 0,0 0 1,0 1-1,1-1 0,-1 0 0,0 1 1,1-1-1,-1 1 0,0-1 1,1 1-1,-1-1 0,1 1 1,-1-1-1,1 1 0,-1-1 0,1 1 1,-1 0-1,1-1 0,0 1 1,-1 0-1,1-1 0,0 1 1,0 0-1,-1-1 0,1 1 1,0 0-1,0 0 0,0-1 0,0 2 1,0 1 12,0 0 1,1 1 0,-1-1 0,1 0-1,0 0 1,-1 0 0,1 0 0,1 0-1,-1 0 1,0 0 0,1 0 0,0 0-1,-1-1 1,1 1 0,0-1 0,0 1-1,1-1 1,-1 0 0,0 0-1,1 0 1,0 0 0,3 2 0,7 3 100,-1-1 1,1 0-1,27 7 1,0 0-15,-21-5-95,-1 0-1,0 1 0,0 1 0,30 22 1,-47-31 9,1 1 0,-1-1 1,0 1-1,0-1 1,0 1-1,0 0 0,0 0 1,0-1-1,0 1 0,0 0 1,-1 0-1,1 0 0,-1 0 1,1 0-1,-1 0 1,0 0-1,0 0 0,0 0 1,0 0-1,0 0 0,0 0 1,-1 0-1,1 0 0,0 0 1,-1 0-1,0-1 1,1 1-1,-1 0 0,0 0 1,0 0-1,-2 2 0,-4 7 31,0-1-1,-1 0 0,-15 16 0,18-21-62,-2 1 51,0 0 0,0-1-1,-1 1 1,0-2-1,0 1 1,-1-1 0,1 0-1,-1-1 1,0 0 0,0 0-1,0-1 1,0 0-1,0-1 1,0 0 0,-1 0-1,-10-1 1,19 0-89,1 0-1,-1 0 1,1 0-1,0 0 1,-1 0 0,1 0-1,-1 0 1,1 0 0,-1 0-1,1 0 1,0 1-1,-1-1 1,1 0 0,0 0-1,-1 0 1,1 1-1,-1-1 1,1 0 0,0 0-1,0 1 1,-1-1-1,0 1 1</inkml:trace>
  <inkml:trace contextRef="#ctx0" brushRef="#br0" timeOffset="3064.69">2998 0 20095,'-18'34'0,"16"-27"-5,8-18 32,-6 10 101,0 14 362,0-10-463,-1 0 0,0 0 0,0 0 0,0 0 0,0 0 0,0 0-1,-1 0 1,0 0 0,1-1 0,-1 1 0,0-1 0,0 1 0,-3 2-1,-11 16 110,5 0-47,1 0-1,1 1 1,1 0 0,1 1-1,1-1 1,-4 31-1,4-7 40,2 1-1,2 54 1,2-96-111,0-1 0,1 1 1,-1-1-1,1 0 0,0 1 0,0-1 0,1 0 0,2 6 1,-3-9-15,-1 0 0,1 0 0,-1 0 0,1 0 0,0 0 0,-1 0 0,1-1 0,0 1 0,0 0 0,0-1 0,-1 1 0,1 0 0,0-1 0,0 1 0,0-1 0,0 0 0,0 1 0,0-1-1,0 0 1,0 1 0,0-1 0,0 0 0,0 0 0,0 0 0,1 0 0,-1 0 0,0 0 0,0 0 0,0 0 0,0-1 0,0 1 0,0 0 0,0-1 0,0 1 0,0 0 0,0-1 0,0 1 0,0-1 0,-1 0 0,2 0 0,8-7 11,-1 1-1,0-2 1,0 1-1,-1-1 0,-1 0 1,1-1-1,8-14 1,6-7 6,121-171-20,-130 187 0,1 0 0,0 1 0,1 0 0,0 1 0,1 1 0,1 0 0,0 1 0,27-13 0,-43 24 2,-1 0-1,0 0 0,1-1 1,-1 1-1,1 0 0,-1 0 1,1 0-1,-1 0 0,0-1 1,1 1-1,-1 0 0,1 0 0,-1 0 1,1 0-1,-1 0 0,1 0 1,-1 0-1,1 0 0,-1 0 1,0 0-1,1 1 0,-1-1 1,1 0-1,-1 0 0,1 0 1,-1 0-1,0 1 0,1-1 1,-1 0-1,1 1 0,-1-1 1,0 0-1,1 0 0,-1 1 1,0-1-1,0 1 0,1-1 0,-1 0 1,0 1-1,0-1 0,1 1 1,-1-1-1,0 0 0,0 1 1,0-1-1,0 1 0,0-1 1,0 1-1,0-1 0,0 1 1,0-1-1,0 1 0,0-1 1,0 0-1,0 1 0,0-1 1,0 1-1,0-1 0,-1 1 0,-6 38 129,5-30-104,-33 228 367,25-153-253,10-78-96,-2 22-436,2-27 289,0 0-1,0 0 1,0-1-1,0 1 0,1 0 1,-1 0-1,0-1 1,0 1-1,1 0 0,-1 0 1,0-1-1,1 1 1,-1 0-1,1-1 0,-1 1 1,1-1-1,-1 1 1,1 0-1,-1-1 0,1 1 1,0-1-1,-1 0 1,1 1-1,-1-1 0,1 1 1,0-1-1,0 0 1,-1 0-1,2 1 0,6 1-3010</inkml:trace>
  <inkml:trace contextRef="#ctx0" brushRef="#br0" timeOffset="4358.26">3539 403 18943,'-6'8'6,"4"-5"4,0-1 0,0 1 0,0 0 1,0-1-1,1 1 0,-1 0 0,1 0 0,0 0 1,-1 1-1,1-1 0,0 4 0,1-7 12,1 0-1,0 0 0,-1 0 1,1 1-1,-1-1 0,1 0 1,-1 0-1,1 0 0,0 0 1,-1 1-1,1-1 0,-1 0 1,1 0-1,-1 1 0,1-1 1,-1 1-1,1-1 0,-1 0 1,0 1-1,1-1 0,-1 1 1,1-1-1,-1 1 0,0-1 1,1 1-1,-1-1 0,0 1 1,0-1-1,1 2 0,-1 9 103,-1 1-1,1 0 1,-2 0 0,0 0-1,0-1 1,-5 13-1,-5 31 271,-9 97 395,11-199-1855,7 32 717,1 0 1,1-1-1,0 1 1,1 0 0,1-1-1,0 1 1,1 0-1,8-30 1,-4 28 282,-1-1 0,-1 0 0,3-33 0,-6 39 52,1 4 63,1 0-1,-1 0 1,1 0-1,1 0 1,-1 1-1,1 0 1,1-1-1,-1 1 1,1 1-1,7-9 1,-10 13-7,0 0 1,0 1 0,0-1-1,0 0 1,1 1 0,-1-1-1,0 1 1,1 0 0,-1 0-1,1 0 1,-1 0 0,1 0-1,0 1 1,-1-1 0,1 1-1,0-1 1,-1 1 0,1 0-1,0 0 1,0 1 0,-1-1-1,1 0 1,0 1 0,-1-1-1,1 1 1,-1 0 0,1 0-1,-1 0 1,1 0 0,-1 1-1,0-1 1,1 1 0,-1-1-1,0 1 1,0 0 0,0 0-1,0 0 1,0 0 0,-1 0-1,1 0 1,-1 0 0,1 1-1,-1-1 1,0 0 0,0 1-1,0-1 1,1 4 0,0 2 34,0-1 0,0 1 0,-1 0 0,0 0 0,0 0-1,-1 0 1,0 0 0,0 0 0,-1 0 0,-3 16 0,2-19-51,0 1 0,0-1 0,0 0-1,-1 1 1,1-1 0,-1 0 0,-1-1-1,1 1 1,-1 0 0,0-1 0,0 0-1,0 0 1,0 0 0,-1 0 0,-9 5-1,13-8-25,1-1 0,-1 0 0,0 1 0,0-1 0,1 0 0,-1 1 0,0-1 0,1 1 0,-1-1 0,0 1 0,1 0 0,-1-1 0,1 1 0,-1-1 0,1 1 0,-1 0 0,1 0 0,0-1 0,-1 1 0,0 1 0,12 10 0,-6-8 0,14 12 0,31 33 0,9 7-505,-42-42 119,-1 1 0,27 31-1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2:20.531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164 3065 15360,'0'0'384,"1"-3"-256,0 0-77,1 1 0,-1 0 0,0 0 0,0 0 1,0-1-1,-1 1 0,1 0 0,-1-1 0,1 1 1,-1-1-1,0 1 0,0-1 0,0 1 0,0-1 0,0 1 1,-1 0-1,1-1 0,-1 1 0,1-1 0,-1 1 1,0 0-1,0 0 0,0-1 0,0 1 0,0 0 1,-1 0-1,1 0 0,-1 0 0,-2-3 0,-1-1 118,0-1 0,0 0 0,1 0-1,0 0 1,0 0 0,1-1 0,0 1-1,-3-12 1,-10-26 360,10 28-365,0-1 0,2 0 0,0 0-1,1 0 1,1-1 0,0 1 0,2-31-1,-4-40 170,-3 24-233,-9-86 333,20 2-198,-12 43-106,-2-61 66,10 131-132,2-1-1,9-56 1,24-168 236,-10 48-70,-22 187-224,4-17 14,7-91 90,-6 1-60,1-53 30,-8 174-56,1 0-1,0-1 1,1 1-1,0 0 1,1 0-1,8-18 1,-6 14 10,0-1-1,5-25 1,5-62-33,-17 103 0,1 0 0,0 1 0,0-1 0,0 1 0,0-1 0,0 1 0,0-1 0,0 1 0,0-1 0,0 1 0,0-1 0,0 1 0,0-1 0,0 1 0,0-1 0,0 1 0,0-1 0,0 1 0,1-1 0,-1 1 0,0-1 0,0 1 0,1-1 0,-1 1 0,0-1 0,1 1 0,-1 0 0,0-1 0,1 1 0,-1-1 0,1 1 0,-1 0 0,1 0 0,-1-1 0,1 1 0,0 0 0,3-2 22,-3 2 63,-4 1 576,2-1-554,-1 0-64,2 0 63,-1 0-102,1 0-1,0 0 0,-1 0 0,1-1 1,-1 1-1,1 0 0,0 0 1,-1 0-1,1 0 0,-1 0 1,1 0-1,0 0 0,-1 0 1,1 0-1,-1 0 0,1 0 1,0 0-1,-1 0 0,1 0 0,-1 0 1,1 0-1,0 1 0,-1-1 1,1 0-1,0 0 0,-1 0 1,1 1-1,-1-1 0,-12 6 29,-14 21-32,2 0 0,-33 45 0,19-21 0,0-8-234,36-40 212,-1-1 1,6 0 9,-1-1 0,1 1 0,0-1 1,0 0-1,0 0 0,0 0 0,0 1 0,2-1 0,19 7-3,-13-6-1,-1 1 0,0 0 0,0 1 0,0 0-1,0 1 1,11 7 0,-9-3-2,0 1 0,-1 0 0,0 0 0,-1 1-1,11 15 1,1 1-1,-18-24 19,-1-1 0,1 0 0,1 0 0,-1 0 0,0 0 0,1 0 0,-1 0 0,1-1 0,-1 0 0,1 0 0,-1 0 0,1 0 0,0-1 0,0 1 0,-1-1 0,1 0 0,0 0 0,0 0 0,6-2 0,-8 2 0,0-1 0,0 1 0,-1-1 0,1 0 0,0 0 0,0 0 0,-1 0 0,1 0 0,-1-1 0,1 1 0,-1 0 0,1-1 0,-1 1 0,0-1 0,1 1 0,-1-1 0,0 0 0,0 1 0,0-1 0,-1 0 0,1 0 0,0 0 0,0-3 0,3-7 0,-1 0 0,2-18 0,-4 24 0,0-10 0,0 1 0,-1 0 0,-1-1 0,0 1 0,-5-21 0,4 32 0,1 0 0,-1 0 0,0 1 0,0-1 0,0 0 0,-1 1 0,1-1 0,-1 1 0,0 0 0,0-1 0,0 2 0,0-1 0,-1 0 0,1 0 0,-7-2 0,-11-12 0,18 14 0,1-2 0,4 29 0,0-6 0,-2-15 0,0-1 0,0 0 0,0 1 0,0-1 0,0 0 0,1 1 0,-1-1 0,1 0 0,0 0 0,-1 1 0,1-1 0,0 0 0,0 0 0,1 0 0,-1 0 0,0 0 0,1 0 0,1 2 0,-2-4 0,0 0 0,0 0 0,0 0 0,0 0 0,0 0 0,0 0 0,0 0 0,-1 0 0,1 0 0,0-1 0,0 1 0,0 0 0,0-1 0,0 1 0,-1 0 0,1-1 0,0 1 0,0-1 0,0 1 0,-1-1 0,1 1 0,0-1 0,-1 0 0,1 1 0,-1-1 0,1 0 0,-1 0 0,1 1 0,-1-1 0,1 0 0,-1 0 0,0 0 0,1 0 0,-1 1 0,0-2 0,11-33 0,-9 26 0,0 0 0,-1 0 0,-1 0 0,1 0 0,-1 0 0,-1 0 0,-2-14 0,2 17 0,-1 1 0,0-1 0,0 0 0,0 1 0,-1 0 0,0-1 0,0 1 0,0 0 0,-1 1 0,0-1 0,0 0 0,-6-5 0,10 10 1,-1-1-1,1 1 1,0 0-1,-1-1 1,1 1 0,0 0-1,-1-1 1,1 1-1,0 0 1,-1-1-1,1 1 1,-1 0-1,1 0 1,0 0-1,-1-1 1,1 1-1,-1 0 1,1 0 0,-1 0-1,1 0 1,-1 0-1,1 0 1,-1 0-1,1 0 1,-1 0-1,1 0 1,0 0-1,-1 0 1,1 0-1,-1 0 1,1 1 0,-1-1-1,1 0 1,-1 0-1,1 0 1,-1 1-1,0 1 4,0-1 0,0 0 0,0 1 0,0-1 0,1 1 0,-1 0 0,1-1 0,-1 1 0,1-1 0,-1 4 0,-1 45 60,14 30-5,-3-47-10,-6-26-26,-1-10-4,-1-6-40,0 1 0,-1-1 0,0 0 0,-2-11 0,-5-17-4504</inkml:trace>
  <inkml:trace contextRef="#ctx0" brushRef="#br0" timeOffset="1137.03">762 50 17919,'5'-2'107,"0"-1"-100,3-1 92,0 0 1,1 0 0,7-7-1,-27 49 669,-14 50-277,13-57-290,2 1 0,1 0 0,1 1 1,2-1-1,1 1 0,0 56 0,5-85-169,0-1 0,0 1-1,0 0 1,1-1 0,0 1 0,0-1-1,0 1 1,0 0 0,0-1 0,1 0-1,3 7 1,-4-9-20,0 0-1,0 0 0,0 0 1,0 0-1,0 0 0,0-1 1,0 1-1,0 0 0,0 0 1,1-1-1,-1 1 0,0-1 1,0 1-1,1-1 0,-1 1 1,0-1-1,1 0 0,-1 0 1,0 0-1,1 0 0,-1 0 1,0 0-1,1 0 0,-1 0 1,0 0-1,1-1 0,-1 1 1,0 0-1,1-1 0,-1 1 1,0-1-1,0 0 0,0 1 1,1-1-1,0-1 0,6-4 44,0 0 0,0-1-1,-1 0 1,1 0 0,-2-1 0,12-15-1,6-7 54,25-25-63,47-58 102,-83 96-130,0-1 0,-2-1 0,0 0 0,13-36 0,-31 126 239,-14 63-150,-9 38 44,29-171-253,1 1 0,-1-1 0,1 1-1,0 0 1,0-1 0,0 1 0,0-1-1,0 1 1,0 0 0,0-1 0,0 1-1,1 0 1,0 2 0,-1-4 47,0 0 0,1 1 0,-1-1 1,0 0-1,0 0 0,0 0 0,0 0 0,0 0 0,0 1 1,1-1-1,-1 0 0,0 0 0,0 0 0,0 0 0,1 0 0,-1 0 1,0 0-1,0 0 0,0 0 0,0 0 0,1 0 0,-1 0 0,0 0 1,0 0-1,0 0 0,1 0 0,-1 0 0,0 0 0,0 0 1,0 0-1,1 0 0,-1 0 0,0 0 0,0 0 0,1 0 0,9-11-2994</inkml:trace>
  <inkml:trace contextRef="#ctx0" brushRef="#br0" timeOffset="1680.97">1290 214 18047,'-14'20'22,"14"-20"-17,0 0 1,0 1 0,0-1-1,0 0 1,0 0 0,0 0-1,0 1 1,0-1 0,0 0 0,-1 0-1,1 0 1,0 0 0,0 1-1,0-1 1,0 0 0,0 0-1,0 0 1,0 1 0,1-1-1,-1 0 1,0 0 0,0 0-1,0 1 1,0-1 0,0 0-1,0 0 1,0 0 0,0 0-1,0 1 1,0-1 0,1 0-1,-1 0 1,0 0 0,0 0-1,0 0 1,0 1 0,0-1-1,1 0 1,-1 0 0,0 0-1,0 0 1,0 0 0,1 0-1,-1 0 1,0 0 0,0 0-1,1 0 1,13 2 279,-14-3-216,1 1 0,0 0-1,-1 0 1,1 0 0,-1 0 0,1 0 0,0 0 0,-1 0-1,1 0 1,-1 0 0,1 0 0,0 0 0,-1 0-1,1 0 1,-1 1 0,1-1 0,-1 0 0,1 0 0,0 1-1,-1-1 1,1 0 0,-1 1 0,0-1 0,1 1 0,0 0-1,-3 7 177,1 0 0,-2 0-1,-3 12 1,-6 18-29,9-20-156,-3 10 105,1 1 0,0 35 0,5-62-156,0-1 0,-1 1 0,1 0 0,1 0 0,-1 0 0,0-1 0,0 1 0,1 0-1,-1 0 1,1-1 0,-1 1 0,1 0 0,0-1 0,0 1 0,0 0 0,-1-1 0,2 1 0,-1-1 0,0 0 0,0 1 0,0-1 0,1 0 0,-1 0 0,0 1 0,1-1 0,-1 0 0,1-1 0,0 1 0,-1 0 0,1 0 0,0-1 0,-1 1 0,4 0 0,4 0 86,0-1-1,0 0 1,0 0 0,0-1-1,16-3 1,16 0 162,3 7-814,-11 2-3302,0 1-8876</inkml:trace>
  <inkml:trace contextRef="#ctx0" brushRef="#br0" timeOffset="2931.35">5 3045 18047,'4'0'12,"-1"-1"0,1 1 0,0-1-1,-1 0 1,1 0 0,-1 0 0,1 0-1,-1-1 1,1 1 0,-1-1 0,0 0-1,0 0 1,0 0 0,0-1-1,0 1 1,0-1 0,-1 1 0,1-1-1,2-4 1,-1 1 12,138-159 485,-115 140-334,2 1 0,44-27 0,-28 21-38,437-295 865,-367 243-824,17-10 28,51-19 59,97-63 132,208-127 72,-219 141-310,49-25 66,-223 131-49,130-96-1,72-83 349,-284 222-503,233-174 406,-128 96-171,-104 77-588,-21 13-1623,-17 7-1988</inkml:trace>
  <inkml:trace contextRef="#ctx0" brushRef="#br0" timeOffset="4077.26">3745 451 14464,'-25'8'132,"22"-4"187,17-5 360,2-4 1515,-25 5-1700,-8 5-219,-1 1-1,1 0 1,0 1 0,1 1-1,0 1 1,0 0 0,-19 15-1,1-2-146,-28 18 438,-115 96-1,168-128-538,0-2 1,0 1-1,-1-1 1,1-1-1,-17 8 1,-56 16 189,53-20-44,29-9-171,0 0-1,0 0 1,0 0 0,0 0 0,0 0 0,0 0 0,0 0 0,0 0 0,0 0-1,0 0 1,0 0 0,0 0 0,0 0 0,1 0 0,-1 0 0,0 1 0,0-1-1,0 0 1,0 0 0,0 0 0,0 0 0,0 0 0,0 0 0,0 0 0,0 0 0,0 0-1,0 0 1,0 0 0,0 0 0,0 0 0,0 0 0,0 1 0,0-1 0,0 0-1,0 0 1,0 0 0,0 0 0,0 0 0,0 0 0,0 0 0,0 0 0,0 0-1,0 0 1,0 0 0,0 0 0,0 0 0,0 1 0,0-1 0,0 0 0,-1 0 0,16 2 19,25 2-40,-35-4 27,3 0-8,-1 0 0,1 1 0,-1 0 0,1 0 0,-1 1 0,1 0 0,-1 0 0,0 0 0,0 1 0,0 0 0,0 1 0,-1 0 0,0 0 0,7 5 0,90 77 0,-100-84 0,0 0 0,0 0 0,0 0 0,0-1 0,1 0 0,-1 1 0,0-1 0,1 0 0,-1 0 0,0-1 0,1 1 0,6-1 0,-8 1 0,0-1 0,0 0 0,1 0 0,-1 0 0,0-1 0,0 1 0,0 0 0,1-1 0,-1 1 0,0-1 0,0 0 0,0 0 0,0 0 0,0 0 0,0 0 0,0 0 0,-1 0 0,1-1 0,0 1 0,0-1 0,1-2 0,53-106 0,-42 79 40,-2 0 0,0 0-1,-2-1 1,-2 0-1,-1-1 1,5-56 0,-12 89-39,0 0 0,0 0 0,1 0 0,-1 0 0,0-1 1,0 1-1,0 0 0,0 0 0,0 0 0,0 0 0,0-1 1,0 1-1,0 0 0,0 0 0,0 0 0,0 0 0,0-1 1,0 1-1,0 0 0,0 0 0,0 0 0,0-1 0,0 1 1,0 0-1,0 0 0,0 0 0,0 0 0,0-1 0,0 1 1,0 0-1,0 0 0,0 0 0,-1 0 0,1 0 0,0-1 0,0 1 1,0 0-1,0 0 0,0 0 0,-1 0 0,1 0 0,0 0 1,0 0-1,0 0 0,0-1 0,-1 1 0,-6 8 78,-7 16 22,5-4-290,1-1 0,1 1-1,0 1 1,2-1 0,0 1-1,2 0 1,-2 28 0,5-46-76,0 0 1,0 0 0,0 0 0,0 0 0,1 0-1,0 1 1,1 3 0,3 6-3147</inkml:trace>
  <inkml:trace contextRef="#ctx0" brushRef="#br0" timeOffset="5098.65">4102 1 20479,'0'0'256,"0"2"-128,-6 263 333,-1-133-26,7-125-406,-1-1 15,0 1 0,1 0 0,0-1 0,1 1 0,-1 0 0,1-1 0,1 1-1,-1-1 1,1 1 0,4 8 0,-6-14-34,1 0 0,0-1 0,0 1 0,-1 0 0,1-1-1,0 1 1,0 0 0,0-1 0,0 1 0,0-1 0,0 0 0,0 1-1,0-1 1,0 0 0,0 1 0,0-1 0,0 0 0,0 0 0,0 0-1,0 0 1,0 0 0,0 0 0,0 0 0,0 0 0,0-1 0,0 1-1,0 0 1,0-1 0,0 1 0,0 0 0,0-1 0,0 1 0,0-1-1,0 0 1,0 1 0,1-2 0,2-1 8,0 0 0,0 0 0,0-1 0,0 1 0,0-1 0,3-5 0,86-125 36,-38 50-6,102-117-1,-140 181-47,-31 43 33,1 1-1,1 0 1,1 1-1,-11 36 1,-24 56 60,-14 22-1511,49-104-271,1 0 0,-6 43 0,10-42-9617</inkml:trace>
  <inkml:trace contextRef="#ctx0" brushRef="#br0" timeOffset="5593.18">4598 507 19583,'-31'8'22,"31"-8"-16,0 0 0,0 0 0,-1 0 0,1 0 0,0 0-1,0 0 1,0 0 0,0 0 0,-1 0 0,1 0 0,0 0 0,0 0 0,0 0 0,0 0 0,0 0 0,-1 1 0,1-1 0,0 0 0,0 0 0,0 0 0,0 0 0,0 0 0,0 0 0,0 0 0,-1 1 0,1-1 0,0 0 0,0 0 0,0 0 0,0 0 0,0 0-1,0 0 1,0 1 0,0-1 0,0 0 0,0 0 0,0 0 0,0 0 0,0 1 0,0-1 0,0 0 0,0 0 0,0 0 0,0 0 0,0 1 0,7 6 188,-6-6-174,0 0 0,0 0 0,0 0 0,0 0 0,0 0-1,0 0 1,0 1 0,0-1 0,0 0 0,-1 1 0,1-1 0,0 0-1,0 3 1,-1 7 38,-1 1 0,-1 0 0,0 0 0,0-1 0,-1 1 0,-8 20 0,0 2 27,3-5-56,5-14-77,-1-1 1,0 1-1,-1-1 1,-1 0-1,-8 14 1,14-28 17,0-1 0,0 1 0,0 0 0,0 0 0,0 0 0,0 0 0,0 0 0,0 0 0,0 0 0,0 0 0,0 0 0,0-1 0,0 1 0,0 0 0,0 0 0,0 0 0,0 0 0,0 0 0,0 0 0,0 0 0,0 0 0,-1 0 0,1 0 0,0 0 0,0 0 0,0-1 0,0 1 0,0 0 0,0 0 0,0 0 0,0 0 0,0 0 0,-1 0 0,1 0 0,0 0 0,0 0 0,0 0 0,0 0 0,0 0 0,0 0 0,0 0 0,0 0 0,-1 0 0,1 0 0,0 0 0,0 1 0,0-1 0,0 0 0,0 0-1,0 0 1,0 0 0,0 0 0,0 0 0,-1 0 0,1 0 0,0 0 0,0 0 0,0 0 0,0 0 0,0 1 0,-1-14-1560,1 10 211</inkml:trace>
  <inkml:trace contextRef="#ctx0" brushRef="#br0" timeOffset="5861.55">4366 408 17407,'3'5'26,"-2"-3"31,0 1-1,1 0 0,-1-1 1,1 0-1,0 1 1,0-1-1,0 0 0,4 3 1,-1-22 1095,-3 13-1082,1 0 0,1 0 1,-1 0-1,0 0 0,1 0 1,0 1-1,-1 0 0,2 0 1,-1 0-1,0 0 0,0 1 1,1-1-1,0 1 0,-1 0 1,1 1-1,0-1 0,10-1 1,8-1-2,0 1 0,39 0 0,-31 2-113,31 0-944,-20 6-3037</inkml:trace>
  <inkml:trace contextRef="#ctx0" brushRef="#br0" timeOffset="6443.32">4890 788 21119,'1'-4'11,"0"0"-1,0 0 0,0 1 0,-1-1 1,1 0-1,-1 0 0,0 0 1,0 0-1,0 0 0,-1 0 0,1 0 1,-1 1-1,0-1 0,0 0 0,0 0 1,-1 1-1,1-1 0,-1 1 1,0-1-1,0 1 0,0 0 0,0-1 1,-1 1-1,1 0 0,-1 1 0,-5-6 1,6 7-12,0-1 0,0 0 0,0 0 0,0 1 0,0-1 0,0 1 0,0 0 0,-1 0 0,1 0 0,-1 0 0,1 0-1,0 0 1,-1 0 0,1 1 0,-1-1 0,0 1 0,1 0 0,-1 0 0,1 0 0,-1 0 0,1 0 0,-1 1 0,0-1 0,1 1 0,-1-1 0,1 1 0,0 0 0,-1 0 0,1 0 0,0 1 0,-1-1 0,1 0 0,0 1 0,0-1 0,0 1 0,0 0 0,1 0 0,-1 0 0,0 0 0,1 0 0,-2 2 0,-3 5-6,1-1 1,0 1-1,1 0 0,0 0 1,1 1-1,0-1 0,0 1 1,1-1-1,0 1 0,1 0 1,0 0-1,0 0 0,1 0 1,0 0-1,3 14 0,-3-22 7,1-1 0,-1 1 0,0 0 0,1 0 0,-1-1 0,1 1 0,0 0 0,-1-1 0,1 1 0,0-1 0,0 1 0,0-1 0,0 1 0,0-1 0,1 0 0,1 2 0,-2-2 3,0-1 1,0 1-1,0-1 1,0 0-1,0 1 1,0-1 0,0 0-1,0 0 1,0 0-1,0 0 1,0 0 0,0 0-1,0 0 1,0 0-1,0 0 1,0-1-1,0 1 1,0 0 0,0-1-1,0 1 1,0 0-1,0-1 1,0 1 0,-1-1-1,1 0 1,0 1-1,0-1 1,0 0-1,0 0 1,7-7 38,0 0 1,-1 0-1,0-1 0,0 0 0,-1 0 1,7-13-1,25-64-3236,-32 70 1463</inkml:trace>
  <inkml:trace contextRef="#ctx0" brushRef="#br0" timeOffset="6825.38">5202 330 20095,'-3'3'87,"1"0"-1,0 0 0,-1 0 1,1 1-1,0-1 0,1 1 1,-1-1-1,1 1 0,-1 0 1,1-1-1,0 1 1,0 6-1,-3 6 93,-18 71-97,-21 84-492,21-56-4404,21-109 4148,1-4 370,0 0 1,0 0 0,0 0 0,-1-1 0,1 1-1,-1 0 1,1 0 0,-1-1 0,0 1-1,1 0 1,-1-1 0,0 1 0,-2 2 0</inkml:trace>
  <inkml:trace contextRef="#ctx0" brushRef="#br0" timeOffset="6977.99">4987 588 17151,'0'0'0,"10"20"384,3-6 0,6 4 128,4 3 0,6 2-256,1-2 0,2 0-384,9-5 128,8-2-512,42 16-13055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07.89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38 18451,'9332'-37'0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10.58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0 324 22251,'9358'-324'0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12.59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637 246 13312,'-7'5'4,"6"-3"8,0-1 0,0 0 0,-1 0 0,1 0 0,-1 0 0,1 0 0,-1 0 1,1-1-1,-1 1 0,1 0 0,-3 0 0,4-1-6,0 0 0,0 0 1,0 0-1,0 0 0,0 0 0,1 0 1,-1 0-1,0 0 0,0 0 0,0-1 1,0 1-1,0 0 0,0 0 0,0 0 0,0 0 1,0 0-1,0 0 0,0 0 0,0 0 1,0 0-1,0 0 0,0 0 0,0 0 1,0 0-1,0 0 0,0 0 0,0 0 1,0 0-1,0-1 0,0 1 0,0 0 1,0 0-1,0 0 0,0 0 0,0 0 0,0 0 1,0 0-1,0 0 0,0 0 0,0 0 1,0 0-1,0 0 0,0 0 0,0 0 1,0-1-1,0 1 0,0 0 0,0 0 1,0 0-1,0 0 0,0 0 0,0 0 0,0 0 1,0 0-1,0 0 0,0 0 0,0 0 1,0 0-1,0 0 0,-1 0 0,1 0 1,0 0-1,0 0 0,0 0 0,0 0 1,0 0-1,0 0 0,0 0 0,7-5 252,-7 5-255,0 0-1,1-1 1,-1 1 0,0 0 0,0 0 0,1 0 0,-1 0-1,0 0 1,0-1 0,1 1 0,-1 0 0,0 0 0,0 0-1,1 0 1,-1 0 0,0 0 0,0 0 0,1 0 0,-1 0-1,0 0 1,0 0 0,1 0 0,-1 0 0,0 0 0,1 0-1,-1 0 1,0 0 0,0 1 0,1-1 0,-1 0-1,0 0 1,0 0 0,0 0 0,1 0 0,-1 1 0,0-1-1,0 0 1,0 0 0,1 0 0,-1 1 0,0-1 0,0 0-1,0 0 1,0 1 0,0-1 0,1 0 0,-1 0 0,0 1-1,0-1 1,0 0 0,0 0 0,0 1 0,0-1 0,0 0-1,0 0 1,0 1 0,0-1 0,0 0 0,0 1 0,0-1-1,0 0 1,0 0 0,-1 1 0,1-1 0,0 1 0,-24 60 1255,6 35 456,-9 132 0,16-120-1537,3-34-96,-1-1 198,3-1 0,3 84 0,5-145 45</inkml:trace>
  <inkml:trace contextRef="#ctx0" brushRef="#br0" timeOffset="1300.84">150 1141 15872,'9'-1'10,"-8"1"-5,0-1 1,1 1-1,-1 0 1,1 0 0,-1 0-1,1 0 1,-1 0-1,0 0 1,1 0-1,-1 0 1,1 1 0,-1-1-1,0 0 1,1 1-1,-1-1 1,0 1-1,1 0 1,-1-1-1,0 1 1,0 0 0,1 0-1,-1 0 1,0 0-1,1 1 1,2 2 117,0 0-1,0 1 1,0-2 0,1 1-1,-1 0 1,1-1 0,0 0-1,0 0 1,8 2 0,2 2 264,1-2 1,16 4-1,-17-5-56,0 0-1,0 1 1,26 13 0,-37-16-151,-3-1-149,0-1 0,-1 1 0,1-1 0,0 1 1,0-1-1,0 1 0,0-1 0,0 0 0,1 1 0,-1-1 0,0 0 0,0 0 1,0 0-1,0 0 0,0 0 0,0 0 0,0 0 0,0 0 0,0 0 0,0-1 0,0 1 1,2-1-1,2 0 134,15-7 1782,-16 7-1963,1-1-1,0 2 1,0-1 0,0 0 0,0 1 0,0 0 0,0 0 0,0 1 0,6 0-1,0 0-13,226 8-13,-74 1-64,-126-10 126,-23-1-3,0 0-1,0 1 1,0 1 0,0 1-1,0 0 1,15 4-1,101 26-6862</inkml:trace>
  <inkml:trace contextRef="#ctx0" brushRef="#br0" timeOffset="20278.97">171 1109 2304,'0'0'14741,"-3"4"-14549,-5 7-71,0 0 0,0 1-1,1 0 1,1 1 0,0-1 0,1 1 0,0 0 0,1 1 0,0-1 0,1 1 0,-2 27-1,2 4 141,-1-1-1,-2 0 0,-1 0 0,-26 77 1,19-65 37,-14 104 1,27-153-267,0-4-22,1 0 0,-1-1 0,1 1-1,0 0 1,-1 0 0,2-1 0,-1 1-1,0 0 1,0 0 0,1-1 0,1 5-1,-1-7 0,1 0 0,0-1-1,-1 1 1,1 0 0,-1-1-1,1 1 1,-1-1 0,1 0-1,-1 1 1,0-1 0,1 0-1,-1 0 1,2-2 0,-3 3-3,11-8 63,0 1-1,0 1 1,0-1-1,1 2 0,14-6 1,-19 9-71,0 0-1,-1 1 1,1 0 0,0 0 0,0 0 0,0 1-1,0 0 1,0 1 0,0-1 0,0 1 0,9 3-1,5 0 15,-16-3 29,0 0 0,0-1 1,-1 2-1,1-1 1,0 1-1,-1-1 1,0 1-1,7 4 0,-3-2 146,-6-3-172,-1-1 0,1 1 0,-1 0 1,1-1-1,-1 1 0,0 0 0,0 0 0,1 0 1,-1 0-1,0 0 0,0 1 0,1 0 0,-1-1-5,-1-1 0,1 1 0,0-1-1,-1 1 1,1-1 0,0 0 0,0 1-1,0-1 1,-1 0 0,1 1 0,0-1-1,0 0 1,0 0 0,-1 0 0,1 0 0,0 0-1,0 0 1,1 0 0,-1 0 3,0 0 0,0 0 0,0 0 0,0 0-1,0 0 1,0 0 0,0 1 0,0-1 0,0 0 0,-1 0 0,1 1 0,0-1 0,0 1 0,0-1 0,0 1 0,1 0 362,0-1-362,-1 0-1,1 0 1,-1 0-1,1 0 1,-1-1-1,1 1 0,-1 0 1,1-1-1,-1 1 1,1-1-1,1-1 1,-2 2 51,-1-1-128,0 0 63,0 0 0,0 0 0,0 0 0,1 0 0,-1 0 0,0 0 0,0 0 0,1 1 0,-1-1 0,1 0 0,-1 0 1,1 0-1,-1 0 0,1 0 0,0 1 0,-1-1 0,1 0 0,0 1 0,0-1 0,-1 0 0,1 1 0,0-1 0,0 1 0,0-1 1,0 1-1,0-1 0,1 1 0,30-7 3,-19 5 0,22-5-2,0 1 0,56-1 0,75 8 0,-105 1 0,-13 1 26,0 2-1,0 3 1,-1 1 0,78 27-1,-97-25-25,45 24 0,-47-21 0,49 19 0,-63-28 22,-15-22 84,-26-106-204,-16-55-38,-58-89 114,98 256 19,4 10-1,0 0 0,0-1 1,0 1-1,0 0 0,1-1 0,-1 1 0,0-1 1,1 1-1,-1-1 0,1 1 0,-1-1 1,1 0-1,0 1 0,0-1 0,0 1 0,0-1 1,0 0-1,0 1 0,0-1 0,0 1 1,1-1-1,-1 0 0,1 1 0,-1-1 0,1 1 1,-1-1-1,1 1 0,0-1 0,0 1 1,0 0-1,0-1 0,1 0 0,0-1 60,3-1-857,11 56-20922,-14-49 22005,11 27 2065</inkml:trace>
  <inkml:trace contextRef="#ctx0" brushRef="#br0" timeOffset="21166.81">532 1836 17919,'14'-1'-127,"-13"1"183,0 0-1,0 0 0,0 0 0,0 0 1,0 0-1,0 0 0,0 0 1,1 0-1,-1 0 0,0 0 0,0 1 1,0-1-1,0 0 0,0 1 0,1 0 1,-1 0-3,-1 1 0,1-1 1,-1 0-1,0 1 0,1-1 1,-1 0-1,0 1 0,0-1 1,0 1-1,0-1 0,0 0 1,0 1-1,0-1 0,-1 3 1,-1 10 118,-1 1-9,2 1 1,0-1-1,0 0 0,2 1 0,1 17 1,5 26 666,-3 100 1,-1-25-487,-2-106-321,2 26 105,1 0-1,3-1 1,14 53-1,-15-78 16,-1 1-1,-1 0 0,-2 0 0,-1 50 1,-1-51-87,3 10 86,-2-29-89,0 1 0,-1-1-1,1 1 1,-3 10 0,1-11-1682,25-74-20486,-7 25 24462</inkml:trace>
  <inkml:trace contextRef="#ctx0" brushRef="#br0" timeOffset="22028.01">732 2878 21759,'0'0'-128,"-3"-1"-42,-3-1-56,0 0-1,0 0 1,0 0 0,0 1 0,-1 0 0,1 1 0,-1-1 0,1 1 0,0 0-1,-1 1 1,1-1 0,0 1 0,-1 1 0,-6 1 0,7 0 227,0-1-1,0 1 1,0 1 0,0-1-1,1 1 1,-1 0 0,1 0 0,0 1-1,0 0 1,0 0 0,1 0-1,-8 11 1,10-12 41,0 0 1,0 0-1,0 1 0,1-1 0,-1 1 0,1 0 1,0-1-1,0 1 0,1 0 0,0-1 0,-1 1 1,2 0-1,-1 0 0,0-1 0,1 1 0,0 0 1,0-1-1,0 1 0,3 5 0,-4-9-20,1 0 0,0 0 1,-1 0-1,1 0 0,-1 0 0,1 0 0,0 0 0,0-1 0,0 1 0,-1 0 1,1 0-1,0-1 0,0 1 0,0 0 0,0-1 0,0 1 0,0-1 1,0 0-1,0 1 0,0-1 0,1 0 0,-1 1 0,0-1 0,0 0 1,0 0-1,0 0 0,0 0 0,1 0 0,-1 0 0,0 0 0,0-1 1,0 1-1,0 0 0,0-1 0,0 1 0,0 0 0,0-1 0,0 1 0,2-2 1,2-1 39,-1 1 1,0-1 0,1 1 0,-1-1 0,-1 0-1,1-1 1,0 1 0,4-6 0,2-6 28,-1-1 0,-1 0 0,0-1 0,0 0 0,-2-1 1,0 1-1,-2-1 0,0 0 0,0 0 0,1-29 0,-5 42-103,0 0-1,0 0 0,-1 0 1,1 1-1,-1-1 0,0 0 1,0 0-1,-1 1 1,1-1-1,-1 1 0,0-1 1,0 1-1,-1 0 0,1 0 1,-1-1-1,0 2 0,-6-7 1,8 8-2,-1 0 0,0 1 1,0-1-1,0 1 0,0 0 1,0 0-1,0-1 0,0 1 1,0 0-1,-1 1 0,1-1 1,0 0-1,0 1 0,-1-1 1,1 1-1,-1 0 1,1 0-1,0 0 0,-1 0 1,1 0-1,0 0 0,-1 1 1,1-1-1,0 1 0,-1 0 1,1-1-1,0 1 0,0 0 1,0 0-1,0 1 0,0-1 1,0 0-1,0 1 0,0-1 1,0 1-1,0 0 0,-1 1 1,-9 10 29,0 1 0,1 0-1,1 1 1,0 0 0,1 0 0,0 1 0,-8 23 0,8-14 52,0 1 1,2 0-1,1 0 1,-3 34-1,8-55-180,1 0 1,0 1-1,0-1 1,0 0-1,2 9 0,-2-13-97,1 0-1,-1 0 0,0 0 1,1 0-1,-1 0 1,0 0-1,1 0 0,-1-1 1,1 1-1,0 0 1,-1 0-1,1 0 0,0-1 1,-1 1-1,2 1 1,-1-2-93,0 0 0,0 0 0,-1 1 0,1-1 0,0 0 0,0 0 0,0 0 0,0 0 0,-1 0 0,1 0 0,0 0 0,0 0 0,0 0 0,0 0 0,-1-1 0,1 1 0,0 0 0,0 0 1,-1-1-1,1 1 0,1-1 0,20-13-1533,10-5-2538</inkml:trace>
  <inkml:trace contextRef="#ctx0" brushRef="#br0" timeOffset="23250.17">787 107 17791,'-5'7'0,"4"-6"0,0 0 0,1 0 0,-1 1 0,0-1 0,-1 0 0,1 0 0,0 0 0,0 0 0,0 0 0,-1 0 0,1-1 0,0 1 0,-1 0 0,1-1 0,-3 2 0,3-2 6,-1 0 0,1 0 0,0 0-1,0 0 1,-1 0 0,1-1-1,0 1 1,0 0 0,0-1-1,-1 1 1,1-1 0,0 1-1,0-1 1,0 1 0,0-1-1,0 0 1,-2-1 0,-3-2 19,5 4-23,-1-1-1,1 1 1,0 0-1,-1-1 0,1 1 1,0 0-1,-1 0 1,1 0-1,0 0 0,-1 0 1,1 0-1,0 1 1,-1-1-1,1 0 0,0 1 1,-1-1-1,1 1 1,0-1-1,-2 2 0,0 0 7,0 0 0,1 0-1,-1 0 1,1 0-1,0 1 1,0-1-1,0 1 1,-2 2-1,-1 4 25,0 0 0,1 1 0,0-1 0,-4 14 0,-45 134 672,52-143-257,1-13-430,1-1 0,-1 0 0,0 0-1,0 0 1,0 0 0,0 1 0,1-1-1,-1 0 1,0 0 0,0 0 0,0 0 0,1 0-1,-1 0 1,0 0 0,0 1 0,0-1-1,1 0 1,-1 0 0,0 0 0,0 0-1,1 0 1,-1 0 0,0 0 0,0 0 0,0 0-1,1 0 1,-1 0 0,0 0 0,0 0-1,1-1 1,-1 1 0,0 0 0,2-1 32,0 0 0,0 0 1,0 0-1,0 0 0,0-1 1,-1 1-1,1 0 0,-1-1 0,3-3 1,8-10 32,-2-2 0,0 1 1,-1-1-1,-1-1 0,-1 0 0,0 0 1,-1 0-1,-1-1 0,-1 1 1,-1-1-1,0 0 0,-1-1 0,-2-28 1,0 45-48,0-1 1,-1 1-1,1-1 1,-1 1-1,0-1 0,0 1 1,0-1-1,-1 1 1,1 0-1,-1 0 1,0 0-1,0 0 1,0 0-1,0 0 1,0 0-1,-1 0 1,1 1-1,-1-1 0,1 1 1,-1 0-1,0 0 1,0 0-1,0 0 1,0 1-1,-1-1 1,1 1-1,0-1 1,-1 1-1,1 0 1,-1 1-1,1-1 0,-1 0 1,1 1-1,-6 0 1,1 0-36,0 0-1,0 0 1,0 1 0,0 0 0,0 0-1,1 1 1,-1 0 0,0 0 0,1 1-1,-1 0 1,1 1 0,0-1-1,0 1 1,-10 8 0,11-7-21,0 1 1,1-1 0,-1 1-1,2 0 1,-1 1-1,1-1 1,0 1-1,0 0 1,0 0-1,-3 10 1,6-12 14,-1-1-1,1 1 1,1-1 0,-1 1 0,1-1 0,-1 1 0,1 0 0,0-1 0,1 1 0,-1-1 0,1 1-1,0 0 1,0-1 0,1 0 0,-1 1 0,1-1 0,0 0 0,4 7 0,-4-7 11,1-1 1,0 1-1,0-1 1,0 1-1,0-1 1,0 0-1,1 0 1,-1-1 0,1 1-1,0-1 1,0 1-1,0-1 1,0-1-1,0 1 1,1 0-1,-1-1 1,0 0-1,1 0 1,-1 0-1,1-1 1,-1 1 0,1-1-1,-1 0 1,1-1-1,-1 1 1,8-2-1,8-3 124,1 0 0,-2-2 0,1 0 1,26-14-1,-31 14 14,-9 4-138,0 0 0,0-1 0,0 1 0,0-1 0,-1-1 0,0 1 0,6-6 0,-10 8 10,1 1 1,-1-1-1,1 0 1,-1 0-1,1 0 1,-1 0-1,0 0 1,0 0-1,0-1 1,0 1-1,-1 0 1,1 0-1,-1-1 1,1 1-1,-1 0 1,0-1-1,0 1 1,0-1-1,0 1 1,0 0-1,0-1 0,-1 1 1,1 0-1,-2-3 1,2 4-15,-1 1-1,1 0 1,-1 0 0,0-1 0,1 1 0,-1 0-1,0 0 1,1 0 0,-1 0 0,0 0-1,1-1 1,-1 1 0,0 0 0,1 1-1,-1-1 1,0 0 0,1 0 0,-1 0 0,0 0-1,1 0 1,-1 1 0,1-1 0,-1 0-1,0 1 1,1-1 0,-1 0 0,1 1-1,-1-1 1,1 1 0,-1-1 0,0 1 0,-20 15-47,-27 32 436,37-34-2765,-20 30-1,26-35 770,0 0 0,0 0-1,1 1 1,0-1-1,0 1 1,1 0 0,1 0-1,0 1 1,0-1 0,1 0-1,0 14 1,3 4 1606</inkml:trace>
  <inkml:trace contextRef="#ctx0" brushRef="#br0" timeOffset="23960.55">1785 1251 23551,'-6'31'0,"6"-31"0,0 0 0,0-1 0,0 1 0,0 0 0,0 0 0,-1 0 0,1 0 0,0 0 0,0 0 0,0 0 0,0 0 0,0 0 0,0 0 0,0 0 0,0 0 0,0 0 0,0 0 0,0 0 0,0 0 0,-1 0 0,1 0 0,0 0 0,0 0 0,0 0 0,0 0 0,0 0 0,0 0 0,0 0 0,0 0 0,0 1 0,0-1 0,0 0 0,0 0 0,0 0 0,0 0 0,0 0 0,-1 0 0,1 0 0,0 0 0,0-13 0,-6 26 0,-2 18 0,0 61-13,4 104-1,-5 73-513,6-252-741,1 12-2926,42-172-11336,-34 104 14549</inkml:trace>
  <inkml:trace contextRef="#ctx0" brushRef="#br0" timeOffset="24462.12">1812 1158 13440,'0'77'800,"1"-66"-160,1-42-160,0-11 1439,-5-56 1,3 98-1885,0 0 0,0-1 0,0 1-1,0 0 1,0-1 0,0 1 0,1-1-1,-1 1 1,0 0 0,0-1-1,0 1 1,0 0 0,0-1 0,1 1-1,-1 0 1,0-1 0,0 1 0,1 0-1,-1-1 1,0 1 0,0 0-1,1 0 1,-1-1 0,0 1 0,1 0-1,-1 0 1,0 0 0,1-1 0,-1 1-1,0 0 1,1 0 0,-1 0-1,1 0 1,19-1 296,20 11 227,-29-6-419,-1 1 1,-1 1 0,1 0 0,-1 0 0,0 0-1,15 15 1,44 52-116,-63-68-8,-1 1 0,1-1 0,-1 1-1,-1 0 1,1 0 0,-1 0 0,0 1-1,-1-1 1,1 1 0,-1-1 0,-1 1 0,1 0-1,-1 0 1,0-1 0,-1 1 0,0 0-1,0 0 1,0 0 0,-1 0 0,0 0-1,0 0 1,-3 8 0,-32 107 180,18-66-93,15-49-105,0 1-1,0-1 1,-1 0 0,0 0 0,0-1 0,-1 1 0,0-1 0,0 0-1,-8 7 1,16-17-54,1 1 0,0 0 0,-1 0 0,1 0 0,1 1 0,-1-1 0,0 1 0,0 0 0,1 0 0,-1 0 0,8-1 0,-9 2 27,0 1 0,0 0 0,0 0 1,0 0-1,0 0 0,0 0 0,0 1 0,0-1 0,0 1 0,0 0 0,-1-1 0,1 1 0,0 1 0,0-1 0,-1 0 0,1 1 0,-1-1 0,1 1 0,-1 0 0,4 3 0,6 8-161,0 0 0,-1 1-1,-1 0 1,14 24 0,26 66-1750,2 3 351,-7-31-1013,-26-43-7339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39.19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0 21341,'13'1125'0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52.74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160 46 13056,'27'17'149,"-29"-20"200,0 0 0,0 0 0,1-1 0,-1 1 0,1 0 0,-1-1 0,1 1 1,0-1-1,1 1 0,-1-5 0,0 7-334,1 0-1,0 0 1,-1 0 0,1 0 0,0 0-1,-1 0 1,1 0 0,-1 0 0,0 0 0,1 0-1,-1 0 1,0 0 0,0 0 0,1 0-1,-1 1 1,0-1 0,0 0 0,0 1 0,0-1-1,0 0 1,0 1 0,0-1 0,0 1-1,0 0 1,0-1 0,0 1 0,-1 0 0,1 0-1,0-1 1,0 1 0,0 0 0,0 0-1,0 0 1,-1 1 0,0-1 0,-3 1-18,1-1 1,0 1-1,-1 0 1,1 0-1,0 0 1,0 1-1,-7 3 1,4 0 9,0 0 0,1 1 0,0 0 0,0 0 0,0 0 0,1 1 0,0 0 0,0 0 0,1 0 0,0 0 0,0 1 0,0 0 0,1 0 0,-3 14 0,0 1 26,1 1-1,1 0 0,-2 46 0,6-58 20,1-1-1,0 0 0,0 0 0,1 1 0,0-1 0,7 18 0,-7-25-23,-1 0 1,1-1-1,0 1 1,0-1-1,0 1 0,1-1 1,-1 0-1,1 0 1,5 5-1,-6-7-7,0 1 0,0-1 1,0 0-1,0 0 0,0 0 0,1 0 1,-1 0-1,0 0 0,1-1 0,-1 1 1,1-1-1,-1 0 0,0 1 0,1-1 1,-1 0-1,1-1 0,2 1 0,0-2 6,-1 1 0,0-1 0,0 0 0,0 0-1,0-1 1,0 1 0,0-1 0,-1 0 0,1 1-1,-1-2 1,0 1 0,0 0 0,0-1 0,4-5-1,2-3 42,11-10-70,1-2 89,36-50-1,-51 65-70,-1 0-1,-1 0 1,1-1-1,-1 1 1,-1-1-1,0 0 0,0 0 1,-1 0-1,-1 0 1,2-12-1,-3 10 77,0-27 260,0 37-331,0 1-1,-1-1 0,1 0 1,-1 0-1,1 0 0,-1 1 1,0-1-1,0 0 0,1 1 1,-1-1-1,0 0 1,-1 1-1,1-1 0,0 1 1,0 0-1,-1-1 0,-1 0 1,-2-2-7,0 1 1,-1 0 0,1 0 0,-1 0-1,0 1 1,0 0 0,0 0 0,0 0-1,0 1 1,-1 0 0,1 0-1,0 1 1,-1 0 0,1 0 0,0 0-1,-1 1 1,1 0 0,0 0 0,0 0-1,-9 4 1,7-2 0,1 0 1,-1 1-1,1 0 0,0 1 1,0-1-1,0 1 0,1 1 1,0-1-1,0 1 0,0 0 1,0 0-1,1 1 0,0 0 1,1 0-1,-6 11 0,5-7-498,0 0-1,1 1 0,-3 12 1,4-12-745,1-1 0,1 1 1,0 0-1,0 0 0,2 16 0,1-10-613,1-1-1,1 1 0,6 19 1,14 26-94,2 1 2106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51.14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1215 1 12288,'-3'2'62,"1"1"1,-1-1 0,0 0 0,0 0 0,0 0 0,0-1-1,0 1 1,0-1 0,0 1 0,-1-1 0,1 0-1,0 0 1,-1-1 0,1 1 0,-1-1 0,1 1-1,-5-1 1,-6 1 256,0 1 0,0 1-1,0 0 1,0 1-1,0 0 1,-17 9 0,-30 8 757,52-17-995,-1 0 0,0 1 0,1 0 0,0 1 0,1 0 0,-16 13 0,13-10-94,1-2 13,2 1 0,-1-1 0,1 2 0,0-1 0,-8 13 0,13-16 0,0 0 0,0 1 0,0-1 0,1 0 0,0 1 0,0 0 0,0-1 0,1 1 0,0 0 0,0 0 0,0 10 0,0 14 0,2 0 0,10 58 0,-10-81 0,1 1 0,0-1 0,0 0 0,1 0 0,0 0 0,0 0 0,0 0 0,1 0 0,0-1 0,0 0 0,1 0 0,0 0 0,0 0 0,0-1 0,1 0 0,0 0 0,7 5 0,-9-8 0,1-1 0,-1 1 0,1 0 0,-1-1 0,1 0 0,0 0 0,0 0 0,-1-1 0,1 0-1,0 0 1,0 0 0,0 0 0,6-2 0,9-2 7,34-11 0,-42 11 2,-6 2 7,-1 0 1,1-1-1,-1 0 1,1 0-1,-1 0 0,0-1 1,0 0-1,0 0 1,-1 0-1,0 0 1,8-10-1,-10 11-7,1-1 0,-1 1-1,0-1 1,0 1 0,0-1-1,-1 0 1,1 0 0,-1 0-1,0 0 1,0 0 0,0 0 0,0 0-1,-1 0 1,0 0 0,0 0-1,0 0 1,0-1 0,-2-5-1,1 7-16,0 0-1,-1 0 0,1 0 1,-1 0-1,0 0 0,1 0 1,-2 0-1,1 1 0,0-1 0,0 1 1,-1 0-1,1 0 0,-1 0 1,0 0-1,1 0 0,-1 0 1,0 1-1,-5-3 0,3 2-20,0 0-1,-1 0 0,1 1 1,0 0-1,-1 0 1,1 0-1,0 1 1,-1-1-1,1 1 0,-8 1 1,7 1-73,0-1 1,1 1-1,-1 1 1,1-1-1,-1 1 0,1 0 1,0 0-1,0 1 1,0-1-1,1 1 0,-1 0 1,1 1-1,0-1 1,0 1-1,0 0 1,1-1-1,-1 2 0,-3 8 1,-4 8-281,1 0 1,0 1-1,-6 26 1,12-35 466,1 1-1,0-1 1,1 0 0,0 1 0,1 23-1,2-31 35,-1 1-1,1-1 1,0 1-1,1-1 0,0 1 1,0-1-1,0 0 1,1 0-1,0 0 1,1 0-1,-1-1 0,8 10 1,-7-12-58,-1 0 1,1-1-1,0 0 0,0 0 1,0 0-1,1 0 0,-1 0 1,1-1-1,-1 0 0,1 0 1,0 0-1,0-1 0,-1 1 1,1-1-1,0 0 1,1-1-1,-1 1 0,0-1 1,0 0-1,0 0 0,7-2 1,-1 1-35,-1-1 0,1-1 0,-1 1 0,0-2 0,0 1 1,0-2-1,0 1 0,0-1 0,9-7 0,-4 2 74,-1-1 0,1-1 0,21-22 0,-32 29-74,0 0 0,0 0 0,-1-1 0,1 1 1,-1-1-1,-1 1 0,1-1 0,-1 0 0,0 0 0,0 0 0,0-1 0,-1 1 1,0 0-1,0-8 0,-1 9-80,0 1 1,0-1 0,0 0-1,0 1 1,-1-1 0,0 1-1,0-1 1,0 1 0,0-1-1,-1 1 1,1-1-1,-1 1 1,-1 0 0,1 0-1,0 0 1,-1 0 0,0 1-1,0-1 1,0 1 0,0 0-1,-1-1 1,1 1-1,-1 1 1,0-1 0,0 1-1,0-1 1,0 1 0,0 0-1,0 0 1,0 1 0,-1-1-1,-4 0 1,4 1-136,0 1 0,0-1 0,0 1 1,1 0-1,-1 0 0,0 0 0,0 1 0,1 0 0,-1 0 1,0 0-1,1 0 0,-1 1 0,1 0 0,-1 0 0,1 0 1,0 0-1,0 1 0,0 0 0,0-1 0,0 1 0,1 1 1,-1-1-1,-3 6 0,-2 2 135,0 0 1,1 0-1,1 1 1,0 0-1,0 1 1,1 0-1,-4 14 1,7-15 374,0-1 0,0 1 0,1 0 0,1 0 0,0 0-1,0 0 1,2 0 0,-1 0 0,1 0 0,1-1 0,0 1 0,7 20 0,-7-26-263,0 0 0,0 0 1,1-1-1,0 0 0,0 1 1,0-1-1,0 0 0,1-1 0,0 1 1,0 0-1,0-1 0,1 0 1,-1 0-1,1-1 0,0 1 1,0-1-1,0 0 0,1 0 0,-1 0 1,1-1-1,-1 0 0,1 0 1,0-1-1,0 1 0,0-1 1,0 0-1,7-1 0,-6 0-30,-1 0 0,1-1 0,0 0 0,-1 0 0,0-1 0,1 0 0,-1 0 0,0 0 0,0-1-1,0 0 1,0 0 0,-1-1 0,1 0 0,-1 1 0,0-2 0,0 1 0,0-1 0,-1 1 0,1-1 0,-1-1 0,0 1 0,4-8 0,5-11 129,0-1 1,-1-1 0,15-48 0,-27 73-159,0 0-55,1 0-1,-1 0 0,1-1 0,-1 1 1,1 0-1,-1 0 0,0-1 0,1 1 0,-1 0 1,0-1-1,0 1 0,0 0 0,0-1 1,0 1-1,-1 0 0,1 0 0,0-1 1,0 1-1,-1 0 0,1 0 0,-1-1 0,1 1 1,-1 0-1,0 0 0,1 0 0,-1 0 1,0 0-1,0 0 0,0 0 0,0 0 1,0 0-1,0 0 0,0 0 0,-1 0 0,0 0-98,-1 0-1,1 1 1,-1-1-1,1 1 0,-1 0 1,1-1-1,-1 1 0,1 1 1,-1-1-1,1 0 0,0 0 1,-1 1-1,1-1 0,-1 1 1,1 0-1,0 0 0,-4 2 1,-4 2-281,1 0 0,0 1 0,0 0 0,1 0 0,-1 1 0,2 1 0,-14 14 0,12-11 540,1 1 1,0 0-1,1 0 1,0 1-1,-7 20 1,8-16 514,1 0-1,1 1 1,0-1-1,1 1 1,1 0-1,1 0 1,0 0 0,2 0-1,4 35 1,-4-49-493,0 1 1,-1-1 0,2 1-1,-1-1 1,0 0-1,1 1 1,4 6-1,-5-9-86,1-1 0,-1 0 0,0 1 0,1-1 0,-1 0 0,1 0 0,0 0-1,-1 0 1,1 0 0,0 0 0,0 0 0,0-1 0,-1 1 0,1-1 0,0 1-1,0-1 1,0 0 0,0 1 0,0-1 0,0 0 0,2-1 0,-3 1-37,-1 0 0,1 1 0,0-1 0,-1 0 0,1 0-1,0 0 1,-1 0 0,1 0 0,-1 1 0,1-1 0,0 0 0,-1 1 0,1-1 0,-1 0 0,1 1 0,-1-1 0,1 1 0,-1-1 0,1 1 0,-1-1 0,0 1 0,1-1 0,-1 1 0,0-1 0,1 1-1,-1 0 1,1 2 18,-1-2 106,-1-1 64,-2 2-150,-8 1 359,4-3 94,-5 54-132,10-15-259,-9 130 197,10-149-237,0 0 0,1 0 0,1 0 0,1-1 0,9 40 0,-7-35-64,0 0 0,-2 1 0,-1 28 0,0-11 0,-1-40 2,0 0-1,0 0 0,0-1 0,1 1 0,-1 0 0,1 0 1,-1 0-1,1-1 0,-1 1 0,1 0 0,0-1 1,0 1-1,0 0 0,0-1 0,0 1 0,0-1 0,3 3 491</inkml:trace>
  <inkml:trace contextRef="#ctx0" brushRef="#br0" timeOffset="2732.62">1073 1728 16511,'0'0'1792,"1"-4"-1728,-1-3-81,1-3-244,0 0 0,0 1 0,1-1 0,5-16 0,31-74-1638,-44 113 2042,0 1 1,1-1-1,0 1 0,1 0 0,1 0 1,0 1-1,1-1 0,0 1 0,2-1 1,-1 1-1,2-1 0,0 1 0,4 18 0,0-12 209,2-1 0,0 0 0,11 20 0,-17-39-320,0 0-1,0 0 0,0 0 0,0 1 0,0-1 0,0-1 1,0 1-1,1 0 0,-1 0 0,0 0 0,0-1 0,1 1 0,-1 0 1,1-1-1,-1 1 0,1-1 0,-1 0 0,0 1 0,1-1 1,2 0-1,-3 0-10,0 0 1,0 0-1,0 0 1,0 0-1,0 0 1,0 0-1,-1 0 1,1 0 0,0 0-1,0-1 1,0 1-1,0 0 1,0-1-1,0 1 1,-1-1-1,1 1 1,0 0-1,0-1 1,-1 0 0,1 1-1,0-1 1,-1 1-1,1-1 1,0 0-1,-1 0 1,1 1-1,-1-1 1,1 0-1,-1 0 1,0 0-1,1 1 1,-1-1 0,1-2-1,0-5 38,0 0 1,-1 1-1,0-1 0,0 0 0,-1 0 1,0 0-1,0 0 0,-1 1 0,0-1 1,0 0-1,-1 1 0,0-1 0,0 1 1,-1 0-1,1 0 0,-2 1 0,-6-10 1,3 5 70,1 1-92,-1 1 0,-12-13 0,18 20-39,0 0 1,0 0-1,0 0 0,-1 1 1,1-1-1,0 1 1,-1-1-1,1 1 1,-1 0-1,1 0 1,-1 0-1,0 1 1,1-1-1,-1 1 0,0-1 1,-4 1-1,2 0-9,-1 1-1,1-1 0,0 1 1,0 0-1,-1 1 0,1-1 1,0 1-1,0 0 0,1 1 1,-1-1-1,0 1 0,1 0 1,0 0-1,-1 0 0,1 0 1,0 1-1,-5 7 0,4-5-3,1 0-1,1 0 0,-1 1 0,1 0 1,0 0-1,1 0 0,-1 0 0,1 0 0,1 0 1,-1 0-1,1 1 0,0 8 0,1-6-2,0 0 1,0 0-1,1 0 0,0 0 0,5 19 0,-6-26 12,1-1 0,0 1 0,0 0 0,0-1-1,1 1 1,-1-1 0,1 1 0,-1-1 0,1 0 0,0 0 0,0 1-1,0-1 1,0 0 0,0-1 0,0 1 0,0 0 0,1-1 0,-1 1 0,1-1-1,-1 0 1,1 0 0,0 0 0,-1 0 0,1 0 0,5 0 0,-6 0 86,1-1 1,-1 0-1,1 0 0,-1 0 1,1-1-1,0 1 1,-1-1-1,5-1 0,20-12-3680,23-26-5785,-33 26 8707,2-3-155,-2 1-3733</inkml:trace>
  <inkml:trace contextRef="#ctx0" brushRef="#br0" timeOffset="4274.46">121 181 15360,'8'3'3,"-7"-3"7,1 1-1,0 0 1,-1-1-1,1 1 1,-1 0 0,1 0-1,-1 0 1,1 0-1,-1 0 1,0 0-1,1 0 1,1 2 0,-9-7 2559,-1 10-1068,5-4-1860,-7 9 491,1 1-1,0 0 0,0 0 0,1 1 1,1 0-1,0 0 0,-6 22 0,1 4-69,-8 57 0,1-16 130,11-54-135,1-1 0,-3 36-1,8-49-57,1 1-1,3 19 0,-3-28 4,1 1 1,0-1-1,0 0 1,0 0-1,0 0 1,1 1-1,0-1 0,-1 0 1,1-1-1,5 8 1,-5-10 17,-1 0 1,1 0 0,-1 1-1,1-1 1,0-1-1,-1 1 1,1 0 0,0 0-1,-1-1 1,1 1 0,0-1-1,0 1 1,0-1-1,3 0 1,29-1 29,-20 0-25,-1 1-9,0-2 0,1 1 0,-1-2 0,0 0 0,0 0 0,0-1 0,21-10 0,-20 9 46,-1 1 1,1 0 0,15-2-1,-14 4-110,-1-1 0,22-8 0,-4 77-21199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01.132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1043 1 18431,'12'75'955,"3"103"-1,-11-109-836,12 461 573,-11-233-17,-3-127-610,16 224 267,-12-345-323,2-1 1,2 1 0,2-2 0,3 0 0,39 88 0,-52-130-24,21 35 39,-22-38-61,0 0 1,1 0-1,-1 0 1,1 0-1,-1-1 1,1 1-1,0 0 1,0-1-1,0 1 1,-1-1-1,1 0 0,1 0 1,-1 0-1,0 0 1,3 1-1,-3-2-162,-1 0 1,0 0-1,0 0 0,1 0 0,-1-1 0,0 1 0,1 0 0,-1-1 0,0 1 1,0-1-1,0 0 0,0 1 0,1-1 0,-1 0 0,0 0 0,0 0 0,0 0 1,0 1-1,-1-1 0,1 0 0,0-1 0,0 1 0,-1 0 0,2-1 0,14-32-6484,-16 34 6648,28-59-8235,-7 14 6663,-5 5 1607</inkml:trace>
  <inkml:trace contextRef="#ctx0" brushRef="#br0" timeOffset="899.01">810 1208 16000,'28'22'21,"-28"-21"-19,0-1 1,0 0-1,1 1 0,-1-1 1,0 0-1,0 1 1,0-1-1,1 1 0,-1-1 1,0 0-1,0 1 0,0-1 1,0 1-1,0-1 1,0 0-1,0 1 0,0-1 1,0 1-1,0-1 0,0 1 1,0-1-1,0 0 1,0 1-1,0-1 0,-1 1 1,1-1-1,0 0 1,0 1-1,0-1 0,-1 0 1,1 1-1,0-1 0,0 0 1,-1 1-1,1-1 1,-1 1-1,-13 8 28,11-8-20,1 0 17,0 0 1,0-1 0,1 1-1,-1 1 1,0-1 0,1 0-1,-1 0 1,1 1 0,-1-1-1,1 1 1,-1-1-1,1 1 1,0-1 0,0 1-1,0 0 1,0 0 0,-1 1-1,2 1 44,0-1 0,0 1 0,0-1 0,0 1 0,1-1 0,-1 0 0,1 1 0,2 5 0,-1-4-34,4 14 204,0 0-1,2 0 1,0-1 0,15 22-1,50 67-45,-20-31 50,4 13 29,52 74 92,-86-128-249,-15-24-55,-1 0-1,1 0 0,17 17 0,-1-15-61,-23-12 0,0-1 0,-1 1 0,1-1 0,0 1 0,-1-1 0,1 0 0,0 1 0,0-1 0,0 0 0,-1 0 0,1 0 0,0 1 0,0-1 0,0 0 0,-1 0 0,1 0 0,0 0 0,0 0 0,0-1 0,-1 1 0,1 0 0,0 0 0,0 0 0,-1-1 0,1 1 0,0 0 0,0-1 0,-1 1 0,1-1 0,0 1 0,-1-1 0,2 0 0,-2-3-16,1 0 0,-1 0 0,0 0 0,0 0 0,0 0 0,-1 0 0,1 0 0,-1 0 0,-1-4 0,-1-3-80,-69-324-1147,45 241 1161,-56-135-1,69 202 83,0 1 0,-20-27 0,15 24 0,16 24 0,-1 0 0,2 0 0,-1-1 0,1 1 0,0-1 0,0 1 0,0-1 0,1 0 0,0 0 0,0 0 0,0 1 0,1-10 0,0 14 6,0 0 1,1 1-1,-1-1 0,0 0 0,1 0 0,-1 0 0,1 1 0,-1-1 0,1 0 0,0 1 0,-1-1 0,1 0 0,0 1 0,-1-1 0,1 1 0,0-1 0,0 1 0,-1 0 0,1-1 0,0 1 0,0 0 0,0-1 0,0 1 0,0 0 1,-1 0-1,1 0 0,0 0 0,0 0 0,0 0 0,0 0 0,0 0 0,0 0 0,0 0 0,-1 0 0,3 1 0,37 10 367,-32-8-324,41 13 135,-1 2-1,0 1 1,-2 3-1,86 56 1,-108-62-31,-1 2 1,-1 1 0,0 0-1,30 37 1,-38-38-24,-1 1 0,-1 0 0,-1 0 0,0 1 0,-2 1 0,10 28 0,-14-33-70,-2 0 1,1 1-1,-2 0 1,0 0-1,-1-1 1,-1 1-1,0 0 0,-1 0 1,-5 21-1,-5 21-45,-3 0-1,-2-1 0,-3-1 0,-2 0 0,-31 57 1,49-109-58,0 0 0,-1 0 1,0-1-1,1 1 0,-1-1 1,-1 0-1,1 0 0,-1 0 1,0-1-1,-5 4 0,-17 8-8089,67-27-5367</inkml:trace>
  <inkml:trace contextRef="#ctx0" brushRef="#br0" timeOffset="2046.42">43 395 15872,'1'1'0,"2"3"16,-1 0 0,1 0 1,-1 0-1,1 0 0,-1 1 0,-1-1 1,1 1-1,-1-1 0,1 1 1,-1 0-1,-1 0 0,1-1 1,-1 1-1,1 0 0,-1 0 1,-1 6-1,-5 13 322,4-19-246,1 0 0,0 0 0,0 0 0,0 0-1,1 1 1,0 8 0,1 46 248,-2-1-1,-17 116 0,9-106-290,-3 3 42,7-52-31,1 0 0,1 1 0,1 0 0,1 0 1,1-1-1,4 40 0,-3-57-45,-1 0 1,1 0 0,0 0 0,0 0-1,1 0 1,-1 0 0,0 0 0,1 0-1,0-1 1,0 1 0,-1-1 0,1 1-1,5 4 1,-5-6 4,-1-1-1,0 1 1,1 0-1,-1 0 1,1-1-1,0 1 1,-1-1 0,1 1-1,-1-1 1,1 0-1,0 1 1,-1-1-1,1 0 1,0 0-1,-1 0 1,1-1 0,0 1-1,-1 0 1,1 0-1,-1-1 1,1 1-1,0-1 1,-1 0-1,1 1 1,-1-1 0,0 0-1,3-2 1,1 0 37,-1-1 0,1 1 0,-1-1-1,0-1 1,-1 1 0,1 0 0,-1-1 0,0 0 0,0 0 0,4-8 0,3-9-10,8-29 0,-5 11-21,42-77-5,-15 35 86,-21 40-77,69-137 117,-73 152-131,1 1 0,2 1 0,0 0-1,33-32 1,-42 49-16,-8 7 0,1 0 0,-1 0 0,1 0 0,-1 0 0,0 0 0,0 0 0,0 0 0,0-1 0,0 1 0,0 0 0,0-1 0,0 1 0,0-1 0,-1 1 0,1-1 0,0 1 0,-1-1 0,1-2 0,-6-3-21,4 8 16,0-1 0,0 1 1,0 0-1,0-1 0,1 1 0,-1 0 1,0 0-1,0-1 0,1 1 0,-1 0 0,0 0 1,1 0-1,-1 0 0,1 0 0,-1 0 0,1 0 1,0 0-1,-1 0 0,1 0 0,0 2 0,-2 0-1,-14 42 7,1 1 0,2 0 0,-8 57 0,10-23-67,-1 85 0,12-87-364,5 0-3767,-3-62 2463,1-1 1,0 1-1,1-1 1,1 1-1,0-1 1,1-1-1,13 23 1,-7-19 869,22 27 0,4 0 864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11.044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1703 1917 15104,'0'0'1919,"3"3"-1812,8 11-160,-8-11 138,0 0 0,0 0-1,-1 0 1,1 1 0,-1-1-1,0 1 1,1 0-1,-2 0 1,1 0 0,0 0-1,-1 0 1,0 0 0,0 0-1,0 0 1,0 6-1,1 20 95,2 0 0,0 0 0,11 33 0,-8-31-127,-3-14-37,7 30 234,7 65-1,-8-61 883,-20-178-1312,-30-151-1,7 130 33,33 147 147,0 0 0,0-1 1,0 1-1,0 0 0,-1 0 0,1 0 1,0 0-1,0 0 0,0 0 0,0 0 1,0-1-1,0 1 0,0 0 0,0 0 0,0 0 1,0 0-1,0 0 0,0 0 0,0-1 1,0 1-1,0 0 0,0 0 0,0 0 0,0 0 1,1 0-1,-1 0 0,0-1 0,0 1 1,0 0-1,0 0 0,0 0 0,0 0 0,0 0 1,0 0-1,0 0 0,0 0 0,1 0 1,-1 0-1,0-1 0,0 1 0,0 0 0,0 0 1,0 0-1,0 0 0,0 0 0,1 0 1,-1 0-1,0 0 0,0 0 0,0 0 1,0 0-1,10 4-23,15 13 45,-20-13-30,19 10-32,1 0-1,52 20 0,-30-19 210,1-1 0,88 12 0,-114-23-156,-7-2-117,-15 0 105,0 0-1,-1 0 1,1 0 0,0 1 0,0-1 0,-1 0 0,1 0 0,-1 0-1,1 0 1,-1 0 0,1 0 0,-1 0 0,0 0 0,1 0 0,-1 0-1,-2 1 1,2 0-1,-45 96 24,17-55 56,-2-3 0,-67 68 0,74-85 50,18-18-40,17-16-48,4-4-23,-2-1 0,0-1 0,-1 0-1,12-22 1,22-31 27,-34 49-44,-12 21 0,1-1 0,-1 0 0,0 1 0,0-1 0,0 1 0,0-1 0,0 0 0,0 1 0,0-1 0,0 1 0,0-1 0,0 0 0,0 1 0,0-1 0,0 1 0,-1-1 0,1 0 0,0 1 0,0-1 0,-1 1 0,1-1 0,0 1 0,-1-1 0,1 1 0,-1-1 0,1 1 0,0 0 0,-1-1 0,1 1 0,-1-1 0,1 1 0,-1 0 0,1 0 0,-2-1 0,1 2 0,-1 0 0,0 0 0,1 1 0,-1-1 0,0 0 0,1 1 0,0-1 0,-1 1 0,1 0 0,0-1 0,0 1 0,0 0 0,-2 3 0,1 0 0,-47 54-136,38-48 98,0 1-1,1 1 1,0 0-1,1 0 1,1 1 0,-9 18-1,17-32 43,0 0-1,0 0 1,-1 0-1,1 1 1,0-1 0,0 0-1,0 0 1,0 0-1,0 0 1,0 1 0,0-1-1,-1 0 1,1 0-1,0 0 1,0 1-1,0-1 1,0 0 0,0 0-1,0 0 1,0 1-1,0-1 1,0 0 0,0 0-1,0 0 1,0 1-1,0-1 1,0 0 0,0 0-1,0 0 1,0 1-1,1-1 1,-1 0 0,0 0-1,0 0 1,0 0-1,0 1 1,0-1 0,0 0-1,1 0 1,-1 0-1,0 0 1,0 0-1,0 1 1,0-1 0,1 0-1,-1 0 1,0 0-1,0 0 1,0 0 0,0 0-1,1 0 1,-1 0-1,0 0 1,0 0 0,16-6 83,15-16 12,-18 11-79,-1 0-1,0 0 1,-1-1 0,0-1-1,-1 0 1,-1 0 0,12-22-1,-16 26-19,0-1-1,-1 0 0,0 0 1,-1-1-1,0 1 1,0-1-1,-1 0 0,-1 1 1,1-1-1,-2 0 1,0 0-1,-1-14 0,-12 37 1,-84 136-182,46-65 108,39-66 22,6-10-61,1 1 0,0 0-1,0 0 1,-5 16 0,61-66-19364</inkml:trace>
  <inkml:trace contextRef="#ctx0" brushRef="#br0" timeOffset="793.24">2397 2135 12416,'0'0'4223,"-1"3"-3625,-22 60 741,21-55-1305,0 0 0,0-1 1,1 1-1,0 0 0,0 0 0,2 16 0,1-2 65,-1 0-1,-1 0 0,-5 40 0,-17 64 364,13-87-421,9-35-752,-1 0 0,0 0 0,-1 0 0,1 0 0,-1 0 0,0-1 0,0 1 0,-3 5 0,5-9 564,-1 0 0,-3 4-1906,3-4 1906,1 0 1,-1 0-1,1 0 0,0 0 1,-1 0-1,1 0 0,-1 0 1,1 0-1,0 0 0,-1 0 1,1 0-1,-1 0 0,0 0 1,0-1 12,0 0 1,0 0 0,0 0-1,0 0 1,0-1 0,0 1-1,1 0 1,-1 0 0,0 0-1,0-1 1,1 1 0,-1 0-1,1-1 1,-1-1 0,-6-22-657,1-1-3156</inkml:trace>
  <inkml:trace contextRef="#ctx0" brushRef="#br0" timeOffset="1162.14">2211 2162 18303,'13'46'384,"-15"-54"-182,2 7-129,0 0 1,-1 0-1,1-1 0,0 1 1,0 0-1,-1 0 0,1 0 1,0-1-1,0 1 0,0 0 0,1 0 1,-1 0-1,1-3 0,0 3-10,0 0 0,0-1 0,1 1 0,-1 0 0,1 0 0,-1 0 0,1 0 0,-1 0 0,1 1 0,0-1 0,3-1 0,139-46 495,15-7-2118,-114 39-9145,-14 8 8738,-16 4-2598</inkml:trace>
  <inkml:trace contextRef="#ctx0" brushRef="#br0" timeOffset="1594.56">2099 2675 16000,'2'-3'18,"20"-18"997,24-32-1,-41 47-964,0 1-1,0 0 0,1 0 0,-1 0 1,1 0-1,0 1 0,1 0 0,-1 1 1,1-1-1,0 1 0,0 1 0,0-1 1,7-1-1,14-2 212,1 0-1,29 0 1,-26 2-197,55 0-4860,-34 2-1117,-34 1-1019,1 1 5118,-4-2 1814</inkml:trace>
  <inkml:trace contextRef="#ctx0" brushRef="#br0" timeOffset="2096.88">2650 2283 17663,'2'16'422,"-2"0"-1,0-1 0,-4 31 1,-3 15-294,2 0 0,5 78 0,0-138-120,0 0 0,0 0 1,0 0-1,0 0 1,0 0-1,0 0 0,0 0 1,0 0-1,0 0 0,0 0 1,1 0-1,-1 0 0,0 0 1,1 0-1,-1 0 1,1 0-1,-1 0 0,1-1 1,-1 1-1,1 0 0,0 0 1,-1 0-1,1-1 0,0 1 1,0 0-1,-1-1 1,1 1-1,0-1 0,0 1 1,0-1-1,0 1 0,0-1 1,0 0-1,0 1 1,0-1-1,0 0 0,0 0 1,0 1-1,0-1 0,0 0 1,0 0-1,0 0 0,0-1 1,0 1-1,0 0 1,1 0-1,6-3 79,0 0 0,-1 0 0,1 0 0,13-9 0,-3 2-147,9-3 1346,20-10-6392,-39 20 3037,0 0 0,-1 1-1,1 0 1,0 0 0,1 0 0,-1 1 0,14 0 0,1 4 2069</inkml:trace>
  <inkml:trace contextRef="#ctx0" brushRef="#br0" timeOffset="5905.68">20 1295 16895,'-20'20'921,"24"-25"-447,2 4-270,0 14-117,-1 26-55,-1-1 1,-5 78-1,0-61-23,-3 177-115,4-229-134,0 0 1,1 0-1,-1 0 1,1 0-1,0 0 0,0 0 1,0 0-1,0 0 1,3 5-1,36-32-15817,-30-10 16057</inkml:trace>
  <inkml:trace contextRef="#ctx0" brushRef="#br0" timeOffset="7426.58">88 1065 17151,'10'123'0,"13"-202"0,-20 56 153,-6 14 70,3 9-219,0 0 0,0 0 1,-1 0-1,1 0 0,0 0 0,0 0 0,0 0 0,-1-1 1,1 1-1,0 0 0,0 0 0,0 0 0,0 0 0,-1 0 0,1 0 1,0 0-1,0 0 0,0 0 0,-1 0 0,1 0 0,0 0 0,0 0 1,0 0-1,-1 0 0,1 1 0,0-1 0,0 0 0,0 0 0,0 0 1,-1 0-1,1 0 0,0 0 0,0 0 0,0 0 0,0 1 1,-1-1-1,1 0 0,0 2 11,0 0 0,0 0 1,0 0-1,0 0 0,0 0 1,0 0-1,0 0 0,1 0 1,0 3-1,1 4 66,-2-1 18,1 1 0,0-1-1,1 1 1,0-1-1,0 0 1,1 0-1,0 0 1,1 0-1,-1-1 1,1 1-1,1-1 1,0 0-1,0 0 1,0-1 0,0 1-1,1-1 1,0 0-1,1-1 1,-1 1-1,11 5 1,10 6-8,2-1 1,-1-1-1,2-2 0,0-1 1,1-1-1,35 8 1,23 6-79,46 11-26,-114-33 45,-15-3-25,1 1 0,-1 0 1,0 0-1,0 1 1,0-1-1,0 2 1,-1-1-1,1 0 1,8 6-1,-13-7 3,0 1 0,-1-1 0,1 1-1,0-1 1,0 1 0,-1 0 0,1 0 0,-1-1-1,0 1 1,1 0 0,-1 0 0,0-1-1,0 1 1,0 0 0,0 0 0,0 0 0,-1-1-1,1 1 1,0 0 0,-1-1 0,1 1-1,-1 0 1,-1 3 0,-8 0-5,0-1 0,0 0 0,-1 0 1,-19 3-1,-13 5-10,18-2-5,1 1-1,0 1 0,1 1 1,0 1-1,1 1 0,1 1 1,0 1-1,1 1 0,1 0 1,0 2-1,-27 38 0,39-50 18,1-1 0,-1 0 0,0 0 0,-1-1-1,0 0 1,0 0 0,0-1 0,0 0-1,-1 0 1,-16 6 0,-4-1-3,-1-1-1,-34 6 1,53-14-771,8-5 215,17-13-55,32-19 293,9 8 209,-39 21 84,0-1 1,19-13-1,-31 18 12,1-1-1,-1 0 1,1 0 0,-1 0 0,0 0 0,-1-1-1,1 1 1,-1-1 0,0 0 0,0 0 0,3-7-1,43-106 10,-46 110 23,-1 0 0,-1 0 0,1 0 0,-1 0 0,-1-1 0,1 1 0,-2-15 0,0 12 64,1 0 1,1 0-1,1-15 1,-2 22 94,-2 9-113,-8 18-95,3-8 35,-49 81 98,45-77-97,-19 30 1,11-21 11,17-25 5,1 0 1,0-1 0,0 1 0,0 0-1,0-1 1,0 1 0,1 0-1,-1 0 1,1 3 0,0-4 27,-1 0 0,1 1 0,0-1 0,-1 0 0,1 0 1,-1 0-1,0 0 0,1 0 0,-1 0 0,0 0 0,-3 3 0,-23 25 415,26-30-463,1 0 0,-1-1 0,1 1 0,-1 0 0,1 0 0,-1-1 0,1 1 0,0 0 0,-1-1 0,1 1 0,-1 0 0,1-1 1,0 1-1,-1-1 0,1 1 0,0-1 0,-1 1 0,1-1 0,0 1 0,0-1 0,-1 1 0,1-1 0,0 1 0,0-1 0,0 1 0,0-1 0,0 1 1,0-1-1,0 0 0,-5-21 37,6 12-15,1 0 0,0 1-1,0-1 1,1 1 0,0 0 0,8-15 0,1-7 25,27-95 74,-36 116-95,1-1 1,10-17-1,-11 23-48,-3 5 12,0-1 1,1 1-1,-1 0 1,0 0-1,0 0 0,0-1 1,0 1-1,0 0 0,0 0 1,0-1-1,1 1 0,-1 0 1,0 0-1,0-1 1,0 1-1,0 0 0,0-1 1,0 1-1,0 0 0,0 0 1,0-1-1,-1 1 1,1 0-1,0 0 0,0-1 1,0 1-1,0 0 0,0 0 1,0-1-1,0 1 1,-1 0-1,1 0 0,0 0 1,0-1-1,-11-1-43,-15 7-29,16 1 57,0-1 0,0 1 0,1 1 1,0 0-1,0 0 0,1 1 1,0 0-1,-10 13 0,8-10 28,-4 3 27,2 1-1,0 0 1,0 1 0,1 1-1,2 0 1,-16 33-1,29-67 146,-2 6-86,1 0 0,6-18 0,73-151 458,-80 175-586,2-1-1,-1 0 0,1 1 0,0 0 1,0 0-1,0 0 0,0 0 1,1 0-1,0 1 0,0 0 1,0 0-1,1 1 0,-1-1 0,8-2 1,-44 36 10,18-17 81,0-1-1,1 2 0,0 0 0,2 0 0,-1 1 0,2 0 1,0 1-1,1 0 0,0 0 0,-10 34 0,25-72-2461,-3 9-1790,0 0 1,0 0 0,9-15-1,5 4 967,-8 16 3226</inkml:trace>
  <inkml:trace contextRef="#ctx0" brushRef="#br0" timeOffset="7990.33">828 203 18431,'-56'22'22,"55"-22"-17,1 0 1,-1 0-1,1 0 1,0 1-1,-1-1 1,1 0-1,0 0 0,-1 1 1,1-1-1,0 0 1,-1 0-1,1 1 1,0-1-1,0 0 1,-1 1-1,1-1 1,0 0-1,0 1 0,0-1 1,0 1-1,-1-1 1,1 0-1,0 1 1,0-1-1,0 1 1,0-1-1,0 0 1,0 1-1,0-1 1,0 1-1,0-1 0,0 1 1,0-1-1,0 0 1,1 1-1,-1-1 1,0 1-1,12 16 566,-1 0 208,-10-13-735,0 1 0,0 0 0,0 0-1,-1 0 1,0 0 0,0 1 0,0-1 0,-1 0-1,0 0 1,-2 9 0,-21 53-37,16-47 80,-12 34 48,3 2 0,-18 99 0,29-119-1240,-1-1 0,-1 0 0,-2-1 0,-15 34 0</inkml:trace>
  <inkml:trace contextRef="#ctx0" brushRef="#br0" timeOffset="8272.83">435 182 17663,'6'26'0,"0"18"512,0-39 128,-1-21-128,7 6 0,7-6-256,22 5 0,14 2 384,2 0 0,6 0-640,25-8 0,17-7 0,-3 1 0,6-1-10495,-4 1-513,2 1 11008,103-22 3072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14.208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153 0 15104,'-15'29'149,"15"-24"603,7-8 821,-6 3-1446,-1-1 0,1 0 0,0 0-1,0 1 1,0-1 0,0 0 0,-1 0 0,1 0-1,0 0 1,-1 0 0,1 0 0,0 0 0,-1 0-1,0 0 1,1-1 0,-1 1 0,1-1 0,-1 1-21,-4 18 300,1 35-193,2 0 0,7 59 1,-3-60-6,3 20 309,-5-58-385,0 1 1,-1-1-1,-2 22 0,-1 9 0</inkml:trace>
  <inkml:trace contextRef="#ctx0" brushRef="#br0" timeOffset="493.87">6 91 18943,'44'20'0,"-48"-20"28,0 0 0,-1 0 0,1-1-1,0 0 1,0 0 0,-1 0 0,1 0-1,0-1 1,-5-2 0,9 4-23,-1 0 1,1 0 0,0 0-1,0-1 1,0 1 0,0 0-1,0 0 1,-1 0 0,1-1-1,0 1 1,0 0 0,0 0-1,0 0 1,0-1 0,0 1-1,0 0 1,0 0 0,0 0-1,0-1 1,0 1 0,0 0-1,0 0 1,0-1 0,0 1-1,0 0 1,0 0 0,0 0-1,0-1 1,0 1 0,0 0-1,0 0 1,0 0 0,0-1-1,0 1 1,1 0 0,-1 0-1,0-1 1,10-6 36,15-4-76,-24 11 45,17-6 3,1 1 0,0 1 0,0 0-1,22 0 1,79 1 115,-50 3 57,-40-1-791,27-1 1686,-20 4-3137,-7 2-4041,-1 3-5937,-20-3 12034</inkml:trace>
  <inkml:trace contextRef="#ctx0" brushRef="#br0" timeOffset="825">9 501 19583,'0'0'0,"33"-18"0,-21 17 0,-4 2 0,-2 2 128,-3 2 0,2-2 0,-1-2-128,4-1 0,-2 0 0,5 0 128,2-1-1024,7-2 0,4-2-7935,2 1-513,2-5 9344,1 1 0</inkml:trace>
  <inkml:trace contextRef="#ctx0" brushRef="#br0" timeOffset="1260.12">670 140 16639,'-2'13'130,"2"-10"-51,0 0-1,-1-1 1,1 1-1,-1 0 1,1 0-1,-1 0 1,0-1-1,0 1 1,0 0-1,0-1 1,0 1-1,-1-1 1,1 0-1,-1 1 1,0-1-1,0 0 1,1 0-1,-4 3 1,4-4-54,-1 0 0,1 1 0,0-1 1,-1 0-1,1 1 0,0 0 0,0-1 0,0 1 1,0 0-1,1-1 0,-1 1 0,0 0 0,1 0 1,-1 3-1,-4 31 191,5-29-149,-14 296 466,12-287 2534,1 3-4618,-1 10-10084,1-55 2427,0 1 9208</inkml:trace>
  <inkml:trace contextRef="#ctx0" brushRef="#br0" timeOffset="1745.16">593 192 16511,'2'48'0,"-1"-52"76,1 0-1,0 0 0,0 0 0,0 0 0,0 1 0,1-1 1,-1 1-1,1 0 0,0 0 0,6-6 0,1-1 172,0 1-1,1 0 1,12-8 0,-18 14-213,1 1 1,-1 0-1,0 0 1,1 0 0,-1 0-1,1 1 1,-1 0-1,1 0 1,0 1-1,-1-1 1,1 1 0,0 0-1,0 1 1,-1 0-1,1 0 1,7 2-1,-4-1-11,0 1-1,-1 1 0,1-1 1,-1 1-1,0 1 0,0 0 1,0 0-1,-1 0 0,10 10 0,-15-14 27,0 1 0,0 0 0,-1 1-1,1-1 1,0 0 0,-1 0 0,0 1-1,0-1 1,1 1 0,-1-1 0,-1 1 0,1-1-1,0 1 1,-1 0 0,1-1 0,-1 1-1,0 4 1,0-1-18,-1-1 0,0 0 0,0 0 0,0 1 0,-1-1 1,1 0-1,-1 0 0,-4 7 0,-4 3 74,0 0 1,0 0 0,-1-1-1,-17 16 1,21-23-118,-1 0 1,-1-1-1,1 0 0,-1 0 1,-16 8-1,16-9-110,9-5 121,-1 1 0,1-1 1,-1 1-1,0 0 1,1-1-1,-1 1 0,1 0 1,0 0-1,-1 0 0,1-1 1,0 1-1,-1 0 0,1 0 1,0 0-1,0 0 0,0-1 1,0 1-1,0 0 1,0 0-1,0 0 0,0 0 1,0 0-1,0-1 0,0 1 1,0 0-1,1 0 0,-1 0 1,0 0-1,1-1 1,-1 1-1,0 0 0,1 0 1,0 0-1,18 29-20,4-5-91,1-1-1,50 39 1,-42-37-810,-5-5-1038,-20-16-882,1-1 0,-1 0-1,1 0 1,9 3 0,8 0 262,11 4 4820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41.81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2434 1 20479,'-23'278'384,"18"-162"-116,2-28-66,-61 734 608,39-204-426,40-84 19,-2-65-38,-11-384-285,1 536 331,2-388-283,0-177-64,-2 85 0,-3-141-64,-3 50 64,4 76 0,4-66 21,-3 1 1,-11 102-1,-22 210 320,31-368-405,0 0 0,0 1 0,0-1 0,1 0 0,-1 0 0,1 0 0,3 7 0,-3-10 0,0 0 0,0 0 0,0 0 0,0 0 0,0 0 0,0-1 0,0 1 0,1-1 0,-1 1 0,1-1 0,-1 1 0,1-1 0,0 0 0,-1 1 0,1-1 0,0 0 0,0 0 0,0-1 0,0 1 0,0 0 0,2 0 0,-4-1-28,1 0 0,-1 0 0,1-1-1,-1 1 1,1 0 0,-1 0 0,0-1 0,1 1-1,-1 0 1,0 0 0,1-1 0,-1 1 0,1 0-1,-1-1 1,0 1 0,0 0 0,1-1 0,-1 1-1,0-1 1,0 1 0,0-1 0,1 1 0,-1 0-1,0-1 1,0 1 0,0-1 0,0 1-1,0-1 1,0 1 0,0-1 0,0 0 0,3-21-1619,-2 16 1082,6-31-2699,3-17-9045</inkml:trace>
  <inkml:trace contextRef="#ctx0" brushRef="#br0" timeOffset="1248.74">0 2365 22271,'54'-3'0,"-51"6"4,0 0-1,0 0 1,1 0 0,-1 0-1,7 2 1,11 1 50,1-2 1,0 0 0,0 0-1,0-2 1,43-2 0,4 2 1,238 24 149,139 6 358,188-28 294,296 12-306,219 25 217,-167-39-299,-722 0-352,423 0 112,-3-36 321,-428 18-361,-16 2 134,-175 3-268,4-1 9,-59 12-61,-1-1 0,1 1 0,0 1 0,0-1 0,-1 1 0,1 0 0,-1 0 0,1 1 0,6 2 0,-4-3 15,-1 2 1,0-1-1,0-1 0,1 0 1,-1 0-1,12 0 0,-11-1 7,0 1 0,0-1 0,0 2 0,0-1 0,11 4-1,-4 1 39,-4-2 44,1 0 0,-1 1 0,0 1 0,11 7 0,-18-12-64,0 1 0,0-1 0,1 1 0,-1-1 0,9 1 0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47.400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1 280 18175,'0'0'128,"5"-2"0,12-3-23,-10 2 90,1 0 0,0 0 0,0 1 0,0 0 0,0 1 0,0 0-1,14 0 1,19 4 721,69-3 0,3 0-550,-36 3-153,-1-4 0,136-18 1,65-17-61,-108 16 35,-64 11-170,177 10-1,-259-1-9,-8 1 9,496 1 72,-221-4 245,-203 4-284,198 16 78,-192-6-128,49 2 0,-88-11 0,0 2 0,-1 3 0,57 15 0,-93-17-784,-13-4-195,-1 0 1,1-1-1,0 0 1,0 0-1,7 1 0</inkml:trace>
  <inkml:trace contextRef="#ctx0" brushRef="#br0" timeOffset="959.61">3294 88 20607,'0'0'384,"2"4"-277,15 30 10,-10-22-73,-1 0 0,-1 0 0,0 1 0,0-1 0,-1 1-1,-1 0 1,0 0 0,1 19 0,-2-5-2,-1-13 13,0 0 0,0 0 0,-2 0 0,0 0 0,0-1 0,-6 23 0,7-36-53,0 0 0,0 1 0,0-1 0,0 0 0,0 1 0,0-1 0,0 0 1,0 0-1,0 1 0,0-1 0,0 0 0,0 0 0,-1 1 0,1-1 0,0 0 1,0 0-1,0 0 0,0 1 0,0-1 0,-1 0 0,1 0 0,0 0 0,0 1 0,-1-1 1,1 0-1,0 0 0,0 0 0,0 0 0,-1 0 0,1 0 0,0 1 0,0-1 1,-1 0-1,1 0 0,0 0 0,-1 0 0,1 0 0,0 0 0,0 0 0,-1 0 0,1 0 1,0 0-1,0 0 0,-1 0 0,1-1 0,-9-12 17,-4-27-35,13 38 22,-12-48-76,-4-53 0,-7-32-46,-3 74 394,26 61-275,0 0 0,0-1 0,0 1 0,0 0 0,0 0 0,0 0 0,0 0 0,0 0 0,0-1 0,0 1 1,0 0-1,0 0 0,0 0 0,0 0 0,0 0 0,0-1 0,0 1 0,0 0 0,0 0 0,0 0 0,0 0 0,0 0 0,0-1 1,0 1-1,0 0 0,0 0 0,0 0 0,0 0 0,0 0 0,0 0 0,0-1 0,1 1 0,-1 0 0,0 0 0,0 0 0,0 0 1,0 0-1,0 0 0,0 0 0,1 0 0,-1 0 0,0-1 0,0 1 0,9 2 68,6 7-21,17 16 88,-17-12-61,0-1-1,1-1 1,1 0-1,0-1 1,35 15-1,-26-16-61,2 0-13,0 1-1,-1 1 1,39 23-1,-64-33-1,-1-1 0,0 1 0,0-1 0,1 1 0,-1 0 0,0 0 0,0 0 0,0 0 0,0 0 0,0 0 0,0 0 0,-1 0 0,1 0 0,0 0 0,0 0 0,-1 0 0,1 1 0,-1-1 0,1 0 0,-1 1 0,0-1 0,1 0 0,-1 1 0,0-1 0,0 0 0,0 1 0,0-1 0,0 0 0,0 1 0,0-1 0,0 1 0,-1-1 0,1 0 0,0 1 0,-1-1 0,1 0 0,-1 0 0,0 1 0,1-1 0,-1 0 0,0 0 0,-1 2 0,-4 3 0,-1 1 0,0-1 0,0 0 0,0 0 0,-10 5 0,7-4 0,-21 12 0,0-1 0,-1-1 0,-36 12 0,32-14 0,1 1 0,-43 28 0,-32 37-608,94-67 372,0 1-1,1 0 0,1 2 0,-17 23 0,21-16-1067,4-7-2170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55.042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1 714 17535,'12'-3'0,"16"-6"0,-22 4 182,-7 2 242,-9 0 890,21 8-802,35 15-76,-28-12-283,1 0 1,36 9-1,29-3 247,93 4 0,-60-8-154,-1-2 52,210-14 1,-141-7-197,364-7 329,-343 18-431,0 0 0,-116-1 47,-60 1-20,1 2 0,36 3 0,-47-5 78,3 2 68,-22 1-88,-1 2-192</inkml:trace>
  <inkml:trace contextRef="#ctx0" brushRef="#br0" timeOffset="1016.83">2413 534 20351,'8'26'147,"0"1"-1,-2 0 0,-1 0 1,-1 0-1,-2 1 0,0 43 0,-2 107 473,-2-167-484,-3-19-110,-2-20-36,-12-153-73,9 63 40,8 84 44,3 27 0,-1 1 0,0-1 0,0 1 0,-1-1 0,0 1 0,0 0 0,-1-1 0,1 1 0,-1 0 0,-1 0 0,-4-9 0,1 11 11,5 11 16,4 12 42,-1-13-56,1-1 0,0 0-1,0 0 1,1 0 0,-1-1 0,1 1 0,0-1-1,0 0 1,1 0 0,-1 0 0,10 5 0,5 2 110,39 17 1,-1-1 30,-48-22-116,2 1-14,0 0 1,0 1-1,0 0 0,-1 1 0,0 0 0,0 0 0,-1 1 0,12 15 1,-20-23-24,-1 0 1,1 0-1,-1 0 1,1 0 0,-1 1-1,1-1 1,-1 0-1,0 0 1,1 1 0,-1-1-1,0 0 1,0 1-1,0-1 1,0 0-1,0 1 1,0-1 0,-1 0-1,1 0 1,0 1-1,-1-1 1,1 0 0,0 0-1,-1 1 1,0-1-1,1 0 1,-1 0 0,0 0-1,1 0 1,-1 0-1,0 0 1,0 0-1,0 0 1,0 0 0,0 0-1,0-1 1,0 1-1,0 0 1,-1-1 0,-1 2-1,-7 3 10,1 0-1,-2-1 0,-18 5 1,21-6-10,-16 5-24,1 1 0,-40 21 0,55-26-1,1 1-1,-1-1 1,1 2-1,0-1 1,0 1-1,1 0 1,0 0-1,0 1 1,0 0 0,1 0-1,-7 12 1,12-18-36,-1 0 0,1-1 0,0 1 1,-1 0-1,1 0 0,0 0 0,0 0 1,0-1-1,0 1 0,0 0 0,0 0 1,0 0-1,0 0 0,0 0 0,0 0 1,0-1-1,0 1 0,1 0 0,0 1 1</inkml:trace>
  <inkml:trace contextRef="#ctx0" brushRef="#br0" timeOffset="1928.92">3012 57 18687,'1'18'0,"-1"-9"0,-2-23 0,-6-56 1408,-1 122-405,7 7-775,-1-1-1,-15 72 1,9-84-154,4-19-50,0 0-1,-2 0 1,-1 0-1,-14 30 1,12-43-974,9-14 878,1 0 1,0 0-1,0 0 1,-1 0-1,1 0 1,0 0-1,0 0 1,0 0-1,-1 0 1,1 0-1,0 0 1,0 0-1,-1 0 1,1 0-1,0 0 1,0 0-1,0-1 1,-1 1-1,1 0 1,0 0-1,0 0 1,0 0-1,-1 0 1,1 0-1,0-1 1,0 1-1,0 0 1,0 0-1,-1 0 1,1-1-1,0 1 1,0 0-1,0 0 1,0 0-1,0-1 1,-6-27-4874,5 7-3951</inkml:trace>
  <inkml:trace contextRef="#ctx0" brushRef="#br0" timeOffset="2327.71">2767 11 18687,'22'29'0,"-20"-32"59,0 1-1,0-1 0,0 1 0,1 0 0,-1 0 1,1 0-1,-1 0 0,1 0 0,0 0 0,5-2 0,-2 2-16,0 0 0,0 1 0,0-1 0,0 1 0,0 1 0,0-1 0,0 1-1,0 0 1,7 1 0,55 12 292,-12-2-63,29-4 64,-56-6-702,-1 1-1,55 11 0,-41 6-3450,-7-2-6571</inkml:trace>
  <inkml:trace contextRef="#ctx0" brushRef="#br0" timeOffset="2777.51">2773 540 20479,'36'-9'100,"-29"8"-12,0-1 1,0 0-1,0 0 1,0 0-1,-1-1 1,1 0-1,-1 0 1,11-7-1,-12 6-64,-1 1 0,1 1 0,1-1 0,-1 0 0,0 1 0,0 0 0,1 1 0,-1-1 0,1 1-1,0 0 1,-1 0 0,1 1 0,0-1 0,-1 1 0,11 1 0,3 3-51,0 0-1,0 0 1,23 11 0,-17-7-247,-13-3-423,0-1 1,-1 1-1,0 1 0,-1 0 0,1 1 0,-1 0 0,0 0 0,10 11 1</inkml:trace>
  <inkml:trace contextRef="#ctx0" brushRef="#br0" timeOffset="3295.68">3389 400 19839,'2'28'-13,"5"35"0,-4-44-25,0-1 1,-2 1 0,0 0-1,-4 38 1,3-56-62,0 0 1,0 0-1,0 0 0,-1 0 0,1 0 1,0 0-1,-1 0 0,1 0 1,-1-1-1,1 1 0,-1 0 0,0 0 1,1-1-1,-2 2 0</inkml:trace>
  <inkml:trace contextRef="#ctx0" brushRef="#br0" timeOffset="3857.86">3325 289 14592,'4'-11'94,"-2"7"39,-1 0-1,1 1 0,0-1 0,0 0 0,1 1 0,2-4 0,-4 6-102,0 0 0,0 0-1,0 0 1,0 1 0,0-1 0,0 0-1,0 1 1,0-1 0,0 1-1,0-1 1,0 1 0,1-1-1,-1 1 1,0 0 0,0 0 0,1 0-1,-1 0 1,0 0 0,0 0-1,0 0 1,1 0 0,-1 0-1,0 0 1,0 1 0,3 0 0,7 3 230,0 1 1,17 10-1,20 9 494,-40-21-649,4 1 97,-1 1 0,1 0 0,20 12 1,-29-14-162,0-1 1,0 0 0,0 1 0,0 0-1,-1-1 1,1 1 0,-1 0-1,0 0 1,0 1 0,0-1-1,0 0 1,0 1 0,-1-1 0,1 1-1,-1 0 1,0-1 0,1 6-1,-1-2-7,0 0 0,-1 0-1,0-1 1,0 1 0,-1 0-1,1 0 1,-2-1 0,1 1-1,-1 0 1,0-1-1,0 0 1,0 1 0,-1-1-1,0 0 1,0 0 0,-1 0-1,-6 8 1,3-7-41,0 1 1,-1-1-1,0-1 1,0 1-1,0-1 1,-1-1-1,1 1 0,-2-1 1,1-1-1,-19 7 1,28-11 7,-6 1-43,1 1 1,0 0-1,0 0 1,0 0-1,0 1 1,-5 4-1,9-7 33,1 0 0,-1 1 0,1-1-1,0 1 1,-1-1 0,1 0 0,0 1-1,-1-1 1,1 1 0,0-1 0,0 1-1,-1-1 1,1 1 0,0 0 0,0-1-1,0 1 1,0-1 0,0 1 0,0-1-1,0 1 1,0-1 0,0 1 0,0 0-1,0 0 1,1 1 0,-1-1 0,1 1 0,0-1-1,0 0 1,0 1 0,0-1 0,0 0 0,1 0-1,-1 1 1,0-1 0,0 0 0,3 1 0,10 6 6,-1-1-1,1 0 1,0-1 0,1-1 0,0 0 0,24 4-1,-18-4 5,0 1-1,25 11 0,32 12-412,-24-14-4423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5:15.387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544 1 17663,'0'0'384,"1"3"-256,14 34 186,-13-31-259,1-1 0,0 0 0,-1 1-1,0 0 1,0-1 0,-1 1 0,0 0 0,0 0 0,0 0 0,-1 11 0,-17 114 1094,1-24-506,12-42-219,7 100-1,0 32 10,-38 263 207,30-411-512,-3 1 0,-26 94 0,-13 69 213,40-184-279,2 0-1,1 0 1,1 0-1,2 0 1,1 1 0,1-1-1,1 0 1,8 32 0,-5-20-24,-4-24-21,2 1 0,0-1 0,11 34 0,13 21 122,23 105 0,-46-141-8,-4-31-117,0 1-1,1 0 1,0 0-1,0 0 1,0 0-1,0 0 0,1-1 1,0 1-1,0 0 1,0-1-1,1 0 1,0 0-1,7 9 1,-11-15-245,0 0 1,1-1-1,-1 1 1,1-1-1,-1 1 1,1-1 0,0 1-1,0-1 1,0 1-1,0-1 1,0 1-1,0-1 1,0-2 0,1-2-128,0-49-3781,-1 28-7423</inkml:trace>
  <inkml:trace contextRef="#ctx0" brushRef="#br0" timeOffset="1567.24">10 1977 18559,'34'-4'0,"-78"25"278,46-19-221,-1 0 1,1 0 0,-1 0-1,0 0 1,0 1 0,0-1 0,0 1-1,1 4 1,2 3 41,4 6 63,1 1-1,0-2 0,1 0 1,1 0-1,18 19 0,-3-8 134,51 40 0,-33-27 66,-27-23-155,23 17 0,-35-29-140,1 0 0,-1-1-1,1 0 1,0 0 0,1 0 0,-1-1-1,0 1 1,12 1 0,-17-4-62,-1 0 0,1 0 1,-1 0-1,1 0 0,-1-1 0,0 1 1,1 0-1,-1 0 0,1 0 0,-1-1 1,1 1-1,-1 0 0,0 0 0,1-1 1,-1 1-1,0 0 0,1-1 0,-1 1 1,0-1-1,1 1 0,-1 0 0,0-1 1,0 1-1,1-1 0,-1 1 0,0-1 1,0 1-1,0 0 0,0-1 0,0 1 0,1-1 1,2-20 74,-2 17-38,-1 1-39,0 0-1,0 1 1,0-1-1,0 0 1,-1 1 0,1-1-1,-1 0 1,0 1-1,1-1 1,-1 1-1,-1-1 1,1 1 0,0-1-1,0 1 1,-3-2-1,-29-35-2,11 15-2,-19-27 12,5 9 24,3-1-1,-33-56 1,65 97-23,-1-1 0,1 1 0,0-1 0,-1 0 0,1 0 0,0 1 0,1-1 1,-2-3-1,2 5-9,1 0 1,-1 0 0,0 0 0,0 1 0,1-1 0,-1 0-1,0 0 1,1 0 0,-1 1 0,1-1 0,-1 0 0,1 0-1,-1 1 1,1-1 0,-1 0 0,1 1 0,0-1 0,-1 1-1,1-1 1,0 1 0,0-1 0,-1 1 0,1 0 0,0-1-1,0 1 1,0 0 0,-1-1 0,1 1 0,0 0 0,0 0-1,1 0 1,25-5-2,0 1 0,1 2 0,-1 0 0,29 3 0,-19 0 0,181-4 128,-217 3-126,1 0-1,-1 0 0,0 0 1,1 0-1,-1 0 0,1 1 1,-1-1-1,0 0 0,1 1 1,-1-1-1,0 1 0,0-1 1,1 1-1,-1 0 0,0 0 1,0-1-1,0 1 0,0 0 1,0 0-1,0 0 0,0 0 1,1 1-1,-1 1 5,0-1 0,0 0 0,0 0 0,0 0-1,-1 1 1,1-1 0,-1 0 0,0 1 0,1-1 0,-1 1 0,0 4 0,-2 4 20,0 0 1,0-1 0,-1 1-1,-6 16 1,-42 83 133,34-76-154,-24 62-1,-5 35 229,45-130-234,1 0 0,-1 0 0,1 0 0,0 0 0,-1 1 0,1-1 0,0 0 0,0 0 0,0 0 0,0 0 0,0 0 0,0 0 0,0 1 0,0-1 0,1 0 0,-1 0 0,0 0 0,1 0 0,-1 0 0,0 0 0,1 0 0,0 0 0,-1 0 0,1 0 0,0 0 0,-1 0 0,1 0 0,0-1 0,0 1 0,0 0 0,-1 0 0,1-1 0,0 1 0,0-1 0,0 1 0,0-1 0,0 1 0,0-1 0,0 1 0,1-1 0,-1 0 0,0 0 0,2 1 0,-3-1 0,1 0 1,0-1-1,-1 1 0,1 0 0,-1 0 0,1 0 0,0-1 1,-1 1-1,1 0 0,-1-1 0,1 1 0,-1 0 0,1-1 1,-1 1-1,1-1 0,-1 1 0,0 0 0,1-1 0,-1 1 1,0-1-1,1 1 0,-1-1 0,0 0 0,0 1 0,1-1 1,-1 1-1,0-1 0,0 1 0,0-1 0,0-1 0,5-22-15,-5 20 4,13-68-224,23-70 1,-22 105 63,-10 68 64,-4-12 121,0 1-1,-1-1 0,-1 0 1,0 0-1,-2 0 0,0 0 1,-11 28-1,15-46-9,0-1 0,0 0 0,0 0 0,0 1 0,0-1 0,0 0 0,0 0 0,0 1 0,0-1 0,0 0 0,-1 0 0,1 1 1,0-1-1,0 0 0,0 0 0,0 0 0,0 1 0,-1-1 0,1 0 0,0 0 0,0 0 0,0 0 0,-1 1 0,1-1 0,0 0 0,0 0 0,0 0 0,-1 0 0,1 0 0,0 0 0,0 0 0,-1 0 0,1 0 0,0 0 0,0 0 1,-1 1-1,1-2 0,0 1 0,0 0 0,-1 0 0,1 0 0,0 0 0,0 0 0,-1 0 0,1 0 0,0 0 0,0 0 0,-1 0 0,1 0 0,0-1 0,-12-15 71,-5-26 28,7-10-28,-6-91-1,16 143-74,0 0 0,0-1 0,0 1 0,0 0 0,0-1 0,0 1 0,0 0 0,0-1 0,0 1 0,0 0 0,0-1 0,0 1 0,0 0 0,0 0 0,0-1 0,-1 1 0,1 0 0,0-1 0,0 1 0,0 0 0,-1 0 0,1 0 0,0-1 0,0 1 0,0 0 0,-1 0 0,1 0 0,0-1 0,-1 1 0,1 0 0,0 0 0,0 0 0,-1 0 0,-11 5 0,-13 20 0,20-20 0,-8 10-13,1 0 1,0 0-1,1 1 0,1 0 0,1 1 0,0 1 1,1-1-1,1 1 0,-9 34 0,33-95-5768</inkml:trace>
  <inkml:trace contextRef="#ctx0" brushRef="#br0" timeOffset="2881.9">954 1064 20863,'-7'30'0,"7"-30"1,0 0 0,0 0 0,0 0-1,0 0 1,0 0 0,0 0 0,0 0-1,0 0 1,0 1 0,0-1 0,0 0-1,0 0 1,0 0 0,-1 0 0,1 0-1,0 0 1,0 0 0,0 1 0,0-1-1,0 0 1,0 0 0,0 0 0,0 0-1,0 0 1,0 0 0,0 0 0,0 1-1,1-1 1,-1 0 0,0 0 0,0 0-1,0 0 1,0 0 0,0 0 0,0 0-1,0 1 1,0-1 0,0 0 0,0 0-1,0 0 1,0 0 0,0 0 0,1 0-1,-1 0 1,0 0 0,0 0 0,0 0-1,0 0 1,0 0 0,0 0 0,0 0-1,1 1 1,-1-1 0,0 0 0,0 0-1,0 0 1,0 0 0,0 0 0,0 0-1,0 0 1,1-1 0,-1 1 0,0 0-1,6-7 112,-3-1 16,-4 8-125,1 0 0,0 0 0,0-1 0,-1 1 0,1 0 0,0 0 0,0 0 0,-1 0 0,1 0-1,0 0 1,-1 0 0,1 0 0,0 0 0,-1 0 0,1 0 0,0 0 0,0 0 0,-1 0 0,1 0 0,0 0-1,-1 0 1,1 0 0,0 1 0,0-1 0,-1 0 0,1 0 0,0 0 0,0 0 0,-1 1 0,1-1 0,0 0-1,-1 1 1,-4 3 30,1 0-1,-1 0 0,1 1 1,0 0-1,0 0 0,1 0 1,-1 0-1,1 0 0,0 1 0,1 0 1,-4 10-1,-6 9-14,-3 6 62,2 1 1,2 0-1,1 0 1,1 1 0,2 0-1,1 0 1,2 1-1,-1 36 1,3-24-198,-10 51-1,3-151-5407</inkml:trace>
  <inkml:trace contextRef="#ctx0" brushRef="#br0" timeOffset="3402.13">576 1039 19711,'4'5'-1,"-4"-4"2,0 0-1,0 0 1,1 0 0,-1 0-1,1 0 1,-1 0-1,0-1 1,1 1-1,0 0 1,-1 0 0,1 0-1,-1-1 1,1 1-1,0 0 1,0-1-1,-1 1 1,1-1 0,0 1-1,0-1 1,0 1-1,-1-1 1,1 1 0,0-1-1,0 0 1,0 0-1,0 1 1,0-1-1,0 0 1,0 0 0,0 0-1,0 0 1,0 0-1,0 0 1,0 0-1,0 0 1,0-1 0,0 1-1,1-1 1,20-5 96,1 0 1,0 1 0,0 1 0,0 1 0,0 1-1,29 2 1,5-2-14,4-1-17,131-11-1052,-144 10-3985</inkml:trace>
  <inkml:trace contextRef="#ctx0" brushRef="#br0" timeOffset="3714.11">583 1715 20351,'12'-43'0,"-12"43"7,1-1-1,-1 1 0,1-1 0,-1 1 0,1 0 0,-1-1 0,1 1 0,0 0 1,-1-1-1,1 1 0,-1 0 0,1 0 0,0 0 0,-1 0 0,1-1 0,0 1 1,-1 0-1,1 0 0,0 0 0,-1 0 0,1 0 0,0 1 0,-1-1 0,1 0 1,-1 0-1,1 0 0,0 0 0,-1 1 0,2 0 0,17 0 301,116-41 731,-17 6-1635,-34 11-3044,-29 8-8241</inkml:trace>
  <inkml:trace contextRef="#ctx0" brushRef="#br0" timeOffset="4247.08">1249 1450 21759,'-25'3'0,"26"-3"0,-1 0 0,0 1 0,1-1 0,-1 0 0,0 1 0,1-1 0,-1 0 0,0 1 0,0-1 0,1 0 0,-1 1 0,0-1 0,0 1 0,1-1 0,-1 0 0,0 1 0,0-1 0,0 1 0,0-1 0,0 1 0,0-1 0,0 0 0,0 1 0,0-1 0,0 1 0,0-1 0,0 1 0,0-1 0,0 1 0,0-1 0,0 0 0,0 1 0,-1-1 0,1 1 0,-4 20 0,3-20 0,-3 14-21,1 0 0,-2 24-1,5-34 17,0 0 0,0-1 1,0 1-1,1 0 0,0 0 0,-1-1 0,2 1 0,-1 0 0,1-1 0,-1 1 0,1-1 0,4 7 0,-5-10 7,1 1 1,-1-1-1,0 0 0,1 0 0,-1 0 0,1 1 0,-1-1 1,1-1-1,-1 1 0,1 0 0,0 0 0,-1 0 0,1-1 0,0 1 1,0-1-1,-1 0 0,1 1 0,4-1 0,38-2 66,-20-1-49,-14 3-42,-1-1 0,0 0 0,0-1 0,0 0-1,0 0 1,18-8 0,-7 3-49,-19 6-145,1 1 0,-1-1 0,1 1 0,-1 0-1,1-1 1,-1 1 0,1 0 0,-1 0 0,1 0 0,0 0 0,-1 1 0,1-1 0,-1 0 0,1 0 0,-1 1 0,1-1 0,-1 1 0,1 0 0,-1-1 0,0 1 0,1 0 0,1 1 0</inkml:trace>
  <inkml:trace contextRef="#ctx0" brushRef="#br0" timeOffset="6147.32">449 24 17535,'21'18'-122,"-18"-14"-31,-11-10-62,8 5 203,-1 1 1,1-1-1,-1 1 1,1 0-1,0-1 1,-1 1 0,1-1-1,0 1 1,-1-1-1,1 1 1,0-1-1,0 1 1,-1-1-1,1 1 1,0-1-1,0 0 1,0 1-1,0-1 1,0 1 0,0-1-1,0 0 1,0 1-1,0-1 1,0 1-1,0-1 1,0 1-1,0-1 1,1 1-1,-1-1 1,0 0-1,0 1 1,1-1 0,-1 1-1,0-1 1,0 1-1,1 0 1,-1-1-1,1 1 1,-1-1-1,0 1 1,1-1-1,-1 1 1,1 0-1,-1 0 1,1-1 0,-1 1-1,1 0 1,-1 0-1,1-1 1,0 1-1,-1 0 1,1 0-1,-1 0 1,1 0-1,-1 0 1,1 0-1,0 0 1,-1 0 0,1 0-1,-1 0 1,1 0-1,-1 0 1,1 0-1,0 0 1,-1 1-1,1-1 1,13 10 5,-1 0 1,-1 1-1,15 15 0,23 21 8,164 117-2,-111-85 27,19 14 95,-68-55-43,159 119 204,-178-131-147,0-2 0,2-1 0,58 27 0,-53-29 24,0 2 0,57 41 0,-25-4 416,67 71 0,28 25 320,-150-140-834,8 7 46,41 44 0,114 134 532,-160-177-553,1-1 1,1 0-1,37 25 0,87 50 271,-94-63-191,-37-22-73,0 1-1,-2 0 0,0 1 1,0 1-1,-2 1 0,0 0 1,18 31-1,-20-27-71,-9-17-22,0 0 0,0 0 0,0-1 0,0 1 0,0-1 0,1 1 0,-1-1 0,1 0-1,5 4 1,19 18 86,-23-21-63,-1 0 0,2 0 0,-1 0 0,0 0 0,1-1 0,0 0 0,-1 0 0,1 0-1,0-1 1,1 1 0,-1-1 0,7 1 0,-11-2-15,1 0-1,0 0 0,0-1 1,-1 1-1,1 0 0,-1 0 1,1 0-1,-1 1 1,1-1-1,-1 0 0,0 1 1,1-1-1,-1 0 0,0 1 1,0-1-1,0 1 0,0 0 1,0-1-1,-1 1 0,2 2 1,-1-1 2,0 0 0,1-1 0,-1 1 0,1-1 1,-1 1-1,1-1 0,0 0 0,0 1 0,3 1 0,6 9 102,4 1 32,5 5-37,-19-19-106,0 0 1,0 1-1,0-1 0,0 1 1,0-1-1,-1 1 0,1-1 1,0 1-1,0-1 0,-1 1 1,1 0-1,0 0 0,-1-1 1,1 1-1,0 0 0,-1 0 1,1 0-1,-1 0 0,1-1 1,-1 1-1,0 0 0,1 0 1,-1 0-1,0 0 0,0 0 1,0 0-1,0 0 0,0 0 1,0 0-1,0 0 0,0 2 1,0-2 6,0-1 1,0 1 0,1 0 0,-1-1 0,0 1-1,0-1 1,0 1 0,1 0 0,-1-1 0,0 1 0,1-1-1,-1 1 1,1-1 0,-1 1 0,1-1 0,-1 1-1,1-1 1,-1 1 0,1-1 0,-1 0 0,1 1-1,-1-1 1,1 0 0,0 0 0,-1 1 0,1-1-1,-1 0 1,1 0 0,0 0 0,-1 0 0,1 0 0,0 0-1,-1 0 1,1 0 0,0 0 0,-1 0 0,2 0-1,18 5 148,-10 21-49,-9-24-90,1 1 0,-1-1 0,1 0-1,-1 0 1,1 0 0,0-1 0,0 1 0,0 0 0,0-1 0,0 1 0,0-1 0,0 0-1,1 1 1,-1-1 0,1 0 0,-1-1 0,0 1 0,1 0 0,-1-1 0,1 1 0,0-1-1,-1 0 1,4 0 0,-6 0-118,-1 0 0,1-1 0,0 1 0,-1-1 0,1 1-1,0-1 1,0 1 0,-1-1 0,1 1 0,0-1 0,0 1 0,0-1-1,0 0 1,0 1 0,0-1 0,0 1 0,0-1 0,0 1 0,0-1 0,0 1-1,0-1 1,0 0 0,0 1 0,1-1 0,1-15-826,-2 16 820,3-13-3051</inkml:trace>
  <inkml:trace contextRef="#ctx0" brushRef="#br0" timeOffset="7392.57">3267 1985 16256,'0'0'2303,"-1"5"-2047,-14 67 416,11-49-456,0-1 0,-2-1 0,-9 27 0,5-21 148,-6 29 0,9-32 29,-16 40 1,22-61-356,0 0 1,-1 0-1,1-1 0,-1 1 1,0-1-1,0 1 0,-4 3 0,5-5-33,0-1-1,0 1 1,0 0-1,0-1 1,0 1-1,0 0 1,0-1-1,0 0 1,0 1-1,0-1 1,0 0-1,-1 1 1,1-1-1,0 0 1,0 0-1,0 0 1,-1 0-1,1 0 1,0 0-1,0 0 1,-3-1-1,4 0-4,-1 1 0,1-1 0,-1 0 0,1 0 0,-1 1 0,1-1 0,-1 0 0,1 0 0,-1 1 0,1-1 0,0 0 0,0 0 0,-1 0 0,1 0 0,0 0 0,0 1 0,0-1 0,0 0 0,0 0 0,0 0 0,0 0 0,0 0 0,0 0 0,1-1 0,4-28 0,-4 25 0,7-27 0,2 1 0,25-57 0,0 0 0,-28 70 0,17-29 0,3-10 0,-24 52 0,-2 5 7,0 0-1,0 0 1,-1 1-1,1-1 1,0 1-1,-1-1 0,1 1 1,0-1-1,-1 1 1,1-1-1,-1 1 1,1 0-1,-1-1 0,1 1 1,-1 0-1,1-1 1,-1 1-1,0 0 1,1-1-1,-1 2 1,11 18 135,1 14-47,-9-25-67,-1 0 0,2 0-1,-1-1 1,8 14 0,41 53 11,28 46 72,-53-78 11,35 41 0,-37-51-4,-27-32-105,0 0 0,0 0 0,0 0-1,0 0 1,0-1 0,0 1 0,0-1 0,0 1-1,-3-1 1,-26 4 9,0 1-1,1 1 0,0 2 1,0 0-1,-56 27 0,79-32-21,-11 7-32,0-1 0,-1 0 0,-33 9 0,51-18-8,1 0 1,-1 1-1,0-1 0,0 0 0,1 0 1,-1 0-1,0 0 0,0 0 0,0 0 0,1 0 1,-1 0-1,0-1 0,0 1 0,1 0 0,-1 0 1,0-1-1,0 1 0,1 0 0,-1-1 1,0 1-1,1-1 0,-1 1 0,0-1 0,1 1 1,-1-1-1,1 1 0,-1-1 0,1 1 0,-1-1 1,1 0-1,0 1 0,-1-1 0,1 0 0,0 0 1,-1 1-1,1-1 0,0 0 0,0 0 1,-1 0-1,1-3-459,-1 1 0,1 0 1,0-1-1,0 1 0,0-1 1,0 1-1,1-1 0,0-2 0</inkml:trace>
  <inkml:trace contextRef="#ctx0" brushRef="#br0" timeOffset="8090.63">3736 2548 22143,'10'83'-444,"15"219"-3592</inkml:trace>
  <inkml:trace contextRef="#ctx0" brushRef="#br0" timeOffset="8416.98">3533 2395 23039,'22'45'0,"-22"-46"0,-1 1 0,0-1 0,1 1 0,-1-1 0,1 1 0,-1-1 0,1 1 0,0-1 0,-1 0 0,1 1 0,0-1 0,-1 0 0,1 1 0,0-1 0,0 0 0,0 0 0,-1 1 0,1-1 0,0 0 0,0 0 0,0 1 0,0-1 0,0 0 0,0 1 0,1-1 0,-1 0 0,0 0 0,0 1 0,0-1 0,1 0 0,-1 1 0,0-1 0,1 0 0,-1 1 0,1-1 0,-1 1 0,1-1 0,-1 0 0,1 1 0,-1-1 0,1 1 0,-1 0 0,1-1 0,0 1 0,-1-1 0,1 1 0,0 0 0,-1-1 0,2 1 0,80-14-336,-53 10-189,56-15 0,7-15-5470,-63 22-4415</inkml:trace>
  <inkml:trace contextRef="#ctx0" brushRef="#br0" timeOffset="8692.19">3509 2949 23551,'0'0'0,"24"8"0,-2-2 0,4 5 0,8-2 0,4 1-256,10-2 0,10-5-768,-6-14 128,0 1-14335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5:57.29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522 0 22015,'9'7'-10,"14"8"253,-21-14-123,-13-9-89,7 5 16,4 5-9,5 7 17,13 15 40,8 4-56,-1 1-1,-2 2 1,22 36-1,-19-29-21,107 179 839,-16-24-582,-62-109-179,170 269 450,-206-319-545,2-1 0,1-1 0,1-1 0,54 55 0,-64-74-403,-4-3-1130,1 0-1,16 10 1,-24-17 1182,0-1 0,1 1 1,-1-1-1,1 0 0,0 0 1,-1 0-1,1 0 0,0 0 1,0-1-1,-1 1 0,1-1 1,0 1-1,0-1 0,0 0 1,0 0-1,4-1 0</inkml:trace>
  <inkml:trace contextRef="#ctx0" brushRef="#br0" timeOffset="507.32">1 1037 21759,'31'-33'203,"67"-57"0,0 3 138,-74 62-251,32-32 57,95-76 0,-87 86-113,2 3 0,2 3 0,2 3 0,99-40 1,-66 40 58,88-34-58,-144 52-759,71-26 2209,-77 33-5309,0 4-4740,-20 6 527,2 1 4762,-6 1 3686,36-4 2256</inkml:trace>
  <inkml:trace contextRef="#ctx0" brushRef="#br0" timeOffset="1213.4">2115 897 20863,'-6'0'107,"-21"3"26,1 0 1,0 2-1,-34 10 0,60-15-132,-24 8 23,0 2 0,1 0 0,-37 23-1,53-29-21,1 1 0,1 0 0,-1 0 0,1 0-1,-1 0 1,1 1 0,1 0 0,-1 0-1,1 0 1,0 0 0,1 1 0,0 0 0,0 0-1,0 0 1,1 0 0,0 0 0,-2 9-1,3-11 22,1 0-1,-1 0 0,1 1 0,0-1 0,0 0 0,1 1 0,-1-1 1,1 0-1,1 1 0,-1-1 0,1 0 0,4 9 0,-2-7 22,0 1 0,1-1 0,1 0 0,-1-1 0,1 1 0,0-1 0,9 7 0,-1-3 33,0 0 0,0-1 0,1 0 0,1-1 0,-1-1 0,1-1 0,0 0 0,18 4 0,-7-4 138,-1-1 1,1-1 0,0-1-1,37-1 1,-32-7-22,-3 0-6155,17 17-8986</inkml:trace>
  <inkml:trace contextRef="#ctx0" brushRef="#br0" timeOffset="2127.04">2812 767 22271,'7'3'-49,"-6"-2"96,0 0 0,0-1 0,0 1 0,0 0 1,0-1-1,0 1 0,0-1 0,1 1 0,-1-1 0,0 0 1,0 1-1,1-1 0,-1 0 0,0 0 0,0 0 0,1 0 1,-1 0-1,0 0 0,1 0 0,-1 0 0,0-1 0,0 1 1,1 0-1,-1-1 0,0 1 0,0-1 0,0 1 0,0-1 0,2-1 1,-1 1-41,1-1 1,-1 0 0,1 1 0,0-1-1,0 1 1,-1 0 0,1 0 0,0 0 0,0 0-1,0 1 1,0-1 0,0 1 0,5-1-1,45 3 147,-49-2-139,21 3-12,-1 0 1,1 2 0,-1 1-1,-1 1 1,43 18-1,-25-5 4,0 2 0,45 32 1,-72-45 1317,24 17-1747,1-3-4065,-30-18 2545,1 0 1,-1-1 0,1-1 0,0 1-1,0-1 1,16 2 0,-12-4-2539</inkml:trace>
  <inkml:trace contextRef="#ctx0" brushRef="#br0" timeOffset="2426.92">2675 413 23679,'0'0'0,"24"13"0,-9-10 0,5 1 0,6-1 0,5-1 0,13 7 0,12 1 0,3 1 0,9 0-5632,26 3 1,21 1 5631,-15-3 0,-1 0-8832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6:55.72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48 23621,'5562'-47'0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6:57.03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1 829 20735,'0'0'86,"0"3"-150,0 4 48,0-3 19,0 0-1,0 0 1,0 0 0,1 0 0,1 6 0,-2-9 7,1 1 1,-1-1 0,1 0-1,-1 0 1,1 0 0,-1 0-1,1 0 1,0 0-1,0 0 1,-1-1 0,1 1-1,0 0 1,0 0 0,0 0-1,0-1 1,0 1-1,0-1 1,0 1 0,0-1-1,0 1 1,0-1 0,0 1-1,0-1 1,1 0-1,1 1 1,8 0 82,1-1 1,-1 0-1,1 0 0,-1-1 0,0 0 1,1-1-1,-1-1 0,0 0 0,0 0 1,0-1-1,-1 0 0,1-1 0,-1 0 1,0-1-1,14-10 0,8-10-31,0-1 1,55-62-1,-48 47 30,87-85-4,95-105 58,-176 180-15,57-51 0,-79 82-60,2 1 1,0 1-1,2 1 0,47-24 1,-69 39-31,0 0 1,0 1-1,0 0 1,0 0-1,0 0 1,1 1-1,-1 0 1,0 0-1,1 0 1,-1 0-1,1 1 1,-1 0-1,1 0 1,-1 1-1,1-1 1,-1 1-1,8 2 1,-12-2-34,1 0 1,-1 0 0,0 0 0,1 1 0,-1-1 0,0 0 0,0 0 0,0 1 0,0-1 0,0 1 0,0-1-1,0 1 1,0-1 0,0 1 0,-1-1 0,1 1 0,-1 0 0,1-1 0,-1 1 0,0 0 0,0 0 0,0-1-1,0 1 1,0 0 0,0 2 0,-1 7 47,0 0 0,-5 20 1,5-26-52,-12 58 7,4-12 163,-31 88 1,-114 286-6,126-347-966,3 1-1,-25 141 1,49-215 584,-2 19-4045,2-18 1994,0 0-1,1 0 1,0 0 0,1 1-1,-1-1 1,3 10-1,4 7 327,5 21 4817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6:59.48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2346 185 21887,'-34'19'150,"33"-19"-144,1 0 1,-1 0-1,1 0 0,-1 0 1,1 0-1,-1 1 1,0-1-1,1 0 1,-1 0-1,1 0 0,-1 0 1,1-1-1,-1 1 1,0 0-1,1 0 1,-1 0-1,1 0 0,-1-1 1,1 1-1,-1 0 1,1 0-1,-1-1 1,1 1-1,-1 0 0,1-1 1,-1 1-1,1-1 1,0 1-1,-1 0 1,1-1-1,0 1 0,-1-1 1,1 1-1,0-1 1,-1 0-1,-5-25-7,2 10 5,1 13 6,1 0 0,-1-1 0,0 1 0,1 0 0,-2 1-1,1-1 1,0 0 0,0 1 0,-1 0 0,1 0 0,-1 0-1,0 0 1,0 1 0,0-1 0,0 1 0,0 0 0,0 0 0,0 0-1,0 1 1,0-1 0,0 1 0,0 0 0,0 0 0,0 1-1,-5 0 1,-1 3-10,0 1-1,0 0 0,1 1 1,0 0-1,0 0 0,0 1 1,-13 13-1,7-4 10,0 2 0,-21 31 0,18-18 53,2 1 1,1 1 0,-16 52-1,29-79-56,-15 52 0,3 1 1,-9 83 0,1-11-27,13-87-54,-10 66-1154,11-162-18291,11-17 18730,-1 32-278</inkml:trace>
  <inkml:trace contextRef="#ctx0" brushRef="#br0" timeOffset="299.97">1734 455 20607,'-7'61'91,"7"-56"-75,0-1-1,0 1 1,0-1-1,0 1 1,1-1-1,0 0 1,0 1-1,0-1 1,1 0 0,-1 0-1,5 8 1,-3-10 22,0 1-1,1-1 1,-1 0 0,1 0 0,0 0 0,0 0 0,0-1 0,0 1 0,0-1 0,0 0 0,0 0-1,0-1 1,8 1 0,1 1 29,200 34-4,-119-27-2515,4-1-2199,-66-5-5183</inkml:trace>
  <inkml:trace contextRef="#ctx0" brushRef="#br0" timeOffset="1269.36">3306 165 22911,'-38'28'0,"36"-27"4,1 0 0,-1-1 0,0 1 0,0 0 0,0-1 0,0 1 0,0-1 0,0 0 0,0 0 0,0 0 0,0 0-1,-1 0 1,1 0 0,0 0 0,0-1 0,0 1 0,0-1 0,1 1 0,-1-1 0,0 0 0,0 0 0,0 0 0,0 0 0,-2-2 0,-16-5 25,12 7-22,0 0 0,0 1 0,0 0 0,0 0 0,0 1 0,0 0 0,0 0 0,1 1 0,-1 0 0,0 1 0,1 0 0,-1 0 0,1 0 0,-8 6 0,-12 8 40,0 1 0,-29 26 0,30-23-37,-137 121 118,145-123-109,1 0-1,0 1 0,2 0 0,1 1 1,0 1-1,-15 34 0,25-47-18,1-1 0,0 1 0,0 0 0,1 0 0,0 0 0,1 0 0,0 0 0,1 1 0,0-1 0,0 0 0,1 0 0,0 0 0,0 1 0,1-1 0,0 0 0,1-1 0,0 1 0,1 0 0,-1-1 0,2 0 0,-1 0 0,1 0 0,0 0 0,1-1 0,0 1 0,0-2 0,0 1 0,1-1 0,0 0 0,0 0 0,1-1 0,11 7 0,-2-2 90,1 0-1,0-2 0,35 13 1,-43-18-55,-1-1 0,0 0 1,1-1-1,-1 0 1,1 0-1,-1-1 0,1-1 1,0 1-1,-1-1 1,14-4-1,44-19-12,-55 18-23,0 1-1,0 1 1,0 0 0,0 0 0,1 1 0,-1 1-1,26-2 1,-37 4-23,0 0-1,1 0 1,-1 0-1,1 0 1,-1 0-1,1 1 1,-1-1-1,1 0 1,-1 1-1,0-1 1,1 1-1,-1 0 1,0-1-1,0 1 1,1 0-1,-1 0 1,0 0-1,0 0 1,0 0-1,0 0 1,0 0-1,0 0 1,0 0-1,0 1 1,-1-1-1,1 0 1,0 0-1,0 3 1,0-1-237,-1-1-1,0 1 1,1-1 0,-1 1 0,0-1 0,-1 1 0,1-1 0,0 1 0,-1-1 0,1 0 0,-1 1 0,0-1 0,1 0 0,-1 1 0,-3 3 0</inkml:trace>
  <inkml:trace contextRef="#ctx0" brushRef="#br0" timeOffset="14938.9">1 148 13696,'4'3'-91,"14"2"1124,-17-5-990,-1 0 0,1-1 1,-1 1-1,0 0 0,1-1 0,-1 1 0,1 0 0,-1-1 0,0 1 1,1-1-1,-1 1 0,0 0 0,1-1 0,-1 1 0,0-1 1,0 1-1,0-1 0,1 1 0,-1-1 0,0 1 0,0-1 0,0 1 1,0-1-1,0 1 0,0-1 0,0 1 0,0-1 0,0 1 0,0-1 1,0 1-1,0-1 0,0 1 0,-1-1 0,1 1 0,0-2 1,0-3 69,0 0 0,1-1 0,-1 1 0,1 0 0,1-1 0,-1 1 0,1 0 0,0 0 0,0 0 0,0 0 0,1 1 0,0-1 0,0 0 0,6-7 0,-5 7-102,-2 2-4,1 0 0,0 0-1,0 1 1,0-1 0,0 1 0,0 0-1,0 0 1,0 0 0,1 0-1,-1 1 1,8-3 0,45-10 58,-45 12-62,-5 0 12,-1 1-1,1 0 0,0 0 0,0 1 1,-1 0-1,1 0 0,0 0 0,0 1 0,-1-1 1,1 2-1,0-1 0,-1 0 0,1 1 1,-1 0-1,1 1 0,-1-1 0,0 1 0,0 0 1,0 0-1,-1 0 0,1 1 0,-1 0 1,1 0-1,-1 0 0,0 0 0,4 7 0,-1-1 63,0-1 0,-1 2 0,0-1-1,-1 0 1,0 1 0,-1 0 0,0 0-1,-1 1 1,0-1 0,0 1-1,-1 0 1,-1-1 0,0 1 0,-1 0-1,0 0 1,-1 0 0,-2 14 0,-3 2 57,0 0 1,-2-1 0,-1 0 0,-1-1 0,-1 0 0,-17 28 0,16-36-96,0 0-1,-1 0 1,-1-2 0,-1 0 0,-18 16 0,-29 32 90,-2 22-235,62-85 98,1 1 0,0-1 0,0 1 1,-1 0-1,1-1 0,0 1 1,0 0-1,1 0 0,-2 3 0,2-4 6,0-1 1,0 1-1,0 0 0,0-1 0,0 1 0,0-1 0,0 1 0,0-1 0,0 1 0,0 0 1,0-1-1,0 1 0,1-1 0,-1 1 0,0-1 0,0 1 0,1-1 0,-1 1 0,0-1 1,1 1-1,-1-1 0,0 0 0,1 1 0,2 1 0,0-1 0,0 1-1,0-1 1,0 0 0,0 0 0,0-1-1,0 1 1,0 0 0,0-1 0,0 0 0,3 0-1,6 1 12,0 0-1,0-2 0,0 1 0,0-2 0,0 1 1,0-2-1,-1 1 0,1-2 0,-1 0 0,0 0 1,0-1-1,14-7 0,7-7 1583,-18 10-3961,1 0 0,0 1 0,1 1 0,0 0 0,24-6 0</inkml:trace>
  <inkml:trace contextRef="#ctx0" brushRef="#br0" timeOffset="16370.12">824 379 19455,'0'0'2240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7:25.66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321 103 14208,'0'0'6271,"-5"3"-5887,-8 7-186,-1 1 0,1 1 0,1 0 0,0 0 0,0 1 0,2 1 0,-18 29 0,11-13-55,1 2 0,2 0-1,-12 37 1,21-49-115,-2-1-1,-1 0 1,0-1 0,-1 0 0,-1 0-1,-1-1 1,-1 0 0,0 0 0,-17 16-1,11-14-1819,70-45-19742,-42 22 21949,24-11 865</inkml:trace>
  <inkml:trace contextRef="#ctx0" brushRef="#br0" timeOffset="516.22">466 71 14464,'-27'29'1263,"27"-29"-1233,0 0 0,0 0-1,0 0 1,0 0 0,0 0 0,0 0 0,0 0 0,0 0 0,-1 0 0,7-12 1128,-6 12-1115,0 0 0,0-1 0,0 1 0,0 0 0,1-1 0,-1 1 0,0 0 0,0 0 0,0-1 0,1 1-1,-1 0 1,0 0 0,1-1 0,-1 1 0,0 0 0,0 0 0,1 0 0,-1-1 0,0 1 0,1 0 0,-1 0-1,0 0 1,1 0 0,-1 0 0,1 0 0,0 0 15,-1 1 0,1 0-1,-1-1 1,1 1 0,-1 0 0,1 0-1,-1-1 1,0 1 0,1 0 0,-1 0 0,0-1-1,0 1 1,1 0 0,-1 0 0,0 0-1,0 0 1,0-1 0,0 1 0,0 1-1,1 12 217,1 0 0,1 0 0,0 0-1,1 0 1,7 15 0,0 1-191,-1 0 1,-1 1-1,-2 0 1,-1 0-1,-1 0 0,-2 1 1,-1 0-1,-2 0 1,-1 0-1,-8 51 0,8-60-2625,-2 11-4782,2-32 7023,1-1-1,0 0 1,0 0 0,0 0-1,-1 1 1,1-1 0,-1 0-1,1 0 1,-1 0 0,1 0-1,-1 0 1,0 0 0,1 0-1,-1 0 1,0 0 0,0 0-1,0 0 1,0 0 0,-1 0-1,1 0 190,0-1 0,1 0-1,-1 0 1,0 0 0,0 0-1,0 1 1,1-1 0,-1 0-1,0-1 1,0 1 0,1 0-1,-1 0 1,0 0 0,0 0-1,1-1 1,-1 1-1,0 0 1,0-1 0,1 1-1,-1 0 1,0-1 0,1 1-1,-1-1 1,1 1 0,-1-1-1,1 1 1,-1-1 0,1 0-1,-2 0 1,-9-9-1232</inkml:trace>
  <inkml:trace contextRef="#ctx0" brushRef="#br0" timeOffset="1091.57">217 63 19583,'36'27'0,"-31"-35"462,8-17 757,-12 23-1171,0 1 0,0 0 1,0-1-1,0 1 0,0 0 0,0 0 1,1 0-1,-1 0 0,0 0 1,1 0-1,-1 0 0,0 0 1,1 0-1,-1 1 0,4-2 1,56-9 837,80-13-364,-118 22-362,1 0 1,-1 2 0,1 1-1,-1 0 1,26 6 0,-14 2-3783,-2 4-4045</inkml:trace>
  <inkml:trace contextRef="#ctx0" brushRef="#br0" timeOffset="2237.53">133 8 16384,'29'3'2965,"-30"-3"-2929,0 0 1,1 0 0,-1 0-1,1 0 1,-1 0 0,0 1-1,1-1 1,-1 0 0,1 0-1,-1 1 1,1-1 0,-1 0-1,1 1 1,-1-1 0,1 0-1,-1 1 1,1-1 0,-1 1-1,1-1 1,0 1 0,-1-1-1,1 1 1,0-1 0,-1 1-1,1-1 1,0 1 0,0-1-1,-1 1 1,1 0 0,0-1-1,0 1 1,0-1 0,0 1-1,0 0 1,0-1 0,0 1-1,0-1 1,0 1 0,0 0-1,6 29 1223,-5-22-1083,0-7-142,-1 1 1,1-1-1,0 1 1,0 0-1,0-1 1,-1 0-1,1 1 1,0-1-1,1 1 1,-1-1-1,0 0 1,0 0-1,1 0 0,-1 0 1,0 0-1,1 0 1,-1 0-1,1 0 1,-1 0-1,1-1 1,0 1-1,-1-1 1,1 1-1,0-1 1,-1 0-1,1 1 1,0-1-1,-1 0 0,1 0 1,0 0-1,2-1 1,5 1-208,-1-1 0,0 0-1,1 0 1,-1-1 0,10-4 0,25-11-9386,0-2 4645,-21 9 4753,1-1-4959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7:32.68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406 199 22015,'0'0'768,"3"4"-661,166 303 320,95 115 1041,-181-299-888,217 267-374,-222-294-50,35 59 91,-22-26-110,-80-116-1190,0 0 0,0-1-1,2 0 1,-1-1 0,2 0-1,-1-1 1,16 8 0</inkml:trace>
  <inkml:trace contextRef="#ctx0" brushRef="#br0" timeOffset="440.9">1 1830 23807,'53'-21'0,"-59"17"-51,4 3 44,1 1 1,-1-1 0,1 1-1,-1-1 1,1 0 0,0 0-1,0 0 1,-1 1-1,1-1 1,0 0 0,-1-2-1,0-1 7,1 1 0,0-1 0,0 0 0,0 0 0,1 0 0,-1 0 0,1 0 0,0 0 0,0 0 0,1 0 0,-1 0 0,1 1 0,1-6 0,17-52 0,-6 32 6,2 0 0,0 0 0,33-44 0,69-72 64,-79 99-36,274-302 1050,15 16-171,-295 300-883,206-190 295,-88 84-53,-69 67 350,7 6-3635,-63 48 1502,1 2 1,0 1-1,1 1 0,1 1 0,31-9 1,-18 9-368,-4 2-6996</inkml:trace>
  <inkml:trace contextRef="#ctx0" brushRef="#br0" timeOffset="1123.95">2133 1476 23551,'0'0'128,"-1"5"-21,-12 193 42,3-139 2,-27 89-1,3-13 40,32-128-180,1-1 0,0 0 0,1 1 0,-1-1 0,1 0 0,1 1 0,-1-1 1,2 7-1,-1-11-8,-1 0-1,1 0 1,-1 0 0,1-1 0,0 1 0,0 0 0,0 0 0,0-1 0,0 1 0,1-1 0,-1 1 0,0-1 0,1 1 0,-1-1 0,1 0 0,-1 0 0,1 0 0,0 0 0,-1 0 0,1 0 0,0 0 0,0 0 0,0-1 0,0 1-1,0-1 1,-1 1 0,1-1 0,0 0 0,3 1 0,30-1 23,0-2 0,-1-1 0,44-9 0,3 0 3,-63 10-25,427-42-432,-320 43-7763</inkml:trace>
  <inkml:trace contextRef="#ctx0" brushRef="#br0" timeOffset="1526.77">3229 1427 23807,'-17'8'19,"17"-8"-19,-1 0 1,1 0 0,0 0 0,0 0 0,0 1-1,0-1 1,0 0 0,0 0 0,0 0 0,0 0-1,0 0 1,0 0 0,0 1 0,0-1 0,1 0-1,-1 0 1,0 0 0,0 0 0,0 0 0,0 0-1,0 0 1,0 1 0,0-1 0,0 0 0,0 0-1,0 0 1,0 0 0,0 0 0,1 0 0,-1 0-1,0 0 1,0 0 0,0 0 0,0 0 0,0 0-1,0 1 1,0-1 0,1 0 0,-1 0 0,0 0-1,0 0 1,0 0 0,0 0 0,0 0 0,0 0-1,0 0 1,1 0 0,-1 0 0,0 0 0,0 0-1,0-1 1,0 1 0,0 0 0,0 0 0,0 0-1,1 0 1,-1 0 0,0 0 0,39-1 130,-20 0-72,21 2 505,-1 2 0,61 11 0,-18-1-2962,0-7-9781,-50-9 1129,-27-6 11050</inkml:trace>
  <inkml:trace contextRef="#ctx0" brushRef="#br0" timeOffset="1809.01">3007 948 25599,'28'5'0,"17"4"128,-40-9 0,-20-3 0,11 4 0,4 2 128,12 5 0,9 3-256,7 1 128,7 0-128,3 7 0,4 4-1152,7-1 128,5 1-10879,21 2-641,14 0 12544,74 24 3456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8:04.21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0 334 17791,'0'0'6,"0"1"-1,0-1 0,0 1 0,0-1 0,0 1 0,0-1 0,0 1 0,0-1 0,0 1 0,1-1 0,-1 1 0,0-1 0,0 0 0,0 1 0,1-1 0,-1 1 0,0-1 0,0 0 0,1 1 1,-1-1-1,0 1 0,1-1 0,-1 0 0,0 0 0,1 1 0,-1-1 0,1 0 0,-1 0 0,0 1 0,1-1 0,-1 0 0,1 0 0,1 0 9,-1 0 0,0 0 0,1 0 0,-1 0 0,0-1 0,1 1-1,-1-1 1,0 1 0,0-1 0,0 1 0,1-1 0,0-1 0,40-31 264,-31 23-242,7-5 48,0 2-1,1 0 1,1 1 0,26-11 0,-37 18-59,1 1 1,0 1-1,0-1 1,0 2-1,1-1 1,-1 1-1,1 1 1,-1 0-1,1 1 1,0 0 0,14 2-1,-19-1 22,0 1 1,0 0-1,0 0 0,-1 1 0,1 0 1,-1 0-1,0 0 0,0 1 1,0-1-1,0 1 0,0 1 0,-1-1 1,0 0-1,0 1 0,0 0 1,0 0-1,-1 0 0,0 1 0,0-1 1,0 1-1,3 11 0,0 2 43,0 1 0,-1 0-1,-1 0 1,-1 1 0,1 26 0,-2-12 27,-2 0 0,-2 0 1,-1 0-1,-1-1 0,-2 1 1,-2-1-1,-1 0 0,-1-1 1,-21 46-1,-16 8 47,-3-2-1,-76 96 1,115-168-75,8-10-87,0 0 0,1 0-1,-1 1 1,1 0 0,-4 6 0,6-9 1,-1 0 1,1 0-1,0 0 1,0 0-1,-1 0 1,1 0-1,0 0 1,0 0-1,0 0 1,0 0 0,0 0-1,1-1 1,-1 1-1,0 0 1,0 0-1,1 0 1,-1 0-1,0 0 1,1 0-1,-1 0 1,1-1 0,-1 1-1,1 0 1,-1 0-1,1 0 1,0-1-1,-1 1 1,1 0-1,0-1 1,0 1-1,0 0 1,7 4-438,-1 0 0,1-1 1,16 8-1,-12-8 1074,1 0-1,-1 0 1,1-1 0,14 1 0,56 0 142,-27-5-6812,3-1-10836,-34 2 15010,-3 0 1856</inkml:trace>
  <inkml:trace contextRef="#ctx0" brushRef="#br0" timeOffset="536.02">1172 879 19839,'-14'4'27,"-16"7"470,32-10-443,0 0 0,1-1 0,-1 0 1,1 1-1,-1-1 0,0 0 0,1 0 0,-1 0 0,1-1 0,-1 1 1,3-1-1,-1 0 35,-1 1 0,0 0 0,1 0 0,-1 0 0,1 1 0,-1-1 0,4 2 1,-6-2-81,0 0 1,-1 1 0,1-1 0,-1 1 0,1-1 0,0 1 0,-1-1 0,1 1-1,-1-1 1,1 1 0,-1-1 0,0 1 0,1 0 0,-1-1 0,0 1-1,1 0 1,-1-1 0,0 1 0,0 0 0,1 0 0,-1-1 0,0 1 0,0 0-1,0 0 1,0-1 0,0 1 0,0 0 0,0 0 0,0-1 0,-1 1 0,1 0-1,0 0 1,0-1 0,0 1 0,-1 0 0,1-1 0,-1 2 0,-56 129 428,31-78-343,23-45-127,-30 64-389,-54 86-1,86-156 588,-10 16-1101,4-8-2309,2 0-1,-1 1 1,-4 12 0,4 2 1439,5-14-2227</inkml:trace>
  <inkml:trace contextRef="#ctx0" brushRef="#br0" timeOffset="889.74">1426 816 19455,'10'26'180,"-7"-19"-43,0 0 0,-1 0 1,0 1-1,0-1 0,1 10 0,-1 5-69,1 0 1,1 0-1,0-1 0,2 1 0,1-1 1,0 0-1,2-1 0,0 0 0,15 23 1,-10-19 214,34 42 0,-9-27-1020,-33-35-24,0 0 0,1 0 0,-1 0 1,0-1-1,9 4 0,7-3-2866,-17-4 3302,1 0 0,-1-1-1,0 0 1,1 0 0,-1 0-1,0-1 1,7-2 0,11-5-6523</inkml:trace>
  <inkml:trace contextRef="#ctx0" brushRef="#br0" timeOffset="1249.4">1027 462 22399,'53'10'0,"0"-1"0,-51-10 2,-4 0-2,-12-3-4,-24-4 28,33 8 100,13 3-49,15 4-18,135 33 479,-34-6-1371,-37-19-3474,-19-9 556,94 0 1149,-92-4-5396</inkml:trace>
  <inkml:trace contextRef="#ctx0" brushRef="#br0" timeOffset="2596.63">2859 288 20991,'-2'-13'21,"-14"-84"598,13 87-527,0 0-1,0-1 1,-1 1-1,-1 1 0,0-1 1,-12-17-1,12 20-40,0 0-1,0 0 0,-1 1 0,0-1 1,-1 1-1,-10-7 0,14 11-35,-1 0 1,1 1-1,0-1 0,0 1 0,-1 0 0,1 0 0,-1 0 1,1 0-1,-1 1 0,0 0 0,1-1 0,-1 1 0,1 1 1,-1-1-1,1 0 0,-1 1 0,0 0 0,-3 1 0,-3 1-11,1 1 0,-1 1 0,1-1-1,0 1 1,1 1 0,-1 0 0,1 0-1,1 0 1,-1 1 0,1 0 0,0 1-1,0 0 1,1 0 0,0 0 0,1 1 0,-9 18-1,1 1 10,2 1 0,0 0 0,3 0-1,-8 43 1,-18 224 83,22-149-64,-25 211-32,33-313-666,-14 70-1,15-101 227,-1 0 1,-1 0-1,0 0 0,-1-1 1,0 0-1,-1 0 0,0 0 0,-18 21 1</inkml:trace>
  <inkml:trace contextRef="#ctx0" brushRef="#br0" timeOffset="2917.12">2057 933 20223,'11'8'60,"0"1"0,-1 0 0,0 0 0,12 16 0,-17-20 24,3 3-4,1-1 0,1 0 0,0 0 0,-1-1-1,2-1 1,-1 0 0,16 6 0,-13-5-57,5 1 893,29 8 0,22-2-5429,-25-9-4461,58-2 0,-29-3 11534</inkml:trace>
  <inkml:trace contextRef="#ctx0" brushRef="#br0" timeOffset="3778.85">3341 0 21375,'-31'21'0,"31"-21"0,0 0-1,0 0 0,0 0 1,0 0-1,0 0 0,0 0 1,0 0-1,0 0 0,0 0 0,1 0 1,-1-1-1,0 1 0,0 0 1,0 0-1,0 0 0,0 0 1,0 0-1,0 0 0,0 0 1,0 0-1,0 0 0,0 0 1,0 0-1,0 0 0,0 0 0,0 0 1,0-1-1,0 1 0,0 0 1,0 0-1,0 0 0,0 0 1,0 0-1,-1 0 0,1 0 1,0 0-1,0 0 0,0 0 1,0 0-1,0 0 0,0 0 0,0 0 1,0 0-1,0 0 0,0 0 1,0 0-1,0-1 0,0 1 1,0 0-1,0 0 0,0 0 1,0 0-1,0 0 0,-1 0 1,1 0-1,0 0 0,6-8 100,1 4 65,-6 4-157,-1 1 0,0-1 0,0 1 0,1-1 0,-1 1 0,0-1 0,1 0 0,-1 1 0,0-1 0,0 1 0,0-1 0,0 1 0,0-1 0,1 1 0,-1-1 0,0 1 0,0-1 0,0 1 0,0-1-1,0 1 1,0 0 0,-1 0 0,-2 25 84,-1-1-1,-1 1 1,-14 39-1,10-36-68,-76 312 362,82-323-353,-84 561 898,78-400-715,6-163-171,0 0 1,0 0 0,-2-1 0,-7 19 0,3-8-29,23-36 28,1 0 0,19-10-1,-16 12-42,1 0 0,0 2 0,0 1 0,1 0 0,20-2 0,104-4 0,-63 6 0,159-4 128,-200 11-708,-37-2 205,0 1-1,0-1 1,-1 1-1,1 0 1,0 0-1,-1 0 1,1 0-1,0 0 1,-1 1-1,0-1 1,1 1 0,1 1-1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8:22.65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369 299 20991,'5'-4'107,"6"-4"-90,0 0 0,1 1-1,0 0 1,0 1 0,1 0-1,0 1 1,0 1 0,0 0 0,0 0-1,1 1 1,17-1 0,26-1 255,82 3 0,-86 3-228,661 7 874,-227 15-668,-3 31-95,-125-17 272,478-11-1,274-63-195,-646 19-184,372-34 59,304-4 22,-613 56 112,-50 2 32,3-3 396,-226 2-440,120-4-78,-261 0 10,160-23 0,-268 25-224,0 0 0,0 0 1,0 0-1,-1-1 0,1 0 1,0 0-1,5-4 0,-9 5 12,-1 0-1,0 0 0,1 0 0,-1 0 1,0 0-1,0-1 0,0 1 1,0 0-1,0-1 0,0 1 0,0-1 1,0 1-1,0-1 0,-1 0 1,1 1-1,-1-1 0,1 1 0,-1-1 1,0 0-1,0 0 0,0 1 1,0-1-1,0 0 0,0 1 0,0-1 1,0 0-1,-1 0 0,1 1 1,-1-3-1,-13-42-3339,-3-23-10794</inkml:trace>
  <inkml:trace contextRef="#ctx0" brushRef="#br0" timeOffset="1339.83">1 638 17279,'21'-7'22,"1"2"-1,-1 0 0,1 2 1,0 1-1,31-1 0,9 3-69,22-1 626,1 4 0,102 16 0,91 36 524,213 31 121,-39-57-1143,-108-10 53,737 56 635,-519-64-669,-313-8-70,686-32 326,-501 7-219,200-10 208,-311 14-27,560-31 195,-419 0-299,-4-27 194,17-2-152,-281 47-233,-18 2-12,200-6 1,-278 32 117,98-16 0,-190 18-473,34-8-165,-41 9 307,1-1 1,0 1-1,-1-1 0,1 0 1,-1 1-1,0-1 1,1 0-1,-1 0 0,0 0 1,1 0-1,-1 0 1,0 0-1,0 0 0,0-1 1,0 1-1,0 0 1,0 0-1,0-1 1,0 1-1,-1-1 0,2-1 1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8:25.1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74 1 18559,'177'18'278,"-59"-3"-174,128 33 0,-143-26-78,314 69 360,460 82 935,-387-96-455,23 3-345,-332-54-413,522 70 157,1-26-41,-515-57-184,848 52 325,-273-41 139,-328-14-261,713-1-94,-1133-10-139,1392-48 215,-556-20 74,-544 53-127,46-6 40,-160-9-170,-184 30-106,-7 1 34,0 0 0,0 0 1,0-1-1,-1 1 0,1-1 0,0 1 0,0-1 0,-1 0 0,1 0 1,-1 0-1,1 0 0,-1-1 0,1 1 0,-1-1 0,0 1 0,0-1 0,1 0 1,-1 0-1,2-2 0,2-21-3362,11-10-10922</inkml:trace>
  <inkml:trace contextRef="#ctx0" brushRef="#br0" timeOffset="1321.62">1 450 21119,'218'-5'49,"50"1"52,-153 5 89,498 32 25,32 38 638,3-34 359,553 51-653,235 41-463,-478-52 363,-251 6-225,215 47 150,77-34-87,2-86 68,-398-49-131,-247-22-200,-81 11 167,-218 42-172,290-40 326,-328 46-359,77-5 173,-83 6-194,1 2 1,-1 0-1,1 0 1,25 7 0,-31-4-573,-13-1 336,-18 0-1807,17-2 343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4:03.05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 1 23121,'2665'62'0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4:04.239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1067 789 15616,'0'0'-256,"0"-3"21,-9-74 1003,9 77-724,0 0 1,0-1-1,0 1 1,0-1 0,0 1-1,0 0 1,0-1-1,0 1 1,-1-1-1,1 1 1,0 0-1,0-1 1,0 1-1,-1 0 1,1-1 0,0 1-1,0 0 1,-1-1-1,1 1 1,0 0-1,-1-1 1,1 1-1,0 0 1,-1 0-1,1 0 1,0-1 0,-1 1-1,1 0 1,-1 0-1,1 0 1,0 0-1,-1 0 1,1 0-1,-1 0 1,1 0-1,0 0 1,-1 0 0,1 0-1,-1 0 1,1 0-1,0 0 1,-1 0-1,1 0 1,-1 0-1,1 0 1,0 1-1,-1-1 1,1 0-1,0 0 1,-1 0 0,1 1-1,0-1 1,-1 0-1,1 1 1,-1-1-1,0 1-3,1-1 0,-1 1 1,0-1-1,0 1 0,0 0 0,1-1 0,-1 1 0,0 0 0,1 0 0,-1 0 0,1-1 0,-1 1 0,1 0 0,-1 0 1,1 0-1,0 0 0,-1 0 0,1 0 0,0 0 0,0 0 0,0 0 0,-1 0 0,1 0 0,0 0 0,1 1 0,0 4 107,0 1 0,0 0 0,-1-1-1,0 1 1,0 0 0,0 0-1,-1-1 1,-1 10 0,0-9-71,1 0 1,0 0-1,1 0 1,0 0-1,0 0 1,0 0-1,1 0 1,2 9-1,-1-7 22,-1 0 1,0 0-1,0 0 0,-1 1 1,0-1-1,0 0 0,-1 0 0,-3 13 1,2-11-7,1 0-1,0-1 1,0 1 0,1 0 0,2 17 0,3-10 102,-4-13-113,1 0-1,-1 0 1,0 0 0,-1 0 0,1 1 0,-1 8 0,6-35-82,-1-1 1,-1 1 0,-1-1 0,-1 0 0,-1-38 0,-17-112-28,15 167 28,1 0-3,0 1 0,-1 0 1,0 0-1,1 0 0,-1 0 1,-1 0-1,1 0 0,-1 0 1,0 0-1,1 0 0,-2 0 1,-3-4-1,27 46-105,-15-29 107,0 0 0,1-1 0,0 1 0,0-1 0,1 0 0,0-1 0,0 0 0,1 0 0,0-1 0,19 10 0,-17-10 0,0 0 0,0 1 0,-1 0 0,0 1 0,0 0 0,9 10 0,-18-17 0,-1 0 0,1-1 0,0 1 0,-1 0 0,1 0 0,-1 0 0,1 0 0,-1 0 0,1 0 0,-1 0 0,0 0 0,1 0 0,-1 0 0,0 0 0,0 0 0,0 0 0,0 0 0,0 0 0,0 0 0,0 0 0,0 0 0,0 0 0,0 0 0,-1 0 0,1 0 0,0 0 0,-1 1 0,-19 28 0,6-10 0,11-15 2,-1 5 35,0-1-1,-1 0 1,-1 0 0,1-1-1,-1 1 1,-1-1 0,0 0-1,0-1 1,0 0 0,-16 12 0,13-12-20,-1-1 0,0 0 0,0-1 0,-18 6 0,29-10-41,0-1 0,-1 0 0,1 0 0,-1 0 0,1 0 0,0 0 0,-1 0-1,1 1 1,0-1 0,-1 0 0,1 0 0,0 0 0,-1 1 0,1-1 0,0 0 0,0 1 0,-1-1 0,1 0 0,0 1 0,0-1 0,0 0 0,-1 1 0,1-1-1,0 0 1,0 1 0,0-1 0,0 0 0,0 1 0,0-1 0,0 1 0,0-1 0,0 0 0,0 1 0,0-1 0,0 0 0,0 1 0,0-1 0,0 1 0,0-1-1,0 0 1,0 1 0,0-1 0,1 0 0,-1 1 0,0-1 0,0 0 0,0 1 0,1-1 0,-1 0 0,0 1 0,0-1 0,1 0 0,-1 1 0,18 17-3952</inkml:trace>
  <inkml:trace contextRef="#ctx0" brushRef="#br0" timeOffset="1386.15">128 26 20351,'6'4'22,"10"9"-68,-16-12 58,1-1 1,0 1-1,-1-1 0,0 1 0,1-1 0,-1 1 0,1 0 1,-1-1-1,0 1 0,1 0 0,-1-1 0,0 1 1,0 0-1,1-1 0,-1 1 0,0 0 0,0-1 0,0 1 1,0 0-1,0 0 0,0-1 0,0 2 0,-2 4 59,1 0 0,1-1-1,-1 1 1,1 0-1,0 9 1,0 7 17,-29 250 680,22-213-606,5-35-101,-2 0 0,0 0 0,-9 26 0,3-18 23,-10 24 66,20-55-155,0 0-1,0-1 0,0 1 0,-1 0 1,1-1-1,0 1 0,-1-1 0,1 1 1,-1 0-1,1-1 0,0 1 0,-1-1 1,1 1-1,-1-1 0,1 1 1,-1-1-1,0 0 0,1 1 0,-1-1 1,1 0-1,-1 1 0,0-1 0,1 0 1,-1 0-1,0 1 0,1-1 0,-1 0 1,0 0-1,1 0 0,-1 0 0,0 0 1,1 0-1,-1 0 0,0 0 1,1 0-1,-1-1 0,0 1 0,1 0 1,-1 0-1,0 0 0,1-1 0,-1 1 1,0 0-1,1-1 0,-1 1 0,1-1 1,-1 1-1,1-1 0,-1 1 1,1-1-1,-1 1 0,0-2 0,-2-1-69,0-1-1,0 0 1,1 0 0,-1 1-1,1-2 1,-3-6-1,2 3-132,0 0-1,1-1 1,1 1 0,-1-1-1,1 0 1,1 1-1,0-11 1,9-61-1626,-5 62 1502,-1-1 0,-2 0-1,0 0 1,-1-23 0,-1 23 208,1 0 0,0 1 0,2-1 1,0 1-1,7-26 0,-6 31 99,-1-3 77,0 0-1,0 0 1,-2 0 0,0 0 0,-1 0 0,-3-19 0,4 33-12,1 0 1,-1 1-1,1-1 1,-1 0 0,1 1-1,0-1 1,0 0 0,0 1-1,0-1 1,0 1 0,0-1-1,0 1 1,0 0 0,0-1-1,1 1 1,-1 0-1,1 0 1,-1 0 0,1 0-1,1-1 1,35-19 1047,-15 9-474,-20 10-559,0 0 0,0 0 0,1 1 0,-1-1 0,0 1 0,1-1 1,-1 1-1,1 0 0,0 0 0,-1 1 0,1-1 0,0 1 0,-1 0 0,1-1 0,0 2 0,0-1 0,-1 0 0,1 1 0,0 0 0,4 1 0,-1 1 10,0 0 1,0 0-1,0 1 0,0-1 0,-1 2 0,9 6 0,-12-8-28,1 1-1,-1-1 1,0 1 0,0 0-1,-1 0 1,1 0 0,-1 1 0,0-1-1,0 0 1,-1 1 0,3 6-1,0 5 49,-1 0-1,-1 0 1,0 1-1,-1-1 1,-1 20-1,-1-25-14,0 0-1,-1 0 0,0 0 1,0 0-1,-1-1 0,-1 1 0,0-1 1,-8 17-1,10-25-63,1 1 0,0-1 0,-1 1 0,0-1 0,0 0 0,0 0 0,0 0 0,0 0 0,0 0 0,0 0 0,-1-1 1,1 1-1,-1 0 0,-3 0 0,4-1-3,0 0 1,-1-1-1,1 0 0,-1 0 1,1 1-1,-1-1 1,1-1-1,-1 1 1,1 0-1,0-1 1,-1 1-1,1-1 1,-1 0-1,1 0 0,0 0 1,-4-2-1,31 42-3,46 25 18,66 65-745,-108-99-501,-3 2-1,42 61 1,-27-28-10633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4:12.52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375 0 17919,'-29'313'1746,"10"-94"-825,10-96-591,-8 60 108,-9 128 187,15-119-354,-10 180 134,17-301-202,6 87 0,-2-121-104,-1 1 1,-6 38 0,-2 20 198,9-94-292,0-1 1,0 1-1,0-1 0,0 1 1,1 0-1,-1-1 0,0 1 1,1-1-1,-1 1 0,1-1 0,-1 0 1,1 1-1,0-1 0,0 0 1,-1 1-1,1-1 0,0 0 1,0 0-1,0 1 0,0-1 1,1 0-1,-1 0 0,0 0 1,0-1-1,1 1 0,1 1 1,-4-2 78,0 2-64,1-1-85,1 0 0,-1 0 1,1 0-1,0 0 0,0 0 0,-1 0 0,1 0 0,0 0 0,0-1 0,0 1 0,0 0 1,0-1-1,0 1 0,0-1 0,0 1 0,0-1 0,2 1 0,-3-1-130,3 2-608,0-1 198,-1 1-1,0-1 0,1 0 1,-1 0-1,1 0 1,0 0-1,-1 0 1,1-1-1,4 1 1</inkml:trace>
  <inkml:trace contextRef="#ctx0" brushRef="#br0" timeOffset="892.95">0 1841 20863,'6'3'0,"-4"-2"0,-1 0 0,1-1 0,-1 1 0,0 0 0,1 0 0,-1 0 0,1 0 0,-1 0 0,0 0 0,0 1 0,0-1 0,0 0 0,0 1 0,0-1 0,0 1 0,0-1 0,0 1 0,-1-1 0,1 1 0,-1-1 0,1 1 0,-1 0 0,0-1 0,1 1 0,-1 0 0,0-1 0,0 3 0,1 10 17,0 1 0,1-1 0,0 0-1,2 0 1,-1 0 0,9 19 0,43 82 190,-19-43-126,21 68 260,-56-138-339,0 0 0,0 0 1,1-1-1,-1 1 0,0 0 0,1 0 1,-1-1-1,1 1 0,0-1 0,0 1 0,2 1 1,-4-3-3,1 0-1,-1 1 1,1-1 0,-1 0 0,1 1 0,-1-1 0,1 0 0,-1 0 0,1 1 0,-1-1-1,1 0 1,0 0 0,-1 0 0,1 0 0,-1 0 0,1 0 0,-1 0 0,1 0 0,0 0-1,-1 0 1,1 0 0,-1 0 0,1-1 0,-1 1 0,1 0 0,-1 0 0,1-1 0,-1 1 0,1 0-1,-1-1 1,1 1 0,-1 0 0,1-1 0,-1 1 0,1 0 0,-1-1 0,0 1 0,1-1-1,-1 1 1,0-1 0,0 1 0,1-1 0,-1 1 0,0-1 0,0 1 0,0-1 0,1 0-1,-1 0 1,1-9-27,1 0 0,-2 0 0,1-1 0,-1 1 0,-1 0 0,0 0 0,0 0 0,-1 0 0,-6-18 0,-2-19-87,6 24 85,-1 0-1,-1 0 1,-1 0-1,-2 1 1,0 0-1,-1 1 1,-1 0-1,-1 1 1,0 0-1,-2 0 0,0 2 1,-31-31-1,32 36 30,2 2 0,0 0 0,-15-21 0,26 32 1,0 0-1,0 0 0,0 0 0,-1 0 1,1 0-1,0 0 0,0-1 0,0 1 0,0 0 1,0 0-1,0 0 0,0 0 0,0 0 1,0-1-1,0 1 0,0 0 0,0 0 1,0 0-1,0 0 0,0 0 0,0-1 0,0 1 1,0 0-1,1 0 0,-1 0 0,0 0 1,0 0-1,0 0 0,0 0 0,0-1 1,0 1-1,0 0 0,0 0 0,0 0 0,1 0 1,-1 0-1,0 0 0,0 0 0,0 0 1,0 0-1,0 0 0,0-1 0,1 1 1,-1 0-1,0 0 0,11-2 27,11 1 42,-1 4 36,-1 0 0,1 1 0,-1 1 0,30 11 0,77 39 565,-124-54-651,-1 0 1,1 0-1,0 1 1,-1-1 0,1 1-1,-1 0 1,1 0-1,-1-1 1,0 1 0,0 1-1,0-1 1,0 0-1,0 0 1,0 1 0,-1-1-1,1 1 1,-1 0 0,0-1-1,0 1 1,0 0-1,0 0 1,0 0 0,0 0-1,-1 0 1,1 0-1,-1 0 1,0 0 0,0-1-1,0 1 1,0 0-1,-1 0 1,1 0 0,-1 0-1,0 0 1,0 0-1,-1 4 1,-40 67 201,28-51-118,-17 36 0,16-32 34,13-24-238,0 0 1,-1 0-1,1 1 1,1-1-1,-1 1 0,1-1 1,-1 1-1,1 0 1,0 0-1,0-1 1,0 1-1,1 0 0,0 0 1,-1 0-1,2 6 1,6 16-3164,1 14-9173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4:20.272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159 18 18815,'25'8'0,"-28"-9"127,-3 1 899,6 12-259,2-4-706,1 0 0,0 0 1,1 0-1,-1 0 0,1-1 0,1 1 0,7 10 0,6 3 134,21 20-1,-26-28-92,0 0 0,-1 1 0,0 0-1,13 23 1,-1 14 101,-2 1 0,21 80 0,-29-87-129,-2-9 288,13 73 1,-25-109-382,0 0 1,0 0-1,0 0 1,0 0 0,0-1-1,0 1 1,0 0-1,1 0 1,-1 0-1,0 0 1,0 0-1,0 0 1,0 0-1,0 0 1,0 0-1,0 0 1,1 0-1,-1 0 1,0 0-1,0 0 1,0 0-1,0 0 1,0 0-1,1 0 1,-1 0-1,0 0 1,0 0-1,0 0 1,0 0-1,0 0 1,0 0-1,1 0 1,-1 0-1,0 0 1,0 0-1,0 0 1,0 0-1,0 0 1,0 0-1,0 0 1,1 1-1,-1-1 1,0 0-1,0 0 1,0 0-1,4-13-943,1-26-3412</inkml:trace>
  <inkml:trace contextRef="#ctx0" brushRef="#br0" timeOffset="519.52">1 579 19967,'9'-7'35,"-6"5"-12,-1 0 0,1 0 0,0 0-1,-1 0 1,1 0 0,-1 0 0,0-1 0,0 1-1,0-1 1,0 0 0,0 0 0,0 1 0,-1-1-1,0 0 1,1 0 0,-1 0 0,0-1-1,0 1 1,0-3 0,-1-1 9,1 0-1,0 0 1,1 0 0,0 1-1,0-1 1,0 1 0,1-1-1,0 1 1,0 0 0,0 0-1,1 0 1,0 0 0,0 1-1,0-1 1,8-6 0,10-8 167,0 0 0,33-21 0,-37 28-108,43-35 328,-1-2 1,63-69-1,-105 100-317,1 0-1,1 2 0,29-20 1,-48 36-92,-1 1 1,1-1 0,1 0 0,-1 1 0,0-1 0,0 1-1,0-1 1,0 1 0,0-1 0,0 1 0,1 0 0,-1-1-1,2 1 1,-2 0-10,-1 0-1,0 1 1,0-1-1,1 0 0,-1 0 1,0 0-1,0 1 1,0-1-1,0 0 1,1 0-1,-1 1 1,0-1-1,0 0 0,0 0 1,0 1-1,0-1 1,0 0-1,0 1 1,0-1-1,1 0 0,-1 0 1,0 1-1,0-1 1,0 0-1,-1 1 1,1-1-1,0 0 0,0 0 1,0 1-1,0-1 1,0 0-1,0 0 1,0 1-1,-15 32-874,14-31 664,-28 61-4504,6-7-6955</inkml:trace>
  <inkml:trace contextRef="#ctx0" brushRef="#br0" timeOffset="1802.64">896 618 19199,'-22'8'0,"22"-8"1,0 0-1,0 1 0,0-1 0,0 0 0,0 0 0,0 0 0,0 0 1,0 0-1,-1 0 0,1 0 0,0 0 0,0 0 0,0 0 1,0 0-1,0 0 0,0 0 0,0 0 0,0 0 0,-1 0 0,1 0 1,0 0-1,0 0 0,0 0 0,0 0 0,0 0 0,0-1 0,0 1 1,0 0-1,0 0 0,0 0 0,-1 0 0,1 0 0,0 0 1,0 0-1,0 0 0,0 0 0,0 0 0,0 0 0,0 0 0,0-1 1,0 1-1,0 0 0,0 0 0,0 0 0,0 0 0,0 0 0,0 0 1,0 0-1,0 0 0,0 0 0,0-1 0,1-7 402,1-6 431,-2 13-822,0 1 0,0 0 0,0-1 0,0 1 0,-1 0 0,1-1 1,0 1-1,0 0 0,-1-1 0,1 1 0,0 0 0,-1 0 0,1-1 0,0 1 0,0 0 0,-1 0 0,1 0 1,-1-1-1,1 1 0,0 0 0,-1 0 0,1 0 0,0 0 0,-1 0 0,1 0 0,-1 0 0,1 0 0,0 0 1,-1 0-1,1 0 0,0 0 0,-1 0 0,1 0 0,-1 0 0,1 0 0,0 0 0,-1 1 0,-19 2 109,1 1 0,0 1 0,-21 8 0,34-11-90,0 1 0,0 0-1,1 0 1,-1 0 0,1 0 0,0 1-1,0 0 1,0 0 0,1 0-1,-1 1 1,1 0 0,0 0 0,-7 10-1,11-13-29,-1 1 0,0-1 0,1 1 0,-1-1 0,1 1 0,0-1 0,0 1 0,0-1 0,0 1 0,0-1 0,0 1 0,1-1 0,-1 0 0,1 1 0,0-1 0,0 1 0,0-1 0,0 0 0,0 0 0,0 1 0,0-1 0,1 0 0,2 3 0,5 6 0,0-1 0,19 18 0,-26-26 0,2 1 16,1 1 0,-1 0 0,1-1 0,-1 0 0,1 0 0,0 0 0,0-1 0,0 1 0,7 1 0,-8-3 0,0-1 0,0 1 0,0-1 0,0 0 0,0 0 0,0 0 0,0-1 0,0 1 0,0-1 0,0 0 0,0 0 0,0-1 0,6-2 0,0-3 414,-3 3-384,-1 13-458,-4-6 19,-1 0-1,0 1 1,-1-1-1,1 0 1,-1 1 0,1-1-1,-1 0 1,0 7-1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5:43.691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86 316 17663,'3'-2'128,"92"-83"875,-78 70-775,1 1-1,1 0 1,21-10 0,20-16 162,-56 36-390,-3 0 22,0 3 84,10-19 150,22-18-256,-26 31 0,0 0 0,0 0 0,-1-1 0,0 0 0,5-10 0,-21 59-5,10-34 21,-1 0 0,0-1 0,-1 0 0,0 1 0,0-1 0,-4 10 0,-4 5 58,1 1 1,1 0-1,1 0 1,1 1-1,1 0 0,-2 27 1,-7 27 215,6-44-163,4-21-131,1 0 0,1 0 0,0 1-1,0 13 1,9-48-2588,-3 11 86</inkml:trace>
  <inkml:trace contextRef="#ctx0" brushRef="#br0" timeOffset="736.63">1 660 18815,'0'0'640,"3"-1"-512,363-13 1792,-252 23-1695,-2-1-66,-19-3-31,-93-5-162,0 0-1,0 0 1,0 0-1,1 0 0,-1 0 1,0 0-1,0 0 0,1 0 1,-1 0-1,0 0 1,0 0-1,1 0 0,-1 1 1,0-1-1,0 0 1,0 0-1,1 0 0,-1 0 1,0 0-1,0 0 1,0 1-1,1-1 0,-1 0 1,0 0-1,0 0 1,0 0-1,0 1 0,0-1 1,1 0-1,-1 0 1,0 0-1,0 1 0,0-1 1,0 0-1,0 0 1,0 1-1,0-1 0,0 0 1,0 0-1,0 0 1,0 1-1,0-1 0,0 0 1,0 0-1,0 1 1,0-1-1,0 0 0,0 0 1,0 1-1,0-1 1,0 0-1,-1 0 0,1 0 1,0 1-1,0-1 0,0 0 1,0 0-1,0 0 1,-1 1-1,-8 10-3499</inkml:trace>
  <inkml:trace contextRef="#ctx0" brushRef="#br0" timeOffset="2750">302 749 17535,'0'0'768,"-1"4"-640,-1 8-39,0 0 0,1 0 0,0 0 0,1 0 0,0 0 0,3 19 0,1 34 334,-18 56 602,9-80-536,5-40-467,0 0-1,0 0 1,0 0-1,-1 0 0,1 0 1,0 0-1,0 0 1,-1 0-1,1 0 1,0 0-1,-1 0 0,1 0 1,-1 0-1,1 0 1,-2 1-1,1-2-108,0 0 1,1 0-1,-1 0 0,0 0 1,0 0-1,0 0 0,0 0 1,1-1-1,-1 1 0,0 0 1,0 0-1,0-1 0,1 1 1,-1 0-1,0-1 0,-1 0 1,2-3-943,1 0 790,1 1-1,-1 0 1,1-1-1,-1 1 1,1 0 0,0 0-1,4-5 1,-4 6 552,-1 1 1,0-1 0,0 0-1,0 1 1,0-1 0,0 0-1,0 0 1,0 0 0,-1 0-1,1 1 1,-1-1 0,1 0-1,-1-3 1,4-29-268,-2-4 80,7-42-1,1-13 29,-10 91-141,1-1 0,-1 0 0,0 0 0,1 1-1,-1-1 1,1 0 0,0 1 0,0-1 0,1-3-1,-1 5-5,0 0 0,0 0 0,0 0-1,0 0 1,0 0 0,0 0-1,1 0 1,-1 0 0,0 0 0,0 1-1,1-1 1,-1 0 0,1 1 0,-1-1-1,0 1 1,1 0 0,-1-1 0,3 1-1,11-3 3,-6 1 19,-1 1 0,1 0 0,0 0 0,12 1 0,-18 1-21,1-1 0,-1 1 1,1 0-1,-1 0 0,1 0 0,-1 0 0,0 1 0,0 0 0,0-1 1,0 1-1,0 0 0,0 1 0,0-1 0,3 4 0,-2-2-7,0 1 0,-1 0 0,1-1 0,-1 2 0,-1-1 0,1 0 0,-1 0 0,3 7 0,-3-6 0,-2-5 0,0 1 0,0 0 0,-1-1 0,1 1 0,0-1 0,-1 1 0,1 0 0,-1-1 0,1 1 0,-1-1 0,0 1 0,0-1 0,0 0 0,0 1 0,0-1 0,0 0 0,0 0 0,0 1 0,0-1 0,-2 1 0,-11 17 0,-6 16-256,20-35 226,0 0 5,0 1 0,0-1 0,0 0 0,0 1 0,0-1 0,-1 0 0,1 1 0,0-1 0,0 0 0,0 0 0,-1 1 0,1-1 0,0 0 0,0 0 0,-1 1 0,1-1 0,0 0 0,0 0 0,-1 0 0,1 1 0,0-1 0,-1 0 0,1 0 0,0 0 0,-1 0 0,1 0 0,0 0 0,-1 0 0,1 0 0,0 0 0,-1 0 0,1 0 0,0 0 0,-1 0 0,1 0 0,0 0 0,-1 0 0,1 0 0,0 0 0,-1 0 0,1-1 0,0 1 0,-1 0 0,-2 0-18,1 3-42,-2-1 63,1-5 22,0-2 0,0 0 0,-1 1 0,3 7 0,4 8 0,-3-10 0,0 0 0,1-1 0,-1 1 0,0-1 0,1 1 0,-1-1 0,1 1 0,-1-1 0,1 0 0,0 1 0,-1-1 0,1 0 0,-1 1 0,1-1 0,-1 0 0,1 1 0,0-1 0,-1 0 0,1 0 0,0 0 0,-1 0 0,1 0 0,0 0 0,-1 0 0,1 0 0,0 0 0,-1 0 0,1 0 0,0 0 0,-1 0 0,1 0 0,0-1 0,0 1 0,3-1 0,1 3 0,0 1 0,0-1 0,0 1 0,0 0 0,-1 0 0,1 0 0,-1 1 0,0 0 0,0 0 0,6 7 0,1 1 41,-2 0 123,1-1 0,1-1 0,0 1 0,0-2 0,22 15-1,-18-13-25,-14-11-121,-1 1 0,0-1 0,1 0-1,-1 1 1,0-1 0,1 1 0,-1-1 0,0 0 0,1 1 0,-1-1 0,0 1 0,0-1 0,0 1-1,1-1 1,-1 1 0,0-1 0,0 1 0,0-1 0,0 1 0,0-1 0,0 1 0,0-1-1,0 1 1,0-1 0,0 1 0,0-1 0,0 1 0,0-1 0,-1 1 0,1 0 0,-1 0 153,15 0-1193</inkml:trace>
  <inkml:trace contextRef="#ctx0" brushRef="#br0" timeOffset="3500.16">884 709 19327,'13'-8'38,"26"-13"21,-37 20-46,-1 1 0,1-1 0,-1 1 0,1-1 0,0 1 1,-1-1-1,1 1 0,-1 0 0,1 0 0,0 0 0,-1 0 0,1 0 0,0 1 0,-1-1 0,1 0 0,-1 1 0,1-1 0,-1 1 0,1-1 0,-1 1 0,3 1 0,10 10 52,-12-10-99,0 0 0,0 0 0,1 0 0,-1 0 0,1 0 0,-1 0 0,1-1 0,-1 0 1,1 1-1,0-1 0,0 0 0,0 0 0,0 0 0,0-1 0,0 1 0,5 0 0,17 2-4851</inkml:trace>
  <inkml:trace contextRef="#ctx0" brushRef="#br0" timeOffset="3813.33">910 662 15232,'18'13'0,"-28"-22"0,6 5-50,-4-2 172,1-1 0,-1-1 1,-7-8-1,14 15-74,0-1 1,1 1-1,-1 0 1,0 0-1,0-1 1,1 1-1,-1-1 1,1 1-1,-1 0 0,1-1 1,0 1-1,-1-1 1,1-1-1,0 2-15,0 1-1,0-1 1,1 0-1,-1 0 0,0 1 1,1-1-1,-1 0 1,0 1-1,1-1 1,-1 1-1,1-1 1,-1 0-1,1 1 1,-1-1-1,1 1 1,-1-1-1,1 1 1,-1-1-1,1 1 0,0 0 1,-1-1-1,1 1 1,0 0-1,-1 0 1,1-1-1,0 1 1,1 0-1,1-1 23,1 1 1,-1 0-1,1 0 1,-1 0-1,0 0 0,1 0 1,-1 1-1,0 0 0,1-1 1,-1 1-1,4 2 0,21 4 198,9-7-90,7 1-840,-16 5-3139</inkml:trace>
  <inkml:trace contextRef="#ctx0" brushRef="#br0" timeOffset="5033.59">1491 566 14848,'-1'0'7,"1"0"0,-1 0 0,1 0 0,-1 0 0,0 0 0,0 0 0,1 0-1,-1 0 1,0 0 0,1 0 0,-1 0 0,0 0 0,1 0 0,-1 0 0,0-1 0,1 1 0,-1 0 0,1 0 0,-1-1 0,0 1 0,1 0 0,-1-1 0,1 1 0,-1-1 0,0 0 0,4-14 388,-2 13-354,0 0 0,0 0-1,-1 0 1,1-1 0,-1 1-1,1 0 1,-1 0 0,0 0-1,0-1 1,0-1 0,0 3 38,-1 0 0,1 0 1,-1 0-1,1 0 0,-1 0 1,0 0-1,1 1 0,-1-1 1,0 0-1,0 1 1,0-1-1,1 0 0,-1 1 1,0-1-1,0 1 0,0-1 1,0 1-1,0 0 0,0-1 1,0 1-1,0 0 1,0 0-1,0-1 0,0 1 1,0 0-1,0 0 0,0 0 1,0 0-1,0 1 0,-1-1 1,-35 5 653,35-5-705,-10 3 10,-1 0 0,0 1 1,1 0-1,0 1 0,0 1 1,0 0-1,0 0 0,1 1 0,0 1 1,-18 16-1,22-17-18,0 0 1,1 0-1,0 1 0,0 0 1,1 0-1,0 0 0,1 1 1,-1 0-1,1 0 0,1 0 1,0 0-1,0 0 0,1 1 1,0-1-1,0 16 0,1-21-20,0 15 0,3 38 0,-1-51 0,-1-1 0,1 0 0,1 0 0,-1 0 0,1 0 0,0 0 0,0 0 0,0 0 0,1 0 0,0-1 0,-1 1 0,5 3 0,-1-2 0,-1 0 0,1-1 0,1 1 0,-1-1 0,1-1 0,13 8 0,-18-11 0,1 0 0,0 0 0,-1 0 0,1 0 0,0 0 0,0 0 0,-1-1 0,1 1 0,0-1 0,0 0 0,0 0 0,0 0 0,0 0 0,-1 0 0,1-1 0,0 1 0,0-1 0,0 0 0,-1 1 0,1-2 0,0 1 0,4-2 0,3-5 0,-6 6 0,-1 0 0,0 0 0,0 0 0,0 0 0,0 0 0,-1-1 0,1 0 0,-1 1 0,1-1 0,-1 0 0,0 0 0,0 0 0,0-1 0,-1 1 0,1 0 0,1-5 0,8-16-7,-9 20 2,0 0 0,0-1 0,0 1 0,-1 0-1,1-1 1,-1 1 0,1-7 0,-2 9 2,0 1 1,0 0 0,-1-1-1,1 1 1,0 0-1,-1 0 1,1 0-1,-1-1 1,1 1 0,-1 0-1,0 0 1,1 0-1,-1 0 1,0 0 0,0 0-1,0 0 1,0 0-1,0 0 1,0 1 0,0-1-1,0 0 1,0 1-1,0-1 1,0 0 0,0 1-1,0-1 1,-1 1-1,1 0 1,0-1 0,0 1-1,-1 0 1,-1 0-1,1-1-131,1 1 1,-1-1-1,1 1 0,-1 0 0,0-1 0,1 1 0,-1 0 0,1 0 0,-1 0 0,0 0 0,1 0 0,-1 1 1,1-1-1,-1 0 0,0 1 0,1-1 0,-1 1 0,1 0 0,0-1 0,-1 1 0,1 0 0,-1 0 0,1 0 1,-2 2-1,2-2-111,1 0 0,-1 1 1,1-1-1,0 0 1,-1 1-1,1-1 0,0 1 1,0-1-1,0 0 0,0 1 1,0-1-1,0 1 1,1-1-1,-1 0 0,0 1 1,1-1-1,-1 0 1,1 1-1,-1-1 0,1 0 1,-1 0-1,1 1 0,0-1 1,0 0-1,0 0 1,0 0-1,1 2 0</inkml:trace>
  <inkml:trace contextRef="#ctx0" brushRef="#br0" timeOffset="5292.12">1464 807 15360,'0'0'0,"-12"35"-512,6-9 384,1 1-128,3 4 128,2 0-256,7 2 128,3 1-1152,8-1 0,6-1 512,-1-17 0,0 2-5248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7:28.887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1366 125 19967,'12'0'9,"-11"-1"-3,1 1-1,-1 0 0,0 0 0,0 0 0,1 0 0,-1 0 0,0 0 1,1 0-1,-1 1 0,0-1 0,0 0 0,2 2 0,-2-2-2,-1 1 0,0 0 0,0 0 0,0 0 0,1-1 0,-1 1 0,0 0 0,0 0 0,0 0 0,-1-1 0,1 1 0,0 0-1,0 0 1,0 0 0,0-1 0,-1 1 0,1 0 0,0 0 0,-1-1 0,1 1 0,-1 0 0,1-1 0,-1 1 0,0 0 0,-2 5 66,1 0 0,0 0 0,0-1 0,0 1 0,1 0 0,0 1 0,0-1 1,0 10-1,5 53 372,0-21-246,-4 36 168,-12 84 0,-22 82 153,33-242-499,-12 76 145,-38 335 593,21 47 120,29-445-825,1 0-1,4 34 1,-4-55-58,0 0 0,0 0 0,0-1 0,0 1 0,0 0 0,0 0 0,0 0 0,-1 0 0,1 0 0,0 0 0,0 0 0,0 0 0,0 0 0,0 0 0,0 0 0,0 0 0,0 0 0,0 0 0,0 0-1,0 0 1,0 0 0,0 0 0,-1 1 0,1-1 0,0 0 0,0 0 0,0 0 0,0 0 0,0 0 0,0 0 0,0 0 0,0 0 0,0 0 0,0 0 0,0 0 0,0 0 0,0 0 0,0 0 0,0 0 0,0 0 0,0 0 0,0 0 0,0 1 0,0-1 0,0 0-1,0 0 1,0 0 0,0 0 0,0 0 0,0 0 0,0 0 0,0 0 0,0 0 0,0 0 0,0 0 0,0 0 0,0 0 0,0 1 0,0-1 0,0 0 0,0 0 0,0 0 0,0 0 0,0 0 0,0 0 0,0 0 0,-6-7-1219,-5-15-954,4-7-849,0-3-8937</inkml:trace>
  <inkml:trace contextRef="#ctx0" brushRef="#br0" timeOffset="1036.58">1427 0 19967,'0'0'1280,"-4"5"-1152,-26 37 207,2 2 0,-39 79 0,46-82-188,0 2 4,7-14-45,-18 28 0,26-49-58,0 1 0,0-1 0,-1 0 0,0-1 0,-1 0 0,1 0 0,-12 8 0,22-15-30,1 0 0,-1 0 0,1 0 0,-1 1 0,1-1 0,-1 1 0,1 0 0,4 2 0,37 12-31,-29-8 13,0-1 0,-1 2 0,0 0 0,-1 1 0,0 0 0,16 14 0,92 79 0,-121-101 0,0-1 0,-1 1 0,1 0 0,0-1 0,0 1 0,0 0 0,0-1 0,-1 1 0,1-1 0,0 1 0,0-1 0,0 0 0,0 1 0,0-1 0,0 0 0,0 0 0,0 0 0,0 0 0,0 0 0,0 0 0,0 0 0,2 0 0,-2 0 0,-1-1 0,1 0 0,0 1 0,0-1 0,-1 1 0,1-1 0,0 0 0,-1 0 0,1 1 0,-1-1 0,1 0 0,-1 0 0,1 0 0,-1 0 0,1 0 0,-1 1 0,0-1 0,1-2 0,0-6 0,0-1 0,0 1 0,-1-17 0,-1 20 0,-1-30 110,-3 1-1,-9-40 0,3 19 75,7 36-128,-3-15 159,1 0 1,2-1-1,1-46 1,3 70-448,0 1 0,-1-1 1,0 0-1,-1 0 1,0 0-1,-8-20 0,9 30-227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7:59.343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1664 2282 18559,'35'-3'0,"-26"1"-2,-11-1-1,-10-1 392,19 14 145,-2-5-428,0-1 1,1 1 0,-1-2-1,1 1 1,0 0 0,1 0-1,-1-1 1,1 0 0,-1 0-1,1-1 1,0 0 0,0 0-1,13 1 1,112 9 618,0-6 1,137-12-1,-100 10-576,-43 1 1,-41-7 10,1-5 0,-2-2 0,88-23 0,-120 23-13,1 2 0,73-2 0,107 13 456,-56 0-389,87-3 64,-258-1-246,1 1 1,-1 0 0,1 1 0,-1 0-1,1 0 1,-1 0 0,0 1 0,0-1 0,0 1-1,0 0 1,8 7 0,20 10 64,-31-19-118,0-1-256</inkml:trace>
  <inkml:trace contextRef="#ctx0" brushRef="#br0" timeOffset="1155.84">4102 2176 20479,'0'0'384,"3"3"-277,1 2-78,0 0 0,0 0 0,0 0-1,-1 0 1,0 0 0,0 1 0,-1-1 0,1 1 0,-1-1 0,0 1-1,-1 0 1,1 0 0,0 7 0,-2-5 35,1 0 0,-2 0 0,1 1 0,-1-2 1,0 1-1,-1 0 0,0 0 0,0 0 0,-7 14 0,2-3 107,5-15 93,4-19-80,-1-21-78,-3-53 0,-1 13 66,2 62-150,1 10-3,-1 1-1,1-1 1,0 0 0,0 1-1,1-1 1,-1 0-1,1-3 1,0 7-16,-1-1 1,1 1-1,-1-1 1,1 1-1,-1-1 1,1 1-1,-1 0 1,1-1-1,-1 1 1,1 0-1,-1 0 1,1-1-1,-1 1 1,1 0-1,0 0 1,-1 0-1,1 0 1,-1-1-1,1 1 1,0 0-1,-1 0 1,1 0-1,0 0 1,-1 1 0,1-1-1,-1 0 1,1 0-1,0 0 1,-1 0-1,1 1 1,-1-1-1,2 1 1,19 9-14,-9-2 33,1-1-1,0-1 1,0 0-1,1-1 1,27 6-1,-2 1 121,-33-10-96,1 1 1,0-1-1,-1 2 1,0-1 0,1 0-1,-1 1 1,0 0-1,-1 1 1,1-1 0,-1 1-1,0 0 1,5 6-1,-9-10-44,-1 1 0,1-1 0,-1 0 0,0 1 0,0-1 0,0 0-1,0 1 1,0-1 0,0 0 0,0 1 0,0-1 0,0 0 0,-1 1 0,1-1 0,-2 3-1,-9 24 68,7-19-58,1-4-2,-1 1-1,0-1 1,0 1 0,0-1-1,-1 0 1,0 0-1,0 0 1,0-1 0,0 0-1,-8 5 1,-16 13 12,16-10-46,3-3 71,1-1 0,-14 19 0,20-23-117,0 1 1,0 0 0,1 0 0,0 0-1,0 0 1,0 0 0,0 0 0,1 1 0,-1 9-1,1 35-3350,7-18-2951</inkml:trace>
  <inkml:trace contextRef="#ctx0" brushRef="#br0" timeOffset="1950.38">4245 2843 21887,'-2'-18'51,"2"18"-49,0 0 0,0 0 0,0 0 0,0 0-1,0-1 1,0 1 0,0 0 0,0 0 0,0 0 0,0 0 0,0 0 0,0 0-1,1 0 1,-1 0 0,0 0 0,0 0 0,0 0 0,0 0 0,0 0 0,0 0-1,0 0 1,0 0 0,0 0 0,0 0 0,1 0 0,-1 0 0,0 0 0,0 0-1,0 0 1,0 0 0,0 0 0,0 0 0,0 0 0,0 0 0,0 0 0,1 0 0,-1 0-1,0 0 1,0 0 0,0 0 0,0 0 0,0 0 0,0 0 0,0 0 0,0 1-1,0-1 1,0 0 0,0 0 0,0 0 0,0 0 0,0 0 0,1 0 0,-1 0-1,0 0 1,0 0 0,0 0 0,0 1 0,0-1 0,0 0 0,0 0 0,7 11 195,-7-8-179,1-1 0,-1 1 1,1 0-1,-1-1 0,0 1 0,0 0 1,-1 0-1,1-1 0,0 1 0,-1 0 1,0 0-1,1-1 0,-1 1 0,-2 4 1,-1 2 6,-32 136 73,20-75-30,-31 83 0,37-122-79,7-23-26,0 2 0,-1-1 0,0 1-1,0-1 1,-6 10 0,9-19-3,1 0 0,0 0 0,0 0 0,0 1 0,-1-1 0,1 0 0,0 0 0,0 0 0,0 0 0,-1 0 0,1 0 0,0 1 0,0-1 0,-1 0 0,1 0 0,0 0 0,0 0 0,-1 0 0,1 0 0,0 0 0,0 0 0,-1 0 0,1 0 0,0 0 0,0 0 0,0 0 0,-1 0 0,1-1 0,0 1 0,0 0 0,-1 0 0,1 0 0,0 0 0,0 0 0,0 0 0,-1-1 0,1 1 0,0 0 0,0 0 0,0 0 0,0-1 0,-1 1 0,1 0 0,0 0 0,0 0 0,0-1 0,0 1 0,0 0 0,0 0 0,0-1 0,0 1 0,-1 0 0,1 0 0,0 0 0,0-1 0,0 1 0,0 0 0,0 0 0,0-1 0,1 1 0,-1-1 0,-5-16-1491,4-2-53,0 0-1,1 1 0,6-37 1,-6 51 1224,4-29-7512</inkml:trace>
  <inkml:trace contextRef="#ctx0" brushRef="#br0" timeOffset="2471.06">4149 2974 12672,'9'-31'218,"-6"19"-2,1 0-1,-1 0 0,2 0 1,0 1-1,0 0 0,1 0 1,8-11-1,-12 19-124,2-2 265,0 1 0,0-1 1,0 1-1,0-1 0,1 1 1,8-6-1,-11 9-267,0 1 1,0-1 0,0 0-1,0 1 1,0-1 0,0 1-1,0 0 1,0 0-1,0-1 1,0 1 0,0 1-1,0-1 1,0 0 0,0 0-1,0 1 1,0-1-1,0 1 1,0 0 0,0-1-1,0 1 1,0 0 0,-1 0-1,4 2 1,1 1 41,1 0 1,-1 1-1,0-1 1,0 1 0,-1-1-1,1 2 1,-1-1-1,0 1 1,-1 0-1,1 0 1,-1 1-1,-1-1 1,1 1-1,-1 0 1,4 12 0,-5-12-95,-1 0 0,0 0 0,-1 0 0,1 0 0,-1-1 0,-1 1 1,1 0-1,-1-1 0,0 1 0,-1 0 0,0 0 0,0-1 0,0 1 0,-1-1 1,0 0-1,0 1 0,-6 6 0,4-6 10,0-1-1,0 0 1,-1 0-1,0 0 1,0-1-1,0 0 1,-1 0-1,1 0 1,-1-1-1,-10 3 1,17-6-41,-1 0 0,1 0 0,0 0 0,0 0 0,-1 0 0,1 0 0,0 0 0,0 0 0,0 0-1,0 0 1,1 0 0,-1 0 0,0 0 0,0 0 0,1 0 0,-1 0 0,0 0 0,1 0 0,-1 0 0,1 0 0,-1-1 0,1 1 0,-1 0 0,1 0 0,0 0 0,19 29 116,105 126-285,-2-3-314</inkml:trace>
  <inkml:trace contextRef="#ctx0" brushRef="#br0" timeOffset="4999.26">1326 79 19711,'0'0'768,"0"6"-661,12 412 405,-13 203 27,1-71 245,-1-493-709,0 1 197,11 114-1,-10-170-270,1 1 17,0 1 0,-1 0 1,0 0-1,0 0 0,0 0 0,-1 8 0,1-12-60,0-24-4374,1 11 1280</inkml:trace>
  <inkml:trace contextRef="#ctx0" brushRef="#br0" timeOffset="5431.18">1401 1 128,'0'0'0</inkml:trace>
  <inkml:trace contextRef="#ctx0" brushRef="#br0" timeOffset="6543.85">1364 22 17535,'-4'4'-106,"-31"35"91,19-23 32,1 2 0,0-2-1,1 3 1,1 0-1,-14 27 1,-48 122 772,74-165-741,-1 0 0,1 0 0,0 0 0,0 1 0,0-1 0,1 0 0,-2 7 0,5-9-7,0-1-1,0 0 1,-1 0 0,1 0-1,0 0 1,-1-1-1,1 1 1,0-1-1,3-1 1,1 0-14,0 0 0,0 0 1,1 1-1,-1 0 0,1 0 0,-1 1 1,1 0-1,-1 0 0,1 1 0,-1-1 1,0 2-1,1-1 0,-1 1 0,0 0 1,0 1-1,0 0 0,7 3 0,43 30 80,-56-36-102,-1 0 1,1 0-1,0 0 0,-1 0 1,1 0-1,0 0 0,-1 0 1,1 0-1,0 0 0,-1 0 1,1 0-1,0 0 0,-1-1 1,1 1-1,-1 0 1,1 0-1,0-1 0,-1 1 1,1 0-1,-1-1 0,1 1 1,-1-1-1,1 1 0,-1 0 1,1-1-1,-1 1 0,1-1 1,-1 0-1,0 1 0,1-1 1,-1 1-1,0-1 0,0 1 1,1-1-1,-1 1 0,0 0 1,0-1-1,0 0 0,0 1 1,1-2-1,4-27 75,-4 11 9,0 0 0,-1 0 0,-2 0 1,1 0-1,-2 1 0,-1 0 0,0-1 0,-1 1 1,0 0-1,-16-31 0,20 48-90,1-1 0,0 1 0,0-1-1,0 1 1,-1 0 0,1-1 0,0 1 0,0 0-1,-1-1 1,1 1 0,0 0 0,-1-1 0,1 1 0,0 0-1,-1 0 1,1 0 0,0-1 0,-1 1 0,1 0 0,-1 0-1,1 0 1,0 0 0,-1-1 0,1 1 0,-1 0 0,1 0-1,0 0 1,-1 0 0,1 0 0,-1 0 0,1 0 0,-1 0-1,1 1 1,0-1 0,-1 0 0,1 0 0,-1 0-1,1 0 1,0 0 0,-1 1 0,1-1 0,0 0 0,-1 0-1,1 1 1,0-1 0,-1 0 0,1 1 0,0-1 0,-1 0-1,1 1 1,0-1 0,0 0 0,0 1 0,-1 0 0,-13 23-362,12-18 147,0 0 0,0 0 0,0 0 0,1 0-1,0-1 1,0 2 0,1-1 0,-1 7 0,2 4-1691,6 31 0,-2-20-8141</inkml:trace>
  <inkml:trace contextRef="#ctx0" brushRef="#br0" timeOffset="7348.92">1352 1829 13824,'0'0'3989,"-1"3"-3776,-7 30 101,2 1 0,2 0 0,1 0 0,1 0 0,2 0-1,6 45 1,2 158 945,5-308-2518,-9 45-1706</inkml:trace>
  <inkml:trace contextRef="#ctx0" brushRef="#br0" timeOffset="11157.07">930 898 14464,'0'0'1045,"-1"4"-832,-2 32 79,1-2 0,5 56 0,-1-52 21,-1 1-1,-6 51 0,5-90-295,0 1-1,-1-1 0,1 1 0,0-1 0,0 1 0,0-1 0,0 0 1,0 0-1,0 0 0,0 1 0,0-1 0,0 1 0,0-1 0,0 1 0,1-1 1,-1 0-1,0 1 0,0-1 0,0 1 0,1-1 0,-1 0 0,0 1 1,0-1-1,1 0 0,-1 1 0,0-1 0,0 0 0,1 1 0,-1-1 0,1 0 1,14-1 266,20-18-3,-27 14-170,-2 1-148,0 0 1,0 1-1,1 0 1,0 0-1,0 0 0,0 1 1,0 0-1,0 0 1,0 1-1,0 0 1,1 0-1,-1 0 1,0 1-1,1 1 1,-1-1-1,0 1 0,1 0 1,-1 1-1,0-1 1,0 2-1,0-1 1,0 1-1,-1 0 1,10 5-1,27 16-2650,22 11-7274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8:14.3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2165 14080,'15'-16'-12,"1"0"1,0 2 0,1 0 0,0 1 0,1 0-1,1 2 1,26-13 0,9-7 229,-41 23-88,-1-1 0,-1-1 0,1 0 0,11-15 0,22-18 265,24-13 56,59-51 250,-34 30-83,156-96 1,-220 154-586,19-11 55,-2-2 0,-1-2-1,41-41 1,-68 55-45,2 1-1,0 1 1,0 1 0,2 1-1,28-15 1,41-10 32,21-11 79,-100 45-126,-1-1 0,0 0 1,-1 0-1,1-1 0,-2-1 0,16-17 1,-8 5 33,-5 5-11,0 1-1,28-24 0,-2 7 8,32-27 52,82-54-1,-141 107-109,10-7 0,0 0 0,-1-2 0,0 0 0,32-34 0,-21 13 0,1 1 0,2 1 0,75-57 0,-109 91 0,36-24 0,0-2 0,39-39 0,-39 34 0,-28 26 0,0-1 0,-1-1 0,0 0 0,0 0 0,12-18 0,-18 24 0,2 0 0,-2 1 34,0 0-1,0 0 1,1 0-1,-1 0 0,0 0 1,0-1-1,0 1 0,2-4 1,-3 4-53,0 1 0,0-1 1,0 0-1,-1 0 0,1 1 0,0-1 0,0 0 1,1 1-1,-1-1 0,0 1 0,0-1 1,0 1-1,0 0 0,0-1 0,3 1 0,29-7-3031,-2 0-7851</inkml:trace>
  <inkml:trace contextRef="#ctx0" brushRef="#br0" timeOffset="1249.27">2839 0 16384,'0'0'127,"-4"2"-20,-58 28 281,-63 41 0,-11 7 479,107-64-725,-1 0 0,-55 16 0,85-30-142,0 0 0,0 0 0,0 0 0,0 0 0,0 0 0,0 0 0,1 0 0,-1 0 0,0 0 0,0 0 0,0 1 0,0-1 0,0 0 0,0 0 0,0 0 0,0 0 0,0 0 0,0 0 0,0 0 0,0 0 0,0 0 0,0 0 0,0 1 0,0-1 0,0 0 0,0 0 0,0 0 0,0 0 0,0 0 0,0 0 0,0 0 0,-1 0 0,1 0 0,0 0 0,0 1 0,0-1 0,0 0 0,0 0 0,0 0 0,0 0 0,0 0 0,0 0 0,0 0 0,0 0 0,0 0 0,-1 0 0,18 3 0,22 0 0,-29-3 0,1 2 0,-1-1 0,0 1 0,0 0 0,-1 1 0,16 6 0,0 3 0,25 16 0,11 5 0,-56-30 8,1 0 0,0-1-1,0 0 1,0 0 0,0 0-1,1-1 1,-1 0-1,0 0 1,1-1 0,-1 1-1,0-2 1,1 1-1,10-2 1,-15 1 5,0-1-1,0 1 1,0 0 0,0-1-1,0 1 1,-1-1 0,1 0-1,0 0 1,-1 1-1,1-1 1,-1 0 0,0 0-1,0 0 1,0-1 0,0 1-1,0 0 1,0 0-1,1-5 1,11-20 152,-10 26-138,-1-1-1,0 0 1,0 0-1,0-1 1,0 1-1,-1 0 1,1-1-1,-1 1 0,1-1 1,-1 1-1,0-1 1,0 0-1,0 1 1,0-1-1,0 0 1,-1 0-1,1 0 1,-1 0-1,0 1 0,0-1 1,0 0-1,0 0 1,-1 0-1,0-3 1,1 1-2,1 0 0,-1 0 1,1 0-1,-1 0 0,1 0 1,4-10-1,-3 9 12,0 0 0,-1 0 0,0 0 0,1-8 0,-2 14-37,0-1 0,0 1 0,0-1 0,0 1 0,0 0 0,0-1 0,0 1 0,0-1 0,0 1 0,0 0 0,0-1 0,-1 1 0,1 0 0,0-1 0,0 1 0,0-1 0,0 1 0,-1 0 0,1 0 0,0-1 0,0 1 0,-1 0 0,1-1 0,0 1 0,0 0 0,-1 0 0,1-1 0,0 1 0,-1 0 0,1 0 0,-1 0 0,1-1 0,-15 5 0,-10 13 0,20-13 22,0-1-1,0 1 0,0-1 0,-1 0 1,1-1-1,-1 1 0,0-1 1,0 0-1,0-1 0,-8 2 0,-18 0-3711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5:28.406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2586 1695 19839,'0'0'1024,"4"0"-917,23-4 64,0 1-1,1 1 1,0 2 0,-1 0-1,1 2 1,50 11 0,-67-11-45,1-1 0,22 1 0,-25-3-82,-1 2-1,1-1 0,-1 1 1,1 0-1,-1 1 0,0 0 1,10 3-1,12 9-6,0-1 1,2-2-1,-1-1 0,1-2 1,0-1-1,1-1 0,39 1 1,-57-6 1,0 1-1,28 8 1,-29-6-41,1-1-1,-1-1 1,24 2-1,270-29 110,-238 13-84,31-2-25,146-6 130,-241 19-128,-1 0 0,1-1 0,-1 0 0,0 0 0,1 0 0,8-6 0,-9 5 0,-1 0 0,1 1 0,0 0 0,0 0 0,0 0 0,0 0 0,6 0 0,-10 2-32,0 0 1,-1 0-1,1 0 0,0 0 0,0 0 0,-1 0 0,1 1 1,0-1-1,0 0 0,-1 0 0,1 1 0,0-1 0,0 1 1,-1-1-1,1 0 0,-1 1 0,1-1 0,0 1 0,-1-1 1,1 1-1,-1 0 0,1-1 0,-1 1 0,1 0 0,-1-1 1,0 1-1,1 0 0,-1-1 0,0 1 0,0 0 0,1 0 1,-1 1-1,3 23-4827</inkml:trace>
  <inkml:trace contextRef="#ctx0" brushRef="#br0" timeOffset="1148.44">4278 1593 17791,'0'0'1046,"0"5"-812,-6 55 468,1-25-225,2 1 0,3 46 1,1-73-419,-1-1 0,0 0 0,0 0 1,-1 0-1,0 0 0,0 0 0,-1 0 1,-5 13-1,10-32 18,-2 0 0,1 0 1,-2-1-1,1 1 0,-2 0 0,-2-23 0,0 2 23,0-169 301,3 187-397,0 11-4,0 1 0,0-1 0,1 0 0,-1 1 0,1-1 0,-1 0 0,1 1 0,0-1 0,0 1 0,2-4 0,-3 6 0,0 0 0,1-1 0,-1 1 0,0-1 0,1 1 0,-1 0 0,0-1 0,1 1 0,-1 0 0,0 0 0,1-1 0,-1 1 0,1 0 0,-1 0 0,0-1 0,1 1 0,-1 0 0,1 0 0,-1 0 0,1 0 0,-1 0 0,1 0 0,0 0 0,0 0 0,0 0 0,0 1 0,0-1 0,-1 0 0,1 1 0,0-1 0,0 1 0,0 0 0,0-1 0,-1 1 0,1-1 0,0 1 0,-1 0 0,1 0 0,0-1 0,0 2 0,3 3 0,1 0 0,0-1 0,0 1 0,1-1 0,-1-1 0,1 1 0,0-1 0,0 0 0,0 0 0,0-1 0,0 0 0,1 0 0,-1 0 0,8 0 0,-6 0 0,0 0 0,0 0 0,0 1 0,-1-1 0,1 2 0,-1-1 0,0 1 0,0 0 0,9 7 0,-15-10 7,0 1 1,1-1-1,-1 0 0,0 1 0,0-1 0,0 1 0,0-1 0,0 1 0,0 0 1,-1-1-1,1 1 0,-1 0 0,1-1 0,-1 1 0,1 0 0,-1 0 0,0-1 0,0 1 1,0 0-1,0 0 0,0 0 0,0-1 0,0 1 0,-1 0 0,1 0 0,-1 0 1,1-1-1,-1 1 0,0 0 0,0-1 0,-1 3 0,-4 5 61,0-1 0,0 0 0,-1 0 1,-11 11-1,4-5-18,3-4-30,-1 0-1,1-1 1,-2 0-1,-17 10 1,15-10-3,0 1 0,-23 19 0,37-28-72,1-1-1,-1 1 0,0 0 1,0-1-1,0 1 1,0 0-1,1 0 0,-1 0 1,0 0-1,1 0 0,-1-1 1,1 1-1,-1 0 1,1 0-1,-1 1 0,1-1 1,0 0-1,-1 0 1,1 0-1,0 1 0,1-1-148,-1-1-1,1 1 0,0-1 1,0 1-1,-1-1 0,1 1 1,0-1-1,0 0 0,0 1 1,0-1-1,0 0 0,0 0 1,-1 0-1,1 0 0,0 0 1,0 0-1,0 0 0,0 0 1,0 0-1,0 0 0,0 0 1,0-1-1,1 0 0</inkml:trace>
  <inkml:trace contextRef="#ctx0" brushRef="#br0" timeOffset="-107364.05">194 343 15616,'5'0'34,"1"0"1,-1-1 0,1 0-1,-1 0 1,1 0 0,-1 0-1,0-1 1,1 0 0,-1 0-1,0-1 1,0 0 0,-1 0-1,8-5 1,1-3 128,-1 0 0,0-1 0,11-16 0,-15 19-127,1-1 108,2 0 0,-1 1 0,1 0 1,1 1-1,15-8 0,-17 10-55,0 0-1,-1 0 1,1-1 0,-1 0 0,-1-1-1,1 0 1,-1 0 0,11-16 0,-7 4-30,-4 6 17,0 1 0,1 0 0,16-17-1,-24 29-65,1 0-1,-1 0 0,0 0 1,1 0-1,-1 0 0,1 0 1,0 0-1,-1 1 0,1-1 1,0 0-1,-1 1 0,1 0 1,0-1-1,0 1 0,1 0 1,-17 22 715,6-5-643,1 1 0,0-1 1,1 1-1,-5 32 0,3-19-66,-51 225 624,41-217-368,14-32-224,1 0 0,0 0 0,0 0 0,-2 7 0,-7 47 16,29-86-4054</inkml:trace>
  <inkml:trace contextRef="#ctx0" brushRef="#br0" timeOffset="-106693.89">35 712 17279,'35'-11'0,"-35"11"1,1 0 0,-1 0-1,1-1 1,-1 1-1,1 0 1,-1 0-1,1 0 1,-1 0 0,1 0-1,-1 0 1,1 0-1,-1 0 1,1 0-1,-1 0 1,1 0 0,-1 0-1,1 1 1,-1-1-1,0 0 1,1 0-1,-1 0 1,1 1 0,-1-1-1,1 0 1,-1 1-1,0-1 1,1 0-1,-1 1 1,0-1 0,1 0-1,-1 1 1,0-1-1,1 0 1,-1 1 0,0-1-1,0 1 1,0-1-1,1 1 1,-1 0-1,-1 16 111,0-15-95,2-3-2,-1 1 0,0-1 0,1 0 0,-1 1 0,0-1 1,1 1-1,-1-1 0,1 1 0,-1-1 0,0 1 0,1-1 0,0 1 0,-1-1 1,1 1-1,-1 0 0,1-1 0,-1 1 0,1 0 0,0-1 0,-1 1 1,1 0-1,0 0 0,0 0 0,25-4 190,-17 4-126,0 1-1,0 0 1,16 3-1,7 4 83,0-1 0,0-2 0,45 2 0,-50-7 27,1-2-1,27-4 1,-30 2-34,-1 2 1,1 0-1,28 3 0,-46 0-120,1 0 0,-1 0 0,1 1 0,-1 0 0,0 0 0,0 1 0,0 0 0,0 0 0,-1 1 0,9 6 0,22 7 8,-29-13-932,0 0-1,0 0 1,0 0 0,8 7-1</inkml:trace>
  <inkml:trace contextRef="#ctx0" brushRef="#br0" timeOffset="-105997.65">194 894 18559,'5'4'-3,"-4"-3"5,0-1-1,0 1 0,0 0 1,0 0-1,0-1 0,0 1 1,0-1-1,1 1 1,-1-1-1,0 0 0,0 1 1,1-1-1,-1 0 0,0 0 1,0 0-1,1 0 0,1 0 1,-3 9 249,1-1 1,0 1 0,0-1 0,4 9-1,8 14-41,33 59-1,-14-33-94,19 50 375,-47-100-420,0 1 1,1-1-1,0 0 0,1-1 0,0 1 0,7 6 0</inkml:trace>
  <inkml:trace contextRef="#ctx0" brushRef="#br0" timeOffset="-105478.06">1 1324 18303,'7'-2'10,"-1"0"-1,1 0 0,0-1 0,-1 0 0,1-1 0,-1 1 0,0-1 1,0-1-1,-1 1 0,1-1 0,-1 0 0,0 0 0,8-11 0,1-6 201,12-26 0,-17 28-98,1 2 0,14-20 0,-20 32-73,1 0 1,0 1 0,0 0-1,1 0 1,-1 0 0,1 0-1,0 1 1,0 0 0,13-6-1,20-5 220,-31 13-186,0-1 0,0 0-1,0-1 1,0 0 0,-1 0 0,14-9-1,-7 1 5,1 2 0,0 0 0,0 1 0,33-14-1</inkml:trace>
  <inkml:trace contextRef="#ctx0" brushRef="#br0" timeOffset="-104631.64">771 1089 17663,'0'0'640,"-3"1"-533,-5 1-78,1 0 0,0 0-1,0 1 1,0 0 0,1 0 0,-1 1-1,1 0 1,-1 0 0,1 0 0,1 1-1,-1 0 1,1 0 0,-1 1 0,1-1-1,1 1 1,-1 0 0,1 1 0,0-1-1,1 1 1,0-1 0,0 1 0,-3 10-1,1 3-16,2-11 1,0 0 0,1 1-1,0 0 1,1 0 0,0-1 0,0 1 0,1 0 0,1 12 0,0-21-9,-1-1 0,0 1 0,0 0-1,0 0 1,1 0 0,-1-1-1,0 1 1,1 0 0,-1 0 0,1-1-1,-1 1 1,0 0 0,1-1-1,0 1 1,-1 0 0,1-1-1,-1 1 1,1-1 0,0 1 0,-1-1-1,1 1 1,0-1 0,0 0-1,-1 1 1,3 0 0,20-3 237,4 1-45,-11 3-203,0-1 0,28-1 0,-22 0-3684</inkml:trace>
  <inkml:trace contextRef="#ctx0" brushRef="#br0" timeOffset="-103768.13">1076 834 17023,'5'38'22,"-5"-39"-1,1 1 1,-1-1-1,0 1 0,0-1 1,0 1-1,1 0 0,-1-1 1,0 1-1,1-1 0,-1 1 1,0-1-1,1 1 1,-1 0-1,0-1 0,1 1 1,-1 0-1,1-1 0,-1 1 1,1 0-1,-1 0 0,0-1 1,1 1-1,-1 0 1,1 0-1,-1 0 0,2 0 1,17-5 125,-10 4-18,9-3 70,0 1 0,1 1-1,-1 0 1,23 2 0,75 7-2062,-110-6 1431,5 2-3515</inkml:trace>
  <inkml:trace contextRef="#ctx0" brushRef="#br0" timeOffset="-103370.76">1097 637 18815,'24'36'22,"-24"-36"-13,-1-1 0,1 1 0,-1-1 0,1 1 0,0-1 1,-1 0-1,1 1 0,0-1 0,0 1 0,0-1 0,-1 0 0,1 1 1,0-1-1,0 1 0,0-1 0,0 0 0,0 1 0,0-1 0,0 0 0,0 1 1,0-1-1,0 0 0,0 1 0,1-1 0,-1 1 0,0-1 0,0 0 1,0 1-1,1-1 0,-1 1 0,0-1 0,1 1 0,-1-1 0,1 1 1,-1-1-1,1 1 0,-1-1 0,1 1 0,-1 0 0,1-1 0,-1 1 0,1 0 1,-1-1-1,1 1 0,0 0 0,-1 0 0,1-1 0,-1 1 0,1 0 1,1 0-1,30-7 37,-12 6-83,0 1 0,0 2 1,0-1-1,30 8 0,-9-1-2745</inkml:trace>
  <inkml:trace contextRef="#ctx0" brushRef="#br0" timeOffset="-102729.94">1703 393 16384,'-10'25'21,"9"-25"-18,1 0-1,0 0 1,0 0 0,0 0 0,0 0 0,0 0-1,0 0 1,0 0 0,0 0 0,0 1 0,0-1-1,0 0 1,0 0 0,0 0 0,0 0 0,0 0-1,0 0 1,0 0 0,0 0 0,0 1 0,0-1-1,0 0 1,0 0 0,0 0 0,0 0 0,0 0-1,1 0 1,-1 0 0,0 0 0,0 0 0,0 0-1,0 0 1,0 1 0,0-1 0,0 0 0,0 0-1,0 0 1,0 0 0,0 0 0,0 0 0,1 0-1,-1 0 1,0 0 0,0 0 0,0 0 0,0 0-1,0 0 1,0 0 0,0 0 0,0 0 0,0 0-1,1 0 1,-1 0 0,8-3 136,7-9 467,-13 4 257,-6 11-91,-9 13-253,8-2-457,0 0-1,1 0 1,1 1-1,0 0 0,1 0 1,0 0-1,2 23 0,-3 5-18,-1 26 136,3-36-68,-1 1 0,-11 48 0,11-77-90,0 0 0,0-1 1,-1 1-1,0 0 0,1-1 1,-2 1-1,1-1 0,0 0 1,-5 4-1,16-16-2389,-1-1 0,13-16 0</inkml:trace>
  <inkml:trace contextRef="#ctx0" brushRef="#br0" timeOffset="-101787.49">1719 312 17663,'-10'63'0,"10"-63"1,0 0-1,0 0 1,0 1-1,0-1 1,0 0-1,0 1 0,0-1 1,0 0-1,0 0 1,0 1-1,0-1 1,0 0-1,0 0 0,0 1 1,-1-1-1,1 0 1,0 0-1,0 1 0,0-1 1,0 0-1,-1 0 1,1 0-1,0 1 1,0-1-1,0 0 0,-1 0 1,1 0-1,0 0 1,0 1-1,-1-1 1,1 0-1,0 0 0,-1 0 1,1 0-1,0 0 1,0 0-1,-1 0 0,1 0 1,0 0-1,-1 0 1,-8-10 40,-3-20 50,12 29-76,-1 0 0,1 0 0,0 0 1,0 0-1,0 0 0,0 0 0,0 0 1,0-1-1,0 1 0,1 0 0,-1 0 0,0 0 1,0 0-1,1 0 0,-1 0 0,1 0 0,-1 0 1,1 0-1,-1 0 0,1 0 0,0 0 1,-1 0-1,1 1 0,1-2 0,0 0 9,0 1 1,0 0-1,0 0 0,1 0 1,-1 0-1,0 0 0,1 0 0,-1 1 1,0-1-1,5 0 0,2 0 35,0 1 1,0 0-1,-1 1 0,1-1 0,12 4 0,-3 0 183,-1 2-1,30 12 0,-40-15-172,0 0-1,0 1 1,-1 0-1,0 0 0,1 0 1,-1 1-1,-1 0 1,1 0-1,6 9 0,-9-9-41,0 0 0,0 0 0,0 1 0,-1 0 0,0-1-1,0 1 1,0 0 0,-1 0 0,0 0 0,0 0-1,-1 1 1,1-1 0,-2 10 0,-1 6 27,-2-1 0,-8 33 0,3-16 27,7-29-81,-3 16 56,-1-1 0,-10 27 0,13-44-47,0 0 0,0 0 0,-1 0 1,0-1-1,0 1 0,-1-1 0,0 0 0,0 0 0,0-1 0,-1 1 0,-8 6 0,8-8-9,1 0 0,-1 0 0,0-1 0,0 1 0,0-1 0,-1 0 0,1-1 0,-1 0 0,1 0 0,-1 0 0,0-1 0,0 0 0,1 0 0,-1 0 0,0-1 0,0 0 0,0-1 0,0 0 0,-9-2 0,8 2 2,-16-5 1,24 6-4,-1 0 0,0 0 0,1 0 0,-1-1 0,0 1 0,1 0 0,-1-1 0,0 1 0,1 0 0,-1-1 0,1 1 0,-1-1 0,1 1-1,-1-1 1,1 1 0,-1-1 0,1 1 0,-1-1 0,1 1 0,0-1 0,-1 0 0,1 1 0,0-1 0,-1-1 0,1 2-7,1-1-1,-1 0 0,0 0 1,1 1-1,-1-1 1,0 0-1,1 0 1,-1 1-1,1-1 1,0 1-1,-1-1 1,1 1-1,-1-1 1,1 0-1,0 1 1,-1 0-1,1-1 1,0 1-1,0-1 1,-1 1-1,1 0 1,0 0-1,0-1 1,1 1-1,23-6-91,-21 6 72,35-8-122,-19 3-28,1 1 1,42-2-1,-52 6 161,-4-1-5,0 1 0,0 0 0,1 1 0,-1 0 0,9 2 0,-15-3 19,0 1 0,0-1-1,0 0 1,0 1 0,0-1 0,0 1 0,0-1 0,-1 1-1,1 0 1,0-1 0,0 1 0,-1 0 0,1-1 0,0 1-1,-1 0 1,1 0 0,-1 0 0,2 1 0,-2-1 1,0 1 1,0-1-1,0 0 1,0 1 0,0-1-1,0 0 1,0 1-1,0-1 1,0 1 0,0-1-1,-1 0 1,1 1-1,-1-1 1,1 0 0,-1 0-1,1 1 1,-2 0-1,-4 8 29,-1 0-1,-1-1 0,0 0 1,0-1-1,0 0 0,-1 0 1,0-1-1,-13 8 0,-31 28 100,18-7-43,23-22-4,-1 0 1,0-2 0,-1 1-1,0-2 1,-1 0-1,-28 16 1,40-26-81,3 0 9,0-1-1,-1 0 1,1 0 0,0 0 0,-1 0-1,1 0 1,0 1 0,0-1-1,-1 0 1,1 0 0,0 0 0,-1 0-1,1 0 1,0 0 0,-1 0-1,1 0 1,0 0 0,-1 0 0,1 0-1,0 0 1,0-1 0,-1 1 0,1 0-1,0 0 1,-1 0 0,1 0-1,0 0 1,0-1 0,-1 1 0,1 0-1,0 0 1,0 0 0,-1-1 0,1 1-1,-9-6 108,4 4-148</inkml:trace>
  <inkml:trace contextRef="#ctx0" brushRef="#br0" timeOffset="-101087.4">1704 805 18815,'-5'30'0,"5"-23"0,1-9 0,1-15 0,-4 14 0,-1 2 0,0 1 0,0 1 26,1 0-1,0 1 0,-1-1 0,1 1 1,0-1-1,0 1 0,0 0 0,0 0 1,0 0-1,-2 3 0,-2 2 81,-3 3 4,0 0 0,0 1 0,1 0-1,1 0 1,-9 18 0,-27 66 162,38-82-307,-6 29-4274</inkml:trace>
  <inkml:trace contextRef="#ctx0" brushRef="#br0" timeOffset="-98156.39">2120 1057 15488,'0'0'-128,"-3"-1"256,-10-6 18,9 5-21,0 0-1,0-1 0,0 1 1,0 1-1,0-1 0,-1 1 1,1-1-1,-1 1 0,1 0 1,-9 0-1,8 3 0,0 0-1,0 0 1,0 1-1,0 0 1,0 0-1,1 0 1,-1 1 0,1-1-1,0 1 1,-5 6-1,3-4-111,0 2 0,0-1-1,1 0 1,0 1 0,-6 14-1,6-8-11,4-11 0,-1 1 0,1-1 0,0 0 0,-1 0 0,1 0 0,-1 0 0,0 0 0,0 0 0,-4 3 0,6-5 0,-1-1 0,1 1 0,0 0 0,0-1 0,-1 1 0,1 0 0,0-1 0,0 1 0,0 0 0,0-1 0,0 1 0,0 0 0,0 0 0,0-1 0,0 1 0,0 0 0,0-1 0,0 1 0,1 0 0,-1 0 0,1 0 0,-1 0 0,0 0 0,0 0 0,0 1 0,0-1 0,0 0 0,0 0 0,0 0 0,0 0 0,0 0 0,0 0 0,-1 0 0,1 0 0,-1 1 0,1-1 0,-1 1 0,1-1 0,-1 0 0,1 1 0,0-1 0,0 1 0,0-1 0,0 0 0,0 1 0,0-1 0,0 0 0,0 1 0,1-1 0,-1 0 0,1 1 0,-1-1 0,0 0 0,1 0 0,1 3 0,4 20 0,-6-11 0,-1-11 0,1-1 0,0 0 0,0 1 0,0-1 0,0 1 0,0-1 0,0 0 0,0 1 0,1-1 0,-1 0 0,0 1 0,1-1 0,-1 0 0,1 1 0,0-1 0,-1 0 0,1 0 0,0 1 0,0-1 0,-1 0 0,1 0 0,0 0 0,0 0 0,0 0 0,2 1 0,0 1 43,0-1 0,-1 0 0,1 0 0,0 0 0,0 0 0,0 0 0,1 0-1,-1-1 1,7 3 0,-8-4-15,0 0 0,1 0 0,-1 0 0,1 0 0,-1 0-1,0-1 1,1 1 0,-1-1 0,0 1 0,1-1 0,-1 0 0,0 0-1,0 0 1,0 0 0,4-3 0,-1 1-161,9-4 774,-13 7-763,0 0 1,-1 0-1,1 0 0,-1 0 0,1 1 0,-1-1 1,1 0-1,0 0 0,-1 0 0,1 1 1,-1-1-1,1 0 0,-1 1 0,1-1 1,-1 1-1,1-1 0,-1 1 0,0-1 1,1 1-1,-1-1 0,0 1 0,1-1 1,-1 1-1,0-1 0,1 1 0,-1-1 1,0 2-1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11:15.021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268 15 18559,'17'1'59,"-16"-1"56,-1 0-111,0-1-1,0 1 1,0 0-1,0 0 1,0 0 0,0 0-1,-1 0 1,1 0 0,0 0-1,0 0 1,0 0-1,0-1 1,0 1 0,0 0-1,0 0 1,0 0 0,0 0-1,0 0 1,0 0-1,0-1 1,0 1 0,0 0-1,0 0 1,0 0 0,0 0-1,0 0 1,0 0-1,0-1 1,0 1 0,0 0-1,0 0 1,0 0 0,0 0-1,0 0 1,0 0-1,0 0 1,0-1 0,0 1-1,0 0 1,0 0-1,0 0 1,1 0 0,-1 0-1,0 0 1,0 0 0,0 0-1,0 0 1,0-1-1,0 1 1,0 0 0,0 0-1,1 0 1,-1 0 0,0 0-1,0 0 1,0 0-1,0 0 1,0 0 0,0 0-1,1 0 1,-1 0 0,0 0-1,0 0 1,0 0 7,0 0-1,1 0 1,-1 0 0,0 0 0,0 0-1,0 0 1,0 0 0,0 0 0,1-1-1,-1 1 1,0 0 0,0 0 0,0 0-1,0 0 1,0 0 0,0 0 0,0-1 0,0 1-1,0 0 1,1 0 0,-1 0 0,0 0-1,0 0 1,0-1 0,0 1 0,0 0-1,0 0 1,0 0 0,0 0 0,0 0-1,0-1 1,0 1 0,0 0 0,0 0-1,0 0 1,0 0 0,0 0 0,0-1 0,-1 1-1,1 0 1,0 0 0,0 0 0,0 0-1,0 0 1,0-1 0,-8-2 209,7 3-211,1-1 0,0 1-1,-1 0 1,1 0 0,-1 0 0,1 0-1,0 0 1,-1 0 0,1 0-1,-1 0 1,1 0 0,-1 0 0,1 0-1,0 0 1,-1 1 0,1-1 0,0 0-1,-1 0 1,1 0 0,-1 0 0,1 1-1,0-1 1,-1 0 0,1 0-1,0 1 1,0-1 0,-1 0 0,1 0-1,0 1 1,-1-1 0,1 0 0,0 1-1,0-1 1,0 1 0,0-1 0,-1 0-1,1 1 1,0-1 0,0 1-1,0-1 1,0 0 0,0 1 0,0-1-1,0 1 1,0-1 0,0 0 0,0 1-1,0-1 1,0 1 0,3 7 82,0-1-1,0 0 1,1 0 0,0 0 0,0-1 0,0 1 0,9 8 0,8 14 56,5 19 94,-2 0 0,20 58-1,-38-93-194,25 76 220,-22-58-199,2 0 0,1-1 0,25 43 0,-27-57-24,1 1 32,-1 0-1,0 1 0,9 25 1,-18-41-63,0 0 0,0 0 0,0 0 1,0-1-1,0 1 0,1 0 0,-1-1 0,1 1 0,-1-1 0,1 0 1,0 1-1,-1-1 0,1 0 0,2 1 0,-2-1-7,-1-1-1,1 1 1,-1 0 0,0 0-1,1 0 1,-1 0 0,0 0-1,0 0 1,1 0 0,-1 0-1,0 0 1,0 1 0,0-1-1,-1 0 1,1 1 0,0-1-1,0 1 1,-1-1 0,1 1-1,-1-1 1,1 1 0,-1-1-1,0 1 1,1 1 0,4-26-1113,1-2-3800</inkml:trace>
  <inkml:trace contextRef="#ctx0" brushRef="#br0" timeOffset="660.75">0 707 19967,'10'-4'9,"-8"3"1,0 1 1,0-1-1,1 0 0,-1 0 0,0 0 1,0 0-1,0 0 0,0 0 1,0 0-1,0-1 0,0 1 1,-1-1-1,1 0 0,0 1 1,-1-1-1,1 0 0,-1 0 0,0 0 1,0 0-1,1 0 0,-1 0 1,-1 0-1,2-3 0,1-2 44,1-1-1,-1 1 0,1 0 0,1 1 0,-1-1 1,1 1-1,7-7 0,6-10 140,-2 5-60,1 0-1,1 1 1,0 1-1,39-26 1,-26 20 69,28-28 0,-5-7 118,79-107 0,-87 102-192,-30 42 21,0 1 0,2 1 1,21-18-1,-39 40 4,0 1 0,0 0 0,0-1-1,0 1 1,-1 5 0,0-8-219,1 1 0,-1-1 0,0 1 0,1 0 0,-1-1 0,0 0 0,-1 1 0,0 2 0,-10 10-3926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11:23.863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1596 1252 17919,'20'13'0,"-23"-18"376,-4-5 268,8 10-637,-1 0-1,0 0 1,0 0 0,0 0 0,0 0 0,0 0 0,0 0-1,0 0 1,0 0 0,0 0 0,0 0 0,1 0 0,-1 0-1,0 0 1,0 0 0,0 0 0,0 0 0,0 0 0,0 0-1,0 0 1,0 0 0,0 0 0,1 0 0,-1 0 0,0 0-1,0 0 1,0-1 0,0 1 0,0 0 0,0 0 0,0 0-1,0 0 1,0 0 0,0 0 0,0 0 0,0 0 0,0 0-1,0 0 1,0 0 0,0-1 0,0 1 0,0 0 0,0 0-1,0 0 1,0 0 0,0 0 0,0 0 0,0 0 0,0 0-1,0 0 1,0-1 0,0 1 0,0 0 0,0 0 0,0 0-1,0 0 1,0 0 0,0 0 0,0 0 0,31 4 615,-13-3-519,35 6 77,98 9 557,86-28-201,-46-1-325,157-16 66,-156 12-81,43-7 99,-159 18-189,-58 5-77,0 0-1,0-1 1,-1 0-1,1-2 1,19-6-1,-34 9-14,-2 1 4,1-1 1,-1 0-1,1 1 1,-1-1-1,1 1 1,-1 0 0,1 0-1,0-1 1,-1 1-1,1 0 1,0 0-1,-1 0 1,1 1-1,-1-1 1,1 0-1,0 1 1,-1-1-1,1 1 1,2 0-1,-3 0-18,1 1 0,0-1 0,0-1 0,0 1 0,0 0 0,-1 0 0,1-1 0,0 1 0,0-1 0,0 1 0,1-1 0,-1 0 0,2 0 0,2 0 0,-5 0 0,-3 3 0,6-3 0,-2 1 0,-4 1-21,23 5-5547</inkml:trace>
  <inkml:trace contextRef="#ctx0" brushRef="#br0" timeOffset="1193.85">3354 980 16895,'0'0'384,"3"4"-256,4 7-51,-1 0-1,0 0 0,-1 1 0,0 0 0,0 0 0,-1 0 0,-1 0 0,3 25 0,-1 10 246,-2 53 0,-2-43 13,-2-18 327,1-38-449,0-12 43,7-99-69,-3 68-78,-1-54 0,-3 68-2,1 22-60,-1 0 1,0 0-1,0 0 0,-1-1 1,1 1-1,-1 0 1,-1 0-1,-2-9 1,5 14 37,1 1-76,0 0 0,0 0-1,0 0 1,0 1 0,0-1 0,0 1-1,1-1 1,-1 1 0,0 0 0,-1-1-1,1 1 1,0 0 0,0 0 0,0 0-1,2 2 1,2 1 0,19 8 56,46 15 0,-50-20-39,-1 1 0,0 0 1,38 23-1,-57-31-17,0 1 1,0 0-1,0 0 0,0 0 0,0 0 1,0 0-1,0 1 0,0-1 1,0 0-1,-1 0 0,1 1 0,0-1 1,-1 0-1,1 1 0,-1-1 1,0 0-1,1 1 0,-1-1 0,0 1 1,0 1-1,0 1 14,0 0-1,0 0 1,-1 0 0,0-1 0,0 1 0,0 0-1,-2 5 1,-2 2 30,0-1-1,-1 0 1,0 0-1,-10 12 1,8-13-41,0-1 0,0-1 1,-1 0-1,0 0 0,0 0 0,0-1 0,-1 0 1,0-1-1,0-1 0,-1 1 0,1-1 0,-1-1 0,-17 4 1,16-9-1493,-1-3-3568</inkml:trace>
  <inkml:trace contextRef="#ctx0" brushRef="#br0" timeOffset="2614.27">3799 10 18815,'-27'7'0,"25"-8"25,5-4 35,1-4 53,-4 9-110,0 0 0,-1-1-1,1 1 1,0 0 0,-1 0-1,1 0 1,-1 0 0,1 0-1,-1-1 1,1 1 0,0 0-1,-1 0 1,1 0-1,-1 0 1,1 0 0,-1 0-1,1 0 1,0 0 0,-1 0-1,1 1 1,-1-1 0,1 0-1,0 0 1,-1 0 0,1 0-1,-1 1 1,1-1-1,0 0 1,-1 1 0,-21 9 68,1 0-1,0 2 1,0 1 0,2 0 0,-27 23-1,27-21-25,-6 5 26,2 1-1,0 1 1,-33 41 0,44-48-40,1 0 0,1 1 1,1 0-1,0 1 0,1 0 1,1 0-1,-8 30 0,13-41-31,1 1 0,0 1 0,0-1 0,1 0 0,0 0 0,0 0 0,0 0 0,1 0 0,0 0 0,1 0 0,3 11 0,-4-14 0,1-1 0,-1 0 0,1 1 0,0-1 0,0 0 0,0 0 0,1 0 0,-1 0 0,1 0 0,-1-1 0,1 1 0,0-1 0,0 0 0,0 0 0,0 0 0,1 0 0,-1 0 0,0-1 0,1 1 0,-1-1 0,1 0 0,0 0 0,7 1 0,-4-2 18,1 1 0,-1-1-1,1-1 1,-1 1 0,1-2-1,-1 1 1,0-1 0,1 1-1,-1-2 1,0 1-1,0-1 1,7-5 0,-2 1 19,0 0 0,-1-1 1,-1 0-1,1-1 0,-1 0 1,9-12-1,-17 19-14,0-1 0,0 0-1,0 0 1,-1 0 0,1 0 0,-1 0 0,0 0-1,0-1 1,0 1 0,0 0 0,0-6-1,-1 8-12,1 0 0,-1 0-1,0 0 1,0 0 0,0 0-1,0 0 1,0 0 0,0-1-1,-1 1 1,1 0 0,0 0-1,-1 0 1,1 0 0,0 0-1,-1 0 1,1 0-1,-1 0 1,1 0 0,-1 1-1,0-1 1,1 0 0,-1 0-1,0 0 1,0 1 0,0-1-1,0 0 1,1 1 0,-1-1-1,0 0 1,0 1 0,0 0-1,0-1 1,0 1-1,0-1 1,0 1 0,-1 0-1,0 0 1,-11 0-8,1 0 0,0 1 0,-1 1 1,1 0-1,0 1 0,0 0 0,0 1 0,0 1 0,-17 8 0,21-8-17,0 0-1,0 1 1,0 0 0,1 0-1,0 1 1,1 0-1,-1 0 1,1 0-1,1 1 1,-1 0-1,1 0 1,1 0 0,-7 15-1,8-14-316,0-1-1,0 1 1,1-1-1,0 1 1,1 0-1,0 0 1,0-1-1,1 1 1,1 11-1,-1-17-34,1 1 0,-1 0 0,1-1 0,0 1 1,0 0-1,1-1 0,-1 0 0,1 1 0,2 3 0</inkml:trace>
  <inkml:trace contextRef="#ctx0" brushRef="#br0" timeOffset="2875.36">3693 472 17151,'0'0'0,"0"28"0,-4-19 0,1 2 0,-6 7 128,-4 5 0,0 6 0,-3 6 0,4-1 0,2 1-128,8-8 0,7-4-256,5-26 128</inkml:trace>
  <inkml:trace contextRef="#ctx0" brushRef="#br0" timeOffset="4481.03">985 1309 17151,'0'0'1664,"-1"7"-1536,2 34 76,1 0-1,14 74 0,4 33 83,-3 121-75,28 318 240,-21-203-89,-20-192-82,1-65-89,-18 190 0,-9-61-85,21-239-88,0-1 0,-2 0 0,0 0 1,-1 0-1,0-1 0,-1 1 0,-1-1 0,0 0 0,-1 0 0,-1-1 0,0 0 0,-15 19 0,22-32-12,0 0 1,0 0-1,0 0 0,1 0 1,-1 0-1,0 0 0,1 1 1,-1-1-1,1 0 0,-1 0 1,1 0-1,0 1 0,-1-1 1,1 0-1,0 1 0,0-1 1,0 3-1,-2 11 29,2-15-40,0 0 0,0 1-1,0-1 1,0 0 0,-1 0-1,1 0 1,0 1 0,0-1-1,0 0 1,0 0 0,0 1-1,0-1 1,0 0 0,0 0-1,0 1 1,0-1 0,0 0-1,0 0 1,0 0 0,1 1-1,-1-1 1,0 0 0,0 0-1,0 0 1,0 1 0,0-1-1,0 0 1,0 0 0,1 0-1,-1 0 1,0 1 0,0-1-1,0 0 1,0 0 0,1 0-1,-1 0 1,0 0 0,0 1-1,0-1 1,1 0 0,-1 0-1,13-2-842,-10 1 335,0 0-1,-1-1 0,1 1 0,0-1 1,-1 1-1,1-1 0,-1 0 0,3-2 0</inkml:trace>
  <inkml:trace contextRef="#ctx0" brushRef="#br0" timeOffset="5443.28">908 3462 19839,'3'9'-15,"-2"-6"4,0-1 0,0 1 0,0 0-1,-1 0 1,1-1 0,-1 1 0,1 0 0,-1 0 0,0 0-1,0 0 1,-1 4 0,1-5 7,-1 1 0,0 0 0,1-1 0,0 1 0,-1 0 0,1 0-1,0-1 1,1 1 0,-1 0 0,0 0 0,1-1 0,-1 1 0,1 0 0,0-1 0,0 1 0,0-1 0,0 1 0,1-1 0,-1 1-1,1-1 1,-1 0 0,3 3 0,9 18-9,113 325 120,-87-227-86,-7-11 342,-56-162-252,18 42-105,1 1 1,0-1-1,1-1 1,0 1-1,-3-17 0,1-2-6,-2 0 0,0 0 0,-25-52 0,-49-76 0,79 152 0,-19-29 0,17 27 0,-1-1 0,1-1 0,1 1 0,0 0 0,-6-18 0,10 25 0,-1 0 0,1 0 0,0-1 0,1 1 0,-1 0 0,0-1 0,0 1 0,0 0 0,1 0 0,-1-1 0,1 1 0,-1 0 0,1 0 0,-1 0 0,1 0 0,0 0 0,-1 0 0,1 0 0,0 0 0,0 0 0,0 0 0,0 0 0,0 0 0,0 0 0,0 1 0,0-1 0,0 0 0,0 1 0,0-1 0,3 0 0,39-13 0,-41 13 0,17-3 15,-1 1 0,1 0-1,0 2 1,0 0 0,-1 1-1,1 1 1,0 1 0,0 0-1,-1 1 1,1 2 0,-1-1-1,0 2 1,-1 1 0,1 0-1,23 14 1,-38-20-7,-1 0 1,0 1-1,0-1 1,0 1-1,0-1 1,0 1-1,0-1 0,-1 1 1,1 0-1,0 0 1,-1 0-1,1 0 1,-1 0-1,0 1 0,0-1 1,0 0-1,0 0 1,0 1-1,0-1 1,-1 1-1,1-1 0,-1 0 1,0 1-1,1-1 1,-1 1-1,0-1 1,-1 1-1,1-1 0,0 1 1,-1-1-1,0 5 1,-4 3 52,0 0 0,0 0 1,-1 0-1,0-1 0,-13 17 0,0-1 91,-10 16-74,-151 207-198,173-238-439,0-1 1,1 1-1,0 1 1,1-1-1,0 1 1,1 0-1,0 0 0,1 0 1,0 1-1,-1 12 1,-2 2-9639</inkml:trace>
  <inkml:trace contextRef="#ctx0" brushRef="#br0" timeOffset="6628.52">126 2843 17535,'-20'218'267,"14"-123"-16,-23 112-1,6-102-66,-19 97 422,38-184-584,3-13-234,2-8-345,8-36-2963</inkml:trace>
  <inkml:trace contextRef="#ctx0" brushRef="#br0" timeOffset="7342.82">210 2797 17023,'-9'42'283,"8"-39"-62,6-24-63,-3 5 366,3-12-129,-5 27-362,0 0 0,0 0 0,1-1 1,-1 1-1,0 0 0,1 0 0,-1 0 0,1 0 0,-1 0 0,1 1 0,0-1 0,-1 0 0,1 0 0,0 0 0,0 0 0,-1 1 0,3-2 0,-2 2-15,1 1-1,0-1 0,0 1 0,-1-1 0,1 1 0,0 0 0,-1-1 0,1 1 0,-1 0 0,1 0 1,-1 0-1,0 0 0,1 1 0,-1-1 0,0 0 0,2 2 0,7 6 55,36 22 74,43 31-16,-77-53-126,-1 1-1,-1 0 1,1 1 0,-2 0 0,11 16 0,-18-24 14,0 1 0,0-1 0,0 1 0,-1-1 0,0 1-1,0 0 1,0-1 0,0 1 0,0 0 0,-1 0 0,0 0 0,0 0 0,0 0 0,0-1 0,0 1 0,-1 0 0,0 0 0,0 0 0,0-1 0,0 1 0,-1 0 0,1-1 0,-1 1 0,0-1 0,0 0 0,-3 5 0,-2 1 33,0 0 0,0-1 1,-1 0-1,0 0 0,-1-1 1,0 0-1,-15 10 1,20-15-41,-21 13 106,1 0 0,-24 22 0,34-26 33,0 0-1,0 0 0,-1-1 1,-25 12-1,40-22-149,0 0 1,-1 0-1,1 0 1,0 1-1,0-1 1,0 0-1,0 0 0,0 0 1,0 0-1,0 1 1,0-1-1,0 0 1,-1 0-1,1 0 0,0 0 1,0 1-1,0-1 1,0 0-1,0 0 1,0 0-1,0 1 0,0-1 1,0 0-1,0 0 1,1 0-1,-1 0 0,0 1 1,0-1-1,0 0 1,0 0-1,0 0 1,0 0-1,0 1 0,0-1 1,0 0-1,1 0 1,-1 0-1,0 0 1,0 0-1,0 1 0,0-1 1,0 0-1,1 0 1,-1 0-1,0 0 1,0 0-1,0 0 0,0 0 1,1 0-1,16 12 6,20 6-12,37 5 6,-54-18 0,-1 1 0,1 1 0,-1 0 0,0 2 0,18 10 0,-32-16 5,-1 1-1,1-1 1,-1 1-1,0 0 1,0 0-1,-1 1 1,1-1-1,-1 1 1,0-1-1,0 1 1,0 0-1,3 9 1,-5-11-1,0 0 0,-1 0-1,1 0 1,-1 0 0,1 0 0,-1 1-1,0-1 1,0 0 0,0 0 0,-1 0 0,1 1-1,-1-1 1,0 0 0,1 0 0,-1 0-1,-1 0 1,1 0 0,0 0 0,-1 0 0,0-1-1,1 1 1,-1-1 0,-4 5 0,-9 6 40,0 0 1,0-2 0,-1 0-1,-33 17 1,-4 3 73,16-9-307,-59 26 0,35-21-2900,57-25 2695</inkml:trace>
  <inkml:trace contextRef="#ctx0" brushRef="#br0" timeOffset="8573.77">701 3574 19071,'-4'1'107,"-2"2"-84,0 1 1,0-1-1,0 1 0,1 0 0,0 0 1,-1 0-1,2 1 0,-1 0 1,0 0-1,-4 7 0,-141 249 766,149-260-777,1-1 0,-1 1 0,1-1 0,-1 1 0,1-1 0,0 1 0,-1-1 0,1 1 0,0 0 0,0-1 0,-1 1 0,1-1 0,0 1 0,0 0 0,0-1 0,0 1 0,0 0 0,0-1 0,0 1 0,0-1 0,0 1 0,0 0 0,0-1 0,0 1-1,0 0 1,0-1 0,1 1 0,-1-1 0,0 1 0,0 0 0,1-1 0,-1 1 0,0-1 0,1 1 0,-1-1 0,1 1 0,-1-1 0,1 1 0,0 0 0,2 0-2,-1 0 0,1-1 0,0 1 0,0 0 0,0-1 1,0 0-1,3 1 0,5 0 49,44 12 20,-40-8-53,0-2 0,0 1 0,0-2 0,0 0 0,24 0 0,-30-3-240,0 1 0,-1 1 1,1-1-1,0 2 1,-1-1-1,14 5 0,-9-3-1384,41 9-10753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11:37.936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7 1 17151,'-7'20'-2,"7"-20"8,4-13 886,2 23-529,4 4-259,-2-4-18,0 0 0,0 0 0,1-1 0,10 9-1,-9-9-2,0 1-1,0 0 0,-2 0 1,1 0-1,12 23 0,6 6 192,14 4-133,-32-34-112,1 1 0,-1 0 0,13 19-1,-6-5 7,1 0 0,1-2 0,1 0 0,1-1 0,0-1 0,2-1 0,0-1 0,2-1 0,-1-1-1,43 21 1,-49-27-17,0-1 0,-1 2 0,0 0-1,-1 1 1,24 25 0,-15-16 81,1-1-1,1-1 1,45 24 0,-23-14 18,-15-6 43,43 38 1,-12-9 73,-42-37-138,0-2 1,0-1-1,48 19 0,-44-21 0,-1 1 0,0 2-1,26 17 1,-37-19-38,0 1 1,12 14 0,8 8 21,34 20 114,24 23 81,-56-41-253,-14-14-15,0 0 0,39 28 0,-25-27 19,1-1 1,1-1 0,46 16-1,-52-21-26,-1 1 0,-1 1 0,-1 1 0,47 41 0,-73-58 0,8 6 13,1 0-1,0-1 1,1-1-1,0 0 1,19 6-1,-15-6 6,0 1 0,25 15-1,-12-5 15,0-2 0,1 0 0,36 10 0,-48-16-32,0 0 0,-1 1-1,0 1 1,-1 0 0,18 16-1,-15-11 9,1-1 0,36 19 0,-25-16 17,-1 1 1,55 45 0,25 16 3,-77-62 4,-25-14-14,0 1 1,-1 0-1,1 0 1,-1 0-1,9 8 1,-6-3 6,1 0 0,0-1 0,1-1 0,0 0 0,1-1 0,-1 0 0,1-1 0,20 6 0,-27-9 0,1 0 0,-1 1 0,0 0 0,0 0 0,-1 1 0,9 7 0,16 12 70,-30-24-32</inkml:trace>
  <inkml:trace contextRef="#ctx0" brushRef="#br0" timeOffset="1045.13">3364 2045 20095,'-10'31'0,"6"-19"0,0 0 0,1 0 0,-2 15 0,-6 58 140,-2 20 83,8-82-169,0 7 143,5-28-175,0-1 1,0 0 0,0 1 0,0-1 0,0 0 0,1 1-1,-1-1 1,0 0 0,1 1 0,-1-1 0,0 0-1,1 0 1,0 1 0,-1-1 0,1 0 0,0 0 0,1 1-1,-7-5 92,3 1-70,0 1 0,0-1 0,0 0 0,0 0-1,0 0 1,0 0 0,0 0 0,1 0 0,-1-1 0,1 1 0,-2-4-1,0-4-43,1 0 0,0 0 0,0 0 0,1-1 0,0 1 0,1-1 0,0 1 0,1-1 0,0 1 0,4-16 0,4-10 0,22-54 0,-31 89 0,36-123 0,-36 123 5,0-1-1,1 1 1,-1 0-1,1-1 1,-1 1-1,1 0 1,0 0-1,-1-1 1,1 1-1,0 0 0,0 0 1,0 0-1,0 0 1,0 0-1,0 0 1,0 0-1,0 0 1,0 1-1,1-1 1,-1 0-1,0 1 1,0-1-1,1 1 0,-1-1 1,0 1-1,1 0 1,-1-1-1,0 1 1,1 0-1,-1 0 1,1 0-1,-1 0 1,0 0-1,1 0 1,-1 1-1,0-1 1,1 0-1,-1 1 0,0-1 1,1 1-1,-1-1 1,2 2-1,2 1 20,1 0 0,-1 1 0,1 0 0,-1 0 0,0 0 0,-1 1 0,7 7 0,22 26-24,-17-20 0,0 0 0,-2 1 0,21 36 0,-21-30 23,-2-3 81,15 37 0,-25-54-91,0 1 1,0-1-1,0 1 0,-1 0 1,0 0-1,0 0 1,-1 0-1,0 0 1,0 0-1,0 0 1,-1 0-1,-1 6 1,1-8 1,0 0 0,-1 1 1,0-1-1,0 0 1,-1 0-1,1-1 0,-1 1 1,1 0-1,-1-1 0,0 0 1,-1 0-1,1 1 0,0-2 1,-1 1-1,0 0 1,-5 2-1,3-2 6,0 0 0,0 0 0,0-1-1,0 0 1,-1-1 0,1 1 0,-1-1 0,1 0 0,-1-1-1,-12 0 1,15-1-106,1 1 0,-1-1-1,1 0 1,-1 0 0,1 0-1,0-1 1,-1 1 0,1-1-1,0 0 1,0 0 0,0 0-1,-5-5 1,0 0-1120,2 0-1,-1-1 1,-8-11 0</inkml:trace>
  <inkml:trace contextRef="#ctx0" brushRef="#br0" timeOffset="1843.11">3427 1296 22143,'-6'42'0,"6"-42"0,0 0 0,0 0 0,0 0 0,0 0 0,0 0 0,0 1 0,0-1 0,0 0 0,0 0 0,0 0 0,0 0 0,0 0 0,-1 0 0,1 0 0,0 0 0,0 0 0,0 1 0,0-1 0,0 0 0,0 0 0,0 0 0,-1 0 0,1 0 0,0 0 0,0 0 0,0 0 0,0 0 0,0 0 0,0 0 0,-1 0 0,1 0 0,0 0 0,0 0 0,0 0 0,0 0 0,0 0 0,0 0 0,-1 0 0,1 0 0,0 0 0,0 0 0,0 0 0,0 0 0,0 0 0,0-1 0,0 1 0,-1 0 0,1 0 0,0 0 0,0 0 0,0 0 0,0 0 0,0 0 0,0 0 0,0-1 0,0 1 0,-10-10 0,-6-4 0,12 13 0,-1 0 0,0 1 0,1 0 0,-1 0 0,0 0 0,0 0 0,1 1 0,-1-1 0,-6 3 0,-43 14 0,44-13 0,-13 4 0,1 2 0,0 0 0,1 1 0,0 1 0,-38 30 0,57-40-7,-1-1 0,1 1 0,0 1-1,0-1 1,0 0 0,0 0-1,1 1 1,-1-1 0,1 1 0,-1-1-1,1 1 1,0 0 0,0 0 0,0-1-1,0 1 1,0 0 0,1 0-1,-1 0 1,1 0 0,0 0 0,0 5-1,1-3-8,0-1 0,0 0 0,1 1 0,0-1 0,-1 0 0,1 1 0,1-1 0,-1 0 0,0-1 0,1 1 0,0 0 0,0-1 0,6 6 0,-4-4-21,1-1-1,0 1 0,0-1 1,0 0-1,1 0 1,-1-1-1,1 0 0,0 0 1,0-1-1,8 2 0,8 1-21,44 3-1,-16-3 103,-51-5-35,1 0 1,0 0-1,-1 0 1,1 0 0,-1 0-1,1 0 1,0 0-1,-1 1 1,1-1 0,-1 0-1,1 0 1,-1 0-1,1 0 1,0 1 0,-1-1-1,1 0 1,-1 1-1,1-1 1,-1 0 0,0 1-1,1-1 1,-1 1-1,1-1 1,-1 1-1,0-1 1,1 1 0,-1-1-1,0 1 1,1-1-1,-1 1 1,0-1 0,0 1-1,0-1 1,1 1-1,-1 0 1,0-1 0,0 1-1,0-1 1,0 1-1,0 0 1,0-1 0,0 1-1,0-1 1,0 1-1,0 0 1,-1-1-1,1 1 1,0-1 0,0 1-1,-1-1 1,1 1-1,0-1 1,0 1 0,-1 0-1,-3 4 47,1 1-1,-1-1 0,-1 0 1,-4 4-1,8-8-52,-129 111-242,77-69-2464,-40 33-10479</inkml:trace>
</inkml:ink>
</file>

<file path=xl/ink/ink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39:45.0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6640 397 9856,'0'0'0</inkml:trace>
</inkml:ink>
</file>

<file path=xl/ink/ink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40:09.614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8729 290 22527,'0'0'0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3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topLeftCell="A12" workbookViewId="0">
      <selection activeCell="E21" sqref="E21"/>
    </sheetView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889</v>
      </c>
      <c r="E2" s="71" t="s">
        <v>890</v>
      </c>
    </row>
    <row r="4" spans="2:7" x14ac:dyDescent="0.35">
      <c r="B4" s="90" t="s">
        <v>847</v>
      </c>
      <c r="D4" s="90" t="s">
        <v>849</v>
      </c>
      <c r="F4" s="90" t="s">
        <v>850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Einheitenvorsätze!$C$2</f>
        <v>Einheiten-Vorsätze</v>
      </c>
      <c r="F5" s="70">
        <v>45758</v>
      </c>
      <c r="G5" s="71" t="str">
        <f ca="1">Geburtstagsliste!$C$2</f>
        <v>Geburtstagsliste für 2026</v>
      </c>
    </row>
    <row r="6" spans="2:7" x14ac:dyDescent="0.35">
      <c r="B6" s="70">
        <v>45730</v>
      </c>
      <c r="C6" s="71" t="str">
        <f>Flächenberechnungen!$C$2</f>
        <v>Flächenberechnungen</v>
      </c>
      <c r="D6" s="70">
        <v>45944</v>
      </c>
      <c r="E6" s="71" t="str">
        <f>'Elektronische Schaltzeichen'!$C$2</f>
        <v>Elektronische Schaltzeichen</v>
      </c>
    </row>
    <row r="7" spans="2:7" x14ac:dyDescent="0.35">
      <c r="B7" s="70">
        <v>46112</v>
      </c>
      <c r="C7" s="71" t="str">
        <f>Sinuskurve!C2</f>
        <v>Sinus-Kurve</v>
      </c>
      <c r="D7" s="70">
        <v>45932</v>
      </c>
      <c r="E7" s="71" t="str">
        <f>'Quelle mit Innenwiderstand'!$C$2</f>
        <v>Quelle mit Innenwiderstand</v>
      </c>
    </row>
    <row r="8" spans="2:7" x14ac:dyDescent="0.35">
      <c r="B8" s="70">
        <v>46002</v>
      </c>
      <c r="C8" s="71" t="str">
        <f>Sinus_Cosinus!$F$2</f>
        <v>Sinus / Cosinus / Tangens</v>
      </c>
      <c r="D8" s="70">
        <v>45799</v>
      </c>
      <c r="E8" s="71" t="str">
        <f>'Gemischte Schaltung'!$C$2</f>
        <v>Gemischte Schaltungen</v>
      </c>
    </row>
    <row r="9" spans="2:7" x14ac:dyDescent="0.35">
      <c r="B9" s="70">
        <v>45772</v>
      </c>
      <c r="C9" s="71" t="s">
        <v>331</v>
      </c>
      <c r="D9" s="70">
        <v>45998</v>
      </c>
      <c r="E9" s="71" t="str">
        <f>'LCR-Glieder'!$C$2</f>
        <v>RCL-Glieder (Serieschaltung) an Wechselspannung</v>
      </c>
    </row>
    <row r="10" spans="2:7" x14ac:dyDescent="0.35">
      <c r="B10" s="70">
        <v>45870</v>
      </c>
      <c r="C10" s="71" t="str">
        <f>VektorZeitbereich!$C$2</f>
        <v>Sinusförmige Signale im Zeitbereich / Vektoren</v>
      </c>
      <c r="D10" s="70">
        <v>46035</v>
      </c>
      <c r="E10" s="71" t="str">
        <f>'Kondensator an Gleichspannung'!$C$2</f>
        <v>Kondensator an Gleichspannung</v>
      </c>
    </row>
    <row r="11" spans="2:7" x14ac:dyDescent="0.35">
      <c r="B11" s="70">
        <v>45873</v>
      </c>
      <c r="C11" s="71" t="str">
        <f>Theoreme!$C$2</f>
        <v>Trigonometrischen Theoreme und Identitäten</v>
      </c>
      <c r="D11" s="70">
        <v>46107</v>
      </c>
      <c r="E11" s="71" t="str">
        <f>Magnetismus!$C$2</f>
        <v>Magnetismus</v>
      </c>
    </row>
    <row r="12" spans="2:7" x14ac:dyDescent="0.35">
      <c r="B12" s="70">
        <v>45873</v>
      </c>
      <c r="C12" s="71" t="str">
        <f>'Fläche eines Polygones'!$C$2</f>
        <v>Polygone-Fläche</v>
      </c>
    </row>
    <row r="13" spans="2:7" x14ac:dyDescent="0.35">
      <c r="B13" s="90"/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Scheinleistung!$C$2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Wechselstrom'!$C$2</f>
        <v>Leistung bei  ein-phasigem Wechselstrom</v>
      </c>
    </row>
    <row r="17" spans="2:5" x14ac:dyDescent="0.35">
      <c r="B17" s="90" t="s">
        <v>848</v>
      </c>
      <c r="D17" s="70">
        <v>45939</v>
      </c>
      <c r="E17" s="71" t="str">
        <f>'3-Phasenstrom'!$C$2</f>
        <v>3-Phasenstrom (Verkettete Spannung)</v>
      </c>
    </row>
    <row r="18" spans="2:5" x14ac:dyDescent="0.35">
      <c r="B18" s="70">
        <v>45979</v>
      </c>
      <c r="C18" s="71" t="str">
        <f>Kinematik_1!$C$2</f>
        <v>Kinematik I</v>
      </c>
      <c r="D18" s="70">
        <v>45870</v>
      </c>
      <c r="E18" s="71" t="str">
        <f>Fourierreihe!$C$2</f>
        <v>Fourierreihe</v>
      </c>
    </row>
    <row r="19" spans="2:5" x14ac:dyDescent="0.35">
      <c r="B19" s="70">
        <v>45998</v>
      </c>
      <c r="C19" s="71" t="str">
        <f>'Kinematik_1 (Weg-Zeit)'!$C$2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  <c r="D21" s="70">
        <v>46149</v>
      </c>
      <c r="E21" s="71" t="s">
        <v>937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(Weg-Zeit)'!$C$2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25" location="Schiefeebene!A1" display="Schiefe Ebene" xr:uid="{ED253B79-5E32-4C6D-BC31-035CD76A77DC}"/>
    <hyperlink ref="C8" location="Sinus_Cosinus!A1" display="Sinus/Cosinus/Tangens" xr:uid="{9C72A74A-3681-4E08-BF54-03C3D64D9F80}"/>
    <hyperlink ref="E17" location="'3-Phasenstrom'!A1" display="Verkettete Spannung (3-Phasenstrom)" xr:uid="{F0D6490D-D7FD-40F5-9193-AEF7266C201A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9" location="'LCR-Glieder'!A1" display="'LCR-Glieder'!A1" xr:uid="{1D94E871-4DC6-4C72-899A-E3ADEA3E8E24}"/>
    <hyperlink ref="E2" r:id="rId1" xr:uid="{E69BC930-8B74-47F4-A635-918B5B26A506}"/>
    <hyperlink ref="E10" location="'Kondensator an Gleichspannung'!A1" display="'Kondensator an Gleichspannung'!A1" xr:uid="{2C41B8A5-F5DB-4A56-99E8-E0A145E6BC8E}"/>
    <hyperlink ref="E11" location="Magnetismus!A1" display="Magnetismus!A1" xr:uid="{B9CDB35C-2ED3-48E0-8BDD-E2CB292D548B}"/>
    <hyperlink ref="C12" location="'Fläche eines Polygones'!A1" display="'Fläche eines Polygones'!A1" xr:uid="{FA6D782C-8632-4E5B-97A4-90B6A18392EC}"/>
    <hyperlink ref="C11" location="Theoreme!A1" display="Theoreme!A1" xr:uid="{0BE171A1-EFB5-45EC-AE54-5B69665FAB10}"/>
    <hyperlink ref="C10" location="VektorZeitbereich!A1" display="VektorZeitbereich!A1" xr:uid="{1D9A0842-7145-4C54-B55F-840F1885E41F}"/>
    <hyperlink ref="C9" location="Vektoroperationen!A1" display="Vektoroperationen" xr:uid="{898F9560-9AB3-43EE-B105-DB9C3B6E61A9}"/>
    <hyperlink ref="C7" location="Sinuskurve!A1" display="Sinuskurve!A1" xr:uid="{D84F2B6F-AC13-4931-92E4-9F7FB01FC8FF}"/>
    <hyperlink ref="E21" location="'Belasteter Spannungsteiler'!A1" display="Belasteter Spannungsteiler" xr:uid="{2D244AE8-6633-46BF-AB85-A7FE4F0DFABC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DF1E5-940D-4D56-BF48-9B90FA3EA2CE}">
  <dimension ref="B2:AM42"/>
  <sheetViews>
    <sheetView tabSelected="1" zoomScale="70" zoomScaleNormal="70" workbookViewId="0">
      <selection activeCell="I15" sqref="I15"/>
    </sheetView>
  </sheetViews>
  <sheetFormatPr baseColWidth="10" defaultRowHeight="14.5" x14ac:dyDescent="0.35"/>
  <cols>
    <col min="3" max="3" width="13.08984375" customWidth="1"/>
    <col min="8" max="8" width="15.453125" customWidth="1"/>
    <col min="12" max="12" width="17.90625" customWidth="1"/>
    <col min="14" max="14" width="4.08984375" customWidth="1"/>
    <col min="15" max="15" width="6.1796875" customWidth="1"/>
    <col min="18" max="18" width="20" customWidth="1"/>
  </cols>
  <sheetData>
    <row r="2" spans="3:23" ht="23.5" x14ac:dyDescent="0.55000000000000004">
      <c r="C2" s="9" t="s">
        <v>937</v>
      </c>
    </row>
    <row r="7" spans="3:23" ht="16.5" x14ac:dyDescent="0.45">
      <c r="H7" s="5" t="s">
        <v>938</v>
      </c>
      <c r="K7" s="5" t="s">
        <v>881</v>
      </c>
      <c r="L7" s="8" t="s">
        <v>942</v>
      </c>
      <c r="M7" s="4">
        <v>1</v>
      </c>
      <c r="N7" s="4" t="s">
        <v>698</v>
      </c>
      <c r="O7" s="5" t="str">
        <f>Einheitenvorsätze!$B$61</f>
        <v>Ω</v>
      </c>
      <c r="P7" s="77">
        <f>VLOOKUP(N7, CHOOSE({1,2,3,4,5}, Einheitenvorsätze!A:A, Einheitenvorsätze!B:B, Einheitenvorsätze!C:C, Einheitenvorsätze!D:D, Einheitenvorsätze!E:E), 5, FALSE)</f>
        <v>3</v>
      </c>
      <c r="Q7" s="77">
        <f>M7*VLOOKUP(N7, CHOOSE({1,2,3,4}, Einheitenvorsätze!A:A, Einheitenvorsätze!B:B, Einheitenvorsätze!C:C, Einheitenvorsätze!D:D), 3, FALSE)</f>
        <v>1000</v>
      </c>
      <c r="R7" s="8" t="s">
        <v>954</v>
      </c>
      <c r="S7" s="4">
        <v>2.4</v>
      </c>
      <c r="T7" s="4" t="s">
        <v>698</v>
      </c>
      <c r="U7" s="5" t="str">
        <f>Einheitenvorsätze!$B$61</f>
        <v>Ω</v>
      </c>
      <c r="V7" s="77">
        <f>VLOOKUP(T7, CHOOSE({1,2,3,4,5}, Einheitenvorsätze!A:A, Einheitenvorsätze!B:B, Einheitenvorsätze!C:C, Einheitenvorsätze!D:D, Einheitenvorsätze!E:E), 5, FALSE)</f>
        <v>3</v>
      </c>
      <c r="W7" s="77">
        <f>S7*VLOOKUP(T7, CHOOSE({1,2,3,4}, Einheitenvorsätze!A:A, Einheitenvorsätze!B:B, Einheitenvorsätze!C:C, Einheitenvorsätze!D:D), 3, FALSE)</f>
        <v>2400</v>
      </c>
    </row>
    <row r="8" spans="3:23" ht="16.5" x14ac:dyDescent="0.45">
      <c r="H8" s="5"/>
      <c r="K8" s="5"/>
      <c r="L8" s="8" t="s">
        <v>943</v>
      </c>
      <c r="M8" s="4">
        <v>3</v>
      </c>
      <c r="N8" s="4" t="s">
        <v>698</v>
      </c>
      <c r="O8" s="5" t="str">
        <f>Einheitenvorsätze!$B$61</f>
        <v>Ω</v>
      </c>
      <c r="P8" s="77">
        <f>VLOOKUP(N8, CHOOSE({1,2,3,4,5}, Einheitenvorsätze!A:A, Einheitenvorsätze!B:B, Einheitenvorsätze!C:C, Einheitenvorsätze!D:D, Einheitenvorsätze!E:E), 5, FALSE)</f>
        <v>3</v>
      </c>
      <c r="Q8" s="77">
        <f>M8*VLOOKUP(N8, CHOOSE({1,2,3,4}, Einheitenvorsätze!A:A, Einheitenvorsätze!B:B, Einheitenvorsätze!C:C, Einheitenvorsätze!D:D), 3, FALSE)</f>
        <v>3000</v>
      </c>
      <c r="R8" s="8" t="s">
        <v>955</v>
      </c>
      <c r="S8" s="4">
        <v>7.2</v>
      </c>
      <c r="T8" s="4" t="s">
        <v>698</v>
      </c>
      <c r="U8" s="5" t="str">
        <f>Einheitenvorsätze!$B$61</f>
        <v>Ω</v>
      </c>
      <c r="V8" s="77">
        <f>VLOOKUP(T8, CHOOSE({1,2,3,4,5}, Einheitenvorsätze!A:A, Einheitenvorsätze!B:B, Einheitenvorsätze!C:C, Einheitenvorsätze!D:D, Einheitenvorsätze!E:E), 5, FALSE)</f>
        <v>3</v>
      </c>
      <c r="W8" s="77">
        <f>S8*VLOOKUP(T8, CHOOSE({1,2,3,4}, Einheitenvorsätze!A:A, Einheitenvorsätze!B:B, Einheitenvorsätze!C:C, Einheitenvorsätze!D:D), 3, FALSE)</f>
        <v>7200</v>
      </c>
    </row>
    <row r="9" spans="3:23" ht="16.5" x14ac:dyDescent="0.45">
      <c r="H9" s="502" t="s">
        <v>939</v>
      </c>
      <c r="K9" s="5"/>
      <c r="L9" s="8" t="s">
        <v>944</v>
      </c>
      <c r="M9" s="4">
        <v>3</v>
      </c>
      <c r="N9" s="4" t="s">
        <v>698</v>
      </c>
      <c r="O9" s="5" t="str">
        <f>Einheitenvorsätze!$B$61</f>
        <v>Ω</v>
      </c>
      <c r="P9" s="77">
        <f>VLOOKUP(N9, CHOOSE({1,2,3,4,5}, Einheitenvorsätze!A:A, Einheitenvorsätze!B:B, Einheitenvorsätze!C:C, Einheitenvorsätze!D:D, Einheitenvorsätze!E:E), 5, FALSE)</f>
        <v>3</v>
      </c>
      <c r="Q9" s="77">
        <f>M9*VLOOKUP(N9, CHOOSE({1,2,3,4}, Einheitenvorsätze!A:A, Einheitenvorsätze!B:B, Einheitenvorsätze!C:C, Einheitenvorsätze!D:D), 3, FALSE)</f>
        <v>3000</v>
      </c>
    </row>
    <row r="10" spans="3:23" ht="16.5" x14ac:dyDescent="0.45">
      <c r="H10" s="502" t="s">
        <v>940</v>
      </c>
      <c r="K10" s="5"/>
      <c r="L10" s="8" t="s">
        <v>945</v>
      </c>
      <c r="M10" s="4">
        <v>12</v>
      </c>
      <c r="N10" s="4" t="s">
        <v>707</v>
      </c>
      <c r="O10" s="5" t="s">
        <v>320</v>
      </c>
      <c r="P10" s="77">
        <f>VLOOKUP(N10, CHOOSE({1,2,3,4,5}, Einheitenvorsätze!A:A, Einheitenvorsätze!B:B, Einheitenvorsätze!C:C, Einheitenvorsätze!D:D, Einheitenvorsätze!E:E), 5, FALSE)</f>
        <v>0</v>
      </c>
      <c r="Q10" s="77">
        <f>M10*VLOOKUP(N10, CHOOSE({1,2,3,4}, Einheitenvorsätze!A:A, Einheitenvorsätze!B:B, Einheitenvorsätze!C:C, Einheitenvorsätze!D:D), 3, FALSE)</f>
        <v>12</v>
      </c>
    </row>
    <row r="11" spans="3:23" ht="16.5" x14ac:dyDescent="0.45">
      <c r="H11" s="5"/>
      <c r="L11" s="496" t="s">
        <v>956</v>
      </c>
      <c r="M11" s="5"/>
      <c r="N11" s="5"/>
      <c r="O11" s="5"/>
      <c r="P11" s="5"/>
      <c r="Q11" s="77">
        <f>Q7/Q8</f>
        <v>0.33333333333333331</v>
      </c>
      <c r="R11" s="496" t="s">
        <v>957</v>
      </c>
      <c r="S11" s="5"/>
      <c r="T11" s="5"/>
      <c r="U11" s="5"/>
      <c r="V11" s="5"/>
      <c r="W11" s="77">
        <f>W7/W8</f>
        <v>0.33333333333333331</v>
      </c>
    </row>
    <row r="12" spans="3:23" ht="16.5" x14ac:dyDescent="0.45">
      <c r="H12" s="298" t="s">
        <v>941</v>
      </c>
      <c r="L12" s="496" t="s">
        <v>960</v>
      </c>
      <c r="M12" s="5"/>
      <c r="N12" s="5"/>
      <c r="O12" s="5"/>
      <c r="P12" s="5"/>
      <c r="Q12" s="77">
        <f>1-Q7/(Q7+Q8)</f>
        <v>0.75</v>
      </c>
      <c r="R12" s="496" t="s">
        <v>960</v>
      </c>
      <c r="S12" s="5"/>
      <c r="T12" s="5"/>
      <c r="U12" s="5"/>
      <c r="V12" s="5"/>
      <c r="W12" s="77">
        <f>1-W7/(W7+W8)</f>
        <v>0.75</v>
      </c>
    </row>
    <row r="13" spans="3:23" ht="16.5" x14ac:dyDescent="0.45">
      <c r="L13" s="496" t="s">
        <v>961</v>
      </c>
      <c r="M13" s="5"/>
      <c r="N13" s="5"/>
      <c r="O13" s="5"/>
      <c r="P13" s="5"/>
      <c r="Q13" s="77">
        <f>$M$10*Q12</f>
        <v>9</v>
      </c>
      <c r="R13" s="496" t="s">
        <v>961</v>
      </c>
      <c r="S13" s="5"/>
      <c r="T13" s="5"/>
      <c r="U13" s="5"/>
      <c r="V13" s="5"/>
      <c r="W13" s="77">
        <f>$M$10*W12</f>
        <v>9</v>
      </c>
    </row>
    <row r="14" spans="3:23" ht="16.5" x14ac:dyDescent="0.45">
      <c r="K14" s="8" t="s">
        <v>946</v>
      </c>
      <c r="L14" s="95" t="s">
        <v>947</v>
      </c>
      <c r="M14" s="77">
        <f>Q7 + (1/(1/Q8 + 1/Q9))</f>
        <v>2500</v>
      </c>
      <c r="N14" s="495" t="str">
        <f>Einheitenvorsätze!$B$61</f>
        <v>Ω</v>
      </c>
    </row>
    <row r="15" spans="3:23" ht="16.5" x14ac:dyDescent="0.45">
      <c r="K15" s="292" t="s">
        <v>948</v>
      </c>
      <c r="L15" s="95" t="s">
        <v>949</v>
      </c>
      <c r="M15" s="77">
        <f>Q10/M14</f>
        <v>4.7999999999999996E-3</v>
      </c>
      <c r="N15" s="495" t="s">
        <v>38</v>
      </c>
    </row>
    <row r="16" spans="3:23" ht="16.5" x14ac:dyDescent="0.45">
      <c r="K16" s="293" t="s">
        <v>950</v>
      </c>
      <c r="L16" s="95" t="s">
        <v>951</v>
      </c>
      <c r="M16" s="77">
        <f>Q7*M15</f>
        <v>4.8</v>
      </c>
      <c r="N16" s="495" t="s">
        <v>320</v>
      </c>
    </row>
    <row r="17" spans="2:39" ht="16.5" x14ac:dyDescent="0.45">
      <c r="K17" s="293" t="s">
        <v>952</v>
      </c>
      <c r="L17" s="95" t="s">
        <v>953</v>
      </c>
      <c r="M17" s="77">
        <f>Q10-M16</f>
        <v>7.2</v>
      </c>
      <c r="N17" s="495" t="s">
        <v>320</v>
      </c>
    </row>
    <row r="26" spans="2:39" x14ac:dyDescent="0.35">
      <c r="C26" s="8" t="s">
        <v>317</v>
      </c>
      <c r="D26" s="4">
        <v>1</v>
      </c>
      <c r="E26" s="4" t="s">
        <v>698</v>
      </c>
      <c r="F26" s="77">
        <f>$D$26*VLOOKUP(E26, CHOOSE({1,2,3,4}, Einheitenvorsätze!A:A, Einheitenvorsätze!B:B, Einheitenvorsätze!C:C, Einheitenvorsätze!D:D), 3, FALSE)</f>
        <v>1000</v>
      </c>
    </row>
    <row r="27" spans="2:39" ht="16.5" x14ac:dyDescent="0.45">
      <c r="B27" s="5"/>
      <c r="C27" s="8" t="s">
        <v>944</v>
      </c>
      <c r="D27" s="4">
        <v>100</v>
      </c>
      <c r="E27" s="77">
        <f>D27+$F$26</f>
        <v>1100</v>
      </c>
      <c r="F27" s="77">
        <f t="shared" ref="F27:AM27" si="0">E27+$F$26</f>
        <v>2100</v>
      </c>
      <c r="G27" s="77">
        <f t="shared" si="0"/>
        <v>3100</v>
      </c>
      <c r="H27" s="77">
        <f t="shared" si="0"/>
        <v>4100</v>
      </c>
      <c r="I27" s="77">
        <f t="shared" si="0"/>
        <v>5100</v>
      </c>
      <c r="J27" s="77">
        <f t="shared" si="0"/>
        <v>6100</v>
      </c>
      <c r="K27" s="77">
        <f t="shared" si="0"/>
        <v>7100</v>
      </c>
      <c r="L27" s="77">
        <f t="shared" si="0"/>
        <v>8100</v>
      </c>
      <c r="M27" s="77">
        <f t="shared" si="0"/>
        <v>9100</v>
      </c>
      <c r="N27" s="77">
        <f t="shared" si="0"/>
        <v>10100</v>
      </c>
      <c r="O27" s="77">
        <f t="shared" si="0"/>
        <v>11100</v>
      </c>
      <c r="P27" s="77">
        <f t="shared" si="0"/>
        <v>12100</v>
      </c>
      <c r="Q27" s="77">
        <f t="shared" si="0"/>
        <v>13100</v>
      </c>
      <c r="R27" s="77">
        <f t="shared" si="0"/>
        <v>14100</v>
      </c>
      <c r="S27" s="77">
        <f t="shared" si="0"/>
        <v>15100</v>
      </c>
      <c r="T27" s="77">
        <f t="shared" si="0"/>
        <v>16100</v>
      </c>
      <c r="U27" s="77">
        <f t="shared" si="0"/>
        <v>17100</v>
      </c>
      <c r="V27" s="77">
        <f t="shared" si="0"/>
        <v>18100</v>
      </c>
      <c r="W27" s="77">
        <f t="shared" si="0"/>
        <v>19100</v>
      </c>
      <c r="X27" s="77">
        <f t="shared" si="0"/>
        <v>20100</v>
      </c>
      <c r="Y27" s="77">
        <f t="shared" si="0"/>
        <v>21100</v>
      </c>
      <c r="Z27" s="77">
        <f t="shared" si="0"/>
        <v>22100</v>
      </c>
      <c r="AA27" s="77">
        <f t="shared" si="0"/>
        <v>23100</v>
      </c>
      <c r="AB27" s="77">
        <f t="shared" si="0"/>
        <v>24100</v>
      </c>
      <c r="AC27" s="77">
        <f t="shared" si="0"/>
        <v>25100</v>
      </c>
      <c r="AD27" s="77">
        <f t="shared" si="0"/>
        <v>26100</v>
      </c>
      <c r="AE27" s="77">
        <f t="shared" si="0"/>
        <v>27100</v>
      </c>
      <c r="AF27" s="77">
        <f t="shared" si="0"/>
        <v>28100</v>
      </c>
      <c r="AG27" s="77">
        <f t="shared" si="0"/>
        <v>29100</v>
      </c>
      <c r="AH27" s="77">
        <f t="shared" si="0"/>
        <v>30100</v>
      </c>
      <c r="AI27" s="77">
        <f t="shared" si="0"/>
        <v>31100</v>
      </c>
      <c r="AJ27" s="77">
        <f t="shared" si="0"/>
        <v>32100</v>
      </c>
      <c r="AK27" s="77">
        <f t="shared" si="0"/>
        <v>33100</v>
      </c>
      <c r="AL27" s="77">
        <f t="shared" si="0"/>
        <v>34100</v>
      </c>
      <c r="AM27" s="77">
        <f t="shared" si="0"/>
        <v>35100</v>
      </c>
    </row>
    <row r="28" spans="2:39" ht="16.5" x14ac:dyDescent="0.45">
      <c r="B28" s="8" t="s">
        <v>946</v>
      </c>
      <c r="C28" s="95" t="s">
        <v>947</v>
      </c>
      <c r="D28" s="212">
        <f>$Q$7 + (1/(1/$Q$8 + 1/D27))</f>
        <v>1096.7741935483871</v>
      </c>
      <c r="E28" s="212">
        <f t="shared" ref="E28:H28" si="1">$Q$7 + (1/(1/$Q$8 + 1/E27))</f>
        <v>1804.8780487804879</v>
      </c>
      <c r="F28" s="212">
        <f t="shared" si="1"/>
        <v>2235.294117647059</v>
      </c>
      <c r="G28" s="212">
        <f t="shared" si="1"/>
        <v>2524.5901639344265</v>
      </c>
      <c r="H28" s="212">
        <f t="shared" si="1"/>
        <v>2732.3943661971834</v>
      </c>
      <c r="I28" s="212">
        <f t="shared" ref="I28" si="2">$Q$7 + (1/(1/$Q$8 + 1/I27))</f>
        <v>2888.8888888888891</v>
      </c>
      <c r="J28" s="212">
        <f t="shared" ref="J28" si="3">$Q$7 + (1/(1/$Q$8 + 1/J27))</f>
        <v>3010.9890109890111</v>
      </c>
      <c r="K28" s="212">
        <f t="shared" ref="K28:L28" si="4">$Q$7 + (1/(1/$Q$8 + 1/K27))</f>
        <v>3108.9108910891091</v>
      </c>
      <c r="L28" s="212">
        <f t="shared" si="4"/>
        <v>3189.1891891891892</v>
      </c>
      <c r="M28" s="212">
        <f t="shared" ref="M28" si="5">$Q$7 + (1/(1/$Q$8 + 1/M27))</f>
        <v>3256.1983471074382</v>
      </c>
      <c r="N28" s="212">
        <f t="shared" ref="N28" si="6">$Q$7 + (1/(1/$Q$8 + 1/N27))</f>
        <v>3312.9770992366412</v>
      </c>
      <c r="O28" s="212">
        <f t="shared" ref="O28:P28" si="7">$Q$7 + (1/(1/$Q$8 + 1/O27))</f>
        <v>3361.7021276595747</v>
      </c>
      <c r="P28" s="212">
        <f t="shared" si="7"/>
        <v>3403.9735099337749</v>
      </c>
      <c r="Q28" s="212">
        <f t="shared" ref="Q28" si="8">$Q$7 + (1/(1/$Q$8 + 1/Q27))</f>
        <v>3440.993788819876</v>
      </c>
      <c r="R28" s="212">
        <f t="shared" ref="R28" si="9">$Q$7 + (1/(1/$Q$8 + 1/R27))</f>
        <v>3473.6842105263158</v>
      </c>
      <c r="S28" s="212">
        <f t="shared" ref="S28:T28" si="10">$Q$7 + (1/(1/$Q$8 + 1/S27))</f>
        <v>3502.7624309392268</v>
      </c>
      <c r="T28" s="212">
        <f t="shared" si="10"/>
        <v>3528.7958115183246</v>
      </c>
      <c r="U28" s="212">
        <f t="shared" ref="U28" si="11">$Q$7 + (1/(1/$Q$8 + 1/U27))</f>
        <v>3552.2388059701493</v>
      </c>
      <c r="V28" s="212">
        <f t="shared" ref="V28" si="12">$Q$7 + (1/(1/$Q$8 + 1/V27))</f>
        <v>3573.4597156398104</v>
      </c>
      <c r="W28" s="212">
        <f t="shared" ref="W28:X28" si="13">$Q$7 + (1/(1/$Q$8 + 1/W27))</f>
        <v>3592.7601809954754</v>
      </c>
      <c r="X28" s="212">
        <f t="shared" si="13"/>
        <v>3610.3896103896104</v>
      </c>
      <c r="Y28" s="212">
        <f t="shared" ref="Y28" si="14">$Q$7 + (1/(1/$Q$8 + 1/Y27))</f>
        <v>3626.5560165975103</v>
      </c>
      <c r="Z28" s="212">
        <f t="shared" ref="Z28" si="15">$Q$7 + (1/(1/$Q$8 + 1/Z27))</f>
        <v>3641.4342629482071</v>
      </c>
      <c r="AA28" s="212">
        <f t="shared" ref="AA28:AB28" si="16">$Q$7 + (1/(1/$Q$8 + 1/AA27))</f>
        <v>3655.1724137931037</v>
      </c>
      <c r="AB28" s="212">
        <f t="shared" si="16"/>
        <v>3667.8966789667898</v>
      </c>
      <c r="AC28" s="212">
        <f t="shared" ref="AC28" si="17">$Q$7 + (1/(1/$Q$8 + 1/AC27))</f>
        <v>3679.7153024911031</v>
      </c>
      <c r="AD28" s="212">
        <f t="shared" ref="AD28" si="18">$Q$7 + (1/(1/$Q$8 + 1/AD27))</f>
        <v>3690.7216494845361</v>
      </c>
      <c r="AE28" s="212">
        <f t="shared" ref="AE28:AF28" si="19">$Q$7 + (1/(1/$Q$8 + 1/AE27))</f>
        <v>3700.996677740864</v>
      </c>
      <c r="AF28" s="212">
        <f t="shared" si="19"/>
        <v>3710.6109324758845</v>
      </c>
      <c r="AG28" s="212">
        <f t="shared" ref="AG28" si="20">$Q$7 + (1/(1/$Q$8 + 1/AG27))</f>
        <v>3719.6261682242994</v>
      </c>
      <c r="AH28" s="212">
        <f t="shared" ref="AH28" si="21">$Q$7 + (1/(1/$Q$8 + 1/AH27))</f>
        <v>3728.0966767371601</v>
      </c>
      <c r="AI28" s="212">
        <f t="shared" ref="AI28:AJ28" si="22">$Q$7 + (1/(1/$Q$8 + 1/AI27))</f>
        <v>3736.0703812316719</v>
      </c>
      <c r="AJ28" s="212">
        <f t="shared" si="22"/>
        <v>3743.5897435897436</v>
      </c>
      <c r="AK28" s="212">
        <f t="shared" ref="AK28" si="23">$Q$7 + (1/(1/$Q$8 + 1/AK27))</f>
        <v>3750.6925207756235</v>
      </c>
      <c r="AL28" s="212">
        <f t="shared" ref="AL28" si="24">$Q$7 + (1/(1/$Q$8 + 1/AL27))</f>
        <v>3757.4123989218328</v>
      </c>
      <c r="AM28" s="212">
        <f t="shared" ref="AM28" si="25">$Q$7 + (1/(1/$Q$8 + 1/AM27))</f>
        <v>3763.7795275590552</v>
      </c>
    </row>
    <row r="29" spans="2:39" ht="16.5" x14ac:dyDescent="0.45">
      <c r="B29" s="292" t="s">
        <v>948</v>
      </c>
      <c r="C29" s="95" t="s">
        <v>949</v>
      </c>
      <c r="D29" s="212">
        <f>$Q$10/D28</f>
        <v>1.0941176470588235E-2</v>
      </c>
      <c r="E29" s="212">
        <f t="shared" ref="E29:AM29" si="26">$Q$10/E28</f>
        <v>6.6486486486486479E-3</v>
      </c>
      <c r="F29" s="212">
        <f t="shared" si="26"/>
        <v>5.3684210526315787E-3</v>
      </c>
      <c r="G29" s="212">
        <f t="shared" si="26"/>
        <v>4.7532467532467523E-3</v>
      </c>
      <c r="H29" s="212">
        <f t="shared" si="26"/>
        <v>4.3917525773195867E-3</v>
      </c>
      <c r="I29" s="212">
        <f t="shared" si="26"/>
        <v>4.1538461538461538E-3</v>
      </c>
      <c r="J29" s="212">
        <f t="shared" si="26"/>
        <v>3.9854014598540146E-3</v>
      </c>
      <c r="K29" s="212">
        <f t="shared" si="26"/>
        <v>3.8598726114649679E-3</v>
      </c>
      <c r="L29" s="212">
        <f t="shared" si="26"/>
        <v>3.7627118644067798E-3</v>
      </c>
      <c r="M29" s="212">
        <f t="shared" si="26"/>
        <v>3.6852791878172588E-3</v>
      </c>
      <c r="N29" s="212">
        <f t="shared" si="26"/>
        <v>3.6221198156682027E-3</v>
      </c>
      <c r="O29" s="212">
        <f t="shared" si="26"/>
        <v>3.5696202531645569E-3</v>
      </c>
      <c r="P29" s="212">
        <f t="shared" si="26"/>
        <v>3.5252918287937743E-3</v>
      </c>
      <c r="Q29" s="212">
        <f t="shared" si="26"/>
        <v>3.4873646209386279E-3</v>
      </c>
      <c r="R29" s="212">
        <f t="shared" si="26"/>
        <v>3.4545454545454545E-3</v>
      </c>
      <c r="S29" s="212">
        <f t="shared" si="26"/>
        <v>3.4258675078864351E-3</v>
      </c>
      <c r="T29" s="212">
        <f t="shared" si="26"/>
        <v>3.4005934718100892E-3</v>
      </c>
      <c r="U29" s="212">
        <f t="shared" si="26"/>
        <v>3.3781512605042018E-3</v>
      </c>
      <c r="V29" s="212">
        <f t="shared" si="26"/>
        <v>3.3580901856763924E-3</v>
      </c>
      <c r="W29" s="212">
        <f t="shared" si="26"/>
        <v>3.3400503778337528E-3</v>
      </c>
      <c r="X29" s="212">
        <f t="shared" si="26"/>
        <v>3.3237410071942446E-3</v>
      </c>
      <c r="Y29" s="212">
        <f t="shared" si="26"/>
        <v>3.3089244851258583E-3</v>
      </c>
      <c r="Z29" s="212">
        <f t="shared" si="26"/>
        <v>3.2954048140043765E-3</v>
      </c>
      <c r="AA29" s="212">
        <f t="shared" si="26"/>
        <v>3.2830188679245282E-3</v>
      </c>
      <c r="AB29" s="212">
        <f t="shared" si="26"/>
        <v>3.2716297786720321E-3</v>
      </c>
      <c r="AC29" s="212">
        <f t="shared" si="26"/>
        <v>3.2611218568665379E-3</v>
      </c>
      <c r="AD29" s="212">
        <f t="shared" si="26"/>
        <v>3.2513966480446927E-3</v>
      </c>
      <c r="AE29" s="212">
        <f t="shared" si="26"/>
        <v>3.2423698384201074E-3</v>
      </c>
      <c r="AF29" s="212">
        <f t="shared" si="26"/>
        <v>3.233968804159445E-3</v>
      </c>
      <c r="AG29" s="212">
        <f t="shared" si="26"/>
        <v>3.2261306532663315E-3</v>
      </c>
      <c r="AH29" s="212">
        <f t="shared" si="26"/>
        <v>3.2188006482982172E-3</v>
      </c>
      <c r="AI29" s="212">
        <f t="shared" si="26"/>
        <v>3.2119309262166403E-3</v>
      </c>
      <c r="AJ29" s="212">
        <f t="shared" si="26"/>
        <v>3.2054794520547944E-3</v>
      </c>
      <c r="AK29" s="212">
        <f t="shared" si="26"/>
        <v>3.1994091580502212E-3</v>
      </c>
      <c r="AL29" s="212">
        <f t="shared" si="26"/>
        <v>3.1936872309899569E-3</v>
      </c>
      <c r="AM29" s="212">
        <f t="shared" si="26"/>
        <v>3.188284518828452E-3</v>
      </c>
    </row>
    <row r="30" spans="2:39" ht="16.5" x14ac:dyDescent="0.45">
      <c r="B30" s="293" t="s">
        <v>950</v>
      </c>
      <c r="C30" s="95" t="s">
        <v>951</v>
      </c>
      <c r="D30" s="212">
        <f>$Q$7*D29</f>
        <v>10.941176470588236</v>
      </c>
      <c r="E30" s="212">
        <f t="shared" ref="E30:AM30" si="27">$Q$7*E29</f>
        <v>6.6486486486486482</v>
      </c>
      <c r="F30" s="212">
        <f t="shared" si="27"/>
        <v>5.3684210526315788</v>
      </c>
      <c r="G30" s="212">
        <f t="shared" si="27"/>
        <v>4.7532467532467519</v>
      </c>
      <c r="H30" s="212">
        <f t="shared" si="27"/>
        <v>4.3917525773195871</v>
      </c>
      <c r="I30" s="212">
        <f t="shared" si="27"/>
        <v>4.1538461538461542</v>
      </c>
      <c r="J30" s="212">
        <f t="shared" si="27"/>
        <v>3.9854014598540148</v>
      </c>
      <c r="K30" s="212">
        <f t="shared" si="27"/>
        <v>3.8598726114649677</v>
      </c>
      <c r="L30" s="212">
        <f t="shared" si="27"/>
        <v>3.7627118644067798</v>
      </c>
      <c r="M30" s="212">
        <f t="shared" si="27"/>
        <v>3.6852791878172586</v>
      </c>
      <c r="N30" s="212">
        <f t="shared" si="27"/>
        <v>3.6221198156682028</v>
      </c>
      <c r="O30" s="212">
        <f t="shared" si="27"/>
        <v>3.5696202531645569</v>
      </c>
      <c r="P30" s="212">
        <f t="shared" si="27"/>
        <v>3.5252918287937742</v>
      </c>
      <c r="Q30" s="212">
        <f t="shared" si="27"/>
        <v>3.487364620938628</v>
      </c>
      <c r="R30" s="212">
        <f t="shared" si="27"/>
        <v>3.4545454545454546</v>
      </c>
      <c r="S30" s="212">
        <f t="shared" si="27"/>
        <v>3.4258675078864353</v>
      </c>
      <c r="T30" s="212">
        <f t="shared" si="27"/>
        <v>3.400593471810089</v>
      </c>
      <c r="U30" s="212">
        <f t="shared" si="27"/>
        <v>3.3781512605042017</v>
      </c>
      <c r="V30" s="212">
        <f t="shared" si="27"/>
        <v>3.3580901856763923</v>
      </c>
      <c r="W30" s="212">
        <f t="shared" si="27"/>
        <v>3.3400503778337529</v>
      </c>
      <c r="X30" s="212">
        <f t="shared" si="27"/>
        <v>3.3237410071942448</v>
      </c>
      <c r="Y30" s="212">
        <f t="shared" si="27"/>
        <v>3.3089244851258584</v>
      </c>
      <c r="Z30" s="212">
        <f t="shared" si="27"/>
        <v>3.2954048140043763</v>
      </c>
      <c r="AA30" s="212">
        <f t="shared" si="27"/>
        <v>3.283018867924528</v>
      </c>
      <c r="AB30" s="212">
        <f t="shared" si="27"/>
        <v>3.2716297786720321</v>
      </c>
      <c r="AC30" s="212">
        <f t="shared" si="27"/>
        <v>3.2611218568665379</v>
      </c>
      <c r="AD30" s="212">
        <f t="shared" si="27"/>
        <v>3.2513966480446927</v>
      </c>
      <c r="AE30" s="212">
        <f t="shared" si="27"/>
        <v>3.2423698384201072</v>
      </c>
      <c r="AF30" s="212">
        <f t="shared" si="27"/>
        <v>3.2339688041594452</v>
      </c>
      <c r="AG30" s="212">
        <f t="shared" si="27"/>
        <v>3.2261306532663316</v>
      </c>
      <c r="AH30" s="212">
        <f t="shared" si="27"/>
        <v>3.2188006482982172</v>
      </c>
      <c r="AI30" s="212">
        <f t="shared" si="27"/>
        <v>3.2119309262166404</v>
      </c>
      <c r="AJ30" s="212">
        <f t="shared" si="27"/>
        <v>3.2054794520547945</v>
      </c>
      <c r="AK30" s="212">
        <f t="shared" si="27"/>
        <v>3.1994091580502211</v>
      </c>
      <c r="AL30" s="212">
        <f t="shared" si="27"/>
        <v>3.1936872309899571</v>
      </c>
      <c r="AM30" s="212">
        <f t="shared" si="27"/>
        <v>3.1882845188284521</v>
      </c>
    </row>
    <row r="31" spans="2:39" ht="16.5" x14ac:dyDescent="0.45">
      <c r="B31" s="293" t="s">
        <v>952</v>
      </c>
      <c r="C31" s="95" t="s">
        <v>953</v>
      </c>
      <c r="D31" s="212">
        <f>$Q$10-D30</f>
        <v>1.0588235294117645</v>
      </c>
      <c r="E31" s="212">
        <f t="shared" ref="E31:AM31" si="28">$Q$10-E30</f>
        <v>5.3513513513513518</v>
      </c>
      <c r="F31" s="212">
        <f t="shared" si="28"/>
        <v>6.6315789473684212</v>
      </c>
      <c r="G31" s="212">
        <f t="shared" si="28"/>
        <v>7.2467532467532481</v>
      </c>
      <c r="H31" s="212">
        <f t="shared" si="28"/>
        <v>7.6082474226804129</v>
      </c>
      <c r="I31" s="212">
        <f t="shared" si="28"/>
        <v>7.8461538461538458</v>
      </c>
      <c r="J31" s="212">
        <f t="shared" si="28"/>
        <v>8.014598540145986</v>
      </c>
      <c r="K31" s="212">
        <f t="shared" si="28"/>
        <v>8.1401273885350314</v>
      </c>
      <c r="L31" s="212">
        <f t="shared" si="28"/>
        <v>8.2372881355932197</v>
      </c>
      <c r="M31" s="212">
        <f t="shared" si="28"/>
        <v>8.3147208121827418</v>
      </c>
      <c r="N31" s="212">
        <f t="shared" si="28"/>
        <v>8.3778801843317972</v>
      </c>
      <c r="O31" s="212">
        <f t="shared" si="28"/>
        <v>8.4303797468354436</v>
      </c>
      <c r="P31" s="212">
        <f t="shared" si="28"/>
        <v>8.4747081712062258</v>
      </c>
      <c r="Q31" s="212">
        <f t="shared" si="28"/>
        <v>8.512635379061372</v>
      </c>
      <c r="R31" s="212">
        <f t="shared" si="28"/>
        <v>8.545454545454545</v>
      </c>
      <c r="S31" s="212">
        <f t="shared" si="28"/>
        <v>8.5741324921135647</v>
      </c>
      <c r="T31" s="212">
        <f t="shared" si="28"/>
        <v>8.5994065281899115</v>
      </c>
      <c r="U31" s="212">
        <f t="shared" si="28"/>
        <v>8.6218487394957979</v>
      </c>
      <c r="V31" s="212">
        <f t="shared" si="28"/>
        <v>8.6419098143236077</v>
      </c>
      <c r="W31" s="212">
        <f t="shared" si="28"/>
        <v>8.6599496221662466</v>
      </c>
      <c r="X31" s="212">
        <f t="shared" si="28"/>
        <v>8.6762589928057547</v>
      </c>
      <c r="Y31" s="212">
        <f t="shared" si="28"/>
        <v>8.6910755148741412</v>
      </c>
      <c r="Z31" s="212">
        <f t="shared" si="28"/>
        <v>8.7045951859956237</v>
      </c>
      <c r="AA31" s="212">
        <f t="shared" si="28"/>
        <v>8.7169811320754711</v>
      </c>
      <c r="AB31" s="212">
        <f t="shared" si="28"/>
        <v>8.7283702213279675</v>
      </c>
      <c r="AC31" s="212">
        <f t="shared" si="28"/>
        <v>8.7388781431334621</v>
      </c>
      <c r="AD31" s="212">
        <f t="shared" si="28"/>
        <v>8.7486033519553068</v>
      </c>
      <c r="AE31" s="212">
        <f t="shared" si="28"/>
        <v>8.7576301615798933</v>
      </c>
      <c r="AF31" s="212">
        <f t="shared" si="28"/>
        <v>8.7660311958405543</v>
      </c>
      <c r="AG31" s="212">
        <f t="shared" si="28"/>
        <v>8.7738693467336688</v>
      </c>
      <c r="AH31" s="212">
        <f t="shared" si="28"/>
        <v>8.7811993517017832</v>
      </c>
      <c r="AI31" s="212">
        <f t="shared" si="28"/>
        <v>8.78806907378336</v>
      </c>
      <c r="AJ31" s="212">
        <f t="shared" si="28"/>
        <v>8.794520547945206</v>
      </c>
      <c r="AK31" s="212">
        <f t="shared" si="28"/>
        <v>8.8005908419497789</v>
      </c>
      <c r="AL31" s="212">
        <f t="shared" si="28"/>
        <v>8.8063127690100433</v>
      </c>
      <c r="AM31" s="212">
        <f t="shared" si="28"/>
        <v>8.8117154811715483</v>
      </c>
    </row>
    <row r="32" spans="2:39" ht="16.5" x14ac:dyDescent="0.45">
      <c r="B32" s="8" t="s">
        <v>946</v>
      </c>
      <c r="C32" s="95" t="s">
        <v>958</v>
      </c>
      <c r="D32" s="212">
        <f>$W$7 + (1/(1/$W$8 + 1/D27))</f>
        <v>2498.6301369863013</v>
      </c>
      <c r="E32" s="212">
        <f t="shared" ref="E32:AM32" si="29">$W$7 + (1/(1/$W$8 + 1/E27))</f>
        <v>3354.2168674698796</v>
      </c>
      <c r="F32" s="212">
        <f t="shared" si="29"/>
        <v>4025.8064516129034</v>
      </c>
      <c r="G32" s="212">
        <f t="shared" si="29"/>
        <v>4566.9902912621365</v>
      </c>
      <c r="H32" s="212">
        <f t="shared" si="29"/>
        <v>5012.3893805309726</v>
      </c>
      <c r="I32" s="212">
        <f t="shared" si="29"/>
        <v>5385.3658536585372</v>
      </c>
      <c r="J32" s="212">
        <f t="shared" si="29"/>
        <v>5702.2556390977443</v>
      </c>
      <c r="K32" s="212">
        <f t="shared" si="29"/>
        <v>5974.8251748251751</v>
      </c>
      <c r="L32" s="212">
        <f t="shared" si="29"/>
        <v>6211.7647058823532</v>
      </c>
      <c r="M32" s="212">
        <f t="shared" si="29"/>
        <v>6419.6319018404902</v>
      </c>
      <c r="N32" s="212">
        <f t="shared" si="29"/>
        <v>6603.4682080924858</v>
      </c>
      <c r="O32" s="212">
        <f t="shared" si="29"/>
        <v>6767.2131147540986</v>
      </c>
      <c r="P32" s="212">
        <f t="shared" si="29"/>
        <v>6913.9896373056999</v>
      </c>
      <c r="Q32" s="212">
        <f t="shared" si="29"/>
        <v>7046.305418719211</v>
      </c>
      <c r="R32" s="212">
        <f t="shared" si="29"/>
        <v>7166.1971830985913</v>
      </c>
      <c r="S32" s="212">
        <f t="shared" si="29"/>
        <v>7275.3363228699554</v>
      </c>
      <c r="T32" s="212">
        <f t="shared" si="29"/>
        <v>7375.1072961373393</v>
      </c>
      <c r="U32" s="212">
        <f t="shared" si="29"/>
        <v>7466.666666666667</v>
      </c>
      <c r="V32" s="212">
        <f t="shared" si="29"/>
        <v>7550.98814229249</v>
      </c>
      <c r="W32" s="212">
        <f t="shared" si="29"/>
        <v>7628.8973384030414</v>
      </c>
      <c r="X32" s="212">
        <f t="shared" si="29"/>
        <v>7701.0989010989015</v>
      </c>
      <c r="Y32" s="212">
        <f t="shared" si="29"/>
        <v>7768.1978798586579</v>
      </c>
      <c r="Z32" s="212">
        <f t="shared" si="29"/>
        <v>7830.7167235494881</v>
      </c>
      <c r="AA32" s="212">
        <f t="shared" si="29"/>
        <v>7889.1089108910892</v>
      </c>
      <c r="AB32" s="212">
        <f t="shared" si="29"/>
        <v>7943.7699680511187</v>
      </c>
      <c r="AC32" s="212">
        <f t="shared" si="29"/>
        <v>7995.0464396284833</v>
      </c>
      <c r="AD32" s="212">
        <f t="shared" si="29"/>
        <v>8043.2432432432424</v>
      </c>
      <c r="AE32" s="212">
        <f t="shared" si="29"/>
        <v>8088.6297376093289</v>
      </c>
      <c r="AF32" s="212">
        <f t="shared" si="29"/>
        <v>8131.4447592067991</v>
      </c>
      <c r="AG32" s="212">
        <f t="shared" si="29"/>
        <v>8171.9008264462809</v>
      </c>
      <c r="AH32" s="212">
        <f t="shared" si="29"/>
        <v>8210.1876675603216</v>
      </c>
      <c r="AI32" s="212">
        <f t="shared" si="29"/>
        <v>8246.4751958224551</v>
      </c>
      <c r="AJ32" s="212">
        <f t="shared" si="29"/>
        <v>8280.9160305343521</v>
      </c>
      <c r="AK32" s="212">
        <f t="shared" si="29"/>
        <v>8313.6476426799018</v>
      </c>
      <c r="AL32" s="212">
        <f t="shared" si="29"/>
        <v>8344.7941888619862</v>
      </c>
      <c r="AM32" s="212">
        <f t="shared" si="29"/>
        <v>8374.4680851063822</v>
      </c>
    </row>
    <row r="33" spans="2:39" ht="16.5" x14ac:dyDescent="0.45">
      <c r="B33" s="292" t="s">
        <v>948</v>
      </c>
      <c r="C33" s="95" t="s">
        <v>949</v>
      </c>
      <c r="D33" s="212">
        <f>$Q$10/D32</f>
        <v>4.8026315789473683E-3</v>
      </c>
      <c r="E33" s="212">
        <f t="shared" ref="E33:AM33" si="30">$Q$10/E32</f>
        <v>3.5775862068965518E-3</v>
      </c>
      <c r="F33" s="212">
        <f t="shared" si="30"/>
        <v>2.9807692307692308E-3</v>
      </c>
      <c r="G33" s="212">
        <f t="shared" si="30"/>
        <v>2.6275510204081631E-3</v>
      </c>
      <c r="H33" s="212">
        <f t="shared" si="30"/>
        <v>2.3940677966101699E-3</v>
      </c>
      <c r="I33" s="212">
        <f t="shared" si="30"/>
        <v>2.2282608695652173E-3</v>
      </c>
      <c r="J33" s="212">
        <f t="shared" si="30"/>
        <v>2.1044303797468356E-3</v>
      </c>
      <c r="K33" s="212">
        <f t="shared" si="30"/>
        <v>2.0084269662921346E-3</v>
      </c>
      <c r="L33" s="212">
        <f t="shared" si="30"/>
        <v>1.9318181818181817E-3</v>
      </c>
      <c r="M33" s="212">
        <f t="shared" si="30"/>
        <v>1.8692660550458718E-3</v>
      </c>
      <c r="N33" s="212">
        <f t="shared" si="30"/>
        <v>1.8172268907563024E-3</v>
      </c>
      <c r="O33" s="212">
        <f t="shared" si="30"/>
        <v>1.7732558139534882E-3</v>
      </c>
      <c r="P33" s="212">
        <f t="shared" si="30"/>
        <v>1.7356115107913669E-3</v>
      </c>
      <c r="Q33" s="212">
        <f t="shared" si="30"/>
        <v>1.7030201342281882E-3</v>
      </c>
      <c r="R33" s="212">
        <f t="shared" si="30"/>
        <v>1.6745283018867925E-3</v>
      </c>
      <c r="S33" s="212">
        <f t="shared" si="30"/>
        <v>1.6494082840236685E-3</v>
      </c>
      <c r="T33" s="212">
        <f t="shared" si="30"/>
        <v>1.627094972067039E-3</v>
      </c>
      <c r="U33" s="212">
        <f t="shared" si="30"/>
        <v>1.6071428571428571E-3</v>
      </c>
      <c r="V33" s="212">
        <f t="shared" si="30"/>
        <v>1.5891959798994975E-3</v>
      </c>
      <c r="W33" s="212">
        <f t="shared" si="30"/>
        <v>1.5729665071770335E-3</v>
      </c>
      <c r="X33" s="212">
        <f t="shared" si="30"/>
        <v>1.5582191780821918E-3</v>
      </c>
      <c r="Y33" s="212">
        <f t="shared" si="30"/>
        <v>1.5447598253275107E-3</v>
      </c>
      <c r="Z33" s="212">
        <f t="shared" si="30"/>
        <v>1.5324267782426779E-3</v>
      </c>
      <c r="AA33" s="212">
        <f t="shared" si="30"/>
        <v>1.5210843373493976E-3</v>
      </c>
      <c r="AB33" s="212">
        <f t="shared" si="30"/>
        <v>1.5106177606177605E-3</v>
      </c>
      <c r="AC33" s="212">
        <f t="shared" si="30"/>
        <v>1.5009293680297397E-3</v>
      </c>
      <c r="AD33" s="212">
        <f t="shared" si="30"/>
        <v>1.4919354838709678E-3</v>
      </c>
      <c r="AE33" s="212">
        <f t="shared" si="30"/>
        <v>1.4835640138408305E-3</v>
      </c>
      <c r="AF33" s="212">
        <f t="shared" si="30"/>
        <v>1.4757525083612039E-3</v>
      </c>
      <c r="AG33" s="212">
        <f t="shared" si="30"/>
        <v>1.4684466019417475E-3</v>
      </c>
      <c r="AH33" s="212">
        <f t="shared" si="30"/>
        <v>1.4615987460815047E-3</v>
      </c>
      <c r="AI33" s="212">
        <f t="shared" si="30"/>
        <v>1.4551671732522795E-3</v>
      </c>
      <c r="AJ33" s="212">
        <f t="shared" si="30"/>
        <v>1.4491150442477875E-3</v>
      </c>
      <c r="AK33" s="212">
        <f t="shared" si="30"/>
        <v>1.4434097421203436E-3</v>
      </c>
      <c r="AL33" s="212">
        <f t="shared" si="30"/>
        <v>1.4380222841225625E-3</v>
      </c>
      <c r="AM33" s="212">
        <f t="shared" si="30"/>
        <v>1.4329268292682929E-3</v>
      </c>
    </row>
    <row r="34" spans="2:39" ht="16.5" x14ac:dyDescent="0.45">
      <c r="B34" s="293" t="s">
        <v>950</v>
      </c>
      <c r="C34" s="95" t="s">
        <v>959</v>
      </c>
      <c r="D34" s="212">
        <f>$W$7*D33</f>
        <v>11.526315789473683</v>
      </c>
      <c r="E34" s="212">
        <f t="shared" ref="E34:AM34" si="31">$W$7*E33</f>
        <v>8.5862068965517242</v>
      </c>
      <c r="F34" s="212">
        <f t="shared" si="31"/>
        <v>7.1538461538461542</v>
      </c>
      <c r="G34" s="212">
        <f t="shared" si="31"/>
        <v>6.3061224489795915</v>
      </c>
      <c r="H34" s="212">
        <f t="shared" si="31"/>
        <v>5.7457627118644075</v>
      </c>
      <c r="I34" s="212">
        <f t="shared" si="31"/>
        <v>5.3478260869565215</v>
      </c>
      <c r="J34" s="212">
        <f t="shared" si="31"/>
        <v>5.0506329113924053</v>
      </c>
      <c r="K34" s="212">
        <f t="shared" si="31"/>
        <v>4.8202247191011232</v>
      </c>
      <c r="L34" s="212">
        <f t="shared" si="31"/>
        <v>4.6363636363636358</v>
      </c>
      <c r="M34" s="212">
        <f t="shared" si="31"/>
        <v>4.4862385321100922</v>
      </c>
      <c r="N34" s="212">
        <f t="shared" si="31"/>
        <v>4.3613445378151257</v>
      </c>
      <c r="O34" s="212">
        <f t="shared" si="31"/>
        <v>4.2558139534883717</v>
      </c>
      <c r="P34" s="212">
        <f t="shared" si="31"/>
        <v>4.1654676258992804</v>
      </c>
      <c r="Q34" s="212">
        <f t="shared" si="31"/>
        <v>4.0872483221476514</v>
      </c>
      <c r="R34" s="212">
        <f t="shared" si="31"/>
        <v>4.0188679245283021</v>
      </c>
      <c r="S34" s="212">
        <f t="shared" si="31"/>
        <v>3.9585798816568043</v>
      </c>
      <c r="T34" s="212">
        <f t="shared" si="31"/>
        <v>3.9050279329608935</v>
      </c>
      <c r="U34" s="212">
        <f t="shared" si="31"/>
        <v>3.8571428571428572</v>
      </c>
      <c r="V34" s="212">
        <f t="shared" si="31"/>
        <v>3.8140703517587942</v>
      </c>
      <c r="W34" s="212">
        <f t="shared" si="31"/>
        <v>3.7751196172248807</v>
      </c>
      <c r="X34" s="212">
        <f t="shared" si="31"/>
        <v>3.7397260273972601</v>
      </c>
      <c r="Y34" s="212">
        <f t="shared" si="31"/>
        <v>3.7074235807860259</v>
      </c>
      <c r="Z34" s="212">
        <f t="shared" si="31"/>
        <v>3.6778242677824271</v>
      </c>
      <c r="AA34" s="212">
        <f t="shared" si="31"/>
        <v>3.6506024096385543</v>
      </c>
      <c r="AB34" s="212">
        <f t="shared" si="31"/>
        <v>3.6254826254826251</v>
      </c>
      <c r="AC34" s="212">
        <f t="shared" si="31"/>
        <v>3.6022304832713754</v>
      </c>
      <c r="AD34" s="212">
        <f t="shared" si="31"/>
        <v>3.580645161290323</v>
      </c>
      <c r="AE34" s="212">
        <f t="shared" si="31"/>
        <v>3.5605536332179932</v>
      </c>
      <c r="AF34" s="212">
        <f t="shared" si="31"/>
        <v>3.5418060200668893</v>
      </c>
      <c r="AG34" s="212">
        <f t="shared" si="31"/>
        <v>3.5242718446601939</v>
      </c>
      <c r="AH34" s="212">
        <f t="shared" si="31"/>
        <v>3.507836990595611</v>
      </c>
      <c r="AI34" s="212">
        <f t="shared" si="31"/>
        <v>3.4924012158054709</v>
      </c>
      <c r="AJ34" s="212">
        <f t="shared" si="31"/>
        <v>3.4778761061946901</v>
      </c>
      <c r="AK34" s="212">
        <f t="shared" si="31"/>
        <v>3.4641833810888247</v>
      </c>
      <c r="AL34" s="212">
        <f t="shared" si="31"/>
        <v>3.4512534818941498</v>
      </c>
      <c r="AM34" s="212">
        <f t="shared" si="31"/>
        <v>3.4390243902439028</v>
      </c>
    </row>
    <row r="35" spans="2:39" ht="16.5" x14ac:dyDescent="0.45">
      <c r="B35" s="293" t="s">
        <v>952</v>
      </c>
      <c r="C35" s="95" t="s">
        <v>953</v>
      </c>
      <c r="D35" s="212">
        <f>$Q$10-D34</f>
        <v>0.47368421052631682</v>
      </c>
      <c r="E35" s="212">
        <f t="shared" ref="E35:AM35" si="32">$Q$10-E34</f>
        <v>3.4137931034482758</v>
      </c>
      <c r="F35" s="212">
        <f t="shared" si="32"/>
        <v>4.8461538461538458</v>
      </c>
      <c r="G35" s="212">
        <f t="shared" si="32"/>
        <v>5.6938775510204085</v>
      </c>
      <c r="H35" s="212">
        <f t="shared" si="32"/>
        <v>6.2542372881355925</v>
      </c>
      <c r="I35" s="212">
        <f t="shared" si="32"/>
        <v>6.6521739130434785</v>
      </c>
      <c r="J35" s="212">
        <f t="shared" si="32"/>
        <v>6.9493670886075947</v>
      </c>
      <c r="K35" s="212">
        <f t="shared" si="32"/>
        <v>7.1797752808988768</v>
      </c>
      <c r="L35" s="212">
        <f t="shared" si="32"/>
        <v>7.3636363636363642</v>
      </c>
      <c r="M35" s="212">
        <f t="shared" si="32"/>
        <v>7.5137614678899078</v>
      </c>
      <c r="N35" s="212">
        <f t="shared" si="32"/>
        <v>7.6386554621848743</v>
      </c>
      <c r="O35" s="212">
        <f t="shared" si="32"/>
        <v>7.7441860465116283</v>
      </c>
      <c r="P35" s="212">
        <f t="shared" si="32"/>
        <v>7.8345323741007196</v>
      </c>
      <c r="Q35" s="212">
        <f t="shared" si="32"/>
        <v>7.9127516778523486</v>
      </c>
      <c r="R35" s="212">
        <f t="shared" si="32"/>
        <v>7.9811320754716979</v>
      </c>
      <c r="S35" s="212">
        <f t="shared" si="32"/>
        <v>8.0414201183431953</v>
      </c>
      <c r="T35" s="212">
        <f t="shared" si="32"/>
        <v>8.094972067039107</v>
      </c>
      <c r="U35" s="212">
        <f t="shared" si="32"/>
        <v>8.1428571428571423</v>
      </c>
      <c r="V35" s="212">
        <f t="shared" si="32"/>
        <v>8.1859296482412063</v>
      </c>
      <c r="W35" s="212">
        <f t="shared" si="32"/>
        <v>8.2248803827751189</v>
      </c>
      <c r="X35" s="212">
        <f t="shared" si="32"/>
        <v>8.2602739726027394</v>
      </c>
      <c r="Y35" s="212">
        <f t="shared" si="32"/>
        <v>8.2925764192139741</v>
      </c>
      <c r="Z35" s="212">
        <f t="shared" si="32"/>
        <v>8.3221757322175733</v>
      </c>
      <c r="AA35" s="212">
        <f t="shared" si="32"/>
        <v>8.3493975903614448</v>
      </c>
      <c r="AB35" s="212">
        <f t="shared" si="32"/>
        <v>8.3745173745173744</v>
      </c>
      <c r="AC35" s="212">
        <f t="shared" si="32"/>
        <v>8.3977695167286246</v>
      </c>
      <c r="AD35" s="212">
        <f t="shared" si="32"/>
        <v>8.4193548387096762</v>
      </c>
      <c r="AE35" s="212">
        <f t="shared" si="32"/>
        <v>8.4394463667820077</v>
      </c>
      <c r="AF35" s="212">
        <f t="shared" si="32"/>
        <v>8.4581939799331103</v>
      </c>
      <c r="AG35" s="212">
        <f t="shared" si="32"/>
        <v>8.4757281553398052</v>
      </c>
      <c r="AH35" s="212">
        <f t="shared" si="32"/>
        <v>8.4921630094043898</v>
      </c>
      <c r="AI35" s="212">
        <f t="shared" si="32"/>
        <v>8.5075987841945295</v>
      </c>
      <c r="AJ35" s="212">
        <f t="shared" si="32"/>
        <v>8.5221238938053094</v>
      </c>
      <c r="AK35" s="212">
        <f t="shared" si="32"/>
        <v>8.5358166189111753</v>
      </c>
      <c r="AL35" s="212">
        <f t="shared" si="32"/>
        <v>8.5487465181058511</v>
      </c>
      <c r="AM35" s="212">
        <f t="shared" si="32"/>
        <v>8.5609756097560972</v>
      </c>
    </row>
    <row r="36" spans="2:39" x14ac:dyDescent="0.35">
      <c r="B36" s="497"/>
      <c r="C36" s="498"/>
      <c r="D36" s="499"/>
      <c r="E36" s="499"/>
      <c r="F36" s="499"/>
      <c r="G36" s="499"/>
      <c r="H36" s="499"/>
      <c r="I36" s="499"/>
      <c r="J36" s="499"/>
      <c r="K36" s="499"/>
      <c r="L36" s="499"/>
      <c r="M36" s="499"/>
      <c r="N36" s="499"/>
      <c r="O36" s="499"/>
      <c r="P36" s="499"/>
      <c r="Q36" s="499"/>
      <c r="R36" s="499"/>
      <c r="S36" s="499"/>
      <c r="T36" s="499"/>
      <c r="U36" s="499"/>
      <c r="V36" s="499"/>
      <c r="W36" s="499"/>
      <c r="X36" s="499"/>
      <c r="Y36" s="499"/>
      <c r="Z36" s="499"/>
      <c r="AA36" s="499"/>
      <c r="AB36" s="499"/>
      <c r="AC36" s="499"/>
      <c r="AD36" s="499"/>
      <c r="AE36" s="499"/>
      <c r="AF36" s="499"/>
      <c r="AG36" s="499"/>
      <c r="AH36" s="499"/>
      <c r="AI36" s="499"/>
      <c r="AJ36" s="499"/>
      <c r="AK36" s="499"/>
      <c r="AL36" s="499"/>
      <c r="AM36" s="499"/>
    </row>
    <row r="37" spans="2:39" x14ac:dyDescent="0.35">
      <c r="B37" s="497"/>
      <c r="C37" s="498"/>
      <c r="D37" s="499"/>
      <c r="E37" s="499"/>
      <c r="F37" s="499"/>
      <c r="G37" s="499"/>
      <c r="H37" s="499"/>
      <c r="I37" s="499"/>
      <c r="J37" s="499"/>
      <c r="K37" s="499"/>
      <c r="L37" s="499"/>
      <c r="M37" s="499"/>
      <c r="N37" s="499"/>
      <c r="O37" s="499"/>
      <c r="P37" s="499"/>
      <c r="Q37" s="499"/>
      <c r="R37" s="499"/>
      <c r="S37" s="499"/>
      <c r="T37" s="499"/>
      <c r="U37" s="499"/>
      <c r="V37" s="499"/>
      <c r="W37" s="499"/>
      <c r="X37" s="499"/>
      <c r="Y37" s="499"/>
      <c r="Z37" s="499"/>
      <c r="AA37" s="499"/>
      <c r="AB37" s="499"/>
      <c r="AC37" s="499"/>
      <c r="AD37" s="499"/>
      <c r="AE37" s="499"/>
      <c r="AF37" s="499"/>
      <c r="AG37" s="499"/>
      <c r="AH37" s="499"/>
      <c r="AI37" s="499"/>
      <c r="AJ37" s="499"/>
      <c r="AK37" s="499"/>
      <c r="AL37" s="499"/>
      <c r="AM37" s="499"/>
    </row>
    <row r="38" spans="2:39" x14ac:dyDescent="0.35">
      <c r="B38" s="497"/>
      <c r="C38" s="498"/>
      <c r="D38" s="499"/>
      <c r="E38" s="499"/>
      <c r="F38" s="499"/>
      <c r="G38" s="499"/>
      <c r="H38" s="499"/>
      <c r="I38" s="499"/>
      <c r="J38" s="499"/>
      <c r="K38" s="499"/>
      <c r="L38" s="499"/>
      <c r="M38" s="499"/>
      <c r="N38" s="499"/>
      <c r="O38" s="499"/>
      <c r="P38" s="499"/>
      <c r="Q38" s="499"/>
      <c r="R38" s="499"/>
      <c r="S38" s="499"/>
      <c r="T38" s="499"/>
      <c r="U38" s="499"/>
      <c r="V38" s="499"/>
      <c r="W38" s="499"/>
      <c r="X38" s="499"/>
      <c r="Y38" s="499"/>
      <c r="Z38" s="499"/>
      <c r="AA38" s="499"/>
      <c r="AB38" s="499"/>
      <c r="AC38" s="499"/>
      <c r="AD38" s="499"/>
      <c r="AE38" s="499"/>
      <c r="AF38" s="499"/>
      <c r="AG38" s="499"/>
      <c r="AH38" s="499"/>
      <c r="AI38" s="499"/>
      <c r="AJ38" s="499"/>
      <c r="AK38" s="499"/>
      <c r="AL38" s="499"/>
      <c r="AM38" s="499"/>
    </row>
    <row r="39" spans="2:39" x14ac:dyDescent="0.35">
      <c r="B39" s="497"/>
      <c r="C39" s="498"/>
      <c r="D39" s="499"/>
      <c r="E39" s="499"/>
      <c r="F39" s="499"/>
      <c r="G39" s="499"/>
      <c r="H39" s="499"/>
      <c r="I39" s="499"/>
      <c r="J39" s="499"/>
      <c r="K39" s="499"/>
      <c r="L39" s="499"/>
      <c r="M39" s="499"/>
      <c r="N39" s="499"/>
      <c r="O39" s="499"/>
      <c r="P39" s="499"/>
      <c r="Q39" s="499"/>
      <c r="R39" s="499"/>
      <c r="S39" s="499"/>
      <c r="T39" s="499"/>
      <c r="U39" s="499"/>
      <c r="V39" s="499"/>
      <c r="W39" s="499"/>
      <c r="X39" s="499"/>
      <c r="Y39" s="499"/>
      <c r="Z39" s="499"/>
      <c r="AA39" s="499"/>
      <c r="AB39" s="499"/>
      <c r="AC39" s="499"/>
      <c r="AD39" s="499"/>
      <c r="AE39" s="499"/>
      <c r="AF39" s="499"/>
      <c r="AG39" s="499"/>
      <c r="AH39" s="499"/>
      <c r="AI39" s="499"/>
      <c r="AJ39" s="499"/>
      <c r="AK39" s="499"/>
      <c r="AL39" s="499"/>
      <c r="AM39" s="499"/>
    </row>
    <row r="41" spans="2:39" x14ac:dyDescent="0.35">
      <c r="B41" s="500" t="str">
        <f>_xlfn.CONCAT("UL = f(RL)   R1/R2 =",Q11)</f>
        <v>UL = f(RL)   R1/R2 =0.333333333333333</v>
      </c>
      <c r="C41" s="218"/>
    </row>
    <row r="42" spans="2:39" x14ac:dyDescent="0.35">
      <c r="B42" s="501" t="str">
        <f>_xlfn.CONCAT("UL = f(RL)   R11/R22 =",W11)</f>
        <v>UL = f(RL)   R11/R22 =0.333333333333333</v>
      </c>
      <c r="C42" s="218"/>
    </row>
  </sheetData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82B72-84FC-4BAF-B0ED-1A9CE5FC4314}">
          <x14:formula1>
            <xm:f>Einheitenvorsätze!$A$7:$A$31</xm:f>
          </x14:formula1>
          <xm:sqref>N7:N10 E26 T7:T8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CFDEC-9123-4C14-B840-25485A6FC396}">
  <dimension ref="C2"/>
  <sheetViews>
    <sheetView workbookViewId="0">
      <selection activeCell="A2" sqref="A2:XFD2"/>
    </sheetView>
  </sheetViews>
  <sheetFormatPr baseColWidth="10" defaultRowHeight="14.5" x14ac:dyDescent="0.35"/>
  <sheetData>
    <row r="2" spans="3:3" ht="23.5" x14ac:dyDescent="0.55000000000000004">
      <c r="C2" s="9" t="s">
        <v>925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3" workbookViewId="0">
      <selection activeCell="I18" sqref="I18"/>
    </sheetView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668</v>
      </c>
    </row>
    <row r="6" spans="1:15" ht="16" customHeight="1" x14ac:dyDescent="0.35">
      <c r="A6" s="358" t="s">
        <v>670</v>
      </c>
      <c r="B6" s="358" t="s">
        <v>669</v>
      </c>
      <c r="C6" s="358" t="s">
        <v>671</v>
      </c>
      <c r="D6" s="358" t="s">
        <v>672</v>
      </c>
      <c r="E6" s="358" t="s">
        <v>823</v>
      </c>
    </row>
    <row r="7" spans="1:15" ht="16" customHeight="1" x14ac:dyDescent="0.35">
      <c r="A7" s="111" t="s">
        <v>674</v>
      </c>
      <c r="B7" s="355" t="s">
        <v>673</v>
      </c>
      <c r="C7" s="357">
        <v>1E+30</v>
      </c>
      <c r="D7" s="111" t="s">
        <v>675</v>
      </c>
      <c r="E7" s="5">
        <v>30</v>
      </c>
    </row>
    <row r="8" spans="1:15" ht="16" customHeight="1" x14ac:dyDescent="0.35">
      <c r="A8" s="111" t="s">
        <v>677</v>
      </c>
      <c r="B8" s="355" t="s">
        <v>676</v>
      </c>
      <c r="C8" s="357">
        <v>1E+27</v>
      </c>
      <c r="D8" s="111" t="s">
        <v>678</v>
      </c>
      <c r="E8" s="5">
        <v>27</v>
      </c>
    </row>
    <row r="9" spans="1:15" ht="16" customHeight="1" x14ac:dyDescent="0.35">
      <c r="A9" s="111" t="s">
        <v>680</v>
      </c>
      <c r="B9" s="355" t="s">
        <v>679</v>
      </c>
      <c r="C9" s="357">
        <v>9.9999999999999998E+23</v>
      </c>
      <c r="D9" s="111" t="s">
        <v>681</v>
      </c>
      <c r="E9" s="5">
        <v>24</v>
      </c>
    </row>
    <row r="10" spans="1:15" ht="16" customHeight="1" thickBot="1" x14ac:dyDescent="0.4">
      <c r="A10" s="111" t="s">
        <v>683</v>
      </c>
      <c r="B10" s="355" t="s">
        <v>682</v>
      </c>
      <c r="C10" s="357">
        <v>1E+21</v>
      </c>
      <c r="D10" s="111" t="s">
        <v>684</v>
      </c>
      <c r="E10" s="5">
        <v>21</v>
      </c>
    </row>
    <row r="11" spans="1:15" ht="16" customHeight="1" thickBot="1" x14ac:dyDescent="0.4">
      <c r="A11" s="111" t="s">
        <v>42</v>
      </c>
      <c r="B11" s="355" t="s">
        <v>685</v>
      </c>
      <c r="C11" s="357">
        <v>1E+18</v>
      </c>
      <c r="D11" s="111" t="s">
        <v>686</v>
      </c>
      <c r="E11" s="5">
        <v>18</v>
      </c>
      <c r="H11" s="362" t="s">
        <v>744</v>
      </c>
      <c r="I11" s="363"/>
      <c r="J11" s="364"/>
      <c r="L11" s="5" t="s">
        <v>747</v>
      </c>
      <c r="M11" s="5"/>
      <c r="O11" s="5" t="s">
        <v>746</v>
      </c>
    </row>
    <row r="12" spans="1:15" ht="16" customHeight="1" thickBot="1" x14ac:dyDescent="0.4">
      <c r="A12" s="111" t="s">
        <v>688</v>
      </c>
      <c r="B12" s="355" t="s">
        <v>687</v>
      </c>
      <c r="C12" s="357">
        <v>1000000000000000</v>
      </c>
      <c r="D12" s="111" t="s">
        <v>689</v>
      </c>
      <c r="E12" s="5">
        <v>15</v>
      </c>
      <c r="H12" s="359">
        <v>5.23</v>
      </c>
      <c r="I12" s="360" t="s">
        <v>698</v>
      </c>
      <c r="J12" s="361" t="s">
        <v>745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691</v>
      </c>
      <c r="B13" s="355" t="s">
        <v>690</v>
      </c>
      <c r="C13" s="357">
        <v>1000000000000</v>
      </c>
      <c r="D13" s="111" t="s">
        <v>692</v>
      </c>
      <c r="E13" s="5">
        <v>12</v>
      </c>
    </row>
    <row r="14" spans="1:15" ht="16" customHeight="1" x14ac:dyDescent="0.35">
      <c r="A14" s="111" t="s">
        <v>43</v>
      </c>
      <c r="B14" s="355" t="s">
        <v>693</v>
      </c>
      <c r="C14" s="357">
        <v>1000000000</v>
      </c>
      <c r="D14" s="111" t="s">
        <v>694</v>
      </c>
      <c r="E14" s="5">
        <v>9</v>
      </c>
    </row>
    <row r="15" spans="1:15" ht="16" customHeight="1" x14ac:dyDescent="0.35">
      <c r="A15" s="111" t="s">
        <v>822</v>
      </c>
      <c r="B15" s="355" t="s">
        <v>695</v>
      </c>
      <c r="C15" s="357">
        <v>1000000</v>
      </c>
      <c r="D15" s="111" t="s">
        <v>696</v>
      </c>
      <c r="E15" s="5">
        <v>6</v>
      </c>
    </row>
    <row r="16" spans="1:15" ht="16" customHeight="1" x14ac:dyDescent="0.35">
      <c r="A16" s="111" t="s">
        <v>698</v>
      </c>
      <c r="B16" s="355" t="s">
        <v>697</v>
      </c>
      <c r="C16" s="357">
        <v>1000</v>
      </c>
      <c r="D16" s="111" t="s">
        <v>699</v>
      </c>
      <c r="E16" s="5">
        <v>3</v>
      </c>
      <c r="H16" s="8" t="s">
        <v>669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701</v>
      </c>
      <c r="B17" s="355" t="s">
        <v>700</v>
      </c>
      <c r="C17" s="357">
        <v>100</v>
      </c>
      <c r="D17" s="111" t="s">
        <v>702</v>
      </c>
      <c r="E17" s="5">
        <v>2</v>
      </c>
      <c r="H17" s="8" t="s">
        <v>671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704</v>
      </c>
      <c r="B18" s="355" t="s">
        <v>703</v>
      </c>
      <c r="C18" s="357">
        <v>10</v>
      </c>
      <c r="D18" s="111" t="s">
        <v>705</v>
      </c>
      <c r="E18" s="5">
        <v>1</v>
      </c>
      <c r="H18" s="8" t="s">
        <v>672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707</v>
      </c>
      <c r="B19" s="355" t="s">
        <v>706</v>
      </c>
      <c r="C19" s="357">
        <v>1</v>
      </c>
      <c r="D19" s="111" t="s">
        <v>708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710</v>
      </c>
      <c r="B20" s="355" t="s">
        <v>709</v>
      </c>
      <c r="C20" s="111">
        <v>0.1</v>
      </c>
      <c r="D20" s="111" t="s">
        <v>711</v>
      </c>
      <c r="E20" s="5">
        <v>-1</v>
      </c>
    </row>
    <row r="21" spans="1:9" ht="16" customHeight="1" x14ac:dyDescent="0.35">
      <c r="A21" s="111" t="s">
        <v>713</v>
      </c>
      <c r="B21" s="355" t="s">
        <v>712</v>
      </c>
      <c r="C21" s="111">
        <v>0.01</v>
      </c>
      <c r="D21" s="111" t="s">
        <v>714</v>
      </c>
      <c r="E21" s="5">
        <v>-2</v>
      </c>
    </row>
    <row r="22" spans="1:9" ht="16" customHeight="1" x14ac:dyDescent="0.35">
      <c r="A22" s="111" t="s">
        <v>716</v>
      </c>
      <c r="B22" s="355" t="s">
        <v>715</v>
      </c>
      <c r="C22" s="111">
        <v>1E-3</v>
      </c>
      <c r="D22" s="111" t="s">
        <v>717</v>
      </c>
      <c r="E22" s="5">
        <v>-3</v>
      </c>
    </row>
    <row r="23" spans="1:9" ht="16" customHeight="1" x14ac:dyDescent="0.35">
      <c r="A23" s="111" t="s">
        <v>719</v>
      </c>
      <c r="B23" s="355" t="s">
        <v>718</v>
      </c>
      <c r="C23" s="111">
        <v>9.9999999999999995E-7</v>
      </c>
      <c r="D23" s="111" t="s">
        <v>720</v>
      </c>
      <c r="E23" s="5">
        <v>-6</v>
      </c>
    </row>
    <row r="24" spans="1:9" ht="16" customHeight="1" x14ac:dyDescent="0.35">
      <c r="A24" s="111" t="s">
        <v>722</v>
      </c>
      <c r="B24" s="355" t="s">
        <v>721</v>
      </c>
      <c r="C24" s="111">
        <v>1.0000000000000001E-9</v>
      </c>
      <c r="D24" s="111" t="s">
        <v>723</v>
      </c>
      <c r="E24" s="5">
        <v>-9</v>
      </c>
    </row>
    <row r="25" spans="1:9" ht="16" customHeight="1" x14ac:dyDescent="0.35">
      <c r="A25" s="111" t="s">
        <v>725</v>
      </c>
      <c r="B25" s="355" t="s">
        <v>724</v>
      </c>
      <c r="C25" s="111">
        <v>9.9999999999999998E-13</v>
      </c>
      <c r="D25" s="111" t="s">
        <v>726</v>
      </c>
      <c r="E25" s="5">
        <v>-12</v>
      </c>
    </row>
    <row r="26" spans="1:9" ht="16" customHeight="1" x14ac:dyDescent="0.35">
      <c r="A26" s="111" t="s">
        <v>728</v>
      </c>
      <c r="B26" s="355" t="s">
        <v>727</v>
      </c>
      <c r="C26" s="111">
        <v>1.0000000000000001E-15</v>
      </c>
      <c r="D26" s="111" t="s">
        <v>729</v>
      </c>
      <c r="E26" s="5">
        <v>-15</v>
      </c>
    </row>
    <row r="27" spans="1:9" ht="16" customHeight="1" x14ac:dyDescent="0.35">
      <c r="A27" s="111" t="s">
        <v>731</v>
      </c>
      <c r="B27" s="355" t="s">
        <v>730</v>
      </c>
      <c r="C27" s="111">
        <v>1.0000000000000001E-18</v>
      </c>
      <c r="D27" s="111" t="s">
        <v>732</v>
      </c>
      <c r="E27" s="5">
        <v>-18</v>
      </c>
    </row>
    <row r="28" spans="1:9" ht="16" customHeight="1" x14ac:dyDescent="0.35">
      <c r="A28" s="111" t="s">
        <v>734</v>
      </c>
      <c r="B28" s="355" t="s">
        <v>733</v>
      </c>
      <c r="C28" s="356">
        <v>9.9999999999999991E-22</v>
      </c>
      <c r="D28" s="111" t="s">
        <v>735</v>
      </c>
      <c r="E28" s="5">
        <v>-21</v>
      </c>
    </row>
    <row r="29" spans="1:9" ht="16" customHeight="1" x14ac:dyDescent="0.35">
      <c r="A29" s="111" t="s">
        <v>416</v>
      </c>
      <c r="B29" s="355" t="s">
        <v>736</v>
      </c>
      <c r="C29" s="356">
        <v>9.9999999999999992E-25</v>
      </c>
      <c r="D29" s="111" t="s">
        <v>737</v>
      </c>
      <c r="E29" s="5">
        <v>-24</v>
      </c>
    </row>
    <row r="30" spans="1:9" ht="16" customHeight="1" x14ac:dyDescent="0.35">
      <c r="A30" s="111" t="s">
        <v>739</v>
      </c>
      <c r="B30" s="355" t="s">
        <v>738</v>
      </c>
      <c r="C30" s="356">
        <v>1.0000000000000001E-30</v>
      </c>
      <c r="D30" s="111" t="s">
        <v>740</v>
      </c>
      <c r="E30" s="5">
        <v>-27</v>
      </c>
    </row>
    <row r="31" spans="1:9" ht="16" customHeight="1" x14ac:dyDescent="0.35">
      <c r="A31" s="111" t="s">
        <v>742</v>
      </c>
      <c r="B31" s="355" t="s">
        <v>741</v>
      </c>
      <c r="C31" s="356">
        <v>1E-27</v>
      </c>
      <c r="D31" s="111" t="s">
        <v>743</v>
      </c>
      <c r="E31" s="5">
        <v>-30</v>
      </c>
    </row>
    <row r="36" spans="1:3" x14ac:dyDescent="0.35">
      <c r="A36" t="s">
        <v>749</v>
      </c>
    </row>
    <row r="37" spans="1:3" x14ac:dyDescent="0.35">
      <c r="A37" s="372" t="s">
        <v>752</v>
      </c>
      <c r="B37" s="372" t="s">
        <v>750</v>
      </c>
      <c r="C37" s="372" t="s">
        <v>751</v>
      </c>
    </row>
    <row r="38" spans="1:3" x14ac:dyDescent="0.35">
      <c r="A38" s="111" t="s">
        <v>754</v>
      </c>
      <c r="B38" s="111" t="s">
        <v>753</v>
      </c>
      <c r="C38" s="111" t="s">
        <v>653</v>
      </c>
    </row>
    <row r="39" spans="1:3" x14ac:dyDescent="0.35">
      <c r="A39" s="111" t="s">
        <v>757</v>
      </c>
      <c r="B39" s="111" t="s">
        <v>755</v>
      </c>
      <c r="C39" s="111" t="s">
        <v>756</v>
      </c>
    </row>
    <row r="40" spans="1:3" x14ac:dyDescent="0.35">
      <c r="A40" s="111" t="s">
        <v>760</v>
      </c>
      <c r="B40" s="111" t="s">
        <v>758</v>
      </c>
      <c r="C40" s="111" t="s">
        <v>759</v>
      </c>
    </row>
    <row r="41" spans="1:3" x14ac:dyDescent="0.35">
      <c r="A41" s="111" t="s">
        <v>763</v>
      </c>
      <c r="B41" s="111" t="s">
        <v>761</v>
      </c>
      <c r="C41" s="111" t="s">
        <v>762</v>
      </c>
    </row>
    <row r="42" spans="1:3" x14ac:dyDescent="0.35">
      <c r="A42" s="111" t="s">
        <v>766</v>
      </c>
      <c r="B42" s="111" t="s">
        <v>764</v>
      </c>
      <c r="C42" s="111" t="s">
        <v>765</v>
      </c>
    </row>
    <row r="43" spans="1:3" x14ac:dyDescent="0.35">
      <c r="A43" s="111" t="s">
        <v>769</v>
      </c>
      <c r="B43" s="111" t="s">
        <v>767</v>
      </c>
      <c r="C43" s="111" t="s">
        <v>768</v>
      </c>
    </row>
    <row r="44" spans="1:3" x14ac:dyDescent="0.35">
      <c r="A44" s="111" t="s">
        <v>772</v>
      </c>
      <c r="B44" s="111" t="s">
        <v>770</v>
      </c>
      <c r="C44" s="111" t="s">
        <v>771</v>
      </c>
    </row>
    <row r="45" spans="1:3" x14ac:dyDescent="0.35">
      <c r="A45" s="111" t="s">
        <v>775</v>
      </c>
      <c r="B45" s="111" t="s">
        <v>773</v>
      </c>
      <c r="C45" s="111" t="s">
        <v>774</v>
      </c>
    </row>
    <row r="46" spans="1:3" x14ac:dyDescent="0.35">
      <c r="A46" s="111" t="s">
        <v>778</v>
      </c>
      <c r="B46" s="111" t="s">
        <v>776</v>
      </c>
      <c r="C46" s="111" t="s">
        <v>777</v>
      </c>
    </row>
    <row r="47" spans="1:3" x14ac:dyDescent="0.35">
      <c r="A47" s="111" t="s">
        <v>781</v>
      </c>
      <c r="B47" s="111" t="s">
        <v>779</v>
      </c>
      <c r="C47" s="111" t="s">
        <v>780</v>
      </c>
    </row>
    <row r="48" spans="1:3" x14ac:dyDescent="0.35">
      <c r="A48" s="111" t="s">
        <v>784</v>
      </c>
      <c r="B48" s="111" t="s">
        <v>782</v>
      </c>
      <c r="C48" s="111" t="s">
        <v>783</v>
      </c>
    </row>
    <row r="49" spans="1:3" x14ac:dyDescent="0.35">
      <c r="A49" s="111" t="s">
        <v>787</v>
      </c>
      <c r="B49" s="111" t="s">
        <v>785</v>
      </c>
      <c r="C49" s="111" t="s">
        <v>786</v>
      </c>
    </row>
    <row r="50" spans="1:3" x14ac:dyDescent="0.35">
      <c r="A50" s="111" t="s">
        <v>790</v>
      </c>
      <c r="B50" s="111" t="s">
        <v>788</v>
      </c>
      <c r="C50" s="111" t="s">
        <v>789</v>
      </c>
    </row>
    <row r="51" spans="1:3" x14ac:dyDescent="0.35">
      <c r="A51" s="111" t="s">
        <v>793</v>
      </c>
      <c r="B51" s="111" t="s">
        <v>791</v>
      </c>
      <c r="C51" s="111" t="s">
        <v>792</v>
      </c>
    </row>
    <row r="52" spans="1:3" x14ac:dyDescent="0.35">
      <c r="A52" s="111" t="s">
        <v>796</v>
      </c>
      <c r="B52" s="111" t="s">
        <v>794</v>
      </c>
      <c r="C52" s="111" t="s">
        <v>795</v>
      </c>
    </row>
    <row r="53" spans="1:3" x14ac:dyDescent="0.35">
      <c r="A53" s="111" t="s">
        <v>798</v>
      </c>
      <c r="B53" s="111" t="s">
        <v>797</v>
      </c>
      <c r="C53" s="111" t="s">
        <v>311</v>
      </c>
    </row>
    <row r="54" spans="1:3" x14ac:dyDescent="0.35">
      <c r="A54" s="111" t="s">
        <v>801</v>
      </c>
      <c r="B54" s="111" t="s">
        <v>799</v>
      </c>
      <c r="C54" s="111" t="s">
        <v>800</v>
      </c>
    </row>
    <row r="55" spans="1:3" x14ac:dyDescent="0.35">
      <c r="A55" s="111" t="s">
        <v>820</v>
      </c>
      <c r="B55" s="111" t="s">
        <v>802</v>
      </c>
      <c r="C55" s="111" t="s">
        <v>803</v>
      </c>
    </row>
    <row r="56" spans="1:3" x14ac:dyDescent="0.35">
      <c r="A56" s="111" t="s">
        <v>806</v>
      </c>
      <c r="B56" s="111" t="s">
        <v>804</v>
      </c>
      <c r="C56" s="111" t="s">
        <v>805</v>
      </c>
    </row>
    <row r="57" spans="1:3" x14ac:dyDescent="0.35">
      <c r="A57" s="111" t="s">
        <v>809</v>
      </c>
      <c r="B57" s="111" t="s">
        <v>807</v>
      </c>
      <c r="C57" s="111" t="s">
        <v>808</v>
      </c>
    </row>
    <row r="58" spans="1:3" x14ac:dyDescent="0.35">
      <c r="A58" s="111" t="s">
        <v>811</v>
      </c>
      <c r="B58" s="111" t="s">
        <v>810</v>
      </c>
      <c r="C58" s="111" t="s">
        <v>307</v>
      </c>
    </row>
    <row r="59" spans="1:3" x14ac:dyDescent="0.35">
      <c r="A59" s="111" t="s">
        <v>814</v>
      </c>
      <c r="B59" s="111" t="s">
        <v>812</v>
      </c>
      <c r="C59" s="111" t="s">
        <v>813</v>
      </c>
    </row>
    <row r="60" spans="1:3" x14ac:dyDescent="0.35">
      <c r="A60" s="111" t="s">
        <v>817</v>
      </c>
      <c r="B60" s="111" t="s">
        <v>815</v>
      </c>
      <c r="C60" s="111" t="s">
        <v>816</v>
      </c>
    </row>
    <row r="61" spans="1:3" x14ac:dyDescent="0.35">
      <c r="A61" s="111" t="s">
        <v>819</v>
      </c>
      <c r="B61" s="111" t="s">
        <v>321</v>
      </c>
      <c r="C61" s="111" t="s">
        <v>818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872F-BD11-4FCA-BE32-D29FEF789864}">
  <sheetPr>
    <pageSetUpPr fitToPage="1"/>
  </sheetPr>
  <dimension ref="C8:U23"/>
  <sheetViews>
    <sheetView topLeftCell="H13" zoomScale="115" zoomScaleNormal="115" workbookViewId="0">
      <selection activeCell="C21" sqref="C21:R23"/>
    </sheetView>
  </sheetViews>
  <sheetFormatPr baseColWidth="10" defaultRowHeight="14.5" x14ac:dyDescent="0.35"/>
  <cols>
    <col min="3" max="7" width="20.26953125" customWidth="1"/>
    <col min="8" max="8" width="9.6328125" customWidth="1"/>
    <col min="9" max="9" width="20.26953125" customWidth="1"/>
    <col min="10" max="10" width="9.6328125" customWidth="1"/>
    <col min="11" max="11" width="19.90625" customWidth="1"/>
    <col min="12" max="12" width="9.6328125" customWidth="1"/>
    <col min="13" max="15" width="20.54296875" customWidth="1"/>
    <col min="17" max="17" width="21" customWidth="1"/>
    <col min="18" max="18" width="20.54296875" customWidth="1"/>
    <col min="20" max="21" width="21" customWidth="1"/>
  </cols>
  <sheetData>
    <row r="8" spans="3:21" ht="90.5" customHeight="1" x14ac:dyDescent="0.35">
      <c r="C8" s="431" t="s">
        <v>923</v>
      </c>
      <c r="D8" s="5"/>
      <c r="E8" s="5"/>
      <c r="F8" s="5"/>
      <c r="G8" s="5"/>
    </row>
    <row r="9" spans="3:21" ht="90.5" customHeight="1" x14ac:dyDescent="0.35">
      <c r="C9" s="5"/>
      <c r="D9" s="5"/>
      <c r="E9" s="5"/>
      <c r="F9" s="5"/>
      <c r="G9" s="5"/>
    </row>
    <row r="10" spans="3:21" ht="90.5" customHeight="1" x14ac:dyDescent="0.35"/>
    <row r="11" spans="3:21" ht="29" customHeight="1" x14ac:dyDescent="0.55000000000000004">
      <c r="C11" s="9" t="s">
        <v>924</v>
      </c>
    </row>
    <row r="12" spans="3:21" ht="14" customHeight="1" x14ac:dyDescent="0.35"/>
    <row r="13" spans="3:21" ht="95.5" customHeight="1" x14ac:dyDescent="0.35">
      <c r="C13" s="5"/>
      <c r="E13" s="5"/>
      <c r="G13" s="5"/>
      <c r="I13" s="5"/>
      <c r="K13" s="5"/>
      <c r="M13" s="5"/>
      <c r="O13" s="5"/>
      <c r="Q13" s="5"/>
      <c r="R13" s="5"/>
      <c r="T13" s="5"/>
      <c r="U13" s="5"/>
    </row>
    <row r="14" spans="3:21" ht="95.5" customHeight="1" x14ac:dyDescent="0.35">
      <c r="E14" s="5"/>
      <c r="G14" s="5"/>
      <c r="M14" s="5"/>
      <c r="O14" s="5"/>
      <c r="Q14" s="5"/>
      <c r="R14" s="5"/>
      <c r="T14" s="5"/>
      <c r="U14" s="5"/>
    </row>
    <row r="15" spans="3:21" ht="91.5" customHeight="1" x14ac:dyDescent="0.35">
      <c r="O15" s="5"/>
      <c r="Q15" s="5"/>
      <c r="R15" s="5"/>
    </row>
    <row r="17" spans="3:21" x14ac:dyDescent="0.35">
      <c r="C17" s="55">
        <v>3</v>
      </c>
      <c r="E17" s="55">
        <v>3</v>
      </c>
      <c r="G17" s="55">
        <v>3</v>
      </c>
      <c r="I17" s="55">
        <v>20</v>
      </c>
      <c r="K17" s="55">
        <v>1</v>
      </c>
      <c r="M17" s="55">
        <v>1</v>
      </c>
      <c r="O17" s="55">
        <v>1</v>
      </c>
      <c r="Q17" s="444">
        <v>1</v>
      </c>
      <c r="R17" s="444"/>
      <c r="T17" s="444">
        <v>1</v>
      </c>
      <c r="U17" s="444"/>
    </row>
    <row r="21" spans="3:21" ht="97" customHeight="1" x14ac:dyDescent="0.35">
      <c r="C21" s="5"/>
      <c r="E21" s="5"/>
      <c r="G21" s="5"/>
      <c r="I21" s="5"/>
      <c r="K21" s="5"/>
      <c r="M21" s="5"/>
      <c r="N21" s="5"/>
      <c r="Q21" s="5"/>
      <c r="R21" s="5"/>
    </row>
    <row r="22" spans="3:21" ht="97" customHeight="1" x14ac:dyDescent="0.35">
      <c r="I22" s="5"/>
      <c r="K22" s="5"/>
    </row>
    <row r="23" spans="3:21" ht="27" customHeight="1" x14ac:dyDescent="0.6">
      <c r="C23" s="174">
        <v>1</v>
      </c>
      <c r="D23" s="128"/>
      <c r="E23" s="174">
        <v>3</v>
      </c>
      <c r="F23" s="128"/>
      <c r="G23" s="174">
        <v>1</v>
      </c>
      <c r="H23" s="174"/>
      <c r="I23" s="174">
        <v>1</v>
      </c>
      <c r="J23" s="174"/>
      <c r="K23" s="174">
        <v>1</v>
      </c>
      <c r="L23" s="174"/>
      <c r="M23" s="445" t="s">
        <v>926</v>
      </c>
      <c r="N23" s="445"/>
      <c r="O23" s="174"/>
      <c r="P23" s="174"/>
      <c r="Q23" s="445">
        <v>3</v>
      </c>
      <c r="R23" s="445"/>
    </row>
  </sheetData>
  <mergeCells count="4">
    <mergeCell ref="Q17:R17"/>
    <mergeCell ref="T17:U17"/>
    <mergeCell ref="Q23:R23"/>
    <mergeCell ref="M23:N23"/>
  </mergeCells>
  <pageMargins left="0.7" right="0.7" top="0.78740157499999996" bottom="0.78740157499999996" header="0.3" footer="0.3"/>
  <pageSetup paperSize="9" scale="36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zoomScale="115" zoomScaleNormal="115" workbookViewId="0"/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614</v>
      </c>
    </row>
  </sheetData>
  <pageMargins left="0.7" right="0.7" top="0.78740157499999996" bottom="0.78740157499999996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H75"/>
  <sheetViews>
    <sheetView showGridLines="0" zoomScale="85" zoomScaleNormal="85" workbookViewId="0">
      <selection activeCell="G8" sqref="G8"/>
    </sheetView>
  </sheetViews>
  <sheetFormatPr baseColWidth="10" defaultRowHeight="14.5" x14ac:dyDescent="0.35"/>
  <cols>
    <col min="5" max="5" width="5.1796875" customWidth="1"/>
    <col min="6" max="6" width="4.1796875" customWidth="1"/>
    <col min="7" max="7" width="9.36328125" customWidth="1"/>
    <col min="8" max="9" width="10.90625" customWidth="1"/>
    <col min="10" max="12" width="20.7265625" customWidth="1"/>
    <col min="13" max="13" width="26.6328125" customWidth="1"/>
    <col min="14" max="14" width="6.81640625" customWidth="1"/>
    <col min="15" max="15" width="9.54296875" customWidth="1"/>
    <col min="16" max="16" width="10.90625" customWidth="1"/>
    <col min="17" max="17" width="7.90625" customWidth="1"/>
    <col min="18" max="18" width="10.90625" customWidth="1"/>
    <col min="19" max="19" width="5.453125" customWidth="1"/>
    <col min="20" max="20" width="8.7265625" customWidth="1"/>
    <col min="21" max="21" width="5.453125" customWidth="1"/>
    <col min="23" max="23" width="18.54296875" customWidth="1"/>
    <col min="24" max="24" width="14.7265625" customWidth="1"/>
    <col min="25" max="25" width="4.1796875" customWidth="1"/>
    <col min="26" max="26" width="21.453125" customWidth="1"/>
  </cols>
  <sheetData>
    <row r="2" spans="3:34" ht="23.5" x14ac:dyDescent="0.55000000000000004">
      <c r="C2" s="9" t="s">
        <v>904</v>
      </c>
      <c r="R2" t="s">
        <v>64</v>
      </c>
      <c r="W2" s="8" t="s">
        <v>879</v>
      </c>
      <c r="X2" s="4" t="s">
        <v>64</v>
      </c>
    </row>
    <row r="3" spans="3:34" ht="15" thickBot="1" x14ac:dyDescent="0.4">
      <c r="R3" t="s">
        <v>65</v>
      </c>
    </row>
    <row r="4" spans="3:34" x14ac:dyDescent="0.35">
      <c r="V4" s="404"/>
      <c r="W4" s="405"/>
      <c r="X4" s="405"/>
      <c r="Y4" s="405"/>
      <c r="Z4" s="405"/>
      <c r="AA4" s="406"/>
    </row>
    <row r="5" spans="3:34" x14ac:dyDescent="0.35">
      <c r="V5" s="407"/>
      <c r="AA5" s="408"/>
    </row>
    <row r="6" spans="3:34" x14ac:dyDescent="0.35">
      <c r="V6" s="407"/>
      <c r="X6" s="5" t="s">
        <v>881</v>
      </c>
      <c r="Z6" s="5" t="s">
        <v>880</v>
      </c>
      <c r="AA6" s="408"/>
    </row>
    <row r="7" spans="3:34" ht="20.5" customHeight="1" x14ac:dyDescent="0.45">
      <c r="C7" s="8" t="s">
        <v>865</v>
      </c>
      <c r="D7" s="4">
        <v>1</v>
      </c>
      <c r="E7" s="4" t="s">
        <v>698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 * 10³Ω</v>
      </c>
      <c r="K7" s="77" t="str">
        <f>IF(E7=Einheitenvorsätze!$A$19,_xlfn.CONCAT(D7,F7),_xlfn.CONCAT(D7,E7,F7))</f>
        <v>1kΩ</v>
      </c>
      <c r="L7" s="77" t="str">
        <f>_xlfn.CONCAT(I7,K7)</f>
        <v>R = 1kΩ</v>
      </c>
      <c r="M7" s="77" t="str">
        <f>_xlfn.CONCAT(I7,J7)</f>
        <v>R = 1 * 10³Ω</v>
      </c>
      <c r="V7" s="407"/>
      <c r="X7" s="402" t="str">
        <f>$L$7</f>
        <v>R = 1kΩ</v>
      </c>
      <c r="Z7" s="403" t="str">
        <f>IF($X$2=$R$2,$L$12,_xlfn.CONCAT($C$12,"?"))</f>
        <v>ω = 6283.1853(1/s)</v>
      </c>
      <c r="AA7" s="408"/>
      <c r="AB7">
        <f>$H$7</f>
        <v>1000</v>
      </c>
      <c r="AC7" s="1" t="s">
        <v>891</v>
      </c>
      <c r="AD7">
        <v>0</v>
      </c>
      <c r="AE7">
        <f>IF($X$2=$R$2,AB7,0)</f>
        <v>1000</v>
      </c>
      <c r="AG7">
        <v>0</v>
      </c>
      <c r="AH7">
        <v>0</v>
      </c>
    </row>
    <row r="8" spans="3:34" ht="20.5" customHeight="1" x14ac:dyDescent="0.45">
      <c r="C8" s="8" t="s">
        <v>866</v>
      </c>
      <c r="D8" s="4">
        <v>0.1</v>
      </c>
      <c r="E8" s="4" t="s">
        <v>719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-6</v>
      </c>
      <c r="H8" s="77">
        <f>D8*VLOOKUP(E8, CHOOSE({1,2,3,4}, Einheitenvorsätze!A:A, Einheitenvorsätze!B:B, Einheitenvorsätze!C:C, Einheitenvorsätze!D:D), 3, FALSE)</f>
        <v>9.9999999999999995E-8</v>
      </c>
      <c r="I8" s="401" t="str">
        <f t="shared" ref="I8:I10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0.1 * 10⁻⁶F</v>
      </c>
      <c r="K8" s="77" t="str">
        <f>IF(E8=Einheitenvorsätze!$A$19,_xlfn.CONCAT(D8,F8),_xlfn.CONCAT(D8,E8,F8))</f>
        <v>0.1µF</v>
      </c>
      <c r="L8" s="77" t="str">
        <f t="shared" ref="L8:L10" si="1">_xlfn.CONCAT(I8,K8)</f>
        <v>C = 0.1µF</v>
      </c>
      <c r="M8" s="77" t="str">
        <f t="shared" ref="M8:M10" si="2">_xlfn.CONCAT(I8,J8)</f>
        <v>C = 0.1 * 10⁻⁶F</v>
      </c>
      <c r="V8" s="407"/>
      <c r="X8" s="402" t="str">
        <f>$L$8</f>
        <v>C = 0.1µF</v>
      </c>
      <c r="Z8" s="403" t="str">
        <f>IF($X$2=$R$2,$L$15,_xlfn.CONCAT($C$15,"?"))</f>
        <v>XC = 1591.55Ω</v>
      </c>
      <c r="AA8" s="408"/>
      <c r="AB8">
        <f>$H$15</f>
        <v>1591.55</v>
      </c>
      <c r="AC8" s="1" t="s">
        <v>892</v>
      </c>
      <c r="AD8">
        <v>0</v>
      </c>
      <c r="AE8">
        <v>0</v>
      </c>
      <c r="AG8">
        <v>0</v>
      </c>
      <c r="AH8">
        <f>IF($X$2=$R$2,-AB8,0)</f>
        <v>-1591.55</v>
      </c>
    </row>
    <row r="9" spans="3:34" ht="20.5" customHeight="1" x14ac:dyDescent="0.45">
      <c r="C9" s="8" t="s">
        <v>867</v>
      </c>
      <c r="D9" s="4">
        <v>40</v>
      </c>
      <c r="E9" s="4" t="s">
        <v>716</v>
      </c>
      <c r="F9" s="5" t="s">
        <v>45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0.04</v>
      </c>
      <c r="I9" s="401" t="str">
        <f t="shared" si="0"/>
        <v xml:space="preserve">L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40 * 10⁻³H</v>
      </c>
      <c r="K9" s="77" t="str">
        <f>IF(E9=Einheitenvorsätze!$A$19,_xlfn.CONCAT(D9,F9),_xlfn.CONCAT(D9,E9,F9))</f>
        <v>40mH</v>
      </c>
      <c r="L9" s="77" t="str">
        <f t="shared" si="1"/>
        <v>L = 40mH</v>
      </c>
      <c r="M9" s="77" t="str">
        <f t="shared" si="2"/>
        <v>L = 40 * 10⁻³H</v>
      </c>
      <c r="V9" s="407"/>
      <c r="X9" s="402" t="str">
        <f>$L$10</f>
        <v>f =1kHZ</v>
      </c>
      <c r="Z9" s="403" t="str">
        <f>IF($X$2=$R$2,$L$19,_xlfn.CONCAT($C$19,"?"))</f>
        <v>ZRC = 1879.64Ω</v>
      </c>
      <c r="AA9" s="409"/>
      <c r="AB9">
        <f>ABS(MAX(AB7:AB8))*1.1</f>
        <v>1750.7050000000002</v>
      </c>
      <c r="AC9" s="1" t="s">
        <v>894</v>
      </c>
      <c r="AD9">
        <f>-AB9</f>
        <v>-1750.7050000000002</v>
      </c>
      <c r="AE9">
        <f>AB9</f>
        <v>1750.7050000000002</v>
      </c>
      <c r="AG9">
        <v>0</v>
      </c>
      <c r="AH9">
        <v>0</v>
      </c>
    </row>
    <row r="10" spans="3:34" ht="20.5" customHeight="1" x14ac:dyDescent="0.45">
      <c r="C10" s="8" t="s">
        <v>868</v>
      </c>
      <c r="D10" s="4">
        <v>1</v>
      </c>
      <c r="E10" s="4" t="s">
        <v>698</v>
      </c>
      <c r="F10" s="5" t="s">
        <v>869</v>
      </c>
      <c r="G10" s="77">
        <f>VLOOKUP(E10, CHOOSE({1,2,3,4,5}, Einheitenvorsätze!A:A, Einheitenvorsätze!B:B, Einheitenvorsätze!C:C, Einheitenvorsätze!D:D, Einheitenvorsätze!E:E), 5, FALSE)</f>
        <v>3</v>
      </c>
      <c r="H10" s="77">
        <f>D10*VLOOKUP(E10, CHOOSE({1,2,3,4}, Einheitenvorsätze!A:A, Einheitenvorsätze!B:B, Einheitenvorsätze!C:C, Einheitenvorsätze!D:D), 3, FALSE)</f>
        <v>1000</v>
      </c>
      <c r="I10" s="401" t="str">
        <f t="shared" si="0"/>
        <v>f =</v>
      </c>
      <c r="J10" s="77" t="str">
        <f>IF(E10=Einheitenvorsätze!$A$19,_xlfn.CONCAT(D10,F10),_xlfn.CONCAT(D10," * ",VLOOKUP(E10, CHOOSE({1,2,3,4}, Einheitenvorsätze!A:A, Einheitenvorsätze!B:B, Einheitenvorsätze!C:C, Einheitenvorsätze!D:D), 4, FALSE),F10))</f>
        <v>1 * 10³HZ</v>
      </c>
      <c r="K10" s="77" t="str">
        <f>IF(E10=Einheitenvorsätze!$A$19,_xlfn.CONCAT(D10,F10),_xlfn.CONCAT(D10,E10,F10))</f>
        <v>1kHZ</v>
      </c>
      <c r="L10" s="77" t="str">
        <f t="shared" si="1"/>
        <v>f =1kHZ</v>
      </c>
      <c r="M10" s="77" t="str">
        <f t="shared" si="2"/>
        <v>f =1 * 10³HZ</v>
      </c>
      <c r="V10" s="407"/>
      <c r="Z10" s="403" t="str">
        <f>IF($X$2=$R$2,$T$19,_xlfn.CONCAT($O$19,"?"))</f>
        <v>φ = -57.9°</v>
      </c>
      <c r="AA10" s="408"/>
      <c r="AD10">
        <v>0</v>
      </c>
      <c r="AE10">
        <v>0</v>
      </c>
      <c r="AG10">
        <f>AD9</f>
        <v>-1750.7050000000002</v>
      </c>
      <c r="AH10">
        <f>AE9</f>
        <v>1750.7050000000002</v>
      </c>
    </row>
    <row r="11" spans="3:34" ht="20.5" customHeight="1" x14ac:dyDescent="0.35">
      <c r="V11" s="407"/>
      <c r="AA11" s="408"/>
      <c r="AD11">
        <v>0</v>
      </c>
      <c r="AE11">
        <f>AE7</f>
        <v>1000</v>
      </c>
      <c r="AG11">
        <v>0</v>
      </c>
      <c r="AH11">
        <f>AH8</f>
        <v>-1591.55</v>
      </c>
    </row>
    <row r="12" spans="3:34" ht="20.5" customHeight="1" thickBot="1" x14ac:dyDescent="0.4">
      <c r="C12" s="8" t="s">
        <v>870</v>
      </c>
      <c r="D12" s="77">
        <f>ROUND((2*PI()*H10 / 10^G12),4)</f>
        <v>6283.1853000000001</v>
      </c>
      <c r="E12" s="4" t="s">
        <v>707</v>
      </c>
      <c r="F12" s="5" t="s">
        <v>871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6283.1853000000001</v>
      </c>
      <c r="I12" s="401" t="str">
        <f t="shared" ref="I12" si="3">C12</f>
        <v xml:space="preserve">ω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6283.1853(1/s)</v>
      </c>
      <c r="K12" s="77" t="str">
        <f>IF(E12=Einheitenvorsätze!$A$19,_xlfn.CONCAT(D12,F12),_xlfn.CONCAT(D12,E12,F12))</f>
        <v>6283.1853(1/s)</v>
      </c>
      <c r="L12" s="77" t="str">
        <f t="shared" ref="L12" si="4">_xlfn.CONCAT(I12,K12)</f>
        <v>ω = 6283.1853(1/s)</v>
      </c>
      <c r="M12" s="77" t="str">
        <f t="shared" ref="M12" si="5">_xlfn.CONCAT(I12,J12)</f>
        <v>ω = 6283.1853(1/s)</v>
      </c>
      <c r="V12" s="410"/>
      <c r="W12" s="411"/>
      <c r="X12" s="411"/>
      <c r="Y12" s="411"/>
      <c r="Z12" s="411"/>
      <c r="AA12" s="412"/>
    </row>
    <row r="13" spans="3:34" ht="20.5" customHeight="1" x14ac:dyDescent="0.35"/>
    <row r="14" spans="3:34" ht="20.5" customHeight="1" x14ac:dyDescent="0.35"/>
    <row r="15" spans="3:34" ht="20.5" customHeight="1" x14ac:dyDescent="0.45">
      <c r="C15" s="8" t="s">
        <v>872</v>
      </c>
      <c r="D15" s="77">
        <f>ROUND((1/((D12*D8)*10^(G12+G8)))/10^G15,2)</f>
        <v>1591.55</v>
      </c>
      <c r="E15" s="4" t="s">
        <v>707</v>
      </c>
      <c r="F15" s="5" t="str">
        <f>F7</f>
        <v>Ω</v>
      </c>
      <c r="G15" s="77">
        <f>VLOOKUP(E15, CHOOSE({1,2,3,4,5}, Einheitenvorsätze!A:A, Einheitenvorsätze!B:B, Einheitenvorsätze!C:C, Einheitenvorsätze!D:D, Einheitenvorsätze!E:E), 5, FALSE)</f>
        <v>0</v>
      </c>
      <c r="H15" s="77">
        <f>D15*VLOOKUP(E15, CHOOSE({1,2,3,4}, Einheitenvorsätze!A:A, Einheitenvorsätze!B:B, Einheitenvorsätze!C:C, Einheitenvorsätze!D:D), 3, FALSE)</f>
        <v>1591.55</v>
      </c>
      <c r="I15" s="401" t="str">
        <f t="shared" ref="I15:I16" si="6">C15</f>
        <v xml:space="preserve">XC = </v>
      </c>
      <c r="J15" s="77" t="str">
        <f>IF(E15=Einheitenvorsätze!$A$19,_xlfn.CONCAT(D15,F15),_xlfn.CONCAT(D15," * ",VLOOKUP(E15, CHOOSE({1,2,3,4}, Einheitenvorsätze!A:A, Einheitenvorsätze!B:B, Einheitenvorsätze!C:C, Einheitenvorsätze!D:D), 4, FALSE),F15))</f>
        <v>1591.55Ω</v>
      </c>
      <c r="K15" s="77" t="str">
        <f>IF(E15=Einheitenvorsätze!$A$19,_xlfn.CONCAT(D15,F15),_xlfn.CONCAT(D15,E15,F15))</f>
        <v>1591.55Ω</v>
      </c>
      <c r="L15" s="77" t="str">
        <f t="shared" ref="L15:L16" si="7">_xlfn.CONCAT(I15,K15)</f>
        <v>XC = 1591.55Ω</v>
      </c>
      <c r="M15" s="77" t="str">
        <f t="shared" ref="M15:M16" si="8">_xlfn.CONCAT(I15,J15)</f>
        <v>XC = 1591.55Ω</v>
      </c>
    </row>
    <row r="16" spans="3:34" ht="20.5" customHeight="1" x14ac:dyDescent="0.45">
      <c r="C16" s="8" t="s">
        <v>873</v>
      </c>
      <c r="D16" s="77">
        <f>ROUND((((D12*D9)*10^(G12+G9))/10^G16),4)</f>
        <v>251.32740000000001</v>
      </c>
      <c r="E16" s="4" t="s">
        <v>707</v>
      </c>
      <c r="F16" s="5" t="str">
        <f>F7</f>
        <v>Ω</v>
      </c>
      <c r="G16" s="77">
        <f>VLOOKUP(E16, CHOOSE({1,2,3,4,5}, Einheitenvorsätze!A:A, Einheitenvorsätze!B:B, Einheitenvorsätze!C:C, Einheitenvorsätze!D:D, Einheitenvorsätze!E:E), 5, FALSE)</f>
        <v>0</v>
      </c>
      <c r="H16" s="77">
        <f>D16*VLOOKUP(E16, CHOOSE({1,2,3,4}, Einheitenvorsätze!A:A, Einheitenvorsätze!B:B, Einheitenvorsätze!C:C, Einheitenvorsätze!D:D), 3, FALSE)</f>
        <v>251.32740000000001</v>
      </c>
      <c r="I16" s="401" t="str">
        <f t="shared" si="6"/>
        <v xml:space="preserve">XL = </v>
      </c>
      <c r="J16" s="77" t="str">
        <f>IF(E16=Einheitenvorsätze!$A$19,_xlfn.CONCAT(D16,F16),_xlfn.CONCAT(D16," * ",VLOOKUP(E16, CHOOSE({1,2,3,4}, Einheitenvorsätze!A:A, Einheitenvorsätze!B:B, Einheitenvorsätze!C:C, Einheitenvorsätze!D:D), 4, FALSE),F16))</f>
        <v>251.3274Ω</v>
      </c>
      <c r="K16" s="77" t="str">
        <f>IF(E16=Einheitenvorsätze!$A$19,_xlfn.CONCAT(D16,F16),_xlfn.CONCAT(D16,E16,F16))</f>
        <v>251.3274Ω</v>
      </c>
      <c r="L16" s="77" t="str">
        <f t="shared" si="7"/>
        <v>XL = 251.3274Ω</v>
      </c>
      <c r="M16" s="77" t="str">
        <f t="shared" si="8"/>
        <v>XL = 251.3274Ω</v>
      </c>
    </row>
    <row r="18" spans="2:34" x14ac:dyDescent="0.35">
      <c r="C18" t="s">
        <v>875</v>
      </c>
    </row>
    <row r="19" spans="2:34" ht="16.5" x14ac:dyDescent="0.45">
      <c r="C19" s="8" t="s">
        <v>874</v>
      </c>
      <c r="D19" s="77">
        <f>ROUND(SQRT(H7^2 + H15^2) / 10^G19,2)</f>
        <v>1879.64</v>
      </c>
      <c r="E19" s="4" t="s">
        <v>707</v>
      </c>
      <c r="F19" s="5" t="str">
        <f>F16</f>
        <v>Ω</v>
      </c>
      <c r="G19" s="77">
        <f>VLOOKUP(E19, CHOOSE({1,2,3,4,5}, Einheitenvorsätze!A:A, Einheitenvorsätze!B:B, Einheitenvorsätze!C:C, Einheitenvorsätze!D:D, Einheitenvorsätze!E:E), 5, FALSE)</f>
        <v>0</v>
      </c>
      <c r="H19" s="77">
        <f>D19*VLOOKUP(E19, CHOOSE({1,2,3,4}, Einheitenvorsätze!A:A, Einheitenvorsätze!B:B, Einheitenvorsätze!C:C, Einheitenvorsätze!D:D), 3, FALSE)</f>
        <v>1879.64</v>
      </c>
      <c r="I19" s="401" t="str">
        <f t="shared" ref="I19:I21" si="9">C19</f>
        <v xml:space="preserve">ZRC = </v>
      </c>
      <c r="J19" s="77" t="str">
        <f>IF(E19=Einheitenvorsätze!$A$19,_xlfn.CONCAT(D19,F19),_xlfn.CONCAT(D19," * ",VLOOKUP(E19, CHOOSE({1,2,3,4}, Einheitenvorsätze!A:A, Einheitenvorsätze!B:B, Einheitenvorsätze!C:C, Einheitenvorsätze!D:D), 4, FALSE),F19))</f>
        <v>1879.64Ω</v>
      </c>
      <c r="K19" s="77" t="str">
        <f>IF(E19=Einheitenvorsätze!$A$19,_xlfn.CONCAT(D19,F19),_xlfn.CONCAT(D19,E19,F19))</f>
        <v>1879.64Ω</v>
      </c>
      <c r="L19" s="77" t="str">
        <f t="shared" ref="L19:L21" si="10">_xlfn.CONCAT(I19,K19)</f>
        <v>ZRC = 1879.64Ω</v>
      </c>
      <c r="M19" s="77" t="str">
        <f t="shared" ref="M19:M21" si="11">_xlfn.CONCAT(I19,J19)</f>
        <v>ZRC = 1879.64Ω</v>
      </c>
      <c r="O19" s="8" t="s">
        <v>878</v>
      </c>
      <c r="P19" s="77">
        <f>ATAN2(H7,-H15)</f>
        <v>-1.0098143717607519</v>
      </c>
      <c r="Q19" s="5" t="s">
        <v>202</v>
      </c>
      <c r="R19" s="77">
        <f>DEGREES(P19)</f>
        <v>-57.85810159354579</v>
      </c>
      <c r="S19" s="5" t="s">
        <v>201</v>
      </c>
      <c r="T19" s="77" t="str">
        <f>_xlfn.CONCAT(O19,ROUND(R19,1),S19)</f>
        <v>φ = -57.9°</v>
      </c>
    </row>
    <row r="20" spans="2:34" ht="16.5" x14ac:dyDescent="0.45">
      <c r="C20" s="8" t="s">
        <v>876</v>
      </c>
      <c r="D20" s="77">
        <f>ROUND(SQRT(H7^2 + H16^2)/10^G20,2)</f>
        <v>1031.0999999999999</v>
      </c>
      <c r="E20" s="4" t="s">
        <v>707</v>
      </c>
      <c r="F20" s="5" t="str">
        <f>F16</f>
        <v>Ω</v>
      </c>
      <c r="G20" s="77">
        <f>VLOOKUP(E20, CHOOSE({1,2,3,4,5}, Einheitenvorsätze!A:A, Einheitenvorsätze!B:B, Einheitenvorsätze!C:C, Einheitenvorsätze!D:D, Einheitenvorsätze!E:E), 5, FALSE)</f>
        <v>0</v>
      </c>
      <c r="H20" s="77">
        <f>D20*VLOOKUP(E20, CHOOSE({1,2,3,4}, Einheitenvorsätze!A:A, Einheitenvorsätze!B:B, Einheitenvorsätze!C:C, Einheitenvorsätze!D:D), 3, FALSE)</f>
        <v>1031.0999999999999</v>
      </c>
      <c r="I20" s="401" t="str">
        <f t="shared" si="9"/>
        <v xml:space="preserve">ZRL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1031.1Ω</v>
      </c>
      <c r="K20" s="77" t="str">
        <f>IF(E20=Einheitenvorsätze!$A$19,_xlfn.CONCAT(D20,F20),_xlfn.CONCAT(D20,E20,F20))</f>
        <v>1031.1Ω</v>
      </c>
      <c r="L20" s="77" t="str">
        <f t="shared" si="10"/>
        <v>ZRL = 1031.1Ω</v>
      </c>
      <c r="M20" s="77" t="str">
        <f t="shared" si="11"/>
        <v>ZRL = 1031.1Ω</v>
      </c>
      <c r="O20" s="8" t="s">
        <v>878</v>
      </c>
      <c r="P20" s="77">
        <f>ATAN2(H7,H16)</f>
        <v>0.24622759004774283</v>
      </c>
      <c r="Q20" s="5" t="s">
        <v>202</v>
      </c>
      <c r="R20" s="77">
        <f>DEGREES(P20)</f>
        <v>14.107801709413097</v>
      </c>
      <c r="S20" s="5" t="s">
        <v>201</v>
      </c>
      <c r="T20" s="77" t="str">
        <f>_xlfn.CONCAT(O20,ROUND(R20,1),S20)</f>
        <v>φ = 14.1°</v>
      </c>
    </row>
    <row r="21" spans="2:34" ht="16.5" x14ac:dyDescent="0.45">
      <c r="B21" s="55" t="str">
        <f>IF(D15=D16,"ohmsch",IF(D15&gt;D16,"kapazitiv","induktiv"))</f>
        <v>kapazitiv</v>
      </c>
      <c r="C21" s="8" t="s">
        <v>877</v>
      </c>
      <c r="D21" s="77">
        <f>ROUND(SQRT(H7^2 + (H15-H16)^2)/10^G21,2)</f>
        <v>1672.18</v>
      </c>
      <c r="E21" s="4" t="s">
        <v>707</v>
      </c>
      <c r="F21" s="5" t="str">
        <f>F15</f>
        <v>Ω</v>
      </c>
      <c r="G21" s="77">
        <f>VLOOKUP(E21, CHOOSE({1,2,3,4,5}, Einheitenvorsätze!A:A, Einheitenvorsätze!B:B, Einheitenvorsätze!C:C, Einheitenvorsätze!D:D, Einheitenvorsätze!E:E), 5, FALSE)</f>
        <v>0</v>
      </c>
      <c r="H21" s="77">
        <f>D21*VLOOKUP(E21, CHOOSE({1,2,3,4}, Einheitenvorsätze!A:A, Einheitenvorsätze!B:B, Einheitenvorsätze!C:C, Einheitenvorsätze!D:D), 3, FALSE)</f>
        <v>1672.18</v>
      </c>
      <c r="I21" s="401" t="str">
        <f t="shared" si="9"/>
        <v xml:space="preserve">ZRLC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1672.18Ω</v>
      </c>
      <c r="K21" s="77" t="str">
        <f>IF(E21=Einheitenvorsätze!$A$19,_xlfn.CONCAT(D21,F21),_xlfn.CONCAT(D21,E21,F21))</f>
        <v>1672.18Ω</v>
      </c>
      <c r="L21" s="77" t="str">
        <f t="shared" si="10"/>
        <v>ZRLC = 1672.18Ω</v>
      </c>
      <c r="M21" s="77" t="str">
        <f t="shared" si="11"/>
        <v>ZRLC = 1672.18Ω</v>
      </c>
      <c r="O21" s="8" t="s">
        <v>878</v>
      </c>
      <c r="P21" s="77">
        <f>ATAN2(H7,IF(H19&gt;H20,-H21,H21))</f>
        <v>-1.0318326960693467</v>
      </c>
      <c r="Q21" s="5" t="s">
        <v>202</v>
      </c>
      <c r="R21" s="77">
        <f>DEGREES(P21)</f>
        <v>-59.119658648378575</v>
      </c>
      <c r="S21" s="5" t="s">
        <v>201</v>
      </c>
      <c r="T21" s="77" t="str">
        <f>_xlfn.CONCAT(O21,ROUND(R21,1),S21)</f>
        <v>φ = -59.1°</v>
      </c>
    </row>
    <row r="22" spans="2:34" ht="15" thickBot="1" x14ac:dyDescent="0.4"/>
    <row r="23" spans="2:34" ht="23.5" x14ac:dyDescent="0.55000000000000004">
      <c r="V23" s="413"/>
      <c r="W23" s="414"/>
      <c r="X23" s="405"/>
      <c r="Y23" s="405"/>
      <c r="Z23" s="405"/>
      <c r="AA23" s="406"/>
    </row>
    <row r="24" spans="2:34" ht="23.5" x14ac:dyDescent="0.55000000000000004">
      <c r="V24" s="415"/>
      <c r="W24" s="245"/>
      <c r="X24" s="5" t="s">
        <v>881</v>
      </c>
      <c r="Z24" s="5" t="s">
        <v>880</v>
      </c>
      <c r="AA24" s="408"/>
    </row>
    <row r="25" spans="2:34" ht="18.5" x14ac:dyDescent="0.45">
      <c r="V25" s="407"/>
      <c r="X25" s="402" t="str">
        <f>$L$7</f>
        <v>R = 1kΩ</v>
      </c>
      <c r="Z25" s="403" t="str">
        <f>IF($X$2=$R$2,$L$12,_xlfn.CONCAT($C$12,"?"))</f>
        <v>ω = 6283.1853(1/s)</v>
      </c>
      <c r="AA25" s="408"/>
      <c r="AB25">
        <f>$H$7</f>
        <v>1000</v>
      </c>
      <c r="AC25" s="1" t="s">
        <v>891</v>
      </c>
      <c r="AD25">
        <v>0</v>
      </c>
      <c r="AE25">
        <f>IF($X$2=$R$2,AB25,0)</f>
        <v>1000</v>
      </c>
      <c r="AG25">
        <v>0</v>
      </c>
      <c r="AH25">
        <v>0</v>
      </c>
    </row>
    <row r="26" spans="2:34" ht="18.5" x14ac:dyDescent="0.45">
      <c r="V26" s="407"/>
      <c r="X26" s="402" t="str">
        <f>$L$9</f>
        <v>L = 40mH</v>
      </c>
      <c r="Z26" s="403" t="str">
        <f>IF($X$2=$R$2,$L$16,_xlfn.CONCAT($C$16,"?"))</f>
        <v>XL = 251.3274Ω</v>
      </c>
      <c r="AA26" s="408"/>
      <c r="AB26">
        <f>$H$16</f>
        <v>251.32740000000001</v>
      </c>
      <c r="AC26" s="1" t="s">
        <v>893</v>
      </c>
      <c r="AD26">
        <v>0</v>
      </c>
      <c r="AE26">
        <v>0</v>
      </c>
      <c r="AG26">
        <v>0</v>
      </c>
      <c r="AH26">
        <f>IF($X$2=$R$2,AB26,0)</f>
        <v>251.32740000000001</v>
      </c>
    </row>
    <row r="27" spans="2:34" ht="18.5" x14ac:dyDescent="0.45">
      <c r="V27" s="407"/>
      <c r="X27" s="402" t="str">
        <f>$L$10</f>
        <v>f =1kHZ</v>
      </c>
      <c r="Z27" s="403" t="str">
        <f>IF($X$2=$R$2,$L$20,_xlfn.CONCAT($C$20,"?"))</f>
        <v>ZRL = 1031.1Ω</v>
      </c>
      <c r="AA27" s="408"/>
      <c r="AB27">
        <f>ABS(MAX(AB25:AB26))*1.1</f>
        <v>1100</v>
      </c>
      <c r="AC27" s="1" t="s">
        <v>894</v>
      </c>
      <c r="AD27">
        <f>-AB27</f>
        <v>-1100</v>
      </c>
      <c r="AE27">
        <f>AB27</f>
        <v>1100</v>
      </c>
      <c r="AG27">
        <v>0</v>
      </c>
      <c r="AH27">
        <v>0</v>
      </c>
    </row>
    <row r="28" spans="2:34" ht="18.5" x14ac:dyDescent="0.45">
      <c r="V28" s="407"/>
      <c r="Z28" s="403" t="str">
        <f>IF($X$2=$R$2,$T$20,_xlfn.CONCAT($O$20,"?"))</f>
        <v>φ = 14.1°</v>
      </c>
      <c r="AA28" s="408"/>
      <c r="AD28">
        <v>0</v>
      </c>
      <c r="AE28">
        <v>0</v>
      </c>
      <c r="AG28">
        <f>AD27</f>
        <v>-1100</v>
      </c>
      <c r="AH28">
        <f>AE27</f>
        <v>1100</v>
      </c>
    </row>
    <row r="29" spans="2:34" ht="15" thickBot="1" x14ac:dyDescent="0.4">
      <c r="V29" s="410"/>
      <c r="W29" s="411"/>
      <c r="X29" s="411"/>
      <c r="Y29" s="411"/>
      <c r="Z29" s="411"/>
      <c r="AA29" s="412"/>
      <c r="AD29">
        <v>0</v>
      </c>
      <c r="AE29">
        <f>AE25</f>
        <v>1000</v>
      </c>
      <c r="AG29">
        <v>0</v>
      </c>
      <c r="AH29">
        <f>AH26</f>
        <v>251.32740000000001</v>
      </c>
    </row>
    <row r="43" spans="22:34" ht="15" thickBot="1" x14ac:dyDescent="0.4"/>
    <row r="44" spans="22:34" x14ac:dyDescent="0.35">
      <c r="V44" s="404"/>
      <c r="W44" s="405"/>
      <c r="X44" s="405"/>
      <c r="Y44" s="405"/>
      <c r="Z44" s="405"/>
      <c r="AA44" s="406"/>
    </row>
    <row r="45" spans="22:34" x14ac:dyDescent="0.35">
      <c r="V45" s="407"/>
      <c r="AA45" s="408"/>
      <c r="AB45">
        <f>$H$7</f>
        <v>1000</v>
      </c>
      <c r="AC45" s="1" t="s">
        <v>891</v>
      </c>
      <c r="AD45">
        <v>0</v>
      </c>
      <c r="AE45">
        <f>IF($X$2=$R$2,AB45,0)</f>
        <v>1000</v>
      </c>
      <c r="AG45">
        <v>0</v>
      </c>
      <c r="AH45">
        <v>0</v>
      </c>
    </row>
    <row r="46" spans="22:34" x14ac:dyDescent="0.35">
      <c r="V46" s="407"/>
      <c r="X46" s="5" t="s">
        <v>881</v>
      </c>
      <c r="Z46" s="5" t="s">
        <v>880</v>
      </c>
      <c r="AA46" s="408"/>
      <c r="AB46">
        <f>$H$15</f>
        <v>1591.55</v>
      </c>
      <c r="AC46" s="1" t="s">
        <v>892</v>
      </c>
      <c r="AD46">
        <v>0</v>
      </c>
      <c r="AE46">
        <v>0</v>
      </c>
      <c r="AG46">
        <v>0</v>
      </c>
      <c r="AH46">
        <f>IF($X$2=$R$2,-AB46,0)</f>
        <v>-1591.55</v>
      </c>
    </row>
    <row r="47" spans="22:34" ht="18.5" x14ac:dyDescent="0.45">
      <c r="V47" s="407"/>
      <c r="X47" s="402" t="str">
        <f>$L$7</f>
        <v>R = 1kΩ</v>
      </c>
      <c r="Z47" s="403" t="str">
        <f>IF($X$2=$R$2,$L$12,_xlfn.CONCAT($C$12,"?"))</f>
        <v>ω = 6283.1853(1/s)</v>
      </c>
      <c r="AA47" s="408"/>
      <c r="AB47">
        <f>$H$16</f>
        <v>251.32740000000001</v>
      </c>
      <c r="AC47" s="1" t="s">
        <v>893</v>
      </c>
      <c r="AD47">
        <v>0</v>
      </c>
      <c r="AE47">
        <v>0</v>
      </c>
      <c r="AG47">
        <v>0</v>
      </c>
      <c r="AH47">
        <f>IF($X$2=$R$2,AB47,0)</f>
        <v>251.32740000000001</v>
      </c>
    </row>
    <row r="48" spans="22:34" ht="18.5" x14ac:dyDescent="0.45">
      <c r="V48" s="407"/>
      <c r="X48" s="402" t="str">
        <f>$L$9</f>
        <v>L = 40mH</v>
      </c>
      <c r="Z48" s="403" t="str">
        <f>IF($X$2=$R$2,$L$16,_xlfn.CONCAT($C$16,"?"))</f>
        <v>XL = 251.3274Ω</v>
      </c>
      <c r="AA48" s="408"/>
      <c r="AC48" s="1" t="s">
        <v>895</v>
      </c>
      <c r="AD48">
        <v>0</v>
      </c>
      <c r="AE48">
        <v>0</v>
      </c>
      <c r="AG48">
        <v>0</v>
      </c>
      <c r="AH48">
        <f>AH46+AH47</f>
        <v>-1340.2226000000001</v>
      </c>
    </row>
    <row r="49" spans="22:34" ht="18.5" x14ac:dyDescent="0.45">
      <c r="V49" s="407"/>
      <c r="X49" s="402" t="str">
        <f>$L$8</f>
        <v>C = 0.1µF</v>
      </c>
      <c r="Z49" s="403" t="str">
        <f>IF($X$2=$R$2,$L$15,_xlfn.CONCAT($C$15,"?"))</f>
        <v>XC = 1591.55Ω</v>
      </c>
      <c r="AA49" s="408"/>
      <c r="AC49" s="1"/>
    </row>
    <row r="50" spans="22:34" ht="18.5" x14ac:dyDescent="0.45">
      <c r="V50" s="407"/>
      <c r="X50" s="402" t="str">
        <f>$L$10</f>
        <v>f =1kHZ</v>
      </c>
      <c r="Z50" s="403" t="str">
        <f>IF($X$2=$R$2,$L$21,_xlfn.CONCAT($C$20,"?"))</f>
        <v>ZRLC = 1672.18Ω</v>
      </c>
      <c r="AA50" s="408"/>
      <c r="AC50" s="1"/>
    </row>
    <row r="51" spans="22:34" ht="18.5" x14ac:dyDescent="0.45">
      <c r="V51" s="407"/>
      <c r="X51" s="403" t="str">
        <f>$B$21</f>
        <v>kapazitiv</v>
      </c>
      <c r="Z51" s="403" t="str">
        <f>IF($X$2=$R$2,$T$21,_xlfn.CONCAT($O$21,"?"))</f>
        <v>φ = -59.1°</v>
      </c>
      <c r="AA51" s="408"/>
      <c r="AC51" s="1" t="s">
        <v>896</v>
      </c>
      <c r="AD51">
        <v>0</v>
      </c>
      <c r="AE51">
        <f>AE45</f>
        <v>1000</v>
      </c>
      <c r="AG51">
        <v>0</v>
      </c>
      <c r="AH51">
        <f>AH48</f>
        <v>-1340.2226000000001</v>
      </c>
    </row>
    <row r="52" spans="22:34" x14ac:dyDescent="0.35">
      <c r="V52" s="407"/>
      <c r="AA52" s="408"/>
      <c r="AB52">
        <f>ABS(MAX(AB45:AB47))*1.1</f>
        <v>1750.7050000000002</v>
      </c>
      <c r="AC52" s="1" t="s">
        <v>894</v>
      </c>
      <c r="AD52">
        <f>-AB52</f>
        <v>-1750.7050000000002</v>
      </c>
      <c r="AE52">
        <f>AB52</f>
        <v>1750.7050000000002</v>
      </c>
      <c r="AG52">
        <v>0</v>
      </c>
      <c r="AH52">
        <v>0</v>
      </c>
    </row>
    <row r="53" spans="22:34" ht="15" thickBot="1" x14ac:dyDescent="0.4">
      <c r="V53" s="410"/>
      <c r="W53" s="411"/>
      <c r="X53" s="411"/>
      <c r="Y53" s="411"/>
      <c r="Z53" s="411"/>
      <c r="AA53" s="412"/>
      <c r="AD53">
        <v>0</v>
      </c>
      <c r="AE53">
        <v>0</v>
      </c>
      <c r="AG53">
        <f>AD52</f>
        <v>-1750.7050000000002</v>
      </c>
      <c r="AH53">
        <f>AE52</f>
        <v>1750.7050000000002</v>
      </c>
    </row>
    <row r="54" spans="22:34" x14ac:dyDescent="0.35">
      <c r="AD54">
        <v>0</v>
      </c>
      <c r="AE54">
        <f>AE46</f>
        <v>0</v>
      </c>
      <c r="AG54">
        <v>0</v>
      </c>
      <c r="AH54">
        <f>AH47</f>
        <v>251.32740000000001</v>
      </c>
    </row>
    <row r="75" spans="34:34" x14ac:dyDescent="0.35">
      <c r="AH75" s="1"/>
    </row>
  </sheetData>
  <dataValidations count="1">
    <dataValidation type="list" allowBlank="1" showInputMessage="1" showErrorMessage="1" sqref="X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E7:E10 E12 E15:E16 E19:E21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A2:Z78"/>
  <sheetViews>
    <sheetView showGridLines="0" zoomScale="85" zoomScaleNormal="85" workbookViewId="0">
      <selection activeCell="E8" sqref="E8"/>
    </sheetView>
  </sheetViews>
  <sheetFormatPr baseColWidth="10" defaultRowHeight="14.5" x14ac:dyDescent="0.35"/>
  <cols>
    <col min="1" max="1" width="13.90625" customWidth="1"/>
    <col min="2" max="2" width="24.6328125" customWidth="1"/>
    <col min="4" max="4" width="11.81640625" bestFit="1" customWidth="1"/>
    <col min="5" max="5" width="6.6328125" customWidth="1"/>
    <col min="6" max="6" width="5.453125" customWidth="1"/>
    <col min="9" max="9" width="13.36328125" customWidth="1"/>
    <col min="10" max="10" width="14.36328125" customWidth="1"/>
    <col min="11" max="11" width="19.453125" customWidth="1"/>
    <col min="12" max="12" width="16" customWidth="1"/>
    <col min="13" max="13" width="19.36328125" customWidth="1"/>
    <col min="14" max="14" width="16.26953125" customWidth="1"/>
    <col min="19" max="19" width="12.81640625" customWidth="1"/>
  </cols>
  <sheetData>
    <row r="2" spans="2:19" ht="23.5" x14ac:dyDescent="0.55000000000000004">
      <c r="C2" s="9" t="s">
        <v>905</v>
      </c>
      <c r="R2" t="s">
        <v>64</v>
      </c>
    </row>
    <row r="3" spans="2:19" ht="23.5" x14ac:dyDescent="0.55000000000000004">
      <c r="C3" s="9"/>
      <c r="R3" t="s">
        <v>65</v>
      </c>
    </row>
    <row r="4" spans="2:19" ht="16.5" customHeight="1" x14ac:dyDescent="0.55000000000000004">
      <c r="C4" s="9"/>
      <c r="H4" s="8" t="s">
        <v>879</v>
      </c>
      <c r="I4" s="4" t="s">
        <v>65</v>
      </c>
    </row>
    <row r="5" spans="2:19" ht="16.5" customHeight="1" x14ac:dyDescent="0.35">
      <c r="C5" s="425"/>
    </row>
    <row r="6" spans="2:19" ht="16.5" customHeight="1" x14ac:dyDescent="0.45">
      <c r="C6" s="8" t="s">
        <v>906</v>
      </c>
      <c r="D6" s="4">
        <v>55</v>
      </c>
      <c r="E6" s="4" t="s">
        <v>707</v>
      </c>
      <c r="F6" s="5" t="s">
        <v>320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55</v>
      </c>
      <c r="I6" s="401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55V</v>
      </c>
      <c r="K6" s="77" t="str">
        <f>IF(E6=Einheitenvorsätze!$A$19,_xlfn.CONCAT(D6,F6),_xlfn.CONCAT(D6,E6,F6))</f>
        <v>55V</v>
      </c>
      <c r="L6" s="77" t="str">
        <f>_xlfn.CONCAT(I6,K6)</f>
        <v>U0 = 55V</v>
      </c>
      <c r="M6" s="77" t="str">
        <f>_xlfn.CONCAT(I6,J6)</f>
        <v>U0 = 55V</v>
      </c>
    </row>
    <row r="7" spans="2:19" ht="16.5" customHeight="1" x14ac:dyDescent="0.35">
      <c r="C7" s="8" t="s">
        <v>865</v>
      </c>
      <c r="D7" s="4">
        <v>1500</v>
      </c>
      <c r="E7" s="4" t="s">
        <v>822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6</v>
      </c>
      <c r="H7" s="77">
        <f>D7*VLOOKUP(E7, CHOOSE({1,2,3,4}, Einheitenvorsätze!A:A, Einheitenvorsätze!B:B, Einheitenvorsätze!C:C, Einheitenvorsätze!D:D), 3, FALSE)</f>
        <v>1500000000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1500 * 10⁶Ω</v>
      </c>
      <c r="K7" s="77" t="str">
        <f>IF(E7=Einheitenvorsätze!$A$19,_xlfn.CONCAT(D7,F7),_xlfn.CONCAT(D7,E7,F7))</f>
        <v>1500MeΩ</v>
      </c>
      <c r="L7" s="77" t="str">
        <f>_xlfn.CONCAT(I7,K7)</f>
        <v>R = 1500MeΩ</v>
      </c>
      <c r="M7" s="77" t="str">
        <f>_xlfn.CONCAT(I7,J7)</f>
        <v>R = 1500 * 10⁶Ω</v>
      </c>
    </row>
    <row r="8" spans="2:19" ht="16.5" customHeight="1" x14ac:dyDescent="0.35">
      <c r="C8" s="8" t="s">
        <v>866</v>
      </c>
      <c r="D8" s="4">
        <v>12</v>
      </c>
      <c r="E8" s="4" t="s">
        <v>722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-9</v>
      </c>
      <c r="H8" s="77">
        <f>D8*VLOOKUP(E8, CHOOSE({1,2,3,4}, Einheitenvorsätze!A:A, Einheitenvorsätze!B:B, Einheitenvorsätze!C:C, Einheitenvorsätze!D:D), 3, FALSE)</f>
        <v>1.2000000000000002E-8</v>
      </c>
      <c r="I8" s="401" t="str">
        <f t="shared" ref="I8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12 * 10⁻⁹F</v>
      </c>
      <c r="K8" s="77" t="str">
        <f>IF(E8=Einheitenvorsätze!$A$19,_xlfn.CONCAT(D8,F8),_xlfn.CONCAT(D8,E8,F8))</f>
        <v>12nF</v>
      </c>
      <c r="L8" s="77" t="str">
        <f t="shared" ref="L8" si="1">_xlfn.CONCAT(I8,K8)</f>
        <v>C = 12nF</v>
      </c>
      <c r="M8" s="77" t="str">
        <f t="shared" ref="M8" si="2">_xlfn.CONCAT(I8,J8)</f>
        <v>C = 12 * 10⁻⁹F</v>
      </c>
    </row>
    <row r="9" spans="2:19" ht="18.5" x14ac:dyDescent="0.45">
      <c r="C9" s="8" t="s">
        <v>440</v>
      </c>
      <c r="D9" s="4">
        <v>15</v>
      </c>
      <c r="E9" s="4" t="s">
        <v>707</v>
      </c>
      <c r="F9" s="5" t="s">
        <v>745</v>
      </c>
      <c r="G9" s="77">
        <f>VLOOKUP(E9, CHOOSE({1,2,3,4,5}, Einheitenvorsätze!A:A, Einheitenvorsätze!B:B, Einheitenvorsätze!C:C, Einheitenvorsätze!D:D, Einheitenvorsätze!E:E), 5, FALSE)</f>
        <v>0</v>
      </c>
      <c r="H9" s="77">
        <f>D9*VLOOKUP(E9, CHOOSE({1,2,3,4}, Einheitenvorsätze!A:A, Einheitenvorsätze!B:B, Einheitenvorsätze!C:C, Einheitenvorsätze!D:D), 3, FALSE)</f>
        <v>15</v>
      </c>
      <c r="I9" s="401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15s</v>
      </c>
      <c r="K9" s="77" t="str">
        <f>IF(E9=Einheitenvorsätze!$A$19,_xlfn.CONCAT(D9,F9),_xlfn.CONCAT(D9,E9,F9))</f>
        <v>15s</v>
      </c>
      <c r="L9" s="77" t="str">
        <f>_xlfn.CONCAT(I9,K9)</f>
        <v>t = 15s</v>
      </c>
      <c r="M9" s="77" t="str">
        <f>_xlfn.CONCAT(I9,J9)</f>
        <v>t = 15s</v>
      </c>
      <c r="O9" s="339" t="str">
        <f>_xlfn.CONCAT(C9,"-",Einheitenvorsätze!C56," * ln(1 - UC/U0)")</f>
        <v>t = -τ * ln(1 - UC/U0)</v>
      </c>
      <c r="R9" s="424">
        <f xml:space="preserve"> -D11 * LN(1 - D12/D6)</f>
        <v>15.000001105389165</v>
      </c>
    </row>
    <row r="10" spans="2:19" ht="18.5" x14ac:dyDescent="0.45">
      <c r="O10" s="339"/>
      <c r="R10" s="24"/>
    </row>
    <row r="11" spans="2:19" ht="18.5" x14ac:dyDescent="0.45">
      <c r="C11" s="8" t="str">
        <f>_xlfn.CONCAT(" ",Einheitenvorsätze!C56," = ")</f>
        <v xml:space="preserve"> τ = </v>
      </c>
      <c r="D11" s="77">
        <f>ROUND(D7*D8 * 10^(G7+G8+G11),4)</f>
        <v>18</v>
      </c>
      <c r="E11" s="4" t="s">
        <v>707</v>
      </c>
      <c r="F11" s="5" t="s">
        <v>745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18</v>
      </c>
      <c r="I11" s="401" t="str">
        <f>C11</f>
        <v xml:space="preserve"> 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18s</v>
      </c>
      <c r="K11" s="77" t="str">
        <f>IF(E11=Einheitenvorsätze!$A$19,_xlfn.CONCAT(D11,F11),_xlfn.CONCAT(D11,E11,F11))</f>
        <v>18s</v>
      </c>
      <c r="L11" s="77" t="str">
        <f t="shared" ref="L11" si="3">_xlfn.CONCAT(I11,K11)</f>
        <v xml:space="preserve"> τ = 18s</v>
      </c>
      <c r="M11" s="77" t="str">
        <f t="shared" ref="M11" si="4">_xlfn.CONCAT(I11,J11)</f>
        <v xml:space="preserve"> τ = 18s</v>
      </c>
      <c r="N11" s="339" t="str">
        <f>_xlfn.CONCAT(C11," R*C")</f>
        <v xml:space="preserve"> τ =  R*C</v>
      </c>
      <c r="O11" s="339" t="str">
        <f>_xlfn.CONCAT(C11,"-t/ln(1 - UC/U0)")</f>
        <v xml:space="preserve"> τ = -t/ln(1 - UC/U0)</v>
      </c>
      <c r="R11" s="424">
        <f xml:space="preserve"> -D9 / LN(1 - D12/D6)</f>
        <v>17.999998673533099</v>
      </c>
    </row>
    <row r="12" spans="2:19" ht="18.5" x14ac:dyDescent="0.45">
      <c r="B12" s="421" t="s">
        <v>915</v>
      </c>
      <c r="C12" s="8" t="str">
        <f>_xlfn.CONCAT(" UC = ")</f>
        <v xml:space="preserve"> UC = </v>
      </c>
      <c r="D12" s="77">
        <f>ROUND(H6*(1-EXP(-H9/H11))/10^G12,4)</f>
        <v>31.097100000000001</v>
      </c>
      <c r="E12" s="4" t="s">
        <v>707</v>
      </c>
      <c r="F12" s="5" t="s">
        <v>320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31.097100000000001</v>
      </c>
      <c r="I12" s="401" t="str">
        <f t="shared" ref="I12" si="5"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31.0971V</v>
      </c>
      <c r="K12" s="77" t="str">
        <f>IF(E12=Einheitenvorsätze!$A$19,_xlfn.CONCAT(D12,F12),_xlfn.CONCAT(D12,E12,F12))</f>
        <v>31.0971V</v>
      </c>
      <c r="L12" s="77" t="str">
        <f t="shared" ref="L12" si="6">_xlfn.CONCAT(I12,K12)</f>
        <v xml:space="preserve"> UC = 31.0971V</v>
      </c>
      <c r="M12" s="77" t="str">
        <f t="shared" ref="M12" si="7">_xlfn.CONCAT(I12,J12)</f>
        <v xml:space="preserve"> UC = 31.0971V</v>
      </c>
      <c r="N12" s="426" t="s">
        <v>915</v>
      </c>
      <c r="O12" s="339" t="str">
        <f>_xlfn.CONCAT("UC(t) = U0(1 - e^(-t/",Einheitenvorsätze!C56,"))")</f>
        <v>UC(t) = U0(1 - e^(-t/τ))</v>
      </c>
      <c r="R12" s="424">
        <f xml:space="preserve"> D6*(1 - EXP(-D9/D11))</f>
        <v>31.097098532110699</v>
      </c>
    </row>
    <row r="13" spans="2:19" ht="18.5" x14ac:dyDescent="0.45">
      <c r="B13" s="421" t="s">
        <v>916</v>
      </c>
      <c r="C13" s="8" t="str">
        <f>_xlfn.CONCAT(" UC = ")</f>
        <v xml:space="preserve"> UC = </v>
      </c>
      <c r="D13" s="77">
        <f>ROUND(H6*(EXP(-H9/H11))/10^G12,4)</f>
        <v>23.902899999999999</v>
      </c>
      <c r="E13" s="4" t="s">
        <v>707</v>
      </c>
      <c r="F13" s="5" t="s">
        <v>320</v>
      </c>
      <c r="G13" s="77">
        <f>VLOOKUP(E13, CHOOSE({1,2,3,4,5}, Einheitenvorsätze!A:A, Einheitenvorsätze!B:B, Einheitenvorsätze!C:C, Einheitenvorsätze!D:D, Einheitenvorsätze!E:E), 5, FALSE)</f>
        <v>0</v>
      </c>
      <c r="H13" s="77">
        <f>D13*VLOOKUP(E13, CHOOSE({1,2,3,4}, Einheitenvorsätze!A:A, Einheitenvorsätze!B:B, Einheitenvorsätze!C:C, Einheitenvorsätze!D:D), 3, FALSE)</f>
        <v>23.902899999999999</v>
      </c>
      <c r="I13" s="401" t="str">
        <f t="shared" ref="I13" si="8">C13</f>
        <v xml:space="preserve"> UC = </v>
      </c>
      <c r="J13" s="77" t="str">
        <f>IF(E13=Einheitenvorsätze!$A$19,_xlfn.CONCAT(D13,F13),_xlfn.CONCAT(D13," * ",VLOOKUP(E13, CHOOSE({1,2,3,4}, Einheitenvorsätze!A:A, Einheitenvorsätze!B:B, Einheitenvorsätze!C:C, Einheitenvorsätze!D:D), 4, FALSE),F13))</f>
        <v>23.9029V</v>
      </c>
      <c r="K13" s="77" t="str">
        <f>IF(E13=Einheitenvorsätze!$A$19,_xlfn.CONCAT(D13,F13),_xlfn.CONCAT(D13,E13,F13))</f>
        <v>23.9029V</v>
      </c>
      <c r="L13" s="77" t="str">
        <f t="shared" ref="L13" si="9">_xlfn.CONCAT(I13,K13)</f>
        <v xml:space="preserve"> UC = 23.9029V</v>
      </c>
      <c r="M13" s="77" t="str">
        <f t="shared" ref="M13" si="10">_xlfn.CONCAT(I13,J13)</f>
        <v xml:space="preserve"> UC = 23.9029V</v>
      </c>
      <c r="N13" s="426" t="s">
        <v>916</v>
      </c>
      <c r="O13" s="339" t="str">
        <f>_xlfn.CONCAT("UC(t) = U0(e^(-t/",Einheitenvorsätze!C56,"))")</f>
        <v>UC(t) = U0(e^(-t/τ))</v>
      </c>
      <c r="R13" s="24"/>
    </row>
    <row r="14" spans="2:19" ht="18.5" x14ac:dyDescent="0.45">
      <c r="C14" s="1"/>
      <c r="I14" s="1"/>
      <c r="N14" s="339"/>
      <c r="O14" s="339"/>
      <c r="R14" s="24"/>
    </row>
    <row r="15" spans="2:19" ht="15" thickBot="1" x14ac:dyDescent="0.4">
      <c r="C15" s="1"/>
      <c r="I15" s="1"/>
    </row>
    <row r="16" spans="2:19" x14ac:dyDescent="0.35">
      <c r="B16" s="404"/>
      <c r="C16" s="405"/>
      <c r="D16" s="405"/>
      <c r="E16" s="405"/>
      <c r="F16" s="405"/>
      <c r="G16" s="405"/>
      <c r="H16" s="405"/>
      <c r="I16" s="405"/>
      <c r="J16" s="405"/>
      <c r="K16" s="405"/>
      <c r="L16" s="406"/>
      <c r="N16" s="8" t="s">
        <v>911</v>
      </c>
      <c r="O16" s="77">
        <f>-H9/H11</f>
        <v>-0.83333333333333337</v>
      </c>
      <c r="R16" s="422" t="str">
        <f>_xlfn.CONCAT("t / ", Einheitenvorsätze!C56)</f>
        <v>t / τ</v>
      </c>
      <c r="S16" s="422" t="s">
        <v>914</v>
      </c>
    </row>
    <row r="17" spans="2:26" x14ac:dyDescent="0.35">
      <c r="B17" s="407"/>
      <c r="L17" s="408"/>
      <c r="N17" s="8" t="s">
        <v>912</v>
      </c>
      <c r="O17" s="77">
        <f>EXP(O16)</f>
        <v>0.4345982085070782</v>
      </c>
      <c r="R17" s="95">
        <v>0</v>
      </c>
      <c r="S17" s="423">
        <f>1-EXP(-R17)</f>
        <v>0</v>
      </c>
    </row>
    <row r="18" spans="2:26" x14ac:dyDescent="0.35">
      <c r="B18" s="407"/>
      <c r="I18" s="5" t="s">
        <v>881</v>
      </c>
      <c r="K18" s="5" t="s">
        <v>880</v>
      </c>
      <c r="L18" s="408"/>
      <c r="N18" s="8" t="s">
        <v>913</v>
      </c>
      <c r="O18" s="77">
        <f>1-O17</f>
        <v>0.5654017914929218</v>
      </c>
      <c r="R18" s="95">
        <v>1</v>
      </c>
      <c r="S18" s="423">
        <f t="shared" ref="S18:S23" si="11">1-EXP(-R18)</f>
        <v>0.63212055882855767</v>
      </c>
    </row>
    <row r="19" spans="2:26" ht="18.5" x14ac:dyDescent="0.45">
      <c r="B19" s="407"/>
      <c r="I19" s="402" t="str">
        <f>$L$7</f>
        <v>R = 1500MeΩ</v>
      </c>
      <c r="K19" s="403" t="str">
        <f>IF($I$4=$R$2,$L$11,_xlfn.CONCAT($C$11,"?"))</f>
        <v xml:space="preserve"> τ = ?</v>
      </c>
      <c r="L19" s="408"/>
      <c r="R19" s="95">
        <v>2</v>
      </c>
      <c r="S19" s="423">
        <f t="shared" si="11"/>
        <v>0.8646647167633873</v>
      </c>
    </row>
    <row r="20" spans="2:26" ht="18.5" x14ac:dyDescent="0.45">
      <c r="B20" s="407"/>
      <c r="I20" s="402" t="str">
        <f>$L$8</f>
        <v>C = 12nF</v>
      </c>
      <c r="K20" s="403" t="str">
        <f>IF($I$4=$R$2,$L$12,_xlfn.CONCAT($C$12,"?"))</f>
        <v xml:space="preserve"> UC = ?</v>
      </c>
      <c r="L20" s="420">
        <f>$H$12/$H$6</f>
        <v>0.56540181818181823</v>
      </c>
      <c r="R20" s="95">
        <v>3</v>
      </c>
      <c r="S20" s="423">
        <f t="shared" si="11"/>
        <v>0.95021293163213605</v>
      </c>
    </row>
    <row r="21" spans="2:26" ht="18.5" x14ac:dyDescent="0.45">
      <c r="B21" s="407"/>
      <c r="I21" s="402" t="str">
        <f>$L$6</f>
        <v>U0 = 55V</v>
      </c>
      <c r="K21" s="419"/>
      <c r="L21" s="408"/>
      <c r="R21" s="95">
        <v>4</v>
      </c>
      <c r="S21" s="423">
        <f t="shared" si="11"/>
        <v>0.98168436111126578</v>
      </c>
    </row>
    <row r="22" spans="2:26" ht="18.5" x14ac:dyDescent="0.45">
      <c r="B22" s="407"/>
      <c r="I22" s="402" t="str">
        <f>$L$9</f>
        <v>t = 15s</v>
      </c>
      <c r="K22" s="419"/>
      <c r="L22" s="408"/>
      <c r="R22" s="95">
        <v>5</v>
      </c>
      <c r="S22" s="423">
        <f t="shared" si="11"/>
        <v>0.99326205300091452</v>
      </c>
    </row>
    <row r="23" spans="2:26" x14ac:dyDescent="0.35">
      <c r="B23" s="407"/>
      <c r="L23" s="408"/>
      <c r="R23" s="95">
        <v>6</v>
      </c>
      <c r="S23" s="423">
        <f t="shared" si="11"/>
        <v>0.99752124782333362</v>
      </c>
    </row>
    <row r="24" spans="2:26" x14ac:dyDescent="0.35">
      <c r="B24" s="407"/>
      <c r="L24" s="408"/>
    </row>
    <row r="25" spans="2:26" ht="15" thickBot="1" x14ac:dyDescent="0.4">
      <c r="B25" s="410"/>
      <c r="C25" s="411"/>
      <c r="D25" s="411"/>
      <c r="E25" s="411"/>
      <c r="F25" s="411"/>
      <c r="G25" s="411"/>
      <c r="H25" s="411"/>
      <c r="I25" s="411"/>
      <c r="J25" s="411"/>
      <c r="K25" s="411"/>
      <c r="L25" s="412"/>
    </row>
    <row r="30" spans="2:26" x14ac:dyDescent="0.35">
      <c r="B30" s="8" t="s">
        <v>1</v>
      </c>
      <c r="C30" s="77">
        <v>2</v>
      </c>
      <c r="D30" s="77" t="str">
        <f>_xlfn.CONCAT(IF(E9="–","",E9),F9)</f>
        <v>s</v>
      </c>
      <c r="Y30" t="s">
        <v>920</v>
      </c>
    </row>
    <row r="31" spans="2:26" x14ac:dyDescent="0.35">
      <c r="B31" s="8" t="s">
        <v>19</v>
      </c>
      <c r="C31" s="77">
        <f>C32*10^$G$9</f>
        <v>0</v>
      </c>
      <c r="D31" s="77">
        <f t="shared" ref="D31:W31" si="12">D32*10^$G$9</f>
        <v>2</v>
      </c>
      <c r="E31" s="77">
        <f t="shared" si="12"/>
        <v>4</v>
      </c>
      <c r="F31" s="77">
        <f t="shared" si="12"/>
        <v>6</v>
      </c>
      <c r="G31" s="77">
        <f t="shared" si="12"/>
        <v>8</v>
      </c>
      <c r="H31" s="77">
        <f t="shared" si="12"/>
        <v>10</v>
      </c>
      <c r="I31" s="77">
        <f t="shared" si="12"/>
        <v>12</v>
      </c>
      <c r="J31" s="77">
        <f t="shared" si="12"/>
        <v>14</v>
      </c>
      <c r="K31" s="77">
        <f t="shared" si="12"/>
        <v>16</v>
      </c>
      <c r="L31" s="77">
        <f t="shared" si="12"/>
        <v>18</v>
      </c>
      <c r="M31" s="77">
        <f t="shared" si="12"/>
        <v>20</v>
      </c>
      <c r="N31" s="77">
        <f t="shared" si="12"/>
        <v>22</v>
      </c>
      <c r="O31" s="77">
        <f t="shared" si="12"/>
        <v>24</v>
      </c>
      <c r="P31" s="77">
        <f t="shared" si="12"/>
        <v>26</v>
      </c>
      <c r="Q31" s="77">
        <f t="shared" si="12"/>
        <v>28</v>
      </c>
      <c r="R31" s="77">
        <f t="shared" si="12"/>
        <v>30</v>
      </c>
      <c r="S31" s="77">
        <f t="shared" si="12"/>
        <v>32</v>
      </c>
      <c r="T31" s="77">
        <f t="shared" si="12"/>
        <v>34</v>
      </c>
      <c r="U31" s="77">
        <f t="shared" si="12"/>
        <v>36</v>
      </c>
      <c r="V31" s="77">
        <f t="shared" si="12"/>
        <v>38</v>
      </c>
      <c r="W31" s="77">
        <f t="shared" si="12"/>
        <v>40</v>
      </c>
      <c r="Y31" s="77">
        <f>C32</f>
        <v>0</v>
      </c>
      <c r="Z31" s="77">
        <f>W32</f>
        <v>40</v>
      </c>
    </row>
    <row r="32" spans="2:26" x14ac:dyDescent="0.35">
      <c r="B32" s="8" t="str">
        <f>_xlfn.CONCAT("t [",D30,"]")</f>
        <v>t [s]</v>
      </c>
      <c r="C32" s="4">
        <v>0</v>
      </c>
      <c r="D32" s="77">
        <f>C32+$C$30</f>
        <v>2</v>
      </c>
      <c r="E32" s="77">
        <f t="shared" ref="E32:W32" si="13">D32+$C$30</f>
        <v>4</v>
      </c>
      <c r="F32" s="77">
        <f t="shared" si="13"/>
        <v>6</v>
      </c>
      <c r="G32" s="77">
        <f t="shared" si="13"/>
        <v>8</v>
      </c>
      <c r="H32" s="77">
        <f t="shared" si="13"/>
        <v>10</v>
      </c>
      <c r="I32" s="77">
        <f t="shared" si="13"/>
        <v>12</v>
      </c>
      <c r="J32" s="77">
        <f t="shared" si="13"/>
        <v>14</v>
      </c>
      <c r="K32" s="77">
        <f t="shared" si="13"/>
        <v>16</v>
      </c>
      <c r="L32" s="77">
        <f t="shared" si="13"/>
        <v>18</v>
      </c>
      <c r="M32" s="77">
        <f t="shared" si="13"/>
        <v>20</v>
      </c>
      <c r="N32" s="77">
        <f t="shared" si="13"/>
        <v>22</v>
      </c>
      <c r="O32" s="77">
        <f t="shared" si="13"/>
        <v>24</v>
      </c>
      <c r="P32" s="77">
        <f t="shared" si="13"/>
        <v>26</v>
      </c>
      <c r="Q32" s="77">
        <f t="shared" si="13"/>
        <v>28</v>
      </c>
      <c r="R32" s="77">
        <f t="shared" si="13"/>
        <v>30</v>
      </c>
      <c r="S32" s="77">
        <f t="shared" si="13"/>
        <v>32</v>
      </c>
      <c r="T32" s="77">
        <f t="shared" si="13"/>
        <v>34</v>
      </c>
      <c r="U32" s="77">
        <f t="shared" si="13"/>
        <v>36</v>
      </c>
      <c r="V32" s="77">
        <f t="shared" si="13"/>
        <v>38</v>
      </c>
      <c r="W32" s="77">
        <f t="shared" si="13"/>
        <v>40</v>
      </c>
      <c r="Y32" s="212">
        <f>$D$6</f>
        <v>55</v>
      </c>
      <c r="Z32" s="212">
        <f>Y32</f>
        <v>55</v>
      </c>
    </row>
    <row r="33" spans="1:25" x14ac:dyDescent="0.35">
      <c r="A33" s="8" t="s">
        <v>917</v>
      </c>
      <c r="B33" s="292" t="s">
        <v>907</v>
      </c>
      <c r="C33" s="212">
        <f>$D$6*(1-EXP(-C31/($H$7*$H$8)))</f>
        <v>0</v>
      </c>
      <c r="D33" s="212">
        <f t="shared" ref="D33:W33" si="14">$D$6*(1-EXP(-D31/($H$7*$H$8)))</f>
        <v>5.7838375752096614</v>
      </c>
      <c r="E33" s="212">
        <f t="shared" si="14"/>
        <v>10.959442839575557</v>
      </c>
      <c r="F33" s="212">
        <f t="shared" si="14"/>
        <v>15.59077791844159</v>
      </c>
      <c r="G33" s="212">
        <f t="shared" si="14"/>
        <v>19.735078636352497</v>
      </c>
      <c r="H33" s="212">
        <f t="shared" si="14"/>
        <v>23.443561859441193</v>
      </c>
      <c r="I33" s="212">
        <f t="shared" si="14"/>
        <v>26.762058453207434</v>
      </c>
      <c r="J33" s="212">
        <f t="shared" si="14"/>
        <v>29.731579678024037</v>
      </c>
      <c r="K33" s="212">
        <f t="shared" si="14"/>
        <v>32.388824022104686</v>
      </c>
      <c r="L33" s="212">
        <f t="shared" si="14"/>
        <v>34.766630735570672</v>
      </c>
      <c r="M33" s="212">
        <f t="shared" si="14"/>
        <v>36.894385670565192</v>
      </c>
      <c r="N33" s="212">
        <f t="shared" si="14"/>
        <v>38.798384442944084</v>
      </c>
      <c r="O33" s="212">
        <f t="shared" si="14"/>
        <v>40.502157403635024</v>
      </c>
      <c r="P33" s="212">
        <f t="shared" si="14"/>
        <v>42.026760435786493</v>
      </c>
      <c r="Q33" s="212">
        <f t="shared" si="14"/>
        <v>43.391035171490039</v>
      </c>
      <c r="R33" s="212">
        <f t="shared" si="14"/>
        <v>44.611841843934094</v>
      </c>
      <c r="S33" s="212">
        <f t="shared" si="14"/>
        <v>45.70426765266636</v>
      </c>
      <c r="T33" s="212">
        <f t="shared" si="14"/>
        <v>46.681813217022736</v>
      </c>
      <c r="U33" s="212">
        <f t="shared" si="14"/>
        <v>47.556559421986293</v>
      </c>
      <c r="V33" s="212">
        <f t="shared" si="14"/>
        <v>48.339316718421863</v>
      </c>
      <c r="W33" s="212">
        <f t="shared" si="14"/>
        <v>49.039758722795725</v>
      </c>
    </row>
    <row r="34" spans="1:25" x14ac:dyDescent="0.35">
      <c r="A34" s="8" t="s">
        <v>918</v>
      </c>
      <c r="B34" s="292" t="s">
        <v>919</v>
      </c>
      <c r="C34" s="212">
        <f>$D$6*EXP(-C32/($H$7*$H$8))</f>
        <v>55</v>
      </c>
      <c r="D34" s="212">
        <f t="shared" ref="D34:W34" si="15">$D$6*EXP(-D32/($H$7*$H$8))</f>
        <v>49.21616242479034</v>
      </c>
      <c r="E34" s="212">
        <f t="shared" si="15"/>
        <v>44.040557160424441</v>
      </c>
      <c r="F34" s="212">
        <f t="shared" si="15"/>
        <v>39.409222081558411</v>
      </c>
      <c r="G34" s="212">
        <f t="shared" si="15"/>
        <v>35.264921363647503</v>
      </c>
      <c r="H34" s="212">
        <f t="shared" si="15"/>
        <v>31.556438140558807</v>
      </c>
      <c r="I34" s="212">
        <f t="shared" si="15"/>
        <v>28.237941546792566</v>
      </c>
      <c r="J34" s="212">
        <f t="shared" si="15"/>
        <v>25.268420321975963</v>
      </c>
      <c r="K34" s="212">
        <f t="shared" si="15"/>
        <v>22.611175977895314</v>
      </c>
      <c r="L34" s="212">
        <f t="shared" si="15"/>
        <v>20.233369264429331</v>
      </c>
      <c r="M34" s="212">
        <f t="shared" si="15"/>
        <v>18.105614329434808</v>
      </c>
      <c r="N34" s="212">
        <f t="shared" si="15"/>
        <v>16.201615557055913</v>
      </c>
      <c r="O34" s="212">
        <f t="shared" si="15"/>
        <v>14.497842596364976</v>
      </c>
      <c r="P34" s="212">
        <f t="shared" si="15"/>
        <v>12.973239564213504</v>
      </c>
      <c r="Q34" s="212">
        <f t="shared" si="15"/>
        <v>11.608964828509963</v>
      </c>
      <c r="R34" s="212">
        <f t="shared" si="15"/>
        <v>10.388158156065906</v>
      </c>
      <c r="S34" s="212">
        <f t="shared" si="15"/>
        <v>9.2957323473336366</v>
      </c>
      <c r="T34" s="212">
        <f t="shared" si="15"/>
        <v>8.3181867829772695</v>
      </c>
      <c r="U34" s="212">
        <f t="shared" si="15"/>
        <v>7.4434405780137016</v>
      </c>
      <c r="V34" s="212">
        <f t="shared" si="15"/>
        <v>6.6606832815781374</v>
      </c>
      <c r="W34" s="212">
        <f t="shared" si="15"/>
        <v>5.9602412772042754</v>
      </c>
    </row>
    <row r="39" spans="1:25" x14ac:dyDescent="0.35">
      <c r="I39" s="5" t="s">
        <v>909</v>
      </c>
      <c r="J39" s="5"/>
    </row>
    <row r="40" spans="1:25" x14ac:dyDescent="0.35">
      <c r="I40" s="5">
        <f>H11/10^G11</f>
        <v>18</v>
      </c>
      <c r="J40" s="5">
        <f>I40</f>
        <v>18</v>
      </c>
    </row>
    <row r="41" spans="1:25" ht="18.5" x14ac:dyDescent="0.45">
      <c r="I41" s="5">
        <v>0</v>
      </c>
      <c r="J41" s="5">
        <f>$H$6*(1 - EXP(-1))</f>
        <v>34.766630735570672</v>
      </c>
      <c r="O41" s="339"/>
    </row>
    <row r="42" spans="1:25" x14ac:dyDescent="0.35">
      <c r="N42" s="8" t="s">
        <v>317</v>
      </c>
      <c r="O42" s="4">
        <v>1</v>
      </c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x14ac:dyDescent="0.35">
      <c r="I43" s="5" t="s">
        <v>908</v>
      </c>
      <c r="J43" s="5"/>
      <c r="N43" s="8" t="s">
        <v>910</v>
      </c>
      <c r="O43" s="4">
        <v>0</v>
      </c>
      <c r="P43" s="77">
        <f t="shared" ref="P43:Y43" si="16">O43+$O$42</f>
        <v>1</v>
      </c>
      <c r="Q43" s="77">
        <f t="shared" si="16"/>
        <v>2</v>
      </c>
      <c r="R43" s="77">
        <f t="shared" si="16"/>
        <v>3</v>
      </c>
      <c r="S43" s="77">
        <f t="shared" si="16"/>
        <v>4</v>
      </c>
      <c r="T43" s="77">
        <f t="shared" si="16"/>
        <v>5</v>
      </c>
      <c r="U43" s="77">
        <f t="shared" si="16"/>
        <v>6</v>
      </c>
      <c r="V43" s="77">
        <f t="shared" si="16"/>
        <v>7</v>
      </c>
      <c r="W43" s="77">
        <f t="shared" si="16"/>
        <v>8</v>
      </c>
      <c r="X43" s="77">
        <f t="shared" si="16"/>
        <v>9</v>
      </c>
      <c r="Y43" s="77">
        <f t="shared" si="16"/>
        <v>10</v>
      </c>
    </row>
    <row r="44" spans="1:25" ht="16.5" x14ac:dyDescent="0.35">
      <c r="I44" s="5">
        <v>0</v>
      </c>
      <c r="J44" s="5">
        <f>J40</f>
        <v>18</v>
      </c>
      <c r="N44" s="427" t="s">
        <v>922</v>
      </c>
      <c r="O44" s="428">
        <f>1-EXP(-O43)</f>
        <v>0</v>
      </c>
      <c r="P44" s="428">
        <f t="shared" ref="P44:Q44" si="17">1-EXP(-P43)</f>
        <v>0.63212055882855767</v>
      </c>
      <c r="Q44" s="428">
        <f t="shared" si="17"/>
        <v>0.8646647167633873</v>
      </c>
      <c r="R44" s="428">
        <f>1-EXP(-R43)</f>
        <v>0.95021293163213605</v>
      </c>
      <c r="S44" s="428">
        <f t="shared" ref="S44" si="18">1-EXP(-S43)</f>
        <v>0.98168436111126578</v>
      </c>
      <c r="T44" s="428">
        <f t="shared" ref="T44" si="19">1-EXP(-T43)</f>
        <v>0.99326205300091452</v>
      </c>
      <c r="U44" s="428">
        <f>1-EXP(-U43)</f>
        <v>0.99752124782333362</v>
      </c>
      <c r="V44" s="428">
        <f t="shared" ref="V44" si="20">1-EXP(-V43)</f>
        <v>0.99908811803444553</v>
      </c>
      <c r="W44" s="428">
        <f t="shared" ref="W44" si="21">1-EXP(-W43)</f>
        <v>0.99966453737209748</v>
      </c>
      <c r="X44" s="428">
        <f>1-EXP(-X43)</f>
        <v>0.99987659019591335</v>
      </c>
      <c r="Y44" s="428">
        <f t="shared" ref="Y44" si="22">1-EXP(-Y43)</f>
        <v>0.99995460007023751</v>
      </c>
    </row>
    <row r="45" spans="1:25" ht="16.5" x14ac:dyDescent="0.35">
      <c r="I45" s="5">
        <f>J41</f>
        <v>34.766630735570672</v>
      </c>
      <c r="J45" s="5">
        <f>I45</f>
        <v>34.766630735570672</v>
      </c>
      <c r="N45" s="429" t="s">
        <v>921</v>
      </c>
      <c r="O45" s="430">
        <f>EXP(-O43)</f>
        <v>1</v>
      </c>
      <c r="P45" s="430">
        <f t="shared" ref="P45:Y45" si="23">EXP(-P43)</f>
        <v>0.36787944117144233</v>
      </c>
      <c r="Q45" s="430">
        <f t="shared" si="23"/>
        <v>0.1353352832366127</v>
      </c>
      <c r="R45" s="430">
        <f t="shared" si="23"/>
        <v>4.9787068367863944E-2</v>
      </c>
      <c r="S45" s="430">
        <f t="shared" si="23"/>
        <v>1.8315638888734179E-2</v>
      </c>
      <c r="T45" s="430">
        <f t="shared" si="23"/>
        <v>6.737946999085467E-3</v>
      </c>
      <c r="U45" s="430">
        <f t="shared" si="23"/>
        <v>2.4787521766663585E-3</v>
      </c>
      <c r="V45" s="430">
        <f t="shared" si="23"/>
        <v>9.1188196555451624E-4</v>
      </c>
      <c r="W45" s="430">
        <f t="shared" si="23"/>
        <v>3.3546262790251185E-4</v>
      </c>
      <c r="X45" s="430">
        <f t="shared" si="23"/>
        <v>1.2340980408667956E-4</v>
      </c>
      <c r="Y45" s="430">
        <f t="shared" si="23"/>
        <v>4.5399929762484854E-5</v>
      </c>
    </row>
    <row r="72" spans="8:9" x14ac:dyDescent="0.35">
      <c r="H72" s="5" t="s">
        <v>909</v>
      </c>
      <c r="I72" s="5"/>
    </row>
    <row r="73" spans="8:9" x14ac:dyDescent="0.35">
      <c r="H73" s="77">
        <f>H11/10^G11</f>
        <v>18</v>
      </c>
      <c r="I73" s="77">
        <f>H73</f>
        <v>18</v>
      </c>
    </row>
    <row r="74" spans="8:9" x14ac:dyDescent="0.35">
      <c r="H74" s="77">
        <v>0</v>
      </c>
      <c r="I74" s="77">
        <f>$H$6*(EXP(-1))</f>
        <v>20.233369264429328</v>
      </c>
    </row>
    <row r="76" spans="8:9" x14ac:dyDescent="0.35">
      <c r="H76" s="5" t="s">
        <v>908</v>
      </c>
      <c r="I76" s="5"/>
    </row>
    <row r="77" spans="8:9" x14ac:dyDescent="0.35">
      <c r="H77" s="77">
        <v>0</v>
      </c>
      <c r="I77" s="77">
        <f>I73</f>
        <v>18</v>
      </c>
    </row>
    <row r="78" spans="8:9" x14ac:dyDescent="0.35">
      <c r="H78" s="77">
        <f>I74</f>
        <v>20.233369264429328</v>
      </c>
      <c r="I78" s="77">
        <f>H78</f>
        <v>20.233369264429328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565</v>
      </c>
    </row>
    <row r="5" spans="3:30" ht="16.5" x14ac:dyDescent="0.45">
      <c r="J5" s="5" t="s">
        <v>597</v>
      </c>
      <c r="K5" s="5"/>
      <c r="L5" s="5"/>
      <c r="N5" s="5" t="s">
        <v>596</v>
      </c>
      <c r="O5" s="5"/>
    </row>
    <row r="6" spans="3:30" ht="16.5" x14ac:dyDescent="0.45">
      <c r="J6" s="8" t="s">
        <v>588</v>
      </c>
      <c r="K6" s="4">
        <v>1.55</v>
      </c>
      <c r="L6" s="5" t="s">
        <v>553</v>
      </c>
      <c r="N6" s="5" t="s">
        <v>594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587</v>
      </c>
      <c r="K7" s="4">
        <v>0.7</v>
      </c>
      <c r="L7" s="5" t="s">
        <v>566</v>
      </c>
      <c r="N7" s="5" t="s">
        <v>593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595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589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590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591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592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589</v>
      </c>
      <c r="J17" s="295" t="s">
        <v>590</v>
      </c>
      <c r="K17" s="296" t="s">
        <v>591</v>
      </c>
    </row>
    <row r="18" spans="9:15" x14ac:dyDescent="0.35">
      <c r="I18" s="95" t="s">
        <v>566</v>
      </c>
      <c r="J18" s="295" t="s">
        <v>598</v>
      </c>
      <c r="K18" s="296" t="s">
        <v>553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/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852</v>
      </c>
      <c r="D2" s="90"/>
    </row>
    <row r="4" spans="2:46" ht="16.5" x14ac:dyDescent="0.45">
      <c r="E4" s="8" t="s">
        <v>549</v>
      </c>
      <c r="F4" s="4">
        <v>1</v>
      </c>
      <c r="G4" s="5" t="s">
        <v>320</v>
      </c>
      <c r="I4" s="272" t="s">
        <v>551</v>
      </c>
      <c r="J4" s="4">
        <v>120</v>
      </c>
      <c r="K4" s="5" t="s">
        <v>552</v>
      </c>
      <c r="L4" s="77">
        <f>RADIANS(J4)</f>
        <v>2.0943951023931953</v>
      </c>
      <c r="M4" s="5" t="s">
        <v>202</v>
      </c>
      <c r="T4" s="5" t="s">
        <v>474</v>
      </c>
      <c r="U4" s="77">
        <f>MIN(F8:AT8)</f>
        <v>0</v>
      </c>
      <c r="V4" s="77">
        <f>MAX(F8:AT8)</f>
        <v>400</v>
      </c>
      <c r="Y4" s="5" t="s">
        <v>475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550</v>
      </c>
      <c r="F5" s="4">
        <v>2</v>
      </c>
      <c r="G5" s="5" t="s">
        <v>38</v>
      </c>
      <c r="I5" s="272" t="s">
        <v>555</v>
      </c>
      <c r="J5" s="4">
        <v>90</v>
      </c>
      <c r="K5" s="5" t="s">
        <v>552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317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415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415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557</v>
      </c>
      <c r="D10" s="277" t="s">
        <v>559</v>
      </c>
      <c r="E10" s="274" t="s">
        <v>553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558</v>
      </c>
      <c r="D11" s="278" t="s">
        <v>560</v>
      </c>
      <c r="E11" s="276" t="s">
        <v>554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561</v>
      </c>
      <c r="D12" s="280" t="str">
        <f>IF($J$4=$J$5,"Umomentan^2 / R","Nicht gleichphasig")</f>
        <v>Nicht gleichphasig</v>
      </c>
      <c r="E12" s="281" t="s">
        <v>556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561</v>
      </c>
      <c r="D13" s="278" t="s">
        <v>562</v>
      </c>
      <c r="E13" s="281" t="s">
        <v>556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>
      <selection activeCell="C2" sqref="C2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302</v>
      </c>
      <c r="F12" s="2">
        <v>9.81</v>
      </c>
      <c r="G12" t="s">
        <v>248</v>
      </c>
    </row>
    <row r="13" spans="5:8" x14ac:dyDescent="0.35">
      <c r="E13" s="1" t="s">
        <v>245</v>
      </c>
      <c r="F13" s="2">
        <v>5</v>
      </c>
      <c r="G13" t="s">
        <v>247</v>
      </c>
    </row>
    <row r="15" spans="5:8" ht="16.5" x14ac:dyDescent="0.45">
      <c r="E15" s="1" t="s">
        <v>239</v>
      </c>
      <c r="F15" t="s">
        <v>303</v>
      </c>
      <c r="G15">
        <f>F13*F12</f>
        <v>49.050000000000004</v>
      </c>
      <c r="H15" t="s">
        <v>304</v>
      </c>
    </row>
    <row r="17" spans="5:8" x14ac:dyDescent="0.35">
      <c r="E17" s="1" t="s">
        <v>253</v>
      </c>
      <c r="F17" s="2">
        <v>30</v>
      </c>
      <c r="G17" t="s">
        <v>201</v>
      </c>
    </row>
    <row r="18" spans="5:8" x14ac:dyDescent="0.35">
      <c r="E18" s="1" t="s">
        <v>253</v>
      </c>
      <c r="F18">
        <f>F17*PI()/180</f>
        <v>0.52359877559829882</v>
      </c>
      <c r="G18" t="s">
        <v>202</v>
      </c>
    </row>
    <row r="19" spans="5:8" x14ac:dyDescent="0.35">
      <c r="E19" s="1"/>
    </row>
    <row r="20" spans="5:8" ht="16.5" x14ac:dyDescent="0.45">
      <c r="E20" s="1" t="s">
        <v>243</v>
      </c>
      <c r="F20" t="s">
        <v>305</v>
      </c>
      <c r="G20" s="99">
        <f>$G$15*COS($F$18)</f>
        <v>42.478546055626722</v>
      </c>
      <c r="H20" t="s">
        <v>304</v>
      </c>
    </row>
    <row r="21" spans="5:8" ht="16.5" x14ac:dyDescent="0.45">
      <c r="E21" s="1" t="s">
        <v>242</v>
      </c>
      <c r="F21" t="s">
        <v>306</v>
      </c>
      <c r="G21" s="99">
        <f>$G$15*SIN($F$18)</f>
        <v>24.524999999999999</v>
      </c>
      <c r="H21" t="s">
        <v>304</v>
      </c>
    </row>
  </sheetData>
  <pageMargins left="0.7" right="0.7" top="0.78740157499999996" bottom="0.78740157499999996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S132"/>
  <sheetViews>
    <sheetView showGridLines="0" zoomScale="115" zoomScaleNormal="115" workbookViewId="0">
      <selection activeCell="L3" sqref="L3:M4"/>
    </sheetView>
  </sheetViews>
  <sheetFormatPr baseColWidth="10" defaultRowHeight="14.5" x14ac:dyDescent="0.35"/>
  <cols>
    <col min="1" max="1" width="2.453125" customWidth="1"/>
    <col min="2" max="5" width="16.1796875" customWidth="1"/>
    <col min="6" max="6" width="13.54296875" customWidth="1"/>
    <col min="7" max="7" width="18.54296875" customWidth="1"/>
    <col min="8" max="8" width="9.453125" customWidth="1"/>
    <col min="9" max="11" width="9.54296875" customWidth="1"/>
    <col min="12" max="12" width="11.7265625" customWidth="1"/>
    <col min="13" max="13" width="7.453125" customWidth="1"/>
    <col min="14" max="46" width="2.1796875" customWidth="1"/>
    <col min="47" max="49" width="4.7265625" customWidth="1"/>
    <col min="50" max="50" width="9.1796875" customWidth="1"/>
    <col min="56" max="56" width="14.81640625" customWidth="1"/>
    <col min="57" max="57" width="14.54296875" customWidth="1"/>
    <col min="58" max="58" width="15.1796875" customWidth="1"/>
  </cols>
  <sheetData>
    <row r="1" spans="3:71" ht="38.15" customHeight="1" x14ac:dyDescent="0.35"/>
    <row r="2" spans="3:71" ht="26" x14ac:dyDescent="0.6">
      <c r="F2" s="29" t="s">
        <v>315</v>
      </c>
      <c r="BC2" s="310" t="s">
        <v>616</v>
      </c>
      <c r="BD2" s="310"/>
    </row>
    <row r="3" spans="3:71" x14ac:dyDescent="0.35">
      <c r="L3" s="5" t="s">
        <v>64</v>
      </c>
      <c r="M3" s="5" t="s">
        <v>298</v>
      </c>
      <c r="BC3" s="77">
        <f>AZ10</f>
        <v>50</v>
      </c>
      <c r="BD3" s="77">
        <f>BC3</f>
        <v>50</v>
      </c>
    </row>
    <row r="4" spans="3:71" x14ac:dyDescent="0.35">
      <c r="L4" s="5" t="s">
        <v>65</v>
      </c>
      <c r="M4" s="5" t="s">
        <v>300</v>
      </c>
      <c r="BC4" s="212">
        <f>IF(MIN(AZ12:AZ17)&gt;0,0,MIN(AZ12:AZ17))</f>
        <v>0</v>
      </c>
      <c r="BD4" s="212">
        <f>IF(MAX(AZ12:AZ17) &lt; 0,0,MAX(AZ12:AZ17))</f>
        <v>1.9696155060244163</v>
      </c>
    </row>
    <row r="5" spans="3:71" x14ac:dyDescent="0.35">
      <c r="BC5" s="99"/>
      <c r="BD5" s="99"/>
    </row>
    <row r="6" spans="3:71" x14ac:dyDescent="0.35">
      <c r="BC6" s="99"/>
      <c r="BD6" s="99"/>
    </row>
    <row r="7" spans="3:71" x14ac:dyDescent="0.35">
      <c r="BC7" s="99"/>
      <c r="BD7" s="99"/>
    </row>
    <row r="9" spans="3:71" x14ac:dyDescent="0.35">
      <c r="C9" s="5"/>
      <c r="D9" s="5"/>
      <c r="E9" s="5"/>
      <c r="F9" s="5"/>
      <c r="G9" s="8" t="s">
        <v>317</v>
      </c>
      <c r="H9" s="4">
        <v>10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Z9" s="5" t="s">
        <v>615</v>
      </c>
      <c r="BA9" s="5"/>
      <c r="BC9" s="5" t="s">
        <v>195</v>
      </c>
      <c r="BD9" s="5"/>
      <c r="BE9" s="5"/>
      <c r="BF9" s="5"/>
      <c r="BG9" s="5" t="s">
        <v>621</v>
      </c>
      <c r="BH9" s="5"/>
      <c r="BI9" s="5"/>
      <c r="BJ9" s="5"/>
      <c r="BK9" s="5" t="s">
        <v>230</v>
      </c>
      <c r="BL9" s="5"/>
      <c r="BM9" s="5"/>
      <c r="BN9" s="5"/>
      <c r="BO9" s="5"/>
      <c r="BP9" s="5"/>
      <c r="BQ9" s="5"/>
      <c r="BR9" s="5"/>
      <c r="BS9" s="5"/>
    </row>
    <row r="10" spans="3:71" ht="16.5" x14ac:dyDescent="0.45">
      <c r="C10" s="5" t="s">
        <v>617</v>
      </c>
      <c r="D10" s="5"/>
      <c r="E10" s="5"/>
      <c r="F10" s="8" t="s">
        <v>415</v>
      </c>
      <c r="G10" s="225" t="s">
        <v>298</v>
      </c>
      <c r="H10" s="225">
        <v>0</v>
      </c>
      <c r="I10" s="77">
        <f>H10+$H$9</f>
        <v>10</v>
      </c>
      <c r="J10" s="77">
        <f t="shared" ref="J10:AV10" si="0">I10+$H$9</f>
        <v>20</v>
      </c>
      <c r="K10" s="77">
        <f t="shared" si="0"/>
        <v>30</v>
      </c>
      <c r="L10" s="77">
        <f t="shared" si="0"/>
        <v>40</v>
      </c>
      <c r="M10" s="77">
        <f t="shared" si="0"/>
        <v>50</v>
      </c>
      <c r="N10" s="77">
        <f t="shared" si="0"/>
        <v>60</v>
      </c>
      <c r="O10" s="77">
        <f t="shared" si="0"/>
        <v>70</v>
      </c>
      <c r="P10" s="77">
        <f t="shared" si="0"/>
        <v>80</v>
      </c>
      <c r="Q10" s="77">
        <f t="shared" si="0"/>
        <v>90</v>
      </c>
      <c r="R10" s="77">
        <f t="shared" si="0"/>
        <v>100</v>
      </c>
      <c r="S10" s="77">
        <f t="shared" si="0"/>
        <v>110</v>
      </c>
      <c r="T10" s="77">
        <f t="shared" si="0"/>
        <v>120</v>
      </c>
      <c r="U10" s="77">
        <f t="shared" si="0"/>
        <v>130</v>
      </c>
      <c r="V10" s="77">
        <f t="shared" si="0"/>
        <v>140</v>
      </c>
      <c r="W10" s="77">
        <f t="shared" si="0"/>
        <v>150</v>
      </c>
      <c r="X10" s="77">
        <f t="shared" si="0"/>
        <v>160</v>
      </c>
      <c r="Y10" s="77">
        <f t="shared" si="0"/>
        <v>170</v>
      </c>
      <c r="Z10" s="77">
        <f t="shared" si="0"/>
        <v>180</v>
      </c>
      <c r="AA10" s="77">
        <f t="shared" si="0"/>
        <v>190</v>
      </c>
      <c r="AB10" s="77">
        <f t="shared" si="0"/>
        <v>200</v>
      </c>
      <c r="AC10" s="77">
        <f t="shared" si="0"/>
        <v>210</v>
      </c>
      <c r="AD10" s="77">
        <f t="shared" si="0"/>
        <v>220</v>
      </c>
      <c r="AE10" s="77">
        <f t="shared" si="0"/>
        <v>230</v>
      </c>
      <c r="AF10" s="77">
        <f t="shared" si="0"/>
        <v>240</v>
      </c>
      <c r="AG10" s="77">
        <f t="shared" si="0"/>
        <v>250</v>
      </c>
      <c r="AH10" s="77">
        <f t="shared" si="0"/>
        <v>260</v>
      </c>
      <c r="AI10" s="77">
        <f t="shared" si="0"/>
        <v>270</v>
      </c>
      <c r="AJ10" s="77">
        <f t="shared" si="0"/>
        <v>280</v>
      </c>
      <c r="AK10" s="77">
        <f t="shared" si="0"/>
        <v>290</v>
      </c>
      <c r="AL10" s="77">
        <f t="shared" si="0"/>
        <v>300</v>
      </c>
      <c r="AM10" s="77">
        <f t="shared" si="0"/>
        <v>310</v>
      </c>
      <c r="AN10" s="77">
        <f t="shared" si="0"/>
        <v>320</v>
      </c>
      <c r="AO10" s="77">
        <f t="shared" si="0"/>
        <v>330</v>
      </c>
      <c r="AP10" s="77">
        <f t="shared" si="0"/>
        <v>340</v>
      </c>
      <c r="AQ10" s="77">
        <f t="shared" si="0"/>
        <v>350</v>
      </c>
      <c r="AR10" s="77">
        <f t="shared" si="0"/>
        <v>360</v>
      </c>
      <c r="AS10" s="77">
        <f t="shared" si="0"/>
        <v>370</v>
      </c>
      <c r="AT10" s="77">
        <f t="shared" si="0"/>
        <v>380</v>
      </c>
      <c r="AU10" s="77">
        <f t="shared" si="0"/>
        <v>390</v>
      </c>
      <c r="AV10" s="77">
        <f t="shared" si="0"/>
        <v>400</v>
      </c>
      <c r="AZ10" s="4">
        <v>50</v>
      </c>
      <c r="BA10" s="113" t="s">
        <v>298</v>
      </c>
      <c r="BC10" s="5" t="s">
        <v>206</v>
      </c>
      <c r="BD10" s="5" t="s">
        <v>207</v>
      </c>
      <c r="BE10" s="8" t="s">
        <v>415</v>
      </c>
      <c r="BF10" s="8" t="s">
        <v>416</v>
      </c>
      <c r="BG10" s="95" t="s">
        <v>619</v>
      </c>
      <c r="BH10" s="95" t="s">
        <v>620</v>
      </c>
      <c r="BI10" s="95" t="s">
        <v>622</v>
      </c>
      <c r="BJ10" s="95" t="s">
        <v>227</v>
      </c>
      <c r="BK10" s="95" t="s">
        <v>623</v>
      </c>
      <c r="BL10" s="95" t="s">
        <v>619</v>
      </c>
      <c r="BM10" s="95" t="s">
        <v>620</v>
      </c>
      <c r="BN10" s="95" t="s">
        <v>624</v>
      </c>
      <c r="BO10" s="95" t="s">
        <v>625</v>
      </c>
      <c r="BP10" s="95" t="s">
        <v>622</v>
      </c>
      <c r="BQ10" s="95" t="s">
        <v>626</v>
      </c>
      <c r="BR10" s="95" t="s">
        <v>627</v>
      </c>
      <c r="BS10" s="95" t="s">
        <v>628</v>
      </c>
    </row>
    <row r="11" spans="3:71" x14ac:dyDescent="0.35">
      <c r="C11" s="5" t="s">
        <v>618</v>
      </c>
      <c r="D11" s="5" t="s">
        <v>629</v>
      </c>
      <c r="E11" s="5" t="s">
        <v>927</v>
      </c>
      <c r="F11" s="8" t="s">
        <v>415</v>
      </c>
      <c r="G11" s="8" t="s">
        <v>300</v>
      </c>
      <c r="H11" s="212">
        <f>IF($G$10=$M$3,H10*PI()/180,H10)</f>
        <v>0</v>
      </c>
      <c r="I11" s="212">
        <f t="shared" ref="I11:Q11" si="1">IF($G$10=$M$3,I10*PI()/180,I10)</f>
        <v>0.17453292519943295</v>
      </c>
      <c r="J11" s="212">
        <f t="shared" si="1"/>
        <v>0.3490658503988659</v>
      </c>
      <c r="K11" s="212">
        <f t="shared" si="1"/>
        <v>0.52359877559829882</v>
      </c>
      <c r="L11" s="212">
        <f t="shared" si="1"/>
        <v>0.69813170079773179</v>
      </c>
      <c r="M11" s="212">
        <f t="shared" si="1"/>
        <v>0.87266462599716477</v>
      </c>
      <c r="N11" s="212">
        <f t="shared" si="1"/>
        <v>1.0471975511965976</v>
      </c>
      <c r="O11" s="212">
        <f t="shared" si="1"/>
        <v>1.2217304763960306</v>
      </c>
      <c r="P11" s="212">
        <f t="shared" si="1"/>
        <v>1.3962634015954636</v>
      </c>
      <c r="Q11" s="212">
        <f t="shared" si="1"/>
        <v>1.5707963267948966</v>
      </c>
      <c r="R11" s="212">
        <f t="shared" ref="R11:AV11" si="2">IF($G$10=$M$3,R10*PI()/180,R10)</f>
        <v>1.7453292519943295</v>
      </c>
      <c r="S11" s="212">
        <f t="shared" si="2"/>
        <v>1.9198621771937625</v>
      </c>
      <c r="T11" s="212">
        <f t="shared" si="2"/>
        <v>2.0943951023931953</v>
      </c>
      <c r="U11" s="212">
        <f t="shared" si="2"/>
        <v>2.2689280275926285</v>
      </c>
      <c r="V11" s="212">
        <f t="shared" si="2"/>
        <v>2.4434609527920612</v>
      </c>
      <c r="W11" s="212">
        <f t="shared" si="2"/>
        <v>2.6179938779914944</v>
      </c>
      <c r="X11" s="212">
        <f t="shared" si="2"/>
        <v>2.7925268031909272</v>
      </c>
      <c r="Y11" s="212">
        <f t="shared" si="2"/>
        <v>2.9670597283903604</v>
      </c>
      <c r="Z11" s="212">
        <f t="shared" si="2"/>
        <v>3.1415926535897931</v>
      </c>
      <c r="AA11" s="212">
        <f t="shared" si="2"/>
        <v>3.3161255787892263</v>
      </c>
      <c r="AB11" s="212">
        <f t="shared" si="2"/>
        <v>3.4906585039886591</v>
      </c>
      <c r="AC11" s="212">
        <f t="shared" si="2"/>
        <v>3.6651914291880923</v>
      </c>
      <c r="AD11" s="212">
        <f t="shared" si="2"/>
        <v>3.839724354387525</v>
      </c>
      <c r="AE11" s="212">
        <f t="shared" si="2"/>
        <v>4.0142572795869578</v>
      </c>
      <c r="AF11" s="212">
        <f t="shared" si="2"/>
        <v>4.1887902047863905</v>
      </c>
      <c r="AG11" s="212">
        <f t="shared" si="2"/>
        <v>4.3633231299858233</v>
      </c>
      <c r="AH11" s="212">
        <f t="shared" si="2"/>
        <v>4.5378560551852569</v>
      </c>
      <c r="AI11" s="212">
        <f t="shared" si="2"/>
        <v>4.7123889803846897</v>
      </c>
      <c r="AJ11" s="212">
        <f t="shared" si="2"/>
        <v>4.8869219055841224</v>
      </c>
      <c r="AK11" s="212">
        <f t="shared" si="2"/>
        <v>5.0614548307835552</v>
      </c>
      <c r="AL11" s="212">
        <f t="shared" si="2"/>
        <v>5.2359877559829888</v>
      </c>
      <c r="AM11" s="212">
        <f t="shared" si="2"/>
        <v>5.4105206811824216</v>
      </c>
      <c r="AN11" s="212">
        <f t="shared" si="2"/>
        <v>5.5850536063818543</v>
      </c>
      <c r="AO11" s="212">
        <f t="shared" si="2"/>
        <v>5.7595865315812871</v>
      </c>
      <c r="AP11" s="212">
        <f t="shared" si="2"/>
        <v>5.9341194567807207</v>
      </c>
      <c r="AQ11" s="212">
        <f t="shared" si="2"/>
        <v>6.1086523819801526</v>
      </c>
      <c r="AR11" s="212">
        <f t="shared" si="2"/>
        <v>6.2831853071795862</v>
      </c>
      <c r="AS11" s="212">
        <f t="shared" si="2"/>
        <v>6.457718232379019</v>
      </c>
      <c r="AT11" s="212">
        <f t="shared" si="2"/>
        <v>6.6322511575784526</v>
      </c>
      <c r="AU11" s="212">
        <f t="shared" si="2"/>
        <v>6.8067840827778845</v>
      </c>
      <c r="AV11" s="212">
        <f t="shared" si="2"/>
        <v>6.9813170079773181</v>
      </c>
      <c r="AW11" s="99"/>
      <c r="AX11" s="1" t="s">
        <v>632</v>
      </c>
      <c r="AZ11" s="309">
        <f>IF($BA$10=$M$3,AZ10*PI()/180,H10)</f>
        <v>0.87266462599716477</v>
      </c>
      <c r="BA11" s="5" t="str">
        <f>M4</f>
        <v>[rad]</v>
      </c>
      <c r="BC11" s="5"/>
      <c r="BD11" s="5"/>
      <c r="BE11" s="5"/>
      <c r="BF11" s="5"/>
      <c r="BG11" s="5"/>
      <c r="BH11" s="5"/>
      <c r="BI11" s="5"/>
      <c r="BJ11" s="5"/>
      <c r="BK11" s="77" cm="1">
        <f t="array" ref="BK11">MAX(ABS(BC12:BC16))</f>
        <v>2</v>
      </c>
      <c r="BL11" s="77">
        <v>0</v>
      </c>
      <c r="BM11" s="77">
        <f>BK11</f>
        <v>2</v>
      </c>
      <c r="BN11" s="77">
        <v>0</v>
      </c>
      <c r="BO11" s="77">
        <f>-BK11</f>
        <v>-2</v>
      </c>
      <c r="BP11" s="77">
        <f>BM11</f>
        <v>2</v>
      </c>
      <c r="BQ11" s="77">
        <v>0</v>
      </c>
      <c r="BR11" s="77">
        <f>BO11</f>
        <v>-2</v>
      </c>
      <c r="BS11" s="77">
        <v>0</v>
      </c>
    </row>
    <row r="12" spans="3:71" ht="18.5" x14ac:dyDescent="0.45">
      <c r="C12" s="4">
        <v>2</v>
      </c>
      <c r="D12" s="4">
        <v>0</v>
      </c>
      <c r="E12" s="4"/>
      <c r="F12" s="279" t="s">
        <v>316</v>
      </c>
      <c r="G12" s="279" t="str">
        <f>_xlfn.CONCAT(C12, IF(D12=0," * sin(x) =",IF(D12&lt;0,_xlfn.CONCAT(" * sin(x - ",ABS(D12),") ="),_xlfn.CONCAT(" * sin(x + ",D12,") ="))))</f>
        <v>2 * sin(x) =</v>
      </c>
      <c r="H12" s="212">
        <f t="shared" ref="H12:AV12" si="3">IF($AX$12=$L$3,$C$12*SIN(H11+RADIANS($D$12)),0)</f>
        <v>0</v>
      </c>
      <c r="I12" s="212">
        <f t="shared" si="3"/>
        <v>0.34729635533386066</v>
      </c>
      <c r="J12" s="212">
        <f t="shared" si="3"/>
        <v>0.68404028665133743</v>
      </c>
      <c r="K12" s="212">
        <f t="shared" si="3"/>
        <v>0.99999999999999989</v>
      </c>
      <c r="L12" s="212">
        <f t="shared" si="3"/>
        <v>1.2855752193730785</v>
      </c>
      <c r="M12" s="212">
        <f t="shared" si="3"/>
        <v>1.532088886237956</v>
      </c>
      <c r="N12" s="212">
        <f t="shared" si="3"/>
        <v>1.7320508075688772</v>
      </c>
      <c r="O12" s="212">
        <f t="shared" si="3"/>
        <v>1.8793852415718166</v>
      </c>
      <c r="P12" s="212">
        <f t="shared" si="3"/>
        <v>1.969615506024416</v>
      </c>
      <c r="Q12" s="212">
        <f t="shared" si="3"/>
        <v>2</v>
      </c>
      <c r="R12" s="212">
        <f t="shared" si="3"/>
        <v>1.969615506024416</v>
      </c>
      <c r="S12" s="212">
        <f t="shared" si="3"/>
        <v>1.8793852415718169</v>
      </c>
      <c r="T12" s="212">
        <f t="shared" si="3"/>
        <v>1.7320508075688774</v>
      </c>
      <c r="U12" s="212">
        <f t="shared" si="3"/>
        <v>1.532088886237956</v>
      </c>
      <c r="V12" s="212">
        <f t="shared" si="3"/>
        <v>1.2855752193730789</v>
      </c>
      <c r="W12" s="212">
        <f t="shared" si="3"/>
        <v>0.99999999999999989</v>
      </c>
      <c r="X12" s="212">
        <f t="shared" si="3"/>
        <v>0.68404028665133776</v>
      </c>
      <c r="Y12" s="212">
        <f t="shared" si="3"/>
        <v>0.34729635533386055</v>
      </c>
      <c r="Z12" s="212">
        <f t="shared" si="3"/>
        <v>2.45029690981724E-16</v>
      </c>
      <c r="AA12" s="212">
        <f t="shared" si="3"/>
        <v>-0.34729635533386094</v>
      </c>
      <c r="AB12" s="212">
        <f t="shared" si="3"/>
        <v>-0.68404028665133731</v>
      </c>
      <c r="AC12" s="212">
        <f t="shared" si="3"/>
        <v>-1.0000000000000002</v>
      </c>
      <c r="AD12" s="212">
        <f t="shared" si="3"/>
        <v>-1.2855752193730785</v>
      </c>
      <c r="AE12" s="212">
        <f t="shared" si="3"/>
        <v>-1.5320888862379558</v>
      </c>
      <c r="AF12" s="212">
        <f t="shared" si="3"/>
        <v>-1.7320508075688767</v>
      </c>
      <c r="AG12" s="212">
        <f t="shared" si="3"/>
        <v>-1.8793852415718164</v>
      </c>
      <c r="AH12" s="212">
        <f t="shared" si="3"/>
        <v>-1.969615506024416</v>
      </c>
      <c r="AI12" s="212">
        <f t="shared" si="3"/>
        <v>-2</v>
      </c>
      <c r="AJ12" s="212">
        <f t="shared" si="3"/>
        <v>-1.9696155060244163</v>
      </c>
      <c r="AK12" s="212">
        <f t="shared" si="3"/>
        <v>-1.8793852415718171</v>
      </c>
      <c r="AL12" s="212">
        <f t="shared" si="3"/>
        <v>-1.7320508075688772</v>
      </c>
      <c r="AM12" s="212">
        <f t="shared" si="3"/>
        <v>-1.5320888862379562</v>
      </c>
      <c r="AN12" s="212">
        <f t="shared" si="3"/>
        <v>-1.2855752193730792</v>
      </c>
      <c r="AO12" s="212">
        <f t="shared" si="3"/>
        <v>-1.0000000000000009</v>
      </c>
      <c r="AP12" s="212">
        <f t="shared" si="3"/>
        <v>-0.6840402866513372</v>
      </c>
      <c r="AQ12" s="212">
        <f t="shared" si="3"/>
        <v>-0.34729635533386255</v>
      </c>
      <c r="AR12" s="212">
        <f t="shared" si="3"/>
        <v>-4.90059381963448E-16</v>
      </c>
      <c r="AS12" s="212">
        <f t="shared" si="3"/>
        <v>0.34729635533385983</v>
      </c>
      <c r="AT12" s="212">
        <f t="shared" si="3"/>
        <v>0.68404028665133787</v>
      </c>
      <c r="AU12" s="212">
        <f t="shared" si="3"/>
        <v>0.99999999999999856</v>
      </c>
      <c r="AV12" s="212">
        <f t="shared" si="3"/>
        <v>1.2855752193730783</v>
      </c>
      <c r="AW12" s="99"/>
      <c r="AX12" s="318" t="s">
        <v>64</v>
      </c>
      <c r="AZ12" s="212">
        <f>IF($AX$12=$L$3,$C$12 * SIN(AZ11 + RADIANS($D$12)),0)</f>
        <v>1.532088886237956</v>
      </c>
      <c r="BA12" s="5"/>
      <c r="BC12" s="77">
        <f>IF($AX$12=$L$3,$C12,0)</f>
        <v>2</v>
      </c>
      <c r="BD12" s="77">
        <f>$AZ$10+$D$12</f>
        <v>50</v>
      </c>
      <c r="BE12" s="311">
        <f>BC12*COS(RADIANS(BD12))</f>
        <v>1.2855752193730787</v>
      </c>
      <c r="BF12" s="311">
        <f>BC12*SIN(RADIANS(BD12))</f>
        <v>1.532088886237956</v>
      </c>
      <c r="BG12" s="311">
        <v>0</v>
      </c>
      <c r="BH12" s="311">
        <f>BE12</f>
        <v>1.2855752193730787</v>
      </c>
      <c r="BI12" s="311">
        <v>0</v>
      </c>
      <c r="BJ12" s="311">
        <f>BF12</f>
        <v>1.532088886237956</v>
      </c>
    </row>
    <row r="13" spans="3:71" ht="18.5" x14ac:dyDescent="0.45">
      <c r="C13" s="4">
        <v>2</v>
      </c>
      <c r="D13" s="4">
        <v>0</v>
      </c>
      <c r="E13" s="4"/>
      <c r="F13" s="317" t="s">
        <v>319</v>
      </c>
      <c r="G13" s="317" t="str">
        <f>_xlfn.CONCAT(C13, IF(D13=0," * cos(x) =",IF(D13&lt;0,_xlfn.CONCAT(" * cos(x - ",ABS(D13),") ="),_xlfn.CONCAT(" * cos(x + ",D13,") ="))))</f>
        <v>2 * cos(x) =</v>
      </c>
      <c r="H13" s="212">
        <f t="shared" ref="H13:AV13" si="4">IF($AX$13=$L$3,$C$13*COS(H11+RADIANS($D$13)),0)</f>
        <v>2</v>
      </c>
      <c r="I13" s="212">
        <f t="shared" si="4"/>
        <v>1.969615506024416</v>
      </c>
      <c r="J13" s="212">
        <f t="shared" si="4"/>
        <v>1.8793852415718169</v>
      </c>
      <c r="K13" s="212">
        <f t="shared" si="4"/>
        <v>1.7320508075688774</v>
      </c>
      <c r="L13" s="212">
        <f t="shared" si="4"/>
        <v>1.532088886237956</v>
      </c>
      <c r="M13" s="212">
        <f t="shared" si="4"/>
        <v>1.2855752193730787</v>
      </c>
      <c r="N13" s="212">
        <f t="shared" si="4"/>
        <v>1.0000000000000002</v>
      </c>
      <c r="O13" s="212">
        <f t="shared" si="4"/>
        <v>0.68404028665133765</v>
      </c>
      <c r="P13" s="212">
        <f t="shared" si="4"/>
        <v>0.34729635533386083</v>
      </c>
      <c r="Q13" s="212">
        <f t="shared" si="4"/>
        <v>1.22514845490862E-16</v>
      </c>
      <c r="R13" s="212">
        <f t="shared" si="4"/>
        <v>-0.34729635533386061</v>
      </c>
      <c r="S13" s="212">
        <f t="shared" si="4"/>
        <v>-0.68404028665133743</v>
      </c>
      <c r="T13" s="212">
        <f t="shared" si="4"/>
        <v>-0.99999999999999956</v>
      </c>
      <c r="U13" s="212">
        <f t="shared" si="4"/>
        <v>-1.2855752193730787</v>
      </c>
      <c r="V13" s="212">
        <f t="shared" si="4"/>
        <v>-1.5320888862379558</v>
      </c>
      <c r="W13" s="212">
        <f t="shared" si="4"/>
        <v>-1.7320508075688774</v>
      </c>
      <c r="X13" s="212">
        <f t="shared" si="4"/>
        <v>-1.8793852415718166</v>
      </c>
      <c r="Y13" s="212">
        <f t="shared" si="4"/>
        <v>-1.969615506024416</v>
      </c>
      <c r="Z13" s="212">
        <f t="shared" si="4"/>
        <v>-2</v>
      </c>
      <c r="AA13" s="212">
        <f t="shared" si="4"/>
        <v>-1.969615506024416</v>
      </c>
      <c r="AB13" s="212">
        <f t="shared" si="4"/>
        <v>-1.8793852415718169</v>
      </c>
      <c r="AC13" s="212">
        <f t="shared" si="4"/>
        <v>-1.7320508075688772</v>
      </c>
      <c r="AD13" s="212">
        <f t="shared" si="4"/>
        <v>-1.532088886237956</v>
      </c>
      <c r="AE13" s="212">
        <f t="shared" si="4"/>
        <v>-1.2855752193730789</v>
      </c>
      <c r="AF13" s="212">
        <f t="shared" si="4"/>
        <v>-1.0000000000000009</v>
      </c>
      <c r="AG13" s="212">
        <f t="shared" si="4"/>
        <v>-0.68404028665133876</v>
      </c>
      <c r="AH13" s="212">
        <f t="shared" si="4"/>
        <v>-0.34729635533386066</v>
      </c>
      <c r="AI13" s="212">
        <f t="shared" si="4"/>
        <v>-3.67544536472586E-16</v>
      </c>
      <c r="AJ13" s="212">
        <f t="shared" si="4"/>
        <v>0.34729635533385994</v>
      </c>
      <c r="AK13" s="212">
        <f t="shared" si="4"/>
        <v>0.68404028665133632</v>
      </c>
      <c r="AL13" s="212">
        <f t="shared" si="4"/>
        <v>1.0000000000000002</v>
      </c>
      <c r="AM13" s="212">
        <f t="shared" si="4"/>
        <v>1.2855752193730785</v>
      </c>
      <c r="AN13" s="212">
        <f t="shared" si="4"/>
        <v>1.5320888862379556</v>
      </c>
      <c r="AO13" s="212">
        <f t="shared" si="4"/>
        <v>1.7320508075688767</v>
      </c>
      <c r="AP13" s="212">
        <f t="shared" si="4"/>
        <v>1.8793852415718169</v>
      </c>
      <c r="AQ13" s="212">
        <f t="shared" si="4"/>
        <v>1.9696155060244158</v>
      </c>
      <c r="AR13" s="212">
        <f t="shared" si="4"/>
        <v>2</v>
      </c>
      <c r="AS13" s="212">
        <f t="shared" si="4"/>
        <v>1.9696155060244163</v>
      </c>
      <c r="AT13" s="212">
        <f t="shared" si="4"/>
        <v>1.8793852415718166</v>
      </c>
      <c r="AU13" s="212">
        <f t="shared" si="4"/>
        <v>1.7320508075688781</v>
      </c>
      <c r="AV13" s="212">
        <f t="shared" si="4"/>
        <v>1.5320888862379562</v>
      </c>
      <c r="AW13" s="99"/>
      <c r="AX13" s="318" t="s">
        <v>64</v>
      </c>
      <c r="AZ13" s="212">
        <f>IF($AX$13=$L$3,$C$13 * COS(AZ11+RADIANS(D13)),0)</f>
        <v>1.2855752193730787</v>
      </c>
      <c r="BA13" s="5"/>
      <c r="BC13" s="77">
        <f>IF($AX$13=$L$3,$C13,0)</f>
        <v>2</v>
      </c>
      <c r="BD13" s="77">
        <f>$AZ$10+90+$D$13</f>
        <v>140</v>
      </c>
      <c r="BE13" s="311">
        <f>BC13*COS(RADIANS(BD13))</f>
        <v>-1.5320888862379558</v>
      </c>
      <c r="BF13" s="311">
        <f>BC13*SIN(RADIANS(BD13))</f>
        <v>1.2855752193730789</v>
      </c>
      <c r="BG13" s="311">
        <v>0</v>
      </c>
      <c r="BH13" s="311">
        <f>BE13</f>
        <v>-1.5320888862379558</v>
      </c>
      <c r="BI13" s="311">
        <v>0</v>
      </c>
      <c r="BJ13" s="311">
        <f>BF13</f>
        <v>1.2855752193730789</v>
      </c>
    </row>
    <row r="14" spans="3:71" ht="18.5" x14ac:dyDescent="0.45">
      <c r="F14" s="316"/>
      <c r="G14" s="316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X14" s="99"/>
      <c r="AZ14" s="99"/>
      <c r="BE14" s="313"/>
      <c r="BF14" s="313"/>
      <c r="BG14" s="313"/>
      <c r="BH14" s="313"/>
      <c r="BI14" s="313"/>
      <c r="BJ14" s="313"/>
    </row>
    <row r="15" spans="3:71" ht="18.5" x14ac:dyDescent="0.45">
      <c r="D15" s="1"/>
      <c r="E15" s="1"/>
      <c r="F15" s="316"/>
      <c r="G15" s="316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Z15" s="99"/>
      <c r="BE15" s="313"/>
      <c r="BF15" s="313"/>
      <c r="BG15" s="313"/>
      <c r="BH15" s="313"/>
      <c r="BI15" s="313"/>
      <c r="BJ15" s="313"/>
      <c r="BK15" s="5" t="s">
        <v>637</v>
      </c>
      <c r="BL15" s="5"/>
      <c r="BM15" s="5"/>
      <c r="BN15" s="5"/>
      <c r="BO15" s="5" t="s">
        <v>638</v>
      </c>
      <c r="BP15" s="5"/>
      <c r="BQ15" s="5"/>
      <c r="BR15" s="5"/>
    </row>
    <row r="16" spans="3:71" ht="18.5" x14ac:dyDescent="0.45">
      <c r="D16" s="321"/>
      <c r="E16" s="321"/>
      <c r="F16" s="319" t="s">
        <v>635</v>
      </c>
      <c r="G16" s="319" t="s">
        <v>631</v>
      </c>
      <c r="H16" s="212">
        <f>IF($AX$16=$L$3,H12+H13,0)</f>
        <v>0</v>
      </c>
      <c r="I16" s="212">
        <f t="shared" ref="I16:AV16" si="5">IF($AX$16=$L$3,I12+I13,0)</f>
        <v>0</v>
      </c>
      <c r="J16" s="212">
        <f t="shared" si="5"/>
        <v>0</v>
      </c>
      <c r="K16" s="212">
        <f t="shared" si="5"/>
        <v>0</v>
      </c>
      <c r="L16" s="212">
        <f t="shared" si="5"/>
        <v>0</v>
      </c>
      <c r="M16" s="212">
        <f t="shared" si="5"/>
        <v>0</v>
      </c>
      <c r="N16" s="212">
        <f t="shared" si="5"/>
        <v>0</v>
      </c>
      <c r="O16" s="212">
        <f t="shared" si="5"/>
        <v>0</v>
      </c>
      <c r="P16" s="212">
        <f t="shared" si="5"/>
        <v>0</v>
      </c>
      <c r="Q16" s="212">
        <f t="shared" si="5"/>
        <v>0</v>
      </c>
      <c r="R16" s="212">
        <f t="shared" si="5"/>
        <v>0</v>
      </c>
      <c r="S16" s="212">
        <f t="shared" si="5"/>
        <v>0</v>
      </c>
      <c r="T16" s="212">
        <f t="shared" si="5"/>
        <v>0</v>
      </c>
      <c r="U16" s="212">
        <f t="shared" si="5"/>
        <v>0</v>
      </c>
      <c r="V16" s="212">
        <f t="shared" si="5"/>
        <v>0</v>
      </c>
      <c r="W16" s="212">
        <f t="shared" si="5"/>
        <v>0</v>
      </c>
      <c r="X16" s="212">
        <f t="shared" si="5"/>
        <v>0</v>
      </c>
      <c r="Y16" s="212">
        <f t="shared" si="5"/>
        <v>0</v>
      </c>
      <c r="Z16" s="212">
        <f t="shared" si="5"/>
        <v>0</v>
      </c>
      <c r="AA16" s="212">
        <f t="shared" si="5"/>
        <v>0</v>
      </c>
      <c r="AB16" s="212">
        <f t="shared" si="5"/>
        <v>0</v>
      </c>
      <c r="AC16" s="212">
        <f t="shared" si="5"/>
        <v>0</v>
      </c>
      <c r="AD16" s="212">
        <f t="shared" si="5"/>
        <v>0</v>
      </c>
      <c r="AE16" s="212">
        <f t="shared" si="5"/>
        <v>0</v>
      </c>
      <c r="AF16" s="212">
        <f t="shared" si="5"/>
        <v>0</v>
      </c>
      <c r="AG16" s="212">
        <f t="shared" si="5"/>
        <v>0</v>
      </c>
      <c r="AH16" s="212">
        <f t="shared" si="5"/>
        <v>0</v>
      </c>
      <c r="AI16" s="212">
        <f t="shared" si="5"/>
        <v>0</v>
      </c>
      <c r="AJ16" s="212">
        <f t="shared" si="5"/>
        <v>0</v>
      </c>
      <c r="AK16" s="212">
        <f t="shared" si="5"/>
        <v>0</v>
      </c>
      <c r="AL16" s="212">
        <f t="shared" si="5"/>
        <v>0</v>
      </c>
      <c r="AM16" s="212">
        <f t="shared" si="5"/>
        <v>0</v>
      </c>
      <c r="AN16" s="212">
        <f t="shared" si="5"/>
        <v>0</v>
      </c>
      <c r="AO16" s="212">
        <f t="shared" si="5"/>
        <v>0</v>
      </c>
      <c r="AP16" s="212">
        <f t="shared" si="5"/>
        <v>0</v>
      </c>
      <c r="AQ16" s="212">
        <f t="shared" si="5"/>
        <v>0</v>
      </c>
      <c r="AR16" s="212">
        <f t="shared" si="5"/>
        <v>0</v>
      </c>
      <c r="AS16" s="212">
        <f t="shared" si="5"/>
        <v>0</v>
      </c>
      <c r="AT16" s="212">
        <f t="shared" si="5"/>
        <v>0</v>
      </c>
      <c r="AU16" s="212">
        <f t="shared" si="5"/>
        <v>0</v>
      </c>
      <c r="AV16" s="212">
        <f t="shared" si="5"/>
        <v>0</v>
      </c>
      <c r="AW16" s="99"/>
      <c r="AX16" s="318" t="s">
        <v>65</v>
      </c>
      <c r="AZ16" s="212">
        <f>IF($AX$16=$L$3,AZ12+AZ13,0)</f>
        <v>0</v>
      </c>
      <c r="BC16" s="311">
        <f>SQRT(BE16^2+BF16^2)</f>
        <v>0</v>
      </c>
      <c r="BD16" s="311">
        <f>IF($AX$16=$L$3,DEGREES(ATAN2(BE16,BF16)),0)</f>
        <v>0</v>
      </c>
      <c r="BE16" s="311">
        <f>IF($AX$16=$L$3,BE12+BE13,0)</f>
        <v>0</v>
      </c>
      <c r="BF16" s="311">
        <f>IF($AX$16=$L$3,BF12+BF13,0)</f>
        <v>0</v>
      </c>
      <c r="BG16" s="311">
        <v>0</v>
      </c>
      <c r="BH16" s="311">
        <f>BE16</f>
        <v>0</v>
      </c>
      <c r="BI16" s="311">
        <v>0</v>
      </c>
      <c r="BJ16" s="322">
        <f>BF16</f>
        <v>0</v>
      </c>
      <c r="BK16" s="311">
        <f>IF($AX$16=$L$3,BE13,0)</f>
        <v>0</v>
      </c>
      <c r="BL16" s="311">
        <f>BE16</f>
        <v>0</v>
      </c>
      <c r="BM16" s="311">
        <f>IF($AX$16=$L$3,BF13,0)</f>
        <v>0</v>
      </c>
      <c r="BN16" s="311">
        <f>BF16</f>
        <v>0</v>
      </c>
      <c r="BO16" s="311">
        <f>BE12</f>
        <v>1.2855752193730787</v>
      </c>
      <c r="BP16" s="311">
        <f>BL16</f>
        <v>0</v>
      </c>
      <c r="BQ16" s="311">
        <f>IF($AX$16=$L$3,BF12,0)</f>
        <v>0</v>
      </c>
      <c r="BR16" s="311">
        <f>BN16</f>
        <v>0</v>
      </c>
    </row>
    <row r="17" spans="4:62" ht="18.5" x14ac:dyDescent="0.45">
      <c r="D17" s="321"/>
      <c r="E17" s="321"/>
      <c r="F17" s="320" t="s">
        <v>635</v>
      </c>
      <c r="G17" s="320" t="s">
        <v>636</v>
      </c>
      <c r="H17" s="212">
        <f>IF($AX$17=$L$3,H12*H13,0)</f>
        <v>0</v>
      </c>
      <c r="I17" s="212">
        <f t="shared" ref="I17:AV17" si="6">IF($AX$17=$L$3,I12*I13,0)</f>
        <v>0.68404028665133731</v>
      </c>
      <c r="J17" s="212">
        <f t="shared" si="6"/>
        <v>1.2855752193730787</v>
      </c>
      <c r="K17" s="212">
        <f t="shared" si="6"/>
        <v>1.7320508075688772</v>
      </c>
      <c r="L17" s="212">
        <f t="shared" si="6"/>
        <v>1.9696155060244158</v>
      </c>
      <c r="M17" s="212">
        <f t="shared" si="6"/>
        <v>1.9696155060244163</v>
      </c>
      <c r="N17" s="212">
        <f t="shared" si="6"/>
        <v>1.7320508075688776</v>
      </c>
      <c r="O17" s="212">
        <f t="shared" si="6"/>
        <v>1.2855752193730789</v>
      </c>
      <c r="P17" s="212">
        <f t="shared" si="6"/>
        <v>0.68404028665133765</v>
      </c>
      <c r="Q17" s="212">
        <f t="shared" si="6"/>
        <v>2.45029690981724E-16</v>
      </c>
      <c r="R17" s="212">
        <f t="shared" si="6"/>
        <v>-0.68404028665133731</v>
      </c>
      <c r="S17" s="212">
        <f t="shared" si="6"/>
        <v>-1.2855752193730787</v>
      </c>
      <c r="T17" s="212">
        <f t="shared" si="6"/>
        <v>-1.7320508075688767</v>
      </c>
      <c r="U17" s="212">
        <f t="shared" si="6"/>
        <v>-1.9696155060244163</v>
      </c>
      <c r="V17" s="212">
        <f t="shared" si="6"/>
        <v>-1.9696155060244163</v>
      </c>
      <c r="W17" s="212">
        <f t="shared" si="6"/>
        <v>-1.7320508075688772</v>
      </c>
      <c r="X17" s="212">
        <f t="shared" si="6"/>
        <v>-1.2855752193730792</v>
      </c>
      <c r="Y17" s="212">
        <f t="shared" si="6"/>
        <v>-0.6840402866513372</v>
      </c>
      <c r="Z17" s="212">
        <f t="shared" si="6"/>
        <v>-4.90059381963448E-16</v>
      </c>
      <c r="AA17" s="212">
        <f t="shared" si="6"/>
        <v>0.68404028665133787</v>
      </c>
      <c r="AB17" s="212">
        <f t="shared" si="6"/>
        <v>1.2855752193730785</v>
      </c>
      <c r="AC17" s="212">
        <f t="shared" si="6"/>
        <v>1.7320508075688776</v>
      </c>
      <c r="AD17" s="212">
        <f t="shared" si="6"/>
        <v>1.9696155060244158</v>
      </c>
      <c r="AE17" s="212">
        <f t="shared" si="6"/>
        <v>1.9696155060244163</v>
      </c>
      <c r="AF17" s="212">
        <f t="shared" si="6"/>
        <v>1.7320508075688783</v>
      </c>
      <c r="AG17" s="212">
        <f t="shared" si="6"/>
        <v>1.2855752193730809</v>
      </c>
      <c r="AH17" s="212">
        <f t="shared" si="6"/>
        <v>0.68404028665133731</v>
      </c>
      <c r="AI17" s="212">
        <f t="shared" si="6"/>
        <v>7.3508907294517201E-16</v>
      </c>
      <c r="AJ17" s="212">
        <f t="shared" si="6"/>
        <v>-0.68404028665133598</v>
      </c>
      <c r="AK17" s="212">
        <f t="shared" si="6"/>
        <v>-1.2855752193730767</v>
      </c>
      <c r="AL17" s="212">
        <f t="shared" si="6"/>
        <v>-1.7320508075688776</v>
      </c>
      <c r="AM17" s="212">
        <f t="shared" si="6"/>
        <v>-1.969615506024416</v>
      </c>
      <c r="AN17" s="212">
        <f t="shared" si="6"/>
        <v>-1.9696155060244163</v>
      </c>
      <c r="AO17" s="212">
        <f t="shared" si="6"/>
        <v>-1.7320508075688783</v>
      </c>
      <c r="AP17" s="212">
        <f t="shared" si="6"/>
        <v>-1.2855752193730783</v>
      </c>
      <c r="AQ17" s="212">
        <f t="shared" si="6"/>
        <v>-0.68404028665134098</v>
      </c>
      <c r="AR17" s="212">
        <f t="shared" si="6"/>
        <v>-9.8011876392689601E-16</v>
      </c>
      <c r="AS17" s="212">
        <f t="shared" si="6"/>
        <v>0.68404028665133576</v>
      </c>
      <c r="AT17" s="212">
        <f t="shared" si="6"/>
        <v>1.2855752193730794</v>
      </c>
      <c r="AU17" s="212">
        <f t="shared" si="6"/>
        <v>1.7320508075688756</v>
      </c>
      <c r="AV17" s="212">
        <f t="shared" si="6"/>
        <v>1.9696155060244158</v>
      </c>
      <c r="AW17" s="99"/>
      <c r="AX17" s="318" t="s">
        <v>64</v>
      </c>
      <c r="AZ17" s="212">
        <f>IF($AX$17=$L$3,AZ12*AZ13,0)</f>
        <v>1.9696155060244163</v>
      </c>
      <c r="BE17" s="313"/>
      <c r="BF17" s="313"/>
      <c r="BG17" s="313"/>
      <c r="BH17" s="313"/>
      <c r="BI17" s="313"/>
      <c r="BJ17" s="313"/>
    </row>
    <row r="18" spans="4:62" x14ac:dyDescent="0.35">
      <c r="F18" s="314"/>
      <c r="G18" s="315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X18" s="99"/>
      <c r="AZ18" s="99"/>
      <c r="BE18" s="313"/>
      <c r="BF18" s="313"/>
      <c r="BG18" s="313"/>
      <c r="BH18" s="313"/>
      <c r="BI18" s="313"/>
      <c r="BJ18" s="313"/>
    </row>
    <row r="61" spans="6:50" ht="18.5" x14ac:dyDescent="0.45">
      <c r="F61" s="273" t="s">
        <v>633</v>
      </c>
      <c r="G61" s="273" t="s">
        <v>318</v>
      </c>
      <c r="H61" s="212">
        <f t="shared" ref="H61:AV61" si="7">IF(ABS(TAN(H11))&gt;10,0,TAN(H11))</f>
        <v>0</v>
      </c>
      <c r="I61" s="212">
        <f t="shared" si="7"/>
        <v>0.17632698070846498</v>
      </c>
      <c r="J61" s="212">
        <f t="shared" si="7"/>
        <v>0.36397023426620234</v>
      </c>
      <c r="K61" s="212">
        <f t="shared" si="7"/>
        <v>0.57735026918962573</v>
      </c>
      <c r="L61" s="212">
        <f t="shared" si="7"/>
        <v>0.83909963117727993</v>
      </c>
      <c r="M61" s="212">
        <f t="shared" si="7"/>
        <v>1.19175359259421</v>
      </c>
      <c r="N61" s="212">
        <f t="shared" si="7"/>
        <v>1.7320508075688767</v>
      </c>
      <c r="O61" s="212">
        <f t="shared" si="7"/>
        <v>2.7474774194546216</v>
      </c>
      <c r="P61" s="212">
        <f t="shared" si="7"/>
        <v>5.6712818196177066</v>
      </c>
      <c r="Q61" s="212">
        <f t="shared" si="7"/>
        <v>0</v>
      </c>
      <c r="R61" s="212">
        <f t="shared" si="7"/>
        <v>-5.6712818196177111</v>
      </c>
      <c r="S61" s="212">
        <f t="shared" si="7"/>
        <v>-2.7474774194546225</v>
      </c>
      <c r="T61" s="212">
        <f t="shared" si="7"/>
        <v>-1.7320508075688783</v>
      </c>
      <c r="U61" s="212">
        <f t="shared" si="7"/>
        <v>-1.19175359259421</v>
      </c>
      <c r="V61" s="212">
        <f t="shared" si="7"/>
        <v>-0.83909963117728037</v>
      </c>
      <c r="W61" s="212">
        <f t="shared" si="7"/>
        <v>-0.57735026918962573</v>
      </c>
      <c r="X61" s="212">
        <f t="shared" si="7"/>
        <v>-0.36397023426620256</v>
      </c>
      <c r="Y61" s="212">
        <f t="shared" si="7"/>
        <v>-0.17632698070846489</v>
      </c>
      <c r="Z61" s="212">
        <f t="shared" si="7"/>
        <v>-1.22514845490862E-16</v>
      </c>
      <c r="AA61" s="212">
        <f t="shared" si="7"/>
        <v>0.17632698070846509</v>
      </c>
      <c r="AB61" s="212">
        <f t="shared" si="7"/>
        <v>0.36397023426620229</v>
      </c>
      <c r="AC61" s="212">
        <f t="shared" si="7"/>
        <v>0.57735026918962595</v>
      </c>
      <c r="AD61" s="212">
        <f t="shared" si="7"/>
        <v>0.83909963117727993</v>
      </c>
      <c r="AE61" s="212">
        <f t="shared" si="7"/>
        <v>1.1917535925942093</v>
      </c>
      <c r="AF61" s="212">
        <f t="shared" si="7"/>
        <v>1.7320508075688754</v>
      </c>
      <c r="AG61" s="212">
        <f t="shared" si="7"/>
        <v>2.7474774194546168</v>
      </c>
      <c r="AH61" s="212">
        <f t="shared" si="7"/>
        <v>5.6712818196177102</v>
      </c>
      <c r="AI61" s="212">
        <f t="shared" si="7"/>
        <v>0</v>
      </c>
      <c r="AJ61" s="212">
        <f t="shared" si="7"/>
        <v>-5.6712818196177226</v>
      </c>
      <c r="AK61" s="212">
        <f t="shared" si="7"/>
        <v>-2.7474774194546274</v>
      </c>
      <c r="AL61" s="212">
        <f t="shared" si="7"/>
        <v>-1.732050807568877</v>
      </c>
      <c r="AM61" s="212">
        <f t="shared" si="7"/>
        <v>-1.1917535925942102</v>
      </c>
      <c r="AN61" s="212">
        <f t="shared" si="7"/>
        <v>-0.83909963117728059</v>
      </c>
      <c r="AO61" s="212">
        <f t="shared" si="7"/>
        <v>-0.57735026918962651</v>
      </c>
      <c r="AP61" s="212">
        <f t="shared" si="7"/>
        <v>-0.36397023426620218</v>
      </c>
      <c r="AQ61" s="212">
        <f t="shared" si="7"/>
        <v>-0.17632698070846592</v>
      </c>
      <c r="AR61" s="212">
        <f t="shared" si="7"/>
        <v>-2.45029690981724E-16</v>
      </c>
      <c r="AS61" s="212">
        <f t="shared" si="7"/>
        <v>0.1763269807084645</v>
      </c>
      <c r="AT61" s="212">
        <f t="shared" si="7"/>
        <v>0.36397023426620262</v>
      </c>
      <c r="AU61" s="212">
        <f t="shared" si="7"/>
        <v>0.57735026918962462</v>
      </c>
      <c r="AV61" s="212">
        <f t="shared" si="7"/>
        <v>0.8390996311772797</v>
      </c>
      <c r="AW61" s="312"/>
      <c r="AX61" s="312"/>
    </row>
    <row r="62" spans="6:50" ht="18.5" x14ac:dyDescent="0.45">
      <c r="F62" s="279" t="s">
        <v>634</v>
      </c>
      <c r="G62" s="279" t="s">
        <v>630</v>
      </c>
      <c r="H62" s="212">
        <f t="shared" ref="H62:AV62" si="8">SIN(H11)</f>
        <v>0</v>
      </c>
      <c r="I62" s="212">
        <f t="shared" si="8"/>
        <v>0.17364817766693033</v>
      </c>
      <c r="J62" s="212">
        <f t="shared" si="8"/>
        <v>0.34202014332566871</v>
      </c>
      <c r="K62" s="212">
        <f t="shared" si="8"/>
        <v>0.49999999999999994</v>
      </c>
      <c r="L62" s="212">
        <f t="shared" si="8"/>
        <v>0.64278760968653925</v>
      </c>
      <c r="M62" s="212">
        <f t="shared" si="8"/>
        <v>0.76604444311897801</v>
      </c>
      <c r="N62" s="212">
        <f t="shared" si="8"/>
        <v>0.8660254037844386</v>
      </c>
      <c r="O62" s="212">
        <f t="shared" si="8"/>
        <v>0.93969262078590832</v>
      </c>
      <c r="P62" s="212">
        <f t="shared" si="8"/>
        <v>0.98480775301220802</v>
      </c>
      <c r="Q62" s="212">
        <f t="shared" si="8"/>
        <v>1</v>
      </c>
      <c r="R62" s="212">
        <f t="shared" si="8"/>
        <v>0.98480775301220802</v>
      </c>
      <c r="S62" s="212">
        <f t="shared" si="8"/>
        <v>0.93969262078590843</v>
      </c>
      <c r="T62" s="212">
        <f t="shared" si="8"/>
        <v>0.86602540378443871</v>
      </c>
      <c r="U62" s="212">
        <f t="shared" si="8"/>
        <v>0.76604444311897801</v>
      </c>
      <c r="V62" s="212">
        <f t="shared" si="8"/>
        <v>0.64278760968653947</v>
      </c>
      <c r="W62" s="212">
        <f t="shared" si="8"/>
        <v>0.49999999999999994</v>
      </c>
      <c r="X62" s="212">
        <f t="shared" si="8"/>
        <v>0.34202014332566888</v>
      </c>
      <c r="Y62" s="212">
        <f t="shared" si="8"/>
        <v>0.17364817766693028</v>
      </c>
      <c r="Z62" s="212">
        <f t="shared" si="8"/>
        <v>1.22514845490862E-16</v>
      </c>
      <c r="AA62" s="212">
        <f t="shared" si="8"/>
        <v>-0.17364817766693047</v>
      </c>
      <c r="AB62" s="212">
        <f t="shared" si="8"/>
        <v>-0.34202014332566866</v>
      </c>
      <c r="AC62" s="212">
        <f t="shared" si="8"/>
        <v>-0.50000000000000011</v>
      </c>
      <c r="AD62" s="212">
        <f t="shared" si="8"/>
        <v>-0.64278760968653925</v>
      </c>
      <c r="AE62" s="212">
        <f t="shared" si="8"/>
        <v>-0.7660444431189779</v>
      </c>
      <c r="AF62" s="212">
        <f t="shared" si="8"/>
        <v>-0.86602540378443837</v>
      </c>
      <c r="AG62" s="212">
        <f t="shared" si="8"/>
        <v>-0.93969262078590821</v>
      </c>
      <c r="AH62" s="212">
        <f t="shared" si="8"/>
        <v>-0.98480775301220802</v>
      </c>
      <c r="AI62" s="212">
        <f t="shared" si="8"/>
        <v>-1</v>
      </c>
      <c r="AJ62" s="212">
        <f t="shared" si="8"/>
        <v>-0.98480775301220813</v>
      </c>
      <c r="AK62" s="212">
        <f t="shared" si="8"/>
        <v>-0.93969262078590854</v>
      </c>
      <c r="AL62" s="212">
        <f t="shared" si="8"/>
        <v>-0.8660254037844386</v>
      </c>
      <c r="AM62" s="212">
        <f t="shared" si="8"/>
        <v>-0.76604444311897812</v>
      </c>
      <c r="AN62" s="212">
        <f t="shared" si="8"/>
        <v>-0.64278760968653958</v>
      </c>
      <c r="AO62" s="212">
        <f t="shared" si="8"/>
        <v>-0.50000000000000044</v>
      </c>
      <c r="AP62" s="212">
        <f t="shared" si="8"/>
        <v>-0.3420201433256686</v>
      </c>
      <c r="AQ62" s="212">
        <f t="shared" si="8"/>
        <v>-0.17364817766693127</v>
      </c>
      <c r="AR62" s="212">
        <f t="shared" si="8"/>
        <v>-2.45029690981724E-16</v>
      </c>
      <c r="AS62" s="212">
        <f t="shared" si="8"/>
        <v>0.17364817766692991</v>
      </c>
      <c r="AT62" s="212">
        <f t="shared" si="8"/>
        <v>0.34202014332566893</v>
      </c>
      <c r="AU62" s="212">
        <f t="shared" si="8"/>
        <v>0.49999999999999928</v>
      </c>
      <c r="AV62" s="212">
        <f t="shared" si="8"/>
        <v>0.64278760968653914</v>
      </c>
      <c r="AW62" s="312"/>
      <c r="AX62" s="312"/>
    </row>
    <row r="91" spans="6:19" ht="15" thickBot="1" x14ac:dyDescent="0.4"/>
    <row r="92" spans="6:19" ht="27" customHeight="1" thickBot="1" x14ac:dyDescent="0.4">
      <c r="F92" s="386" t="s">
        <v>653</v>
      </c>
      <c r="G92" s="350" t="s">
        <v>652</v>
      </c>
      <c r="H92" s="350" t="s">
        <v>658</v>
      </c>
      <c r="I92" s="350" t="s">
        <v>654</v>
      </c>
      <c r="J92" s="350" t="s">
        <v>655</v>
      </c>
      <c r="K92" s="350" t="s">
        <v>656</v>
      </c>
      <c r="L92" s="350" t="s">
        <v>663</v>
      </c>
      <c r="M92" s="446" t="s">
        <v>659</v>
      </c>
      <c r="N92" s="446"/>
      <c r="O92" s="446"/>
      <c r="P92" s="447"/>
      <c r="Q92" s="448" t="s">
        <v>65</v>
      </c>
      <c r="R92" s="449"/>
      <c r="S92" s="450"/>
    </row>
    <row r="93" spans="6:19" s="61" customFormat="1" ht="34" customHeight="1" x14ac:dyDescent="0.35">
      <c r="F93" s="347">
        <v>45</v>
      </c>
      <c r="G93" s="387" t="s">
        <v>298</v>
      </c>
      <c r="H93" s="388" t="str">
        <f>IF($Q$92=$L$3,IF(G93=$M$3,RADIANS(F93),F93),"")</f>
        <v/>
      </c>
      <c r="I93" s="348" t="str">
        <f>IF($Q$92=$L$3,SIN(H93),"")</f>
        <v/>
      </c>
      <c r="J93" s="348" t="str">
        <f>IF($Q$92=$L$3,COS(H93),"")</f>
        <v/>
      </c>
      <c r="K93" s="348" t="str">
        <f>IF($Q$92=$L$3,TAN(H93),"")</f>
        <v/>
      </c>
      <c r="L93" s="389" t="str">
        <f>IF($Q$92=$L$3,IF(G93=$M$4,DEGREES(F93),F93),"")</f>
        <v/>
      </c>
    </row>
    <row r="94" spans="6:19" s="61" customFormat="1" ht="34" customHeight="1" x14ac:dyDescent="0.35">
      <c r="F94" s="347" t="s">
        <v>657</v>
      </c>
      <c r="G94" s="387" t="s">
        <v>300</v>
      </c>
      <c r="H94" s="388" t="str">
        <f>IF($Q$92=$L$3,2*PI(),"")</f>
        <v/>
      </c>
      <c r="I94" s="348" t="str">
        <f t="shared" ref="I94:I96" si="9">IF($Q$92=$L$3,SIN(H94),"")</f>
        <v/>
      </c>
      <c r="J94" s="348" t="str">
        <f t="shared" ref="J94:J96" si="10">IF($Q$92=$L$3,COS(H94),"")</f>
        <v/>
      </c>
      <c r="K94" s="348" t="str">
        <f t="shared" ref="K94:K96" si="11">IF($Q$92=$L$3,TAN(H94),"")</f>
        <v/>
      </c>
      <c r="L94" s="389" t="str">
        <f>IF($Q$92=$L$3,IF(G94=$M$4,DEGREES(2*PI()),2*PI()),"")</f>
        <v/>
      </c>
    </row>
    <row r="95" spans="6:19" s="61" customFormat="1" ht="34" customHeight="1" x14ac:dyDescent="0.35">
      <c r="F95" s="347">
        <v>-3.14</v>
      </c>
      <c r="G95" s="387" t="s">
        <v>300</v>
      </c>
      <c r="H95" s="388" t="str">
        <f>IF($Q$92=$L$3,IF(G95=$M$3,RADIANS(F95),F95),"")</f>
        <v/>
      </c>
      <c r="I95" s="348" t="str">
        <f t="shared" si="9"/>
        <v/>
      </c>
      <c r="J95" s="348" t="str">
        <f t="shared" si="10"/>
        <v/>
      </c>
      <c r="K95" s="348" t="str">
        <f t="shared" si="11"/>
        <v/>
      </c>
      <c r="L95" s="389" t="str">
        <f t="shared" ref="L95:L96" si="12">IF($Q$92=$L$3,IF(G95=$M$4,DEGREES(F95),F95),"")</f>
        <v/>
      </c>
    </row>
    <row r="96" spans="6:19" s="61" customFormat="1" ht="34" customHeight="1" x14ac:dyDescent="0.35">
      <c r="F96" s="347">
        <v>-30</v>
      </c>
      <c r="G96" s="387" t="s">
        <v>298</v>
      </c>
      <c r="H96" s="388" t="str">
        <f>IF($Q$92=$L$3,IF(G96=$M$3,RADIANS(F96),F96),"")</f>
        <v/>
      </c>
      <c r="I96" s="348" t="str">
        <f t="shared" si="9"/>
        <v/>
      </c>
      <c r="J96" s="348" t="str">
        <f t="shared" si="10"/>
        <v/>
      </c>
      <c r="K96" s="348" t="str">
        <f t="shared" si="11"/>
        <v/>
      </c>
      <c r="L96" s="389" t="str">
        <f t="shared" si="12"/>
        <v/>
      </c>
    </row>
    <row r="100" spans="6:12" ht="30" customHeight="1" x14ac:dyDescent="0.35">
      <c r="F100" s="92"/>
      <c r="G100" s="92"/>
      <c r="H100" s="349" t="s">
        <v>663</v>
      </c>
      <c r="I100" s="349" t="s">
        <v>658</v>
      </c>
    </row>
    <row r="101" spans="6:12" ht="32.5" customHeight="1" x14ac:dyDescent="0.35">
      <c r="F101" s="350" t="s">
        <v>660</v>
      </c>
      <c r="G101" s="347">
        <v>0.25</v>
      </c>
      <c r="H101" s="352" t="str">
        <f>IF($Q$92=$L$3,DEGREES(ASIN(G101)),"")</f>
        <v/>
      </c>
      <c r="I101" s="351" t="str">
        <f>IF($Q$92=$L$3,ASIN(G101),"")</f>
        <v/>
      </c>
    </row>
    <row r="102" spans="6:12" ht="32.5" customHeight="1" x14ac:dyDescent="0.35">
      <c r="F102" s="350" t="s">
        <v>660</v>
      </c>
      <c r="G102" s="347">
        <v>-0.5</v>
      </c>
      <c r="H102" s="352" t="str">
        <f>IF($Q$92=$L$3,DEGREES(ASIN(G102)),"")</f>
        <v/>
      </c>
      <c r="I102" s="351" t="str">
        <f>IF($Q$92=$L$3,ASIN(G102),"")</f>
        <v/>
      </c>
    </row>
    <row r="103" spans="6:12" ht="32.5" customHeight="1" x14ac:dyDescent="0.35">
      <c r="F103" s="350" t="s">
        <v>661</v>
      </c>
      <c r="G103" s="347">
        <v>-0.5</v>
      </c>
      <c r="H103" s="352" t="str">
        <f>IF($Q$92=$L$3,DEGREES(ACOS(G103)),"")</f>
        <v/>
      </c>
      <c r="I103" s="351" t="str">
        <f>IF($Q$92=$L$3,ACOS(G103),"")</f>
        <v/>
      </c>
    </row>
    <row r="104" spans="6:12" ht="32.5" customHeight="1" x14ac:dyDescent="0.35">
      <c r="F104" s="350" t="s">
        <v>661</v>
      </c>
      <c r="G104" s="347">
        <f>1/SQRT(2)</f>
        <v>0.70710678118654746</v>
      </c>
      <c r="H104" s="352" t="str">
        <f>IF($Q$92=$L$3,DEGREES(ACOS(G104)),"")</f>
        <v/>
      </c>
      <c r="I104" s="351" t="str">
        <f>IF($Q$92=$L$3,ACOS(G104),"")</f>
        <v/>
      </c>
    </row>
    <row r="105" spans="6:12" ht="32.5" customHeight="1" x14ac:dyDescent="0.35">
      <c r="F105" s="350" t="s">
        <v>662</v>
      </c>
      <c r="G105" s="347">
        <v>50</v>
      </c>
      <c r="H105" s="352" t="str">
        <f>IF($Q$92=$L$3,DEGREES(ATAN(G105)),"")</f>
        <v/>
      </c>
      <c r="I105" s="351" t="str">
        <f>IF($Q$92=$L$3,ATAN(G105),"")</f>
        <v/>
      </c>
    </row>
    <row r="106" spans="6:12" ht="32.5" customHeight="1" x14ac:dyDescent="0.35">
      <c r="F106" s="350" t="s">
        <v>662</v>
      </c>
      <c r="G106" s="347">
        <v>0.25</v>
      </c>
      <c r="H106" s="352" t="str">
        <f>IF($Q$92=$L$3,DEGREES(ATAN(G106)),"")</f>
        <v/>
      </c>
      <c r="I106" s="351" t="str">
        <f>IF($Q$92=$L$3,ATAN(G106),"")</f>
        <v/>
      </c>
    </row>
    <row r="110" spans="6:12" ht="26.5" thickBot="1" x14ac:dyDescent="0.65">
      <c r="F110" s="353" t="s">
        <v>664</v>
      </c>
      <c r="G110" s="353"/>
      <c r="I110" s="354" t="s">
        <v>821</v>
      </c>
    </row>
    <row r="111" spans="6:12" x14ac:dyDescent="0.35">
      <c r="F111" s="366" t="s">
        <v>665</v>
      </c>
      <c r="G111" s="10">
        <v>5</v>
      </c>
      <c r="H111" s="10" t="s">
        <v>713</v>
      </c>
      <c r="I111" s="10" t="s">
        <v>716</v>
      </c>
      <c r="J111" s="367">
        <f>G111*VLOOKUP(H111, CHOOSE({1,2,3,4}, Einheitenvorsätze!A:A, Einheitenvorsätze!B:B, Einheitenvorsätze!C:C, Einheitenvorsätze!D:D), 3, FALSE)</f>
        <v>0.05</v>
      </c>
      <c r="K111" s="367" t="str">
        <f>I111</f>
        <v>m</v>
      </c>
      <c r="L111" s="368" t="str">
        <f>_xlfn.CONCAT(G111," * ",VLOOKUP(H111, CHOOSE({1,2,3,4}, Einheitenvorsätze!A:A, Einheitenvorsätze!B:B, Einheitenvorsätze!C:C, Einheitenvorsätze!D:D), 4, FALSE),I111)</f>
        <v>5 * 10⁻²m</v>
      </c>
    </row>
    <row r="112" spans="6:12" x14ac:dyDescent="0.35">
      <c r="F112" s="264" t="s">
        <v>666</v>
      </c>
      <c r="G112" s="4">
        <v>0.6</v>
      </c>
      <c r="H112" s="4" t="s">
        <v>707</v>
      </c>
      <c r="I112" s="4" t="s">
        <v>748</v>
      </c>
      <c r="J112" s="77">
        <f>G112*VLOOKUP(H112, CHOOSE({1,2,3,4}, Einheitenvorsätze!A:A, Einheitenvorsätze!B:B, Einheitenvorsätze!C:C, Einheitenvorsätze!D:D), 3, FALSE)</f>
        <v>0.6</v>
      </c>
      <c r="K112" s="77" t="str">
        <f t="shared" ref="K112:K113" si="13">I112</f>
        <v>Hz</v>
      </c>
      <c r="L112" s="268" t="str">
        <f>_xlfn.CONCAT(G112," * ",VLOOKUP(H112, CHOOSE({1,2,3,4}, Einheitenvorsätze!A:A, Einheitenvorsätze!B:B, Einheitenvorsätze!C:C, Einheitenvorsätze!D:D), 4, FALSE),I112)</f>
        <v>0.6 * 10⁰Hz</v>
      </c>
    </row>
    <row r="113" spans="4:12" ht="15" thickBot="1" x14ac:dyDescent="0.4">
      <c r="F113" s="369" t="s">
        <v>667</v>
      </c>
      <c r="G113" s="11">
        <v>6.2</v>
      </c>
      <c r="H113" s="11" t="s">
        <v>707</v>
      </c>
      <c r="I113" s="11" t="s">
        <v>745</v>
      </c>
      <c r="J113" s="370">
        <f>G113*VLOOKUP(H113, CHOOSE({1,2,3,4}, Einheitenvorsätze!A:A, Einheitenvorsätze!B:B, Einheitenvorsätze!C:C, Einheitenvorsätze!D:D), 3, FALSE)</f>
        <v>6.2</v>
      </c>
      <c r="K113" s="370" t="str">
        <f t="shared" si="13"/>
        <v>s</v>
      </c>
      <c r="L113" s="371" t="str">
        <f>_xlfn.CONCAT(G113," * ",VLOOKUP(H113, CHOOSE({1,2,3,4}, Einheitenvorsätze!A:A, Einheitenvorsätze!B:B, Einheitenvorsätze!C:C, Einheitenvorsätze!D:D), 4, FALSE),I113)</f>
        <v>6.2 * 10⁰s</v>
      </c>
    </row>
    <row r="116" spans="4:12" ht="18.5" x14ac:dyDescent="0.45">
      <c r="D116" s="168"/>
      <c r="E116" s="168"/>
      <c r="F116" s="373" t="str">
        <f>_xlfn.CONCAT("y(",$L$113,") = ")</f>
        <v xml:space="preserve">y(6.2 * 10⁰s) = </v>
      </c>
      <c r="G116" s="374" t="str">
        <f>_xlfn.CONCAT(L111, " * sin(2",Einheitenvorsätze!$C$53," * ",L112," * ",L113,")")</f>
        <v>5 * 10⁻²m * sin(2π * 0.6 * 10⁰Hz * 6.2 * 10⁰s)</v>
      </c>
      <c r="H116" s="374"/>
      <c r="I116" s="168"/>
      <c r="J116" s="168"/>
    </row>
    <row r="117" spans="4:12" ht="18.5" x14ac:dyDescent="0.45">
      <c r="D117" s="168"/>
      <c r="E117" s="168"/>
      <c r="F117" s="373" t="str">
        <f t="shared" ref="F117:F118" si="14">_xlfn.CONCAT("y(",$L$113,") = ")</f>
        <v xml:space="preserve">y(6.2 * 10⁰s) = </v>
      </c>
      <c r="G117" s="374" t="str">
        <f>_xlfn.CONCAT(J111, " * sin(2",Einheitenvorsätze!$C$53," * ",J112," * ",J113,")",I111)</f>
        <v>0.05 * sin(2π * 0.6 * 6.2)m</v>
      </c>
      <c r="H117" s="168"/>
      <c r="I117" s="168"/>
      <c r="J117" s="168"/>
    </row>
    <row r="118" spans="4:12" ht="23.5" x14ac:dyDescent="0.55000000000000004">
      <c r="D118" s="375"/>
      <c r="E118" s="375"/>
      <c r="F118" s="376" t="str">
        <f t="shared" si="14"/>
        <v xml:space="preserve">y(6.2 * 10⁰s) = </v>
      </c>
      <c r="G118" s="377">
        <f>J111*SIN(MOD(2*PI()*J112*J113,2*PI()))</f>
        <v>-4.9114362536434426E-2</v>
      </c>
      <c r="H118" s="375" t="str">
        <f>I111</f>
        <v>m</v>
      </c>
      <c r="I118" s="375"/>
      <c r="J118" s="168"/>
      <c r="K118" s="66"/>
    </row>
    <row r="123" spans="4:12" ht="15" thickBot="1" x14ac:dyDescent="0.4"/>
    <row r="124" spans="4:12" x14ac:dyDescent="0.35">
      <c r="D124" s="261"/>
      <c r="E124" s="432"/>
      <c r="F124" s="262" t="s">
        <v>828</v>
      </c>
      <c r="G124" s="382">
        <v>230</v>
      </c>
      <c r="H124" s="383" t="s">
        <v>320</v>
      </c>
    </row>
    <row r="125" spans="4:12" x14ac:dyDescent="0.35">
      <c r="D125" s="378"/>
      <c r="E125" s="433"/>
      <c r="F125" s="8" t="s">
        <v>829</v>
      </c>
      <c r="G125" s="75">
        <v>50</v>
      </c>
      <c r="H125" s="384" t="s">
        <v>748</v>
      </c>
    </row>
    <row r="126" spans="4:12" x14ac:dyDescent="0.35">
      <c r="D126" s="378"/>
      <c r="E126" s="433"/>
      <c r="F126" s="8" t="s">
        <v>830</v>
      </c>
      <c r="G126" s="212">
        <f>G124*SQRT(2)</f>
        <v>325.26911934581187</v>
      </c>
      <c r="H126" s="268" t="str">
        <f>H124</f>
        <v>V</v>
      </c>
    </row>
    <row r="127" spans="4:12" x14ac:dyDescent="0.35">
      <c r="D127" s="378"/>
      <c r="E127" s="433"/>
      <c r="F127" s="8" t="s">
        <v>831</v>
      </c>
      <c r="G127" s="212">
        <f>G124</f>
        <v>230</v>
      </c>
      <c r="H127" s="268" t="str">
        <f>H124</f>
        <v>V</v>
      </c>
    </row>
    <row r="128" spans="4:12" x14ac:dyDescent="0.35">
      <c r="D128" s="378"/>
      <c r="E128" s="433"/>
      <c r="F128" s="8" t="s">
        <v>832</v>
      </c>
      <c r="G128" s="212">
        <f>G125</f>
        <v>50</v>
      </c>
      <c r="H128" s="384" t="str">
        <f>H125</f>
        <v>Hz</v>
      </c>
    </row>
    <row r="129" spans="4:20" x14ac:dyDescent="0.35">
      <c r="D129" s="378"/>
      <c r="E129" s="433"/>
      <c r="F129" s="8" t="s">
        <v>824</v>
      </c>
      <c r="G129" s="212">
        <f>1/G128</f>
        <v>0.02</v>
      </c>
      <c r="H129" s="384" t="s">
        <v>745</v>
      </c>
    </row>
    <row r="130" spans="4:20" x14ac:dyDescent="0.35">
      <c r="D130" s="378"/>
      <c r="E130" s="433"/>
      <c r="F130" s="8" t="s">
        <v>825</v>
      </c>
      <c r="G130" s="212">
        <f>2*PI()*G125</f>
        <v>314.15926535897933</v>
      </c>
      <c r="H130" s="384" t="s">
        <v>833</v>
      </c>
    </row>
    <row r="131" spans="4:20" x14ac:dyDescent="0.35">
      <c r="D131" s="378"/>
      <c r="E131" s="433"/>
      <c r="F131" s="8" t="s">
        <v>826</v>
      </c>
      <c r="G131" s="212">
        <f>J131*G129</f>
        <v>6000000</v>
      </c>
      <c r="H131" s="384" t="s">
        <v>716</v>
      </c>
      <c r="J131" s="451">
        <f>3*10^8</f>
        <v>300000000</v>
      </c>
      <c r="K131" s="452"/>
      <c r="L131" s="381" t="s">
        <v>834</v>
      </c>
      <c r="M131" s="5"/>
      <c r="N131" s="5"/>
      <c r="O131" s="5"/>
      <c r="P131" s="5"/>
      <c r="Q131" s="5"/>
      <c r="R131" s="5"/>
      <c r="S131" s="5"/>
      <c r="T131" s="5"/>
    </row>
    <row r="132" spans="4:20" ht="15" thickBot="1" x14ac:dyDescent="0.4">
      <c r="D132" s="379"/>
      <c r="E132" s="434"/>
      <c r="F132" s="380" t="s">
        <v>827</v>
      </c>
      <c r="G132" s="385">
        <f>G126*SIN(2*PI()*G125*J132)</f>
        <v>-7.9700591799201791E-14</v>
      </c>
      <c r="H132" s="371" t="str">
        <f>H124</f>
        <v>V</v>
      </c>
      <c r="J132" s="451">
        <v>0.02</v>
      </c>
      <c r="K132" s="452"/>
      <c r="L132" s="381" t="s">
        <v>835</v>
      </c>
      <c r="M132" s="5"/>
      <c r="N132" s="5"/>
      <c r="O132" s="5"/>
      <c r="P132" s="5"/>
      <c r="Q132" s="5"/>
      <c r="R132" s="5"/>
      <c r="S132" s="5"/>
      <c r="T132" s="5"/>
    </row>
  </sheetData>
  <mergeCells count="4">
    <mergeCell ref="M92:P92"/>
    <mergeCell ref="Q92:S92"/>
    <mergeCell ref="J131:K131"/>
    <mergeCell ref="J132:K132"/>
  </mergeCells>
  <dataValidations count="3">
    <dataValidation type="list" allowBlank="1" showInputMessage="1" showErrorMessage="1" sqref="G10 G93:G96 BA10" xr:uid="{0301A70D-6277-4BB2-81B6-2BB5B814650B}">
      <formula1>$M$3:$M$4</formula1>
    </dataValidation>
    <dataValidation type="list" allowBlank="1" showInputMessage="1" showErrorMessage="1" sqref="AZ10" xr:uid="{0C1E6814-736D-4D2F-9025-618FBD23A267}">
      <formula1>$H$10:$AV$10</formula1>
    </dataValidation>
    <dataValidation type="list" allowBlank="1" showInputMessage="1" showErrorMessage="1" sqref="D16:E17 Q92:S92 AX16:AX17 AX12:AX13" xr:uid="{8FB8006F-A5AB-41B5-B544-F9B479F8D761}">
      <formula1>$L$3:$L$4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H111:H113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6FAFC-EF82-483B-B920-EE2B60307887}">
  <dimension ref="B2:AX32"/>
  <sheetViews>
    <sheetView workbookViewId="0">
      <selection activeCell="N16" sqref="N16"/>
    </sheetView>
  </sheetViews>
  <sheetFormatPr baseColWidth="10" defaultRowHeight="14.5" x14ac:dyDescent="0.35"/>
  <cols>
    <col min="2" max="2" width="12.1796875" customWidth="1"/>
    <col min="5" max="7" width="16.54296875" customWidth="1"/>
    <col min="8" max="8" width="26.453125" customWidth="1"/>
    <col min="9" max="9" width="7.81640625" style="55" customWidth="1"/>
  </cols>
  <sheetData>
    <row r="2" spans="2:50" ht="26" x14ac:dyDescent="0.6">
      <c r="C2" s="29" t="s">
        <v>928</v>
      </c>
    </row>
    <row r="3" spans="2:50" x14ac:dyDescent="0.35">
      <c r="L3" s="5" t="s">
        <v>64</v>
      </c>
      <c r="M3" s="5" t="s">
        <v>298</v>
      </c>
      <c r="N3" s="5" t="s">
        <v>63</v>
      </c>
    </row>
    <row r="4" spans="2:50" x14ac:dyDescent="0.35">
      <c r="L4" s="5" t="s">
        <v>65</v>
      </c>
      <c r="M4" s="5" t="s">
        <v>300</v>
      </c>
      <c r="N4" s="5" t="s">
        <v>260</v>
      </c>
    </row>
    <row r="8" spans="2:50" x14ac:dyDescent="0.35">
      <c r="H8" s="8" t="s">
        <v>1</v>
      </c>
      <c r="I8" s="95"/>
      <c r="J8" s="4">
        <v>10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2:50" x14ac:dyDescent="0.35">
      <c r="H9" s="5" t="str">
        <f>_xlfn.CONCAT("Winkel ",Einheitenvorsätze!C38," [°]")</f>
        <v>Winkel α [°]</v>
      </c>
      <c r="I9" s="95"/>
      <c r="J9" s="4">
        <v>10</v>
      </c>
      <c r="K9" s="77">
        <f>J9+$J$8</f>
        <v>20</v>
      </c>
      <c r="L9" s="77">
        <f t="shared" ref="L9:M9" si="0">K9+$J$8</f>
        <v>30</v>
      </c>
      <c r="M9" s="77">
        <f t="shared" si="0"/>
        <v>40</v>
      </c>
      <c r="N9" s="77">
        <f t="shared" ref="N9:AX9" si="1">M9+$J$8</f>
        <v>50</v>
      </c>
      <c r="O9" s="77">
        <f t="shared" si="1"/>
        <v>60</v>
      </c>
      <c r="P9" s="77">
        <f t="shared" si="1"/>
        <v>70</v>
      </c>
      <c r="Q9" s="77">
        <f t="shared" si="1"/>
        <v>80</v>
      </c>
      <c r="R9" s="77">
        <f t="shared" si="1"/>
        <v>90</v>
      </c>
      <c r="S9" s="77">
        <f t="shared" si="1"/>
        <v>100</v>
      </c>
      <c r="T9" s="77">
        <f t="shared" si="1"/>
        <v>110</v>
      </c>
      <c r="U9" s="77">
        <f t="shared" si="1"/>
        <v>120</v>
      </c>
      <c r="V9" s="77">
        <f t="shared" si="1"/>
        <v>130</v>
      </c>
      <c r="W9" s="77">
        <f t="shared" si="1"/>
        <v>140</v>
      </c>
      <c r="X9" s="77">
        <f t="shared" si="1"/>
        <v>150</v>
      </c>
      <c r="Y9" s="77">
        <f t="shared" si="1"/>
        <v>160</v>
      </c>
      <c r="Z9" s="77">
        <f t="shared" si="1"/>
        <v>170</v>
      </c>
      <c r="AA9" s="77">
        <f t="shared" si="1"/>
        <v>180</v>
      </c>
      <c r="AB9" s="77">
        <f t="shared" si="1"/>
        <v>190</v>
      </c>
      <c r="AC9" s="77">
        <f t="shared" si="1"/>
        <v>200</v>
      </c>
      <c r="AD9" s="77">
        <f t="shared" si="1"/>
        <v>210</v>
      </c>
      <c r="AE9" s="77">
        <f t="shared" si="1"/>
        <v>220</v>
      </c>
      <c r="AF9" s="77">
        <f t="shared" si="1"/>
        <v>230</v>
      </c>
      <c r="AG9" s="77">
        <f t="shared" si="1"/>
        <v>240</v>
      </c>
      <c r="AH9" s="77">
        <f t="shared" si="1"/>
        <v>250</v>
      </c>
      <c r="AI9" s="77">
        <f t="shared" si="1"/>
        <v>260</v>
      </c>
      <c r="AJ9" s="77">
        <f t="shared" si="1"/>
        <v>270</v>
      </c>
      <c r="AK9" s="77">
        <f t="shared" si="1"/>
        <v>280</v>
      </c>
      <c r="AL9" s="77">
        <f t="shared" si="1"/>
        <v>290</v>
      </c>
      <c r="AM9" s="77">
        <f t="shared" si="1"/>
        <v>300</v>
      </c>
      <c r="AN9" s="77">
        <f t="shared" si="1"/>
        <v>310</v>
      </c>
      <c r="AO9" s="77">
        <f t="shared" si="1"/>
        <v>320</v>
      </c>
      <c r="AP9" s="77">
        <f t="shared" si="1"/>
        <v>330</v>
      </c>
      <c r="AQ9" s="77">
        <f t="shared" si="1"/>
        <v>340</v>
      </c>
      <c r="AR9" s="77">
        <f t="shared" si="1"/>
        <v>350</v>
      </c>
      <c r="AS9" s="77">
        <f t="shared" si="1"/>
        <v>360</v>
      </c>
      <c r="AT9" s="77">
        <f t="shared" si="1"/>
        <v>370</v>
      </c>
      <c r="AU9" s="77">
        <f t="shared" si="1"/>
        <v>380</v>
      </c>
      <c r="AV9" s="77">
        <f t="shared" si="1"/>
        <v>390</v>
      </c>
      <c r="AW9" s="77">
        <f t="shared" si="1"/>
        <v>400</v>
      </c>
      <c r="AX9" s="77">
        <f t="shared" si="1"/>
        <v>410</v>
      </c>
    </row>
    <row r="10" spans="2:50" x14ac:dyDescent="0.35">
      <c r="H10" s="5" t="str">
        <f>_xlfn.CONCAT("Winkel ",Einheitenvorsätze!C38," [rad]")</f>
        <v>Winkel α [rad]</v>
      </c>
      <c r="I10" s="95"/>
      <c r="J10" s="437">
        <f>PI()*J9/180</f>
        <v>0.17453292519943295</v>
      </c>
      <c r="K10" s="437">
        <f t="shared" ref="K10:AX10" si="2">PI()*K9/180</f>
        <v>0.3490658503988659</v>
      </c>
      <c r="L10" s="437">
        <f t="shared" si="2"/>
        <v>0.52359877559829882</v>
      </c>
      <c r="M10" s="437">
        <f t="shared" si="2"/>
        <v>0.69813170079773179</v>
      </c>
      <c r="N10" s="437">
        <f t="shared" si="2"/>
        <v>0.87266462599716477</v>
      </c>
      <c r="O10" s="437">
        <f>PI()*O9/180</f>
        <v>1.0471975511965976</v>
      </c>
      <c r="P10" s="437">
        <f t="shared" si="2"/>
        <v>1.2217304763960306</v>
      </c>
      <c r="Q10" s="437">
        <f t="shared" si="2"/>
        <v>1.3962634015954636</v>
      </c>
      <c r="R10" s="437">
        <f t="shared" si="2"/>
        <v>1.5707963267948966</v>
      </c>
      <c r="S10" s="437">
        <f t="shared" si="2"/>
        <v>1.7453292519943295</v>
      </c>
      <c r="T10" s="437">
        <f t="shared" si="2"/>
        <v>1.9198621771937625</v>
      </c>
      <c r="U10" s="437">
        <f t="shared" si="2"/>
        <v>2.0943951023931953</v>
      </c>
      <c r="V10" s="437">
        <f t="shared" si="2"/>
        <v>2.2689280275926285</v>
      </c>
      <c r="W10" s="437">
        <f t="shared" si="2"/>
        <v>2.4434609527920612</v>
      </c>
      <c r="X10" s="437">
        <f t="shared" si="2"/>
        <v>2.6179938779914944</v>
      </c>
      <c r="Y10" s="437">
        <f t="shared" si="2"/>
        <v>2.7925268031909272</v>
      </c>
      <c r="Z10" s="437">
        <f t="shared" si="2"/>
        <v>2.9670597283903604</v>
      </c>
      <c r="AA10" s="437">
        <f t="shared" si="2"/>
        <v>3.1415926535897931</v>
      </c>
      <c r="AB10" s="437">
        <f t="shared" si="2"/>
        <v>3.3161255787892263</v>
      </c>
      <c r="AC10" s="437">
        <f t="shared" si="2"/>
        <v>3.4906585039886591</v>
      </c>
      <c r="AD10" s="437">
        <f t="shared" si="2"/>
        <v>3.6651914291880923</v>
      </c>
      <c r="AE10" s="437">
        <f t="shared" si="2"/>
        <v>3.839724354387525</v>
      </c>
      <c r="AF10" s="437">
        <f t="shared" si="2"/>
        <v>4.0142572795869578</v>
      </c>
      <c r="AG10" s="437">
        <f t="shared" si="2"/>
        <v>4.1887902047863905</v>
      </c>
      <c r="AH10" s="437">
        <f t="shared" si="2"/>
        <v>4.3633231299858233</v>
      </c>
      <c r="AI10" s="437">
        <f t="shared" si="2"/>
        <v>4.5378560551852569</v>
      </c>
      <c r="AJ10" s="437">
        <f t="shared" si="2"/>
        <v>4.7123889803846897</v>
      </c>
      <c r="AK10" s="437">
        <f t="shared" si="2"/>
        <v>4.8869219055841224</v>
      </c>
      <c r="AL10" s="437">
        <f t="shared" si="2"/>
        <v>5.0614548307835552</v>
      </c>
      <c r="AM10" s="437">
        <f t="shared" si="2"/>
        <v>5.2359877559829888</v>
      </c>
      <c r="AN10" s="437">
        <f t="shared" si="2"/>
        <v>5.4105206811824216</v>
      </c>
      <c r="AO10" s="437">
        <f t="shared" si="2"/>
        <v>5.5850536063818543</v>
      </c>
      <c r="AP10" s="437">
        <f t="shared" si="2"/>
        <v>5.7595865315812871</v>
      </c>
      <c r="AQ10" s="437">
        <f t="shared" si="2"/>
        <v>5.9341194567807207</v>
      </c>
      <c r="AR10" s="437">
        <f t="shared" si="2"/>
        <v>6.1086523819801526</v>
      </c>
      <c r="AS10" s="437">
        <f t="shared" si="2"/>
        <v>6.2831853071795862</v>
      </c>
      <c r="AT10" s="437">
        <f t="shared" si="2"/>
        <v>6.457718232379019</v>
      </c>
      <c r="AU10" s="437">
        <f t="shared" si="2"/>
        <v>6.6322511575784526</v>
      </c>
      <c r="AV10" s="437">
        <f t="shared" si="2"/>
        <v>6.8067840827778845</v>
      </c>
      <c r="AW10" s="437">
        <f t="shared" si="2"/>
        <v>6.9813170079773181</v>
      </c>
      <c r="AX10" s="437">
        <f t="shared" si="2"/>
        <v>7.1558499331767509</v>
      </c>
    </row>
    <row r="11" spans="2:50" x14ac:dyDescent="0.35">
      <c r="H11" s="5" t="s">
        <v>929</v>
      </c>
      <c r="I11" s="95" t="s">
        <v>298</v>
      </c>
      <c r="J11" s="437">
        <f>IF($I$11=$M$3,J9,J10)</f>
        <v>10</v>
      </c>
      <c r="K11" s="437">
        <f t="shared" ref="K11:AX11" si="3">IF($I$11=$M$3,K9,K10)</f>
        <v>20</v>
      </c>
      <c r="L11" s="437">
        <f t="shared" si="3"/>
        <v>30</v>
      </c>
      <c r="M11" s="437">
        <f t="shared" si="3"/>
        <v>40</v>
      </c>
      <c r="N11" s="437">
        <f t="shared" si="3"/>
        <v>50</v>
      </c>
      <c r="O11" s="437">
        <f t="shared" si="3"/>
        <v>60</v>
      </c>
      <c r="P11" s="437">
        <f t="shared" si="3"/>
        <v>70</v>
      </c>
      <c r="Q11" s="437">
        <f t="shared" si="3"/>
        <v>80</v>
      </c>
      <c r="R11" s="437">
        <f t="shared" si="3"/>
        <v>90</v>
      </c>
      <c r="S11" s="437">
        <f t="shared" si="3"/>
        <v>100</v>
      </c>
      <c r="T11" s="437">
        <f t="shared" si="3"/>
        <v>110</v>
      </c>
      <c r="U11" s="437">
        <f t="shared" si="3"/>
        <v>120</v>
      </c>
      <c r="V11" s="437">
        <f t="shared" si="3"/>
        <v>130</v>
      </c>
      <c r="W11" s="437">
        <f t="shared" si="3"/>
        <v>140</v>
      </c>
      <c r="X11" s="437">
        <f t="shared" si="3"/>
        <v>150</v>
      </c>
      <c r="Y11" s="437">
        <f t="shared" si="3"/>
        <v>160</v>
      </c>
      <c r="Z11" s="437">
        <f t="shared" si="3"/>
        <v>170</v>
      </c>
      <c r="AA11" s="437">
        <f t="shared" si="3"/>
        <v>180</v>
      </c>
      <c r="AB11" s="437">
        <f t="shared" si="3"/>
        <v>190</v>
      </c>
      <c r="AC11" s="437">
        <f t="shared" si="3"/>
        <v>200</v>
      </c>
      <c r="AD11" s="437">
        <f t="shared" si="3"/>
        <v>210</v>
      </c>
      <c r="AE11" s="437">
        <f t="shared" si="3"/>
        <v>220</v>
      </c>
      <c r="AF11" s="437">
        <f t="shared" si="3"/>
        <v>230</v>
      </c>
      <c r="AG11" s="437">
        <f t="shared" si="3"/>
        <v>240</v>
      </c>
      <c r="AH11" s="437">
        <f t="shared" si="3"/>
        <v>250</v>
      </c>
      <c r="AI11" s="437">
        <f t="shared" si="3"/>
        <v>260</v>
      </c>
      <c r="AJ11" s="437">
        <f t="shared" si="3"/>
        <v>270</v>
      </c>
      <c r="AK11" s="437">
        <f t="shared" si="3"/>
        <v>280</v>
      </c>
      <c r="AL11" s="437">
        <f t="shared" si="3"/>
        <v>290</v>
      </c>
      <c r="AM11" s="437">
        <f t="shared" si="3"/>
        <v>300</v>
      </c>
      <c r="AN11" s="437">
        <f t="shared" si="3"/>
        <v>310</v>
      </c>
      <c r="AO11" s="437">
        <f t="shared" si="3"/>
        <v>320</v>
      </c>
      <c r="AP11" s="437">
        <f t="shared" si="3"/>
        <v>330</v>
      </c>
      <c r="AQ11" s="437">
        <f t="shared" si="3"/>
        <v>340</v>
      </c>
      <c r="AR11" s="437">
        <f t="shared" si="3"/>
        <v>350</v>
      </c>
      <c r="AS11" s="437">
        <f t="shared" si="3"/>
        <v>360</v>
      </c>
      <c r="AT11" s="437">
        <f t="shared" si="3"/>
        <v>370</v>
      </c>
      <c r="AU11" s="437">
        <f t="shared" si="3"/>
        <v>380</v>
      </c>
      <c r="AV11" s="437">
        <f t="shared" si="3"/>
        <v>390</v>
      </c>
      <c r="AW11" s="437">
        <f t="shared" si="3"/>
        <v>400</v>
      </c>
      <c r="AX11" s="437">
        <f t="shared" si="3"/>
        <v>410</v>
      </c>
    </row>
    <row r="12" spans="2:50" x14ac:dyDescent="0.35">
      <c r="B12" s="5" t="s">
        <v>618</v>
      </c>
      <c r="C12" s="5" t="str">
        <f>Einheitenvorsätze!C58</f>
        <v>φ</v>
      </c>
      <c r="D12" s="5" t="s">
        <v>414</v>
      </c>
      <c r="E12" s="5" t="s">
        <v>930</v>
      </c>
      <c r="F12" s="5" t="s">
        <v>932</v>
      </c>
      <c r="G12" s="435" t="s">
        <v>931</v>
      </c>
      <c r="H12" s="438" t="str">
        <f>_xlfn.CONCAT("y1 = sin(",Einheitenvorsätze!C38,")")</f>
        <v>y1 = sin(α)</v>
      </c>
      <c r="I12" s="439" t="s">
        <v>63</v>
      </c>
      <c r="J12" s="437">
        <f>IF($I$12=$N$3,SIN(J10),0)</f>
        <v>0.17364817766693033</v>
      </c>
      <c r="K12" s="437">
        <f t="shared" ref="K12:AX12" si="4">IF($I$12=$N$3,SIN(K10),0)</f>
        <v>0.34202014332566871</v>
      </c>
      <c r="L12" s="437">
        <f t="shared" si="4"/>
        <v>0.49999999999999994</v>
      </c>
      <c r="M12" s="437">
        <f t="shared" si="4"/>
        <v>0.64278760968653925</v>
      </c>
      <c r="N12" s="437">
        <f t="shared" si="4"/>
        <v>0.76604444311897801</v>
      </c>
      <c r="O12" s="437">
        <f t="shared" si="4"/>
        <v>0.8660254037844386</v>
      </c>
      <c r="P12" s="437">
        <f t="shared" si="4"/>
        <v>0.93969262078590832</v>
      </c>
      <c r="Q12" s="437">
        <f t="shared" si="4"/>
        <v>0.98480775301220802</v>
      </c>
      <c r="R12" s="437">
        <f t="shared" si="4"/>
        <v>1</v>
      </c>
      <c r="S12" s="437">
        <f t="shared" si="4"/>
        <v>0.98480775301220802</v>
      </c>
      <c r="T12" s="437">
        <f t="shared" si="4"/>
        <v>0.93969262078590843</v>
      </c>
      <c r="U12" s="437">
        <f t="shared" si="4"/>
        <v>0.86602540378443871</v>
      </c>
      <c r="V12" s="437">
        <f t="shared" si="4"/>
        <v>0.76604444311897801</v>
      </c>
      <c r="W12" s="437">
        <f t="shared" si="4"/>
        <v>0.64278760968653947</v>
      </c>
      <c r="X12" s="437">
        <f t="shared" si="4"/>
        <v>0.49999999999999994</v>
      </c>
      <c r="Y12" s="437">
        <f t="shared" si="4"/>
        <v>0.34202014332566888</v>
      </c>
      <c r="Z12" s="437">
        <f t="shared" si="4"/>
        <v>0.17364817766693028</v>
      </c>
      <c r="AA12" s="437">
        <f t="shared" si="4"/>
        <v>1.22514845490862E-16</v>
      </c>
      <c r="AB12" s="437">
        <f t="shared" si="4"/>
        <v>-0.17364817766693047</v>
      </c>
      <c r="AC12" s="437">
        <f t="shared" si="4"/>
        <v>-0.34202014332566866</v>
      </c>
      <c r="AD12" s="437">
        <f t="shared" si="4"/>
        <v>-0.50000000000000011</v>
      </c>
      <c r="AE12" s="437">
        <f t="shared" si="4"/>
        <v>-0.64278760968653925</v>
      </c>
      <c r="AF12" s="437">
        <f t="shared" si="4"/>
        <v>-0.7660444431189779</v>
      </c>
      <c r="AG12" s="437">
        <f t="shared" si="4"/>
        <v>-0.86602540378443837</v>
      </c>
      <c r="AH12" s="437">
        <f t="shared" si="4"/>
        <v>-0.93969262078590821</v>
      </c>
      <c r="AI12" s="437">
        <f t="shared" si="4"/>
        <v>-0.98480775301220802</v>
      </c>
      <c r="AJ12" s="437">
        <f t="shared" si="4"/>
        <v>-1</v>
      </c>
      <c r="AK12" s="437">
        <f t="shared" si="4"/>
        <v>-0.98480775301220813</v>
      </c>
      <c r="AL12" s="437">
        <f t="shared" si="4"/>
        <v>-0.93969262078590854</v>
      </c>
      <c r="AM12" s="437">
        <f t="shared" si="4"/>
        <v>-0.8660254037844386</v>
      </c>
      <c r="AN12" s="437">
        <f t="shared" si="4"/>
        <v>-0.76604444311897812</v>
      </c>
      <c r="AO12" s="437">
        <f t="shared" si="4"/>
        <v>-0.64278760968653958</v>
      </c>
      <c r="AP12" s="437">
        <f t="shared" si="4"/>
        <v>-0.50000000000000044</v>
      </c>
      <c r="AQ12" s="437">
        <f t="shared" si="4"/>
        <v>-0.3420201433256686</v>
      </c>
      <c r="AR12" s="437">
        <f t="shared" si="4"/>
        <v>-0.17364817766693127</v>
      </c>
      <c r="AS12" s="437">
        <f t="shared" si="4"/>
        <v>-2.45029690981724E-16</v>
      </c>
      <c r="AT12" s="437">
        <f t="shared" si="4"/>
        <v>0.17364817766692991</v>
      </c>
      <c r="AU12" s="437">
        <f t="shared" si="4"/>
        <v>0.34202014332566893</v>
      </c>
      <c r="AV12" s="437">
        <f t="shared" si="4"/>
        <v>0.49999999999999928</v>
      </c>
      <c r="AW12" s="437">
        <f t="shared" si="4"/>
        <v>0.64278760968653914</v>
      </c>
      <c r="AX12" s="437">
        <f t="shared" si="4"/>
        <v>0.76604444311897779</v>
      </c>
    </row>
    <row r="13" spans="2:50" x14ac:dyDescent="0.35">
      <c r="B13" s="104">
        <v>5</v>
      </c>
      <c r="C13" s="104">
        <v>90</v>
      </c>
      <c r="D13" s="104" t="s">
        <v>298</v>
      </c>
      <c r="E13" s="246">
        <f>IF($D$13=$M$4,C13,RADIANS(C13))</f>
        <v>1.5707963267948966</v>
      </c>
      <c r="F13" s="246">
        <f>DEGREES(E13)</f>
        <v>90</v>
      </c>
      <c r="G13" s="436">
        <v>3</v>
      </c>
      <c r="H13" s="440" t="str">
        <f>_xlfn.CONCAT("y2 = ",B13," * sin(",$G$13," * ",Einheitenvorsätze!C38," + ",_xlfn.CONCAT($C$13,MID($D$13,2,LEN($D$13)-2)),")")</f>
        <v>y2 = 5 * sin(3 * α + 90°)</v>
      </c>
      <c r="I13" s="441" t="s">
        <v>63</v>
      </c>
      <c r="J13" s="437">
        <f>IF($I$13=$N$3,$B$13*SIN($G$13*J10+$E$13),0)</f>
        <v>4.3301270189221936</v>
      </c>
      <c r="K13" s="437">
        <f>IF($I$13=$N$3,$B$13*SIN($G$13*K10+$E$13),0)</f>
        <v>2.5000000000000018</v>
      </c>
      <c r="L13" s="437">
        <f t="shared" ref="L13:AX13" si="5">IF($I$13=$N$3,$B$13*SIN($G$13*L10+$E$13),0)</f>
        <v>6.1257422745431001E-16</v>
      </c>
      <c r="M13" s="437">
        <f t="shared" si="5"/>
        <v>-2.4999999999999987</v>
      </c>
      <c r="N13" s="437">
        <f t="shared" si="5"/>
        <v>-4.3301270189221945</v>
      </c>
      <c r="O13" s="437">
        <f t="shared" si="5"/>
        <v>-5</v>
      </c>
      <c r="P13" s="437">
        <f t="shared" si="5"/>
        <v>-4.3301270189221954</v>
      </c>
      <c r="Q13" s="437">
        <f t="shared" si="5"/>
        <v>-2.5000000000000022</v>
      </c>
      <c r="R13" s="437">
        <f t="shared" si="5"/>
        <v>-1.22514845490862E-15</v>
      </c>
      <c r="S13" s="437">
        <f t="shared" si="5"/>
        <v>2.5</v>
      </c>
      <c r="T13" s="437">
        <f t="shared" si="5"/>
        <v>4.3301270189221945</v>
      </c>
      <c r="U13" s="437">
        <f t="shared" si="5"/>
        <v>5</v>
      </c>
      <c r="V13" s="437">
        <f t="shared" si="5"/>
        <v>4.330127018922191</v>
      </c>
      <c r="W13" s="437">
        <f t="shared" si="5"/>
        <v>2.4999999999999991</v>
      </c>
      <c r="X13" s="437">
        <f t="shared" si="5"/>
        <v>1.83772268236293E-15</v>
      </c>
      <c r="Y13" s="437">
        <f t="shared" si="5"/>
        <v>-2.499999999999996</v>
      </c>
      <c r="Z13" s="437">
        <f t="shared" si="5"/>
        <v>-4.3301270189221936</v>
      </c>
      <c r="AA13" s="437">
        <f t="shared" si="5"/>
        <v>-5</v>
      </c>
      <c r="AB13" s="437">
        <f t="shared" si="5"/>
        <v>-4.330127018922191</v>
      </c>
      <c r="AC13" s="437">
        <f t="shared" si="5"/>
        <v>-2.4999999999999996</v>
      </c>
      <c r="AD13" s="437">
        <f t="shared" si="5"/>
        <v>6.4314872871840123E-15</v>
      </c>
      <c r="AE13" s="437">
        <f t="shared" si="5"/>
        <v>2.5000000000000027</v>
      </c>
      <c r="AF13" s="437">
        <f t="shared" si="5"/>
        <v>4.3301270189221936</v>
      </c>
      <c r="AG13" s="437">
        <f t="shared" si="5"/>
        <v>5</v>
      </c>
      <c r="AH13" s="437">
        <f t="shared" si="5"/>
        <v>4.3301270189221963</v>
      </c>
      <c r="AI13" s="437">
        <f t="shared" si="5"/>
        <v>2.5</v>
      </c>
      <c r="AJ13" s="437">
        <f t="shared" si="5"/>
        <v>3.06287113727155E-15</v>
      </c>
      <c r="AK13" s="437">
        <f t="shared" si="5"/>
        <v>-2.4999999999999947</v>
      </c>
      <c r="AL13" s="437">
        <f t="shared" si="5"/>
        <v>-4.3301270189221883</v>
      </c>
      <c r="AM13" s="437">
        <f t="shared" si="5"/>
        <v>-5</v>
      </c>
      <c r="AN13" s="437">
        <f t="shared" si="5"/>
        <v>-4.3301270189221919</v>
      </c>
      <c r="AO13" s="437">
        <f t="shared" si="5"/>
        <v>-2.500000000000016</v>
      </c>
      <c r="AP13" s="437">
        <f t="shared" si="5"/>
        <v>-3.67544536472586E-15</v>
      </c>
      <c r="AQ13" s="437">
        <f t="shared" si="5"/>
        <v>2.5000000000000093</v>
      </c>
      <c r="AR13" s="437">
        <f t="shared" si="5"/>
        <v>4.3301270189221883</v>
      </c>
      <c r="AS13" s="437">
        <f t="shared" si="5"/>
        <v>5</v>
      </c>
      <c r="AT13" s="437">
        <f t="shared" si="5"/>
        <v>4.3301270189222016</v>
      </c>
      <c r="AU13" s="437">
        <f t="shared" si="5"/>
        <v>2.5000000000000009</v>
      </c>
      <c r="AV13" s="437">
        <f t="shared" si="5"/>
        <v>2.2051587986182675E-14</v>
      </c>
      <c r="AW13" s="437">
        <f t="shared" si="5"/>
        <v>-2.4999999999999938</v>
      </c>
      <c r="AX13" s="437">
        <f t="shared" si="5"/>
        <v>-4.3301270189221972</v>
      </c>
    </row>
    <row r="14" spans="2:50" x14ac:dyDescent="0.35">
      <c r="B14" s="1" t="s">
        <v>933</v>
      </c>
      <c r="C14" s="104">
        <v>80</v>
      </c>
      <c r="D14" s="104" t="s">
        <v>298</v>
      </c>
      <c r="E14" s="246">
        <f>IF($D$13=$M$4,C14,RADIANS(C14))</f>
        <v>1.3962634015954636</v>
      </c>
      <c r="F14" s="246">
        <f>DEGREES(E14)</f>
        <v>80</v>
      </c>
      <c r="G14" s="169">
        <f>IF($I$12=$N$3,SIN(E14),0)</f>
        <v>0.98480775301220802</v>
      </c>
    </row>
    <row r="15" spans="2:50" x14ac:dyDescent="0.35">
      <c r="G15" s="443">
        <f>IF($I$13=$N$3,$B$13*SIN($G$13*$E$14+$E$13),0)</f>
        <v>-2.5000000000000022</v>
      </c>
    </row>
    <row r="22" spans="4:10" x14ac:dyDescent="0.35">
      <c r="H22" t="s">
        <v>936</v>
      </c>
    </row>
    <row r="23" spans="4:10" x14ac:dyDescent="0.35">
      <c r="D23" t="str">
        <f>B14</f>
        <v>Messwert:</v>
      </c>
      <c r="E23" s="24">
        <f>$F$14</f>
        <v>80</v>
      </c>
      <c r="F23" s="24">
        <f>E23</f>
        <v>80</v>
      </c>
      <c r="H23" t="str">
        <f>H12</f>
        <v>y1 = sin(α)</v>
      </c>
      <c r="I23" s="55">
        <v>0</v>
      </c>
      <c r="J23" s="55">
        <f>IF($I$12=$N$3,G14*COS(E14),0)</f>
        <v>0.17101007166283441</v>
      </c>
    </row>
    <row r="24" spans="4:10" x14ac:dyDescent="0.35">
      <c r="E24" s="99">
        <f>MIN($G$14:$G$15)</f>
        <v>-2.5000000000000022</v>
      </c>
      <c r="F24">
        <f>MAX($G$14:$G$15)</f>
        <v>0.98480775301220802</v>
      </c>
      <c r="I24" s="55">
        <v>0</v>
      </c>
      <c r="J24">
        <f>IF($I$12=$N$3,G14*SIN(E14),0)</f>
        <v>0.9698463103929541</v>
      </c>
    </row>
    <row r="25" spans="4:10" x14ac:dyDescent="0.35">
      <c r="H25" t="str">
        <f>H13</f>
        <v>y2 = 5 * sin(3 * α + 90°)</v>
      </c>
      <c r="I25" s="55">
        <v>0</v>
      </c>
      <c r="J25">
        <f>IF($I$12=$N$3,G15*COS(E14),0)</f>
        <v>-0.43412044416732642</v>
      </c>
    </row>
    <row r="26" spans="4:10" x14ac:dyDescent="0.35">
      <c r="D26" t="s">
        <v>934</v>
      </c>
      <c r="E26" s="442">
        <f>$J$11</f>
        <v>10</v>
      </c>
      <c r="F26" s="442">
        <f>1.05*$AX$11</f>
        <v>430.5</v>
      </c>
      <c r="I26" s="55">
        <v>0</v>
      </c>
      <c r="J26">
        <f>IF($I$12=$N$3,G15*SIN(E14),0)</f>
        <v>-2.4620193825305221</v>
      </c>
    </row>
    <row r="27" spans="4:10" x14ac:dyDescent="0.35">
      <c r="E27">
        <v>0</v>
      </c>
      <c r="F27">
        <v>0</v>
      </c>
    </row>
    <row r="29" spans="4:10" x14ac:dyDescent="0.35">
      <c r="D29" t="s">
        <v>935</v>
      </c>
      <c r="E29" s="442">
        <f>$J$11</f>
        <v>10</v>
      </c>
      <c r="F29" s="442">
        <f>E29</f>
        <v>10</v>
      </c>
      <c r="H29" t="str">
        <f>D26</f>
        <v>X-Achse:</v>
      </c>
    </row>
    <row r="30" spans="4:10" x14ac:dyDescent="0.35">
      <c r="E30" s="442">
        <f>MIN($J$12:$AX$13)</f>
        <v>-5</v>
      </c>
      <c r="F30" s="442">
        <f>1.05*MAX($J$12:$AX$13)</f>
        <v>5.25</v>
      </c>
    </row>
    <row r="32" spans="4:10" x14ac:dyDescent="0.35">
      <c r="H32" t="str">
        <f>D29</f>
        <v>Y-Achse:</v>
      </c>
    </row>
  </sheetData>
  <dataValidations count="2">
    <dataValidation type="list" allowBlank="1" showInputMessage="1" showErrorMessage="1" sqref="I11 D13:D14" xr:uid="{CFDF1661-43C1-4DC2-8778-2BD9E5D986A2}">
      <formula1>$M$3:$M$4</formula1>
    </dataValidation>
    <dataValidation type="list" allowBlank="1" showInputMessage="1" showErrorMessage="1" sqref="I12:I13" xr:uid="{A5EA04D2-15E2-444F-A4AA-AB02657A1DFE}">
      <formula1>$N$3:$N$4</formula1>
    </dataValidation>
  </dataValidations>
  <pageMargins left="0.7" right="0.7" top="0.78740157499999996" bottom="0.78740157499999996" header="0.3" footer="0.3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zoomScale="70" zoomScaleNormal="7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331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</v>
      </c>
      <c r="W3" s="74">
        <f>MAX(K14:L20)</f>
        <v>19.696155060244159</v>
      </c>
      <c r="Y3" s="5" t="s">
        <v>232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</v>
      </c>
      <c r="W4" s="5">
        <f>ABS(W3)</f>
        <v>19.696155060244159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20</v>
      </c>
      <c r="W5" s="5">
        <f>V5*1.1</f>
        <v>22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54" t="s">
        <v>216</v>
      </c>
      <c r="D12" s="454"/>
      <c r="E12" s="454"/>
      <c r="F12" s="454"/>
      <c r="G12" s="454"/>
      <c r="H12" s="56"/>
      <c r="I12" s="454" t="s">
        <v>217</v>
      </c>
      <c r="J12" s="454"/>
      <c r="K12" s="454" t="s">
        <v>212</v>
      </c>
      <c r="L12" s="454"/>
      <c r="M12" s="454" t="s">
        <v>218</v>
      </c>
      <c r="N12" s="454"/>
      <c r="O12" s="454"/>
      <c r="P12" s="453" t="s">
        <v>229</v>
      </c>
      <c r="Q12" s="453"/>
      <c r="R12" s="453"/>
      <c r="S12" s="453"/>
      <c r="T12" s="453" t="s">
        <v>261</v>
      </c>
      <c r="U12" s="453"/>
      <c r="V12" s="453"/>
      <c r="W12" s="453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10</v>
      </c>
      <c r="E14" s="92" t="s">
        <v>205</v>
      </c>
      <c r="F14" s="4">
        <v>5</v>
      </c>
      <c r="G14" s="4" t="s">
        <v>205</v>
      </c>
      <c r="H14" s="103"/>
      <c r="I14" s="5" t="str">
        <f>IF(AND(E14=$S$5,G14=$S$5),$T$3,IF(AND(E14=$S$5,G14=$S$4),$T$4,IF(AND(E14=$S$5,G14=$S$3),$T$5,$T$6)))</f>
        <v>Kartesisch</v>
      </c>
      <c r="J14" s="74" t="str">
        <f>IF(I14=$T$5,F14*PI()/180,IF(I14=$T$4,F14,""))</f>
        <v/>
      </c>
      <c r="K14" s="101">
        <f>IF(I14=$T$3,D14,D14*COS(J14))</f>
        <v>10</v>
      </c>
      <c r="L14" s="101">
        <f>IF(I14=$T$3,F14,D14*SIN(J14))</f>
        <v>5</v>
      </c>
      <c r="M14" s="102">
        <f>SQRT(K14^2 + L14^2)</f>
        <v>11.180339887498949</v>
      </c>
      <c r="N14" s="102">
        <f>DEGREES(ATAN2(K14,L14))</f>
        <v>26.56505117707799</v>
      </c>
      <c r="O14" s="102">
        <f>ATAN2(K14,L14)</f>
        <v>0.46364760900080609</v>
      </c>
      <c r="P14" s="74">
        <v>0</v>
      </c>
      <c r="Q14" s="74">
        <f>K14</f>
        <v>10</v>
      </c>
      <c r="R14" s="74">
        <v>0</v>
      </c>
      <c r="S14" s="74">
        <f>L14</f>
        <v>5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10</v>
      </c>
      <c r="E15" s="92" t="s">
        <v>205</v>
      </c>
      <c r="F15" s="4">
        <v>-12</v>
      </c>
      <c r="G15" s="4" t="s">
        <v>205</v>
      </c>
      <c r="H15" s="104" t="s">
        <v>235</v>
      </c>
      <c r="I15" s="5" t="str">
        <f t="shared" ref="I15:I20" si="0">IF(AND(E15=$S$5,G15=$S$5),$T$3,IF(AND(E15=$S$5,G15=$S$4),$T$4,IF(AND(E15=$S$5,G15=$S$3),$T$5,$T$6)))</f>
        <v>Kartesisch</v>
      </c>
      <c r="J15" s="74" t="str">
        <f t="shared" ref="J15:J20" si="1">IF(I15=$T$5,F15*PI()/180,IF(I15=$T$4,F15,""))</f>
        <v/>
      </c>
      <c r="K15" s="101">
        <f t="shared" ref="K15:K20" si="2">IF(I15=$T$3,D15,D15*COS(J15))</f>
        <v>10</v>
      </c>
      <c r="L15" s="101">
        <f t="shared" ref="L15:L20" si="3">IF(I15=$T$3,F15,D15*SIN(J15))</f>
        <v>-12</v>
      </c>
      <c r="M15" s="102">
        <f t="shared" ref="M15:M20" si="4">SQRT(K15^2 + L15^2)</f>
        <v>15.620499351813308</v>
      </c>
      <c r="N15" s="102">
        <f t="shared" ref="N15:N20" si="5">DEGREES(ATAN2(K15,L15))</f>
        <v>-50.19442890773481</v>
      </c>
      <c r="O15" s="102">
        <f t="shared" ref="O15:O20" si="6">ATAN2(K15,L15)</f>
        <v>-0.87605805059819342</v>
      </c>
      <c r="P15" s="74">
        <f t="shared" ref="P15:P20" si="7">IF(H15=$R$6,0,IF(H15=$R$3,Q14,0))</f>
        <v>10</v>
      </c>
      <c r="Q15" s="74">
        <f t="shared" ref="Q15:Q20" si="8">IF(H15=$R$6,0,IF(H15=$R$3,K15+Q14,K15))</f>
        <v>20</v>
      </c>
      <c r="R15" s="74">
        <f t="shared" ref="R15:R20" si="9">IF(H15=$R$6,0,IF(H15=$R$3,S14,0))</f>
        <v>5</v>
      </c>
      <c r="S15" s="74">
        <f t="shared" ref="S15:S20" si="10">IF(H15=$R$6,0,IF(H15=$R$3,S14+L15,L15))</f>
        <v>-7</v>
      </c>
      <c r="T15" s="74">
        <v>0</v>
      </c>
      <c r="U15" s="74">
        <v>0</v>
      </c>
      <c r="V15" s="74">
        <f t="shared" ref="V15:V20" si="11">IF(P15&lt;&gt;0,Q15,0)</f>
        <v>20</v>
      </c>
      <c r="W15" s="74">
        <f t="shared" ref="W15:W20" si="12">IF(R15&lt;&gt;0,S15,0)</f>
        <v>-7</v>
      </c>
    </row>
    <row r="16" spans="3:29" x14ac:dyDescent="0.35">
      <c r="C16" s="4" t="s">
        <v>220</v>
      </c>
      <c r="D16" s="4">
        <v>-8</v>
      </c>
      <c r="E16" s="92" t="s">
        <v>205</v>
      </c>
      <c r="F16" s="4">
        <v>15</v>
      </c>
      <c r="G16" s="4" t="s">
        <v>205</v>
      </c>
      <c r="H16" s="104" t="s">
        <v>235</v>
      </c>
      <c r="I16" s="5" t="str">
        <f t="shared" si="0"/>
        <v>Kartesisch</v>
      </c>
      <c r="J16" s="74" t="str">
        <f t="shared" si="1"/>
        <v/>
      </c>
      <c r="K16" s="101">
        <f t="shared" si="2"/>
        <v>-8</v>
      </c>
      <c r="L16" s="101">
        <f t="shared" si="3"/>
        <v>15</v>
      </c>
      <c r="M16" s="102">
        <f t="shared" si="4"/>
        <v>17</v>
      </c>
      <c r="N16" s="102">
        <f t="shared" si="5"/>
        <v>118.07248693585296</v>
      </c>
      <c r="O16" s="102">
        <f t="shared" si="6"/>
        <v>2.060753653048625</v>
      </c>
      <c r="P16" s="74">
        <f t="shared" si="7"/>
        <v>20</v>
      </c>
      <c r="Q16" s="74">
        <f t="shared" si="8"/>
        <v>12</v>
      </c>
      <c r="R16" s="74">
        <f t="shared" si="9"/>
        <v>-7</v>
      </c>
      <c r="S16" s="74">
        <f t="shared" si="10"/>
        <v>8</v>
      </c>
      <c r="T16" s="74">
        <v>0</v>
      </c>
      <c r="U16" s="74">
        <v>0</v>
      </c>
      <c r="V16" s="74">
        <f t="shared" si="11"/>
        <v>12</v>
      </c>
      <c r="W16" s="74">
        <f t="shared" si="12"/>
        <v>8</v>
      </c>
    </row>
    <row r="17" spans="3:23" x14ac:dyDescent="0.35">
      <c r="C17" s="4" t="s">
        <v>221</v>
      </c>
      <c r="D17" s="4">
        <v>-10</v>
      </c>
      <c r="E17" s="92" t="s">
        <v>205</v>
      </c>
      <c r="F17" s="4">
        <v>-20</v>
      </c>
      <c r="G17" s="4" t="s">
        <v>205</v>
      </c>
      <c r="H17" s="104" t="s">
        <v>260</v>
      </c>
      <c r="I17" s="5" t="str">
        <f t="shared" si="0"/>
        <v>Kartesisch</v>
      </c>
      <c r="J17" s="74" t="str">
        <f t="shared" si="1"/>
        <v/>
      </c>
      <c r="K17" s="101">
        <f t="shared" si="2"/>
        <v>-10</v>
      </c>
      <c r="L17" s="101">
        <f t="shared" si="3"/>
        <v>-20</v>
      </c>
      <c r="M17" s="102">
        <f t="shared" si="4"/>
        <v>22.360679774997898</v>
      </c>
      <c r="N17" s="102">
        <f t="shared" si="5"/>
        <v>-116.56505117707799</v>
      </c>
      <c r="O17" s="102">
        <f t="shared" si="6"/>
        <v>-2.0344439357957027</v>
      </c>
      <c r="P17" s="74">
        <f t="shared" si="7"/>
        <v>0</v>
      </c>
      <c r="Q17" s="74">
        <f t="shared" si="8"/>
        <v>0</v>
      </c>
      <c r="R17" s="74">
        <f t="shared" si="9"/>
        <v>0</v>
      </c>
      <c r="S17" s="74">
        <f t="shared" si="10"/>
        <v>0</v>
      </c>
      <c r="T17" s="74">
        <v>0</v>
      </c>
      <c r="U17" s="74">
        <v>0</v>
      </c>
      <c r="V17" s="74">
        <f t="shared" si="11"/>
        <v>0</v>
      </c>
      <c r="W17" s="74">
        <f t="shared" si="12"/>
        <v>0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/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851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413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330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3.1415000000000002</v>
      </c>
      <c r="D7" s="5" t="str">
        <f>M7</f>
        <v>rad</v>
      </c>
      <c r="E7" s="207" t="s">
        <v>330</v>
      </c>
      <c r="F7" s="212">
        <f>180*C7/PI()</f>
        <v>179.99469134034814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330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55" t="s">
        <v>417</v>
      </c>
      <c r="C13" s="452"/>
      <c r="D13" s="452"/>
      <c r="E13" s="452"/>
      <c r="F13" s="452"/>
      <c r="G13" s="452"/>
      <c r="H13" s="452"/>
      <c r="I13" s="452"/>
      <c r="L13" s="455" t="s">
        <v>418</v>
      </c>
      <c r="M13" s="456"/>
      <c r="N13" s="456"/>
      <c r="O13" s="456"/>
      <c r="Q13" s="455" t="s">
        <v>230</v>
      </c>
      <c r="R13" s="456"/>
      <c r="S13" s="456"/>
      <c r="T13" s="456"/>
      <c r="U13" s="456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414</v>
      </c>
      <c r="F14" s="213" t="s">
        <v>91</v>
      </c>
      <c r="G14" s="213" t="s">
        <v>414</v>
      </c>
      <c r="H14" s="213" t="s">
        <v>415</v>
      </c>
      <c r="I14" s="213" t="s">
        <v>416</v>
      </c>
      <c r="L14" s="219" t="s">
        <v>422</v>
      </c>
      <c r="M14" s="219" t="s">
        <v>423</v>
      </c>
      <c r="N14" s="219" t="s">
        <v>424</v>
      </c>
      <c r="O14" s="219" t="s">
        <v>425</v>
      </c>
      <c r="P14" s="217"/>
      <c r="Q14" s="223" t="s">
        <v>419</v>
      </c>
      <c r="R14" s="219"/>
      <c r="S14" s="219"/>
      <c r="T14" s="219"/>
      <c r="U14" s="219"/>
    </row>
    <row r="15" spans="2:21" x14ac:dyDescent="0.35">
      <c r="B15" s="215" t="s">
        <v>420</v>
      </c>
      <c r="C15" s="211">
        <v>10</v>
      </c>
      <c r="D15" s="75">
        <v>180</v>
      </c>
      <c r="E15" s="75" t="s">
        <v>201</v>
      </c>
      <c r="F15" s="212">
        <f>IF(E15=M7,D15,IF(D8=M6,D15*PI()/180,"Unknown"))</f>
        <v>3.1415926535897931</v>
      </c>
      <c r="G15" s="74" t="str">
        <f>M7</f>
        <v>rad</v>
      </c>
      <c r="H15" s="212">
        <f>C15*COS(F15)</f>
        <v>-10</v>
      </c>
      <c r="I15" s="212">
        <f>C15*SIN(F15)</f>
        <v>1.22514845490862E-15</v>
      </c>
      <c r="L15" s="220">
        <v>0</v>
      </c>
      <c r="M15" s="220">
        <f>H15</f>
        <v>-10</v>
      </c>
      <c r="N15" s="220">
        <v>0</v>
      </c>
      <c r="O15" s="220">
        <f>I15</f>
        <v>1.22514845490862E-15</v>
      </c>
      <c r="P15" s="221"/>
      <c r="Q15" s="222">
        <f>MAX(ABS(O15),ABS(M16),ABS(O16),ABS(M15),ABS(M17),ABS(O17))</f>
        <v>14</v>
      </c>
      <c r="R15" s="220">
        <f>Q16</f>
        <v>15.400000000000002</v>
      </c>
      <c r="S15" s="220">
        <v>0</v>
      </c>
      <c r="T15" s="220">
        <f>-R15</f>
        <v>-15.400000000000002</v>
      </c>
      <c r="U15" s="220">
        <v>0</v>
      </c>
    </row>
    <row r="16" spans="2:21" x14ac:dyDescent="0.35">
      <c r="B16" s="216" t="s">
        <v>421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15.400000000000002</v>
      </c>
      <c r="R16" s="220">
        <v>0</v>
      </c>
      <c r="S16" s="220">
        <f>R15</f>
        <v>15.400000000000002</v>
      </c>
      <c r="T16" s="220">
        <v>0</v>
      </c>
      <c r="U16" s="220">
        <f>T15</f>
        <v>-15.400000000000002</v>
      </c>
    </row>
    <row r="17" spans="2:54" ht="16.5" x14ac:dyDescent="0.45">
      <c r="B17" s="224" t="s">
        <v>432</v>
      </c>
      <c r="C17" s="212">
        <f>SQRT(H17^2+I17^2)</f>
        <v>14.866068747318506</v>
      </c>
      <c r="D17" s="212">
        <f>F17*180/PI()</f>
        <v>160.34617594194668</v>
      </c>
      <c r="E17" s="74" t="str">
        <f>E16</f>
        <v>°</v>
      </c>
      <c r="F17" s="212">
        <f>ATAN2(H17,I17)</f>
        <v>2.7985687131690895</v>
      </c>
      <c r="G17" s="74" t="str">
        <f>G16</f>
        <v>rad</v>
      </c>
      <c r="H17" s="212">
        <f>H16+H15</f>
        <v>-14</v>
      </c>
      <c r="I17" s="212">
        <f>I16+I15</f>
        <v>5.0000000000000009</v>
      </c>
      <c r="L17" s="220">
        <v>0</v>
      </c>
      <c r="M17" s="220">
        <f>H17</f>
        <v>-14</v>
      </c>
      <c r="N17" s="220">
        <v>0</v>
      </c>
      <c r="O17" s="220">
        <f>I17</f>
        <v>5.0000000000000009</v>
      </c>
    </row>
    <row r="18" spans="2:54" ht="16.5" x14ac:dyDescent="0.45">
      <c r="B18" s="8" t="s">
        <v>433</v>
      </c>
      <c r="C18" s="77">
        <f>C16*C15</f>
        <v>64.031242374328485</v>
      </c>
      <c r="D18" s="212">
        <f>D16+D15</f>
        <v>308.65980825409008</v>
      </c>
      <c r="E18" s="74" t="str">
        <f>E17</f>
        <v>°</v>
      </c>
      <c r="F18" s="212">
        <f>F15+F16</f>
        <v>5.3871299226082421</v>
      </c>
      <c r="G18" s="74" t="str">
        <f>G17</f>
        <v>rad</v>
      </c>
      <c r="H18" s="212">
        <f>C18*COS(F18)</f>
        <v>39.999999999999979</v>
      </c>
      <c r="I18" s="212">
        <f>C18*SIN(F18)</f>
        <v>-50.000000000000014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420</v>
      </c>
      <c r="M23" s="218">
        <f>$C$15*SIN(M22+$F$15)</f>
        <v>1.22514845490862E-15</v>
      </c>
      <c r="N23" s="218">
        <f t="shared" ref="N23:AW23" si="2">$C$15*SIN(N22+$F$15)</f>
        <v>-1.7364817766693004</v>
      </c>
      <c r="O23" s="218">
        <f t="shared" si="2"/>
        <v>-3.4202014332566866</v>
      </c>
      <c r="P23" s="218">
        <f t="shared" si="2"/>
        <v>-4.9999999999999973</v>
      </c>
      <c r="Q23" s="218">
        <f t="shared" si="2"/>
        <v>-6.4278760968653925</v>
      </c>
      <c r="R23" s="218">
        <f t="shared" si="2"/>
        <v>-7.660444431189779</v>
      </c>
      <c r="S23" s="218">
        <f t="shared" si="2"/>
        <v>-8.6602540378443837</v>
      </c>
      <c r="T23" s="218">
        <f t="shared" si="2"/>
        <v>-9.3969262078590852</v>
      </c>
      <c r="U23" s="218">
        <f t="shared" si="2"/>
        <v>-9.8480775301220795</v>
      </c>
      <c r="V23" s="218">
        <f t="shared" si="2"/>
        <v>-10</v>
      </c>
      <c r="W23" s="218">
        <f t="shared" si="2"/>
        <v>-9.8480775301220813</v>
      </c>
      <c r="X23" s="218">
        <f t="shared" si="2"/>
        <v>-9.3969262078590852</v>
      </c>
      <c r="Y23" s="218">
        <f t="shared" si="2"/>
        <v>-8.6602540378443909</v>
      </c>
      <c r="Z23" s="218">
        <f t="shared" si="2"/>
        <v>-7.6604444311897808</v>
      </c>
      <c r="AA23" s="218">
        <f t="shared" si="2"/>
        <v>-6.4278760968653961</v>
      </c>
      <c r="AB23" s="218">
        <f t="shared" si="2"/>
        <v>-4.9999999999999964</v>
      </c>
      <c r="AC23" s="218">
        <f t="shared" si="2"/>
        <v>-3.4202014332566861</v>
      </c>
      <c r="AD23" s="218">
        <f t="shared" si="2"/>
        <v>-1.7364817766693039</v>
      </c>
      <c r="AE23" s="218">
        <f t="shared" si="2"/>
        <v>-2.45029690981724E-15</v>
      </c>
      <c r="AF23" s="218">
        <f t="shared" si="2"/>
        <v>1.736481776669299</v>
      </c>
      <c r="AG23" s="218">
        <f t="shared" si="2"/>
        <v>3.4202014332566808</v>
      </c>
      <c r="AH23" s="218">
        <f t="shared" si="2"/>
        <v>5</v>
      </c>
      <c r="AI23" s="218">
        <f t="shared" si="2"/>
        <v>6.4278760968653916</v>
      </c>
      <c r="AJ23" s="218">
        <f t="shared" si="2"/>
        <v>7.6604444311897781</v>
      </c>
      <c r="AK23" s="218">
        <f t="shared" si="2"/>
        <v>8.6602540378443837</v>
      </c>
      <c r="AL23" s="218">
        <f t="shared" si="2"/>
        <v>9.3969262078590816</v>
      </c>
      <c r="AM23" s="218">
        <f t="shared" si="2"/>
        <v>9.8480775301220795</v>
      </c>
      <c r="AN23" s="218">
        <f t="shared" si="2"/>
        <v>10</v>
      </c>
      <c r="AO23" s="218">
        <f t="shared" si="2"/>
        <v>9.8480775301220813</v>
      </c>
      <c r="AP23" s="218">
        <f t="shared" si="2"/>
        <v>9.3969262078590869</v>
      </c>
      <c r="AQ23" s="218">
        <f t="shared" si="2"/>
        <v>8.660254037844382</v>
      </c>
      <c r="AR23" s="218">
        <f t="shared" si="2"/>
        <v>7.6604444311897755</v>
      </c>
      <c r="AS23" s="218">
        <f t="shared" si="2"/>
        <v>6.4278760968653899</v>
      </c>
      <c r="AT23" s="218">
        <f t="shared" si="2"/>
        <v>4.9999999999999982</v>
      </c>
      <c r="AU23" s="218">
        <f t="shared" si="2"/>
        <v>3.420201433256687</v>
      </c>
      <c r="AV23" s="218">
        <f t="shared" si="2"/>
        <v>1.736481776669305</v>
      </c>
      <c r="AW23" s="218">
        <f t="shared" si="2"/>
        <v>3.67544536472586E-15</v>
      </c>
    </row>
    <row r="24" spans="2:54" ht="16" customHeight="1" x14ac:dyDescent="0.35">
      <c r="L24" s="216" t="s">
        <v>421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432</v>
      </c>
      <c r="M25" s="218">
        <f>M23+M24</f>
        <v>5.0000000000000018</v>
      </c>
      <c r="N25" s="218">
        <f t="shared" ref="N25:AW25" si="4">N23+N24</f>
        <v>2.4929642777240208</v>
      </c>
      <c r="O25" s="218">
        <f t="shared" si="4"/>
        <v>-8.981890262981862E-2</v>
      </c>
      <c r="P25" s="218">
        <f t="shared" si="4"/>
        <v>-2.6698729810778015</v>
      </c>
      <c r="Q25" s="218">
        <f t="shared" si="4"/>
        <v>-5.1688043200166582</v>
      </c>
      <c r="R25" s="218">
        <f t="shared" si="4"/>
        <v>-7.5106841552329913</v>
      </c>
      <c r="S25" s="218">
        <f t="shared" si="4"/>
        <v>-9.6243556529821337</v>
      </c>
      <c r="T25" s="218">
        <f t="shared" si="4"/>
        <v>-11.445595974374372</v>
      </c>
      <c r="U25" s="218">
        <f t="shared" si="4"/>
        <v>-12.919067653836258</v>
      </c>
      <c r="V25" s="218">
        <f t="shared" si="4"/>
        <v>-13.999999999999998</v>
      </c>
      <c r="W25" s="218">
        <f t="shared" si="4"/>
        <v>-14.655549430505562</v>
      </c>
      <c r="X25" s="218">
        <f t="shared" si="4"/>
        <v>-14.86579740763106</v>
      </c>
      <c r="Y25" s="218">
        <f t="shared" si="4"/>
        <v>-14.624355652982143</v>
      </c>
      <c r="Z25" s="218">
        <f t="shared" si="4"/>
        <v>-13.938560252098389</v>
      </c>
      <c r="AA25" s="218">
        <f t="shared" si="4"/>
        <v>-12.829248751206443</v>
      </c>
      <c r="AB25" s="218">
        <f t="shared" si="4"/>
        <v>-11.330127018922189</v>
      </c>
      <c r="AC25" s="218">
        <f t="shared" si="4"/>
        <v>-9.4867451104889042</v>
      </c>
      <c r="AD25" s="218">
        <f t="shared" si="4"/>
        <v>-7.3551132523980662</v>
      </c>
      <c r="AE25" s="218">
        <f t="shared" si="4"/>
        <v>-5.0000000000000044</v>
      </c>
      <c r="AF25" s="218">
        <f t="shared" si="4"/>
        <v>-2.4929642777240231</v>
      </c>
      <c r="AG25" s="218">
        <f t="shared" si="4"/>
        <v>8.9818902629809294E-2</v>
      </c>
      <c r="AH25" s="218">
        <f t="shared" si="4"/>
        <v>2.6698729810778059</v>
      </c>
      <c r="AI25" s="218">
        <f t="shared" si="4"/>
        <v>5.1688043200166565</v>
      </c>
      <c r="AJ25" s="218">
        <f t="shared" si="4"/>
        <v>7.5106841552329904</v>
      </c>
      <c r="AK25" s="218">
        <f t="shared" si="4"/>
        <v>9.6243556529821337</v>
      </c>
      <c r="AL25" s="218">
        <f t="shared" si="4"/>
        <v>11.445595974374365</v>
      </c>
      <c r="AM25" s="218">
        <f t="shared" si="4"/>
        <v>12.919067653836258</v>
      </c>
      <c r="AN25" s="218">
        <f t="shared" si="4"/>
        <v>13.999999999999996</v>
      </c>
      <c r="AO25" s="218">
        <f t="shared" si="4"/>
        <v>14.655549430505562</v>
      </c>
      <c r="AP25" s="218">
        <f t="shared" si="4"/>
        <v>14.86579740763106</v>
      </c>
      <c r="AQ25" s="218">
        <f t="shared" si="4"/>
        <v>14.624355652982135</v>
      </c>
      <c r="AR25" s="218">
        <f t="shared" si="4"/>
        <v>13.938560252098384</v>
      </c>
      <c r="AS25" s="218">
        <f t="shared" si="4"/>
        <v>12.829248751206437</v>
      </c>
      <c r="AT25" s="218">
        <f t="shared" si="4"/>
        <v>11.330127018922191</v>
      </c>
      <c r="AU25" s="218">
        <f t="shared" si="4"/>
        <v>9.4867451104889042</v>
      </c>
      <c r="AV25" s="218">
        <f t="shared" si="4"/>
        <v>7.355113252398068</v>
      </c>
      <c r="AW25" s="218">
        <f t="shared" si="4"/>
        <v>5.0000000000000062</v>
      </c>
    </row>
    <row r="26" spans="2:54" ht="16" customHeight="1" x14ac:dyDescent="0.35"/>
    <row r="44" spans="2:4" x14ac:dyDescent="0.35">
      <c r="B44" s="2" t="s">
        <v>426</v>
      </c>
      <c r="C44" s="2"/>
      <c r="D44" t="s">
        <v>427</v>
      </c>
    </row>
    <row r="45" spans="2:4" x14ac:dyDescent="0.35">
      <c r="B45" s="3" t="s">
        <v>428</v>
      </c>
      <c r="C45" s="3"/>
      <c r="D45" t="s">
        <v>431</v>
      </c>
    </row>
    <row r="46" spans="2:4" x14ac:dyDescent="0.35">
      <c r="B46" t="s">
        <v>429</v>
      </c>
      <c r="D46" t="s">
        <v>430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46163.441963541663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46448</v>
      </c>
      <c r="E19" s="94">
        <f t="shared" ca="1" si="4"/>
        <v>67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Schon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46448</v>
      </c>
      <c r="E20" s="94">
        <f t="shared" ca="1" si="4"/>
        <v>32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Schon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46487</v>
      </c>
      <c r="E21" s="94">
        <f t="shared" ca="1" si="4"/>
        <v>26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Schon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4" t="s">
        <v>846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90" t="s">
        <v>843</v>
      </c>
      <c r="J24" s="391" t="str">
        <f>IF($I$24=$R$24,"s [km]","s [m]")</f>
        <v>s [km]</v>
      </c>
      <c r="K24" s="391" t="str">
        <f>IF($I$24=$R$24,"v [km/h]","v [m/s]")</f>
        <v>v [km/h]</v>
      </c>
      <c r="L24" s="391" t="str">
        <f>IF($I$24=$R$24,"t [h]","t [s]")</f>
        <v>t [h]</v>
      </c>
      <c r="M24" s="391" t="str">
        <f>IF($I$24=$R$24,"s0 [km]","s0 [m]")</f>
        <v>s0 [km]</v>
      </c>
      <c r="R24" t="s">
        <v>843</v>
      </c>
    </row>
    <row r="25" spans="2:41" ht="21" x14ac:dyDescent="0.5">
      <c r="B25" s="245"/>
      <c r="H25" s="393" t="s">
        <v>840</v>
      </c>
      <c r="I25" s="392" t="s">
        <v>836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844</v>
      </c>
    </row>
    <row r="26" spans="2:41" ht="21" x14ac:dyDescent="0.5">
      <c r="B26" s="245"/>
      <c r="H26" s="393" t="s">
        <v>841</v>
      </c>
      <c r="I26" s="392" t="s">
        <v>837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93" t="s">
        <v>842</v>
      </c>
      <c r="I27" s="392" t="s">
        <v>838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93" t="s">
        <v>845</v>
      </c>
      <c r="I28" s="392" t="s">
        <v>839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4" t="s">
        <v>853</v>
      </c>
      <c r="D2" s="394"/>
    </row>
    <row r="4" spans="2:26" x14ac:dyDescent="0.35">
      <c r="J4" t="s">
        <v>645</v>
      </c>
    </row>
    <row r="5" spans="2:26" x14ac:dyDescent="0.35">
      <c r="J5" t="s">
        <v>882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882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643</v>
      </c>
      <c r="C12" s="337" t="s">
        <v>883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884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642</v>
      </c>
      <c r="C14" s="337" t="s">
        <v>885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886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648</v>
      </c>
      <c r="C38" s="92"/>
      <c r="D38" s="92"/>
      <c r="E38" s="92"/>
      <c r="G38" t="s">
        <v>649</v>
      </c>
    </row>
    <row r="39" spans="2:9" ht="16.5" x14ac:dyDescent="0.45">
      <c r="B39" s="8" t="s">
        <v>644</v>
      </c>
      <c r="C39" s="5">
        <f>(E15-E13)/(E12-E14)</f>
        <v>13.837633945532412</v>
      </c>
      <c r="D39" s="5"/>
      <c r="E39" s="5" t="s">
        <v>645</v>
      </c>
      <c r="F39" s="340"/>
      <c r="G39" t="s">
        <v>650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646</v>
      </c>
      <c r="C42" s="5">
        <f>E12*C39+E13</f>
        <v>143.91139303353708</v>
      </c>
      <c r="D42" s="5"/>
      <c r="E42" s="5" t="s">
        <v>647</v>
      </c>
      <c r="G42" t="s">
        <v>651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646</v>
      </c>
      <c r="C43" s="5">
        <f>E14*C39+E15</f>
        <v>143.91139303353708</v>
      </c>
      <c r="D43" s="5"/>
      <c r="E43" s="5" t="s">
        <v>647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57" t="s">
        <v>901</v>
      </c>
      <c r="D3" s="457" t="s">
        <v>667</v>
      </c>
      <c r="E3" s="418">
        <v>4</v>
      </c>
      <c r="F3" s="418" t="s">
        <v>882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57" t="s">
        <v>21</v>
      </c>
      <c r="D4" s="457"/>
      <c r="E4" s="418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57" t="s">
        <v>22</v>
      </c>
      <c r="D5" s="457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57" t="s">
        <v>887</v>
      </c>
      <c r="D6" s="457"/>
      <c r="E6" s="418">
        <v>50</v>
      </c>
      <c r="F6" s="418" t="s">
        <v>862</v>
      </c>
      <c r="G6" s="77">
        <f>IF(F6=H6,E6,E6*1000)</f>
        <v>50</v>
      </c>
      <c r="H6" s="5" t="str">
        <f>O6</f>
        <v>[m]</v>
      </c>
      <c r="N6" t="s">
        <v>902</v>
      </c>
      <c r="O6" t="s">
        <v>862</v>
      </c>
      <c r="P6" t="s">
        <v>882</v>
      </c>
    </row>
    <row r="7" spans="2:28" ht="15.65" customHeight="1" x14ac:dyDescent="0.35">
      <c r="N7" t="s">
        <v>23</v>
      </c>
      <c r="O7" t="s">
        <v>647</v>
      </c>
      <c r="P7" t="s">
        <v>903</v>
      </c>
    </row>
    <row r="8" spans="2:28" ht="15.65" customHeight="1" x14ac:dyDescent="0.35">
      <c r="P8" t="s">
        <v>645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58" t="s">
        <v>899</v>
      </c>
      <c r="D11" s="459"/>
      <c r="E11" s="416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898</v>
      </c>
    </row>
    <row r="12" spans="2:28" ht="22.5" customHeight="1" x14ac:dyDescent="0.65">
      <c r="C12" s="458" t="s">
        <v>900</v>
      </c>
      <c r="D12" s="459"/>
      <c r="E12" s="416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647</v>
      </c>
      <c r="N12" t="s">
        <v>897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17"/>
    </row>
    <row r="18" spans="3:27" ht="15.65" customHeight="1" x14ac:dyDescent="0.35">
      <c r="C18" s="461" t="s">
        <v>1</v>
      </c>
      <c r="D18" s="462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60" t="s">
        <v>19</v>
      </c>
      <c r="D19" s="460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35">
      <c r="C20" s="459" t="s">
        <v>24</v>
      </c>
      <c r="D20" s="459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6.5" x14ac:dyDescent="0.35">
      <c r="C21" s="459" t="s">
        <v>888</v>
      </c>
      <c r="D21" s="459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21:D21"/>
    <mergeCell ref="C18:D18"/>
    <mergeCell ref="C4:D4"/>
    <mergeCell ref="C5:D5"/>
    <mergeCell ref="C6:D6"/>
    <mergeCell ref="C3:D3"/>
    <mergeCell ref="C11:D11"/>
    <mergeCell ref="C12:D12"/>
    <mergeCell ref="C19:D19"/>
    <mergeCell ref="C20:D20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3" zoomScale="55" zoomScaleNormal="55" workbookViewId="0">
      <selection activeCell="A15" sqref="A15:XFD15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74" t="str">
        <f>$O$8</f>
        <v>Anfangs-Geschwindigkeit</v>
      </c>
      <c r="D6" s="475"/>
      <c r="E6" s="478" t="str">
        <f>$O$9</f>
        <v>Geschwindigkeit</v>
      </c>
      <c r="F6" s="475"/>
      <c r="G6" s="478" t="str">
        <f>$O$10</f>
        <v>Strecke</v>
      </c>
      <c r="H6" s="475"/>
      <c r="I6" s="478" t="str">
        <f>$O$11</f>
        <v>Zeit</v>
      </c>
      <c r="J6" s="475"/>
      <c r="K6" s="478" t="str">
        <f>$O$12</f>
        <v>Beschleunigung</v>
      </c>
      <c r="L6" s="479"/>
    </row>
    <row r="7" spans="1:19" ht="15" thickBot="1" x14ac:dyDescent="0.4">
      <c r="B7" s="13" t="s">
        <v>37</v>
      </c>
      <c r="C7" s="476" t="str">
        <f>$P$8</f>
        <v>v0 [m/s]</v>
      </c>
      <c r="D7" s="477"/>
      <c r="E7" s="480" t="str">
        <f>$P$9</f>
        <v>v [m/s]</v>
      </c>
      <c r="F7" s="477"/>
      <c r="G7" s="480" t="str">
        <f>$P$10</f>
        <v>s [m]</v>
      </c>
      <c r="H7" s="477"/>
      <c r="I7" s="480" t="str">
        <f>$P$11</f>
        <v>t [s]</v>
      </c>
      <c r="J7" s="477"/>
      <c r="K7" s="480" t="str">
        <f>$P$12</f>
        <v>a [m/s2]</v>
      </c>
      <c r="L7" s="481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68">
        <v>119</v>
      </c>
      <c r="H8" s="469"/>
      <c r="I8" s="468">
        <v>7</v>
      </c>
      <c r="J8" s="469"/>
      <c r="K8" s="468">
        <v>2</v>
      </c>
      <c r="L8" s="473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65">
        <v>24</v>
      </c>
      <c r="F9" s="466"/>
      <c r="G9" s="16" t="s">
        <v>75</v>
      </c>
      <c r="H9" s="16">
        <f>E9*I9 - K9*I9^2/2</f>
        <v>119</v>
      </c>
      <c r="I9" s="465">
        <v>7</v>
      </c>
      <c r="J9" s="466"/>
      <c r="K9" s="465">
        <v>2</v>
      </c>
      <c r="L9" s="471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65">
        <v>24</v>
      </c>
      <c r="F10" s="466"/>
      <c r="G10" s="465">
        <v>119</v>
      </c>
      <c r="H10" s="466"/>
      <c r="I10" s="16" t="s">
        <v>76</v>
      </c>
      <c r="J10" s="16">
        <f>(E10 - SQRT(E10^2 - 2*K10*G10))/K10</f>
        <v>7</v>
      </c>
      <c r="K10" s="465">
        <v>2</v>
      </c>
      <c r="L10" s="471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65">
        <v>24</v>
      </c>
      <c r="F11" s="466"/>
      <c r="G11" s="465">
        <v>119</v>
      </c>
      <c r="H11" s="466"/>
      <c r="I11" s="465">
        <v>7</v>
      </c>
      <c r="J11" s="466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70">
        <v>10</v>
      </c>
      <c r="D12" s="466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65">
        <v>7</v>
      </c>
      <c r="J12" s="466"/>
      <c r="K12" s="465">
        <v>2</v>
      </c>
      <c r="L12" s="471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70">
        <v>10</v>
      </c>
      <c r="D13" s="466"/>
      <c r="E13" s="16" t="s">
        <v>80</v>
      </c>
      <c r="F13" s="16">
        <f>SQRT(C13^2 + 2*K13*G13)</f>
        <v>24</v>
      </c>
      <c r="G13" s="465">
        <v>119</v>
      </c>
      <c r="H13" s="466"/>
      <c r="I13" s="22" t="s">
        <v>55</v>
      </c>
      <c r="J13" s="16">
        <f xml:space="preserve"> (-C13 + SQRT(C13^2 + 2*K13*G13))/K13</f>
        <v>7</v>
      </c>
      <c r="K13" s="463">
        <v>2</v>
      </c>
      <c r="L13" s="471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70">
        <v>10</v>
      </c>
      <c r="D14" s="466"/>
      <c r="E14" s="16" t="s">
        <v>81</v>
      </c>
      <c r="F14" s="16">
        <f>2*G14/I14 - C14</f>
        <v>24</v>
      </c>
      <c r="G14" s="465">
        <v>119</v>
      </c>
      <c r="H14" s="466"/>
      <c r="I14" s="465">
        <v>7</v>
      </c>
      <c r="J14" s="472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70">
        <v>10</v>
      </c>
      <c r="D15" s="466"/>
      <c r="E15" s="465">
        <v>24</v>
      </c>
      <c r="F15" s="466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65">
        <v>2</v>
      </c>
      <c r="L15" s="471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70">
        <v>10</v>
      </c>
      <c r="D16" s="466"/>
      <c r="E16" s="465">
        <v>24</v>
      </c>
      <c r="F16" s="466"/>
      <c r="G16" s="16" t="s">
        <v>83</v>
      </c>
      <c r="H16" s="16">
        <f>(C16+E16)*I16/2</f>
        <v>119</v>
      </c>
      <c r="I16" s="465">
        <v>7</v>
      </c>
      <c r="J16" s="466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67">
        <v>10</v>
      </c>
      <c r="D17" s="464"/>
      <c r="E17" s="463">
        <v>24</v>
      </c>
      <c r="F17" s="464"/>
      <c r="G17" s="463">
        <v>119</v>
      </c>
      <c r="H17" s="464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82" t="str">
        <f>P13</f>
        <v>ω0 [rad/s]</v>
      </c>
      <c r="D18" s="483"/>
      <c r="E18" s="484" t="str">
        <f>P14</f>
        <v>ω [rad/s]</v>
      </c>
      <c r="F18" s="483"/>
      <c r="G18" s="484" t="str">
        <f>P15</f>
        <v>φ [rad]</v>
      </c>
      <c r="H18" s="483"/>
      <c r="I18" s="484" t="str">
        <f>P16</f>
        <v>t [s]</v>
      </c>
      <c r="J18" s="483"/>
      <c r="K18" s="484" t="str">
        <f>P17</f>
        <v>α [rad/s2]</v>
      </c>
      <c r="L18" s="485"/>
    </row>
    <row r="19" spans="1:16" ht="29.15" customHeight="1" thickBot="1" x14ac:dyDescent="0.4">
      <c r="C19" s="486" t="str">
        <f>O13</f>
        <v>Anfangs-Winkelgeschwindigkeit</v>
      </c>
      <c r="D19" s="487"/>
      <c r="E19" s="488" t="str">
        <f>O14</f>
        <v>Winkelgeschwindigkeit</v>
      </c>
      <c r="F19" s="487"/>
      <c r="G19" s="488" t="str">
        <f>O15</f>
        <v>Winkel</v>
      </c>
      <c r="H19" s="487"/>
      <c r="I19" s="488" t="str">
        <f>O16</f>
        <v>Zeit</v>
      </c>
      <c r="J19" s="487"/>
      <c r="K19" s="488" t="str">
        <f>O17</f>
        <v>Winkelbeschleunigung</v>
      </c>
      <c r="L19" s="489"/>
    </row>
  </sheetData>
  <mergeCells count="50"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K8:L8"/>
    <mergeCell ref="K9:L9"/>
    <mergeCell ref="K10:L10"/>
    <mergeCell ref="K12:L12"/>
    <mergeCell ref="K13:L13"/>
    <mergeCell ref="I8:J8"/>
    <mergeCell ref="I9:J9"/>
    <mergeCell ref="I11:J11"/>
    <mergeCell ref="I12:J12"/>
    <mergeCell ref="I14:J14"/>
    <mergeCell ref="E9:F9"/>
    <mergeCell ref="E10:F10"/>
    <mergeCell ref="E11:F11"/>
    <mergeCell ref="E15:F15"/>
    <mergeCell ref="K15:L15"/>
    <mergeCell ref="C12:D12"/>
    <mergeCell ref="C13:D13"/>
    <mergeCell ref="C14:D14"/>
    <mergeCell ref="C15:D15"/>
    <mergeCell ref="C16:D16"/>
    <mergeCell ref="G8:H8"/>
    <mergeCell ref="G10:H10"/>
    <mergeCell ref="G11:H11"/>
    <mergeCell ref="G13:H13"/>
    <mergeCell ref="G14:H14"/>
    <mergeCell ref="G17:H17"/>
    <mergeCell ref="E16:F16"/>
    <mergeCell ref="E17:F17"/>
    <mergeCell ref="C17:D17"/>
    <mergeCell ref="I16:J16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4" t="s">
        <v>854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95"/>
      <c r="I10" s="395"/>
      <c r="J10" s="395"/>
      <c r="K10" s="395"/>
      <c r="L10" s="395"/>
      <c r="M10" s="395"/>
      <c r="N10" s="395"/>
      <c r="O10" s="395"/>
      <c r="P10" s="395"/>
      <c r="Q10" s="395"/>
      <c r="R10" s="395"/>
      <c r="S10" s="395"/>
      <c r="T10" s="395"/>
      <c r="U10" s="395"/>
      <c r="V10" s="395"/>
      <c r="W10" s="395"/>
      <c r="X10" s="395"/>
      <c r="Y10" s="395"/>
      <c r="Z10" s="395"/>
      <c r="AA10" s="395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97" t="s">
        <v>863</v>
      </c>
      <c r="C12" s="5"/>
      <c r="D12" s="337" t="s">
        <v>860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97" t="s">
        <v>864</v>
      </c>
      <c r="C13" s="5"/>
      <c r="D13" s="337" t="s">
        <v>861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639</v>
      </c>
      <c r="D14" s="4">
        <v>36.6</v>
      </c>
      <c r="E14" s="77">
        <f>D14*1000</f>
        <v>36600</v>
      </c>
      <c r="F14" s="77" t="s">
        <v>862</v>
      </c>
      <c r="G14" s="395"/>
      <c r="H14" s="395"/>
      <c r="I14" s="395"/>
      <c r="J14" s="395"/>
      <c r="K14" s="395"/>
      <c r="L14" s="395"/>
      <c r="M14" s="395"/>
      <c r="N14" s="395"/>
      <c r="O14" s="395"/>
      <c r="P14" s="395"/>
      <c r="Q14" s="395"/>
      <c r="R14" s="395"/>
      <c r="S14" s="395"/>
      <c r="T14" s="395"/>
      <c r="U14" s="395"/>
      <c r="V14" s="395"/>
      <c r="W14" s="395"/>
      <c r="X14" s="395"/>
      <c r="Y14" s="395"/>
      <c r="Z14" s="395"/>
      <c r="AA14" s="395"/>
    </row>
    <row r="15" spans="2:27" ht="20.5" x14ac:dyDescent="0.55000000000000004">
      <c r="B15" s="337"/>
      <c r="C15" s="337" t="s">
        <v>856</v>
      </c>
      <c r="D15" s="4">
        <v>30</v>
      </c>
      <c r="E15" s="77">
        <f>D15/3.6</f>
        <v>8.3333333333333339</v>
      </c>
      <c r="F15" s="77" t="s">
        <v>23</v>
      </c>
      <c r="G15" s="395"/>
      <c r="H15" s="395"/>
      <c r="I15" s="395"/>
      <c r="J15" s="395"/>
      <c r="K15" s="395"/>
      <c r="L15" s="395"/>
      <c r="M15" s="395"/>
      <c r="N15" s="395"/>
      <c r="O15" s="395"/>
      <c r="P15" s="395"/>
      <c r="Q15" s="395"/>
      <c r="R15" s="395"/>
      <c r="S15" s="395"/>
      <c r="T15" s="395"/>
      <c r="U15" s="395"/>
      <c r="V15" s="395"/>
      <c r="W15" s="395"/>
      <c r="X15" s="395"/>
      <c r="Y15" s="395"/>
      <c r="Z15" s="395"/>
      <c r="AA15" s="395"/>
    </row>
    <row r="16" spans="2:27" ht="22" x14ac:dyDescent="0.55000000000000004">
      <c r="B16" s="337"/>
      <c r="C16" s="337" t="s">
        <v>855</v>
      </c>
      <c r="D16" s="4">
        <v>2</v>
      </c>
      <c r="E16" s="77">
        <f>D16</f>
        <v>2</v>
      </c>
      <c r="F16" s="77" t="s">
        <v>20</v>
      </c>
      <c r="G16" s="395"/>
      <c r="H16" s="395"/>
      <c r="I16" s="395"/>
      <c r="J16" s="395"/>
      <c r="K16" s="395"/>
      <c r="L16" s="395"/>
      <c r="M16" s="395"/>
      <c r="N16" s="395"/>
      <c r="O16" s="395"/>
      <c r="P16" s="395"/>
      <c r="Q16" s="395"/>
      <c r="R16" s="395"/>
      <c r="S16" s="395"/>
      <c r="T16" s="395"/>
      <c r="U16" s="395"/>
      <c r="V16" s="395"/>
      <c r="W16" s="395"/>
      <c r="X16" s="395"/>
      <c r="Y16" s="395"/>
      <c r="Z16" s="395"/>
      <c r="AA16" s="395"/>
    </row>
    <row r="17" spans="2:27" ht="18.5" x14ac:dyDescent="0.45">
      <c r="B17" s="398"/>
      <c r="C17" s="398"/>
      <c r="D17" s="395"/>
      <c r="E17" s="395"/>
      <c r="F17" s="395"/>
      <c r="G17" s="395"/>
      <c r="H17" s="395"/>
      <c r="I17" s="395"/>
      <c r="J17" s="395"/>
      <c r="K17" s="395"/>
      <c r="L17" s="395"/>
      <c r="M17" s="395"/>
      <c r="N17" s="395"/>
      <c r="O17" s="395"/>
      <c r="P17" s="395"/>
      <c r="Q17" s="395"/>
      <c r="R17" s="395"/>
      <c r="S17" s="395"/>
      <c r="T17" s="395"/>
      <c r="U17" s="395"/>
      <c r="V17" s="395"/>
      <c r="W17" s="395"/>
      <c r="X17" s="395"/>
      <c r="Y17" s="395"/>
      <c r="Z17" s="395"/>
      <c r="AA17" s="395"/>
    </row>
    <row r="18" spans="2:27" ht="30" x14ac:dyDescent="0.8">
      <c r="B18" s="396" t="s">
        <v>857</v>
      </c>
      <c r="C18" s="337" t="s">
        <v>640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641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858</v>
      </c>
      <c r="D20" s="4"/>
      <c r="E20" s="4"/>
      <c r="F20" s="4"/>
      <c r="G20" s="395"/>
      <c r="H20" s="395"/>
      <c r="I20" s="395"/>
      <c r="J20" s="395"/>
      <c r="K20" s="395"/>
      <c r="L20" s="395"/>
      <c r="M20" s="395"/>
      <c r="N20" s="395"/>
      <c r="O20" s="395"/>
      <c r="P20" s="395"/>
      <c r="Q20" s="395"/>
      <c r="R20" s="395"/>
      <c r="S20" s="395"/>
      <c r="T20" s="395"/>
      <c r="U20" s="395"/>
      <c r="V20" s="395"/>
      <c r="W20" s="395"/>
      <c r="X20" s="395"/>
      <c r="Y20" s="395"/>
      <c r="Z20" s="395"/>
      <c r="AA20" s="395"/>
    </row>
    <row r="21" spans="2:27" ht="20.5" x14ac:dyDescent="0.55000000000000004">
      <c r="B21" s="337"/>
      <c r="C21" s="337" t="s">
        <v>859</v>
      </c>
      <c r="D21" s="4"/>
      <c r="E21" s="4"/>
      <c r="F21" s="4"/>
      <c r="G21" s="395"/>
      <c r="H21" s="395"/>
      <c r="I21" s="395"/>
      <c r="J21" s="395"/>
      <c r="K21" s="395"/>
      <c r="L21" s="395"/>
      <c r="M21" s="395"/>
      <c r="N21" s="395"/>
      <c r="O21" s="395"/>
      <c r="P21" s="395"/>
      <c r="Q21" s="395"/>
      <c r="R21" s="395"/>
      <c r="S21" s="395"/>
      <c r="T21" s="395"/>
      <c r="U21" s="395"/>
      <c r="V21" s="395"/>
      <c r="W21" s="395"/>
      <c r="X21" s="395"/>
      <c r="Y21" s="395"/>
      <c r="Z21" s="395"/>
      <c r="AA21" s="395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648</v>
      </c>
      <c r="C44" s="92"/>
      <c r="D44" s="92"/>
      <c r="E44" s="399"/>
      <c r="F44" s="399"/>
      <c r="H44" t="s">
        <v>649</v>
      </c>
    </row>
    <row r="45" spans="2:10" ht="16.5" x14ac:dyDescent="0.45">
      <c r="B45" s="8" t="s">
        <v>644</v>
      </c>
      <c r="C45" s="5" t="e">
        <f>(D21-D14)/(#REF!-D18)</f>
        <v>#REF!</v>
      </c>
      <c r="D45" s="5" t="s">
        <v>645</v>
      </c>
      <c r="G45" s="340"/>
      <c r="H45" t="s">
        <v>650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400"/>
      <c r="F47" s="400"/>
    </row>
    <row r="48" spans="2:10" ht="16.5" x14ac:dyDescent="0.45">
      <c r="B48" s="8" t="s">
        <v>646</v>
      </c>
      <c r="C48" s="5" t="e">
        <f>#REF!*C45+D14</f>
        <v>#REF!</v>
      </c>
      <c r="D48" s="5" t="s">
        <v>647</v>
      </c>
      <c r="H48" t="s">
        <v>651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646</v>
      </c>
      <c r="C49" s="5" t="e">
        <f>D18*C45+D21</f>
        <v>#REF!</v>
      </c>
      <c r="D49" s="5" t="s">
        <v>647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307</v>
      </c>
      <c r="N7" t="s">
        <v>309</v>
      </c>
      <c r="U7" s="459" t="s">
        <v>73</v>
      </c>
      <c r="V7" s="459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307</v>
      </c>
      <c r="N8" t="s">
        <v>308</v>
      </c>
      <c r="U8" s="1"/>
      <c r="V8" s="24"/>
      <c r="AL8" s="5" t="s">
        <v>65</v>
      </c>
    </row>
    <row r="9" spans="3:54" x14ac:dyDescent="0.35">
      <c r="M9" s="118" t="s">
        <v>311</v>
      </c>
      <c r="N9" t="s">
        <v>310</v>
      </c>
    </row>
    <row r="11" spans="3:54" ht="21" x14ac:dyDescent="0.35">
      <c r="C11" s="490"/>
      <c r="D11" s="490"/>
      <c r="E11" s="490"/>
      <c r="F11" s="490"/>
      <c r="G11" s="490"/>
      <c r="H11" s="490"/>
      <c r="I11" s="490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91" t="s">
        <v>441</v>
      </c>
      <c r="D12" s="491"/>
      <c r="E12" s="491"/>
      <c r="F12" s="491"/>
      <c r="G12" s="491"/>
      <c r="H12" s="491"/>
      <c r="I12" s="491"/>
      <c r="J12" s="32"/>
      <c r="K12" s="32"/>
      <c r="M12" s="42" t="s">
        <v>435</v>
      </c>
      <c r="N12" s="23">
        <v>50</v>
      </c>
      <c r="O12" s="492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312</v>
      </c>
      <c r="E13" s="44" t="s">
        <v>439</v>
      </c>
      <c r="F13" s="44" t="s">
        <v>434</v>
      </c>
      <c r="G13" s="44" t="s">
        <v>437</v>
      </c>
      <c r="H13" s="44" t="s">
        <v>313</v>
      </c>
      <c r="I13" s="44" t="s">
        <v>314</v>
      </c>
      <c r="J13" s="45"/>
      <c r="K13" s="45"/>
      <c r="M13" s="53" t="s">
        <v>436</v>
      </c>
      <c r="N13" s="47">
        <f>PI()*N12/180</f>
        <v>0.87266462599716477</v>
      </c>
      <c r="O13" s="493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440</v>
      </c>
      <c r="N14" s="232">
        <f>$F$19 * N12 / 360</f>
        <v>2.7777777777777779E-3</v>
      </c>
      <c r="O14" s="494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438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467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474</v>
      </c>
      <c r="AA4" s="5"/>
      <c r="AC4" s="5" t="s">
        <v>475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464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465</v>
      </c>
      <c r="R7" s="459" t="s">
        <v>73</v>
      </c>
      <c r="S7" s="459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90"/>
      <c r="D11" s="490"/>
      <c r="E11" s="490"/>
      <c r="F11" s="490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91" t="s">
        <v>476</v>
      </c>
      <c r="D12" s="491"/>
      <c r="E12" s="491"/>
      <c r="F12" s="491"/>
      <c r="G12" s="32"/>
      <c r="H12" s="32"/>
      <c r="J12" s="42" t="s">
        <v>62</v>
      </c>
      <c r="K12" s="23">
        <v>60</v>
      </c>
      <c r="L12" s="492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94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466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468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469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470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471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473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472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448</v>
      </c>
      <c r="E59" t="s">
        <v>451</v>
      </c>
      <c r="G59" t="s">
        <v>458</v>
      </c>
    </row>
    <row r="60" spans="3:10" ht="16.5" x14ac:dyDescent="0.45">
      <c r="C60" t="s">
        <v>449</v>
      </c>
      <c r="E60" t="s">
        <v>452</v>
      </c>
      <c r="G60" t="s">
        <v>459</v>
      </c>
    </row>
    <row r="61" spans="3:10" x14ac:dyDescent="0.35">
      <c r="C61" s="244" t="s">
        <v>450</v>
      </c>
      <c r="E61" t="s">
        <v>453</v>
      </c>
    </row>
    <row r="63" spans="3:10" x14ac:dyDescent="0.35">
      <c r="C63" t="s">
        <v>455</v>
      </c>
      <c r="E63" t="s">
        <v>454</v>
      </c>
      <c r="J63" t="s">
        <v>457</v>
      </c>
    </row>
    <row r="64" spans="3:10" ht="18.5" x14ac:dyDescent="0.45">
      <c r="C64" t="s">
        <v>456</v>
      </c>
      <c r="E64" t="s">
        <v>463</v>
      </c>
    </row>
    <row r="66" spans="3:5" ht="24" x14ac:dyDescent="0.65">
      <c r="E66" s="245" t="s">
        <v>461</v>
      </c>
    </row>
    <row r="68" spans="3:5" x14ac:dyDescent="0.35">
      <c r="C68" t="s">
        <v>460</v>
      </c>
    </row>
    <row r="74" spans="3:5" x14ac:dyDescent="0.35">
      <c r="C74" t="s">
        <v>462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445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478</v>
      </c>
      <c r="AB3" s="257">
        <f>SQRT(3)/2</f>
        <v>0.8660254037844386</v>
      </c>
      <c r="AD3" s="1"/>
      <c r="AE3" s="258"/>
      <c r="AG3" s="256" t="s">
        <v>482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477</v>
      </c>
      <c r="AB4" s="257">
        <f>COS(RADIANS(30))</f>
        <v>0.86602540378443871</v>
      </c>
      <c r="AD4" s="256" t="s">
        <v>480</v>
      </c>
      <c r="AE4" s="257">
        <f>COS(RADIANS(60))</f>
        <v>0.50000000000000011</v>
      </c>
      <c r="AG4" s="256" t="s">
        <v>481</v>
      </c>
      <c r="AH4" s="257">
        <f>COS(RADIANS(45))</f>
        <v>0.70710678118654757</v>
      </c>
    </row>
    <row r="5" spans="2:43" ht="14.5" customHeight="1" x14ac:dyDescent="0.35">
      <c r="AA5" s="256" t="s">
        <v>479</v>
      </c>
      <c r="AB5" s="257">
        <f>SIN(RADIANS(60))</f>
        <v>0.8660254037844386</v>
      </c>
      <c r="AD5" s="256" t="s">
        <v>477</v>
      </c>
      <c r="AE5" s="257">
        <f>SIN(RADIANS(30))</f>
        <v>0.49999999999999994</v>
      </c>
      <c r="AG5" s="256" t="s">
        <v>481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417</v>
      </c>
      <c r="C9" s="5"/>
      <c r="D9" s="5"/>
      <c r="E9" s="5"/>
      <c r="F9" s="5"/>
      <c r="G9" s="5"/>
      <c r="H9" s="5"/>
      <c r="I9" s="5"/>
      <c r="J9" s="5"/>
      <c r="M9" s="455" t="s">
        <v>418</v>
      </c>
      <c r="N9" s="456"/>
      <c r="O9" s="456"/>
      <c r="P9" s="456"/>
      <c r="R9" s="455" t="s">
        <v>230</v>
      </c>
      <c r="S9" s="456"/>
      <c r="T9" s="456"/>
      <c r="U9" s="456"/>
      <c r="V9" s="456"/>
      <c r="W9"/>
      <c r="X9" s="5" t="s">
        <v>484</v>
      </c>
      <c r="Y9" s="5"/>
      <c r="Z9"/>
      <c r="AA9" s="5" t="s">
        <v>483</v>
      </c>
      <c r="AB9" s="5"/>
    </row>
    <row r="10" spans="2:43" ht="16.5" x14ac:dyDescent="0.45">
      <c r="B10" s="214" t="s">
        <v>196</v>
      </c>
      <c r="C10" s="213" t="s">
        <v>612</v>
      </c>
      <c r="D10" s="213" t="s">
        <v>613</v>
      </c>
      <c r="E10" s="213" t="s">
        <v>91</v>
      </c>
      <c r="F10" s="213" t="s">
        <v>414</v>
      </c>
      <c r="G10" s="213" t="s">
        <v>91</v>
      </c>
      <c r="H10" s="213" t="s">
        <v>414</v>
      </c>
      <c r="I10" s="213" t="s">
        <v>415</v>
      </c>
      <c r="J10" s="213" t="s">
        <v>416</v>
      </c>
      <c r="M10" s="219" t="s">
        <v>422</v>
      </c>
      <c r="N10" s="219" t="s">
        <v>423</v>
      </c>
      <c r="O10" s="219" t="s">
        <v>424</v>
      </c>
      <c r="P10" s="219" t="s">
        <v>425</v>
      </c>
      <c r="Q10" s="217"/>
      <c r="R10" s="223" t="s">
        <v>419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442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443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563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444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485</v>
      </c>
      <c r="Y14" s="259">
        <f>C11-Y10</f>
        <v>487.90367901871775</v>
      </c>
      <c r="Z14"/>
    </row>
    <row r="15" spans="2:43" ht="16.5" x14ac:dyDescent="0.45">
      <c r="AB15" s="1" t="s">
        <v>486</v>
      </c>
      <c r="AC15" s="259">
        <f>AB11</f>
        <v>281.69132042006549</v>
      </c>
    </row>
    <row r="16" spans="2:43" ht="16.5" x14ac:dyDescent="0.45">
      <c r="AB16" s="224" t="s">
        <v>487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446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564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563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447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444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426</v>
      </c>
      <c r="C44" s="2"/>
      <c r="D44" t="s">
        <v>427</v>
      </c>
      <c r="P44" s="218"/>
      <c r="Z44"/>
    </row>
    <row r="45" spans="2:26" x14ac:dyDescent="0.35">
      <c r="B45" s="3" t="s">
        <v>428</v>
      </c>
      <c r="C45" s="3"/>
      <c r="D45" t="s">
        <v>431</v>
      </c>
      <c r="P45" s="218"/>
      <c r="Z45"/>
    </row>
    <row r="46" spans="2:26" x14ac:dyDescent="0.35">
      <c r="B46" t="s">
        <v>429</v>
      </c>
      <c r="D46" t="s">
        <v>430</v>
      </c>
      <c r="P46" s="218"/>
      <c r="Z46"/>
    </row>
    <row r="49" spans="2:5" ht="15" thickBot="1" x14ac:dyDescent="0.4"/>
    <row r="50" spans="2:5" ht="17" thickBot="1" x14ac:dyDescent="0.5">
      <c r="B50" s="260" t="s">
        <v>487</v>
      </c>
      <c r="C50" s="227" t="s">
        <v>488</v>
      </c>
      <c r="D50" s="229"/>
      <c r="E50" s="230"/>
    </row>
    <row r="86" spans="2:20" ht="21" x14ac:dyDescent="0.5">
      <c r="B86" s="69" t="s">
        <v>567</v>
      </c>
      <c r="M86" s="8" t="s">
        <v>571</v>
      </c>
      <c r="N86" s="4">
        <v>300</v>
      </c>
      <c r="O86" s="5" t="s">
        <v>572</v>
      </c>
      <c r="P86" s="5"/>
      <c r="Q86" s="288">
        <f>N86*SQRT(2)</f>
        <v>424.26406871192853</v>
      </c>
      <c r="R86" s="107" t="s">
        <v>574</v>
      </c>
    </row>
    <row r="87" spans="2:20" ht="16.5" x14ac:dyDescent="0.45">
      <c r="M87" s="8" t="s">
        <v>573</v>
      </c>
      <c r="N87" s="288">
        <f>N86*SQRT(3)</f>
        <v>519.6152422706632</v>
      </c>
      <c r="O87" s="5" t="s">
        <v>572</v>
      </c>
      <c r="P87" s="5"/>
      <c r="Q87" s="288">
        <f>N87*SQRT(2)</f>
        <v>734.84692283495349</v>
      </c>
      <c r="R87" s="107" t="s">
        <v>574</v>
      </c>
    </row>
    <row r="88" spans="2:20" x14ac:dyDescent="0.35">
      <c r="M88" s="8" t="s">
        <v>568</v>
      </c>
      <c r="N88" s="4">
        <v>40</v>
      </c>
      <c r="O88" s="289" t="s">
        <v>321</v>
      </c>
      <c r="P88" s="5"/>
      <c r="Q88" s="107"/>
      <c r="R88" s="107"/>
    </row>
    <row r="89" spans="2:20" x14ac:dyDescent="0.35">
      <c r="M89" s="8" t="s">
        <v>569</v>
      </c>
      <c r="N89" s="4">
        <v>80</v>
      </c>
      <c r="O89" s="289" t="s">
        <v>321</v>
      </c>
      <c r="P89" s="5"/>
      <c r="Q89" s="107"/>
      <c r="R89" s="107"/>
    </row>
    <row r="90" spans="2:20" x14ac:dyDescent="0.35">
      <c r="M90" s="8" t="s">
        <v>570</v>
      </c>
      <c r="N90" s="4">
        <v>160</v>
      </c>
      <c r="O90" s="289" t="s">
        <v>321</v>
      </c>
      <c r="P90" s="5"/>
      <c r="Q90" s="107"/>
      <c r="R90" s="107"/>
    </row>
    <row r="94" spans="2:20" x14ac:dyDescent="0.35">
      <c r="J94" s="90" t="s">
        <v>575</v>
      </c>
      <c r="Q94" s="90" t="s">
        <v>585</v>
      </c>
    </row>
    <row r="96" spans="2:20" ht="17.5" x14ac:dyDescent="0.45">
      <c r="J96" s="8" t="s">
        <v>576</v>
      </c>
      <c r="K96" s="5" t="s">
        <v>577</v>
      </c>
      <c r="L96" s="290">
        <f>$N$86^2/$N$88</f>
        <v>2250</v>
      </c>
      <c r="M96" s="5" t="s">
        <v>578</v>
      </c>
      <c r="Q96" s="8"/>
      <c r="R96" s="5"/>
      <c r="S96" s="290"/>
      <c r="T96" s="5"/>
    </row>
    <row r="97" spans="10:14" ht="17.5" x14ac:dyDescent="0.45">
      <c r="J97" s="8" t="s">
        <v>579</v>
      </c>
      <c r="K97" s="5" t="s">
        <v>582</v>
      </c>
      <c r="L97" s="290">
        <f>$N$86^2/$N$89</f>
        <v>1125</v>
      </c>
      <c r="M97" s="5" t="s">
        <v>578</v>
      </c>
    </row>
    <row r="98" spans="10:14" ht="17.5" x14ac:dyDescent="0.45">
      <c r="J98" s="8" t="s">
        <v>580</v>
      </c>
      <c r="K98" s="5" t="s">
        <v>583</v>
      </c>
      <c r="L98" s="290">
        <f>$N$86^2/$N$90</f>
        <v>562.5</v>
      </c>
      <c r="M98" s="5" t="s">
        <v>578</v>
      </c>
    </row>
    <row r="99" spans="10:14" ht="16.5" x14ac:dyDescent="0.45">
      <c r="J99" s="8" t="s">
        <v>581</v>
      </c>
      <c r="K99" s="5" t="s">
        <v>584</v>
      </c>
      <c r="L99" s="290">
        <f>SUM(L96:L98)</f>
        <v>3937.5</v>
      </c>
      <c r="M99" s="5" t="s">
        <v>578</v>
      </c>
    </row>
    <row r="100" spans="10:14" ht="21.65" customHeight="1" x14ac:dyDescent="0.35"/>
    <row r="101" spans="10:14" ht="16.5" x14ac:dyDescent="0.45">
      <c r="J101" s="292" t="s">
        <v>602</v>
      </c>
      <c r="K101" s="298" t="s">
        <v>603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604</v>
      </c>
      <c r="K102" s="298" t="s">
        <v>605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606</v>
      </c>
      <c r="K103" s="298" t="s">
        <v>607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415</v>
      </c>
      <c r="N106" s="95" t="s">
        <v>416</v>
      </c>
    </row>
    <row r="107" spans="10:14" ht="16.5" x14ac:dyDescent="0.45">
      <c r="J107" s="292" t="s">
        <v>608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609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610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601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608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609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610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601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611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586</v>
      </c>
      <c r="L121" s="301" t="s">
        <v>65</v>
      </c>
    </row>
    <row r="123" spans="10:15" x14ac:dyDescent="0.35">
      <c r="M123" t="s">
        <v>599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600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322</v>
      </c>
    </row>
    <row r="5" spans="3:29" ht="24" x14ac:dyDescent="0.65">
      <c r="P5" s="136" t="s">
        <v>333</v>
      </c>
      <c r="Q5" s="135" t="s">
        <v>332</v>
      </c>
      <c r="R5" s="122">
        <v>0.5</v>
      </c>
      <c r="S5" s="175" t="s">
        <v>321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334</v>
      </c>
      <c r="Q6" s="135" t="s">
        <v>332</v>
      </c>
      <c r="R6" s="122">
        <v>0.5</v>
      </c>
      <c r="S6" s="175" t="s">
        <v>321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335</v>
      </c>
      <c r="Q7" s="135" t="s">
        <v>332</v>
      </c>
      <c r="R7" s="122">
        <v>1</v>
      </c>
      <c r="S7" s="175" t="s">
        <v>321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336</v>
      </c>
      <c r="Q8" s="135" t="s">
        <v>332</v>
      </c>
      <c r="R8" s="122">
        <v>1</v>
      </c>
      <c r="S8" s="175" t="s">
        <v>321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337</v>
      </c>
      <c r="Q9" s="135" t="s">
        <v>332</v>
      </c>
      <c r="R9" s="122">
        <v>2</v>
      </c>
      <c r="S9" s="175" t="s">
        <v>321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338</v>
      </c>
      <c r="Q10" s="135" t="s">
        <v>332</v>
      </c>
      <c r="R10" s="122">
        <v>2</v>
      </c>
      <c r="S10" s="175" t="s">
        <v>321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339</v>
      </c>
      <c r="Q11" s="135" t="s">
        <v>332</v>
      </c>
      <c r="R11" s="122">
        <v>0.5</v>
      </c>
      <c r="S11" s="175" t="s">
        <v>321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340</v>
      </c>
      <c r="Q12" s="135" t="s">
        <v>332</v>
      </c>
      <c r="R12" s="122">
        <v>0.5</v>
      </c>
      <c r="S12" s="175" t="s">
        <v>321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341</v>
      </c>
      <c r="Q13" s="135" t="s">
        <v>332</v>
      </c>
      <c r="R13" s="122">
        <v>2</v>
      </c>
      <c r="S13" s="175" t="s">
        <v>321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342</v>
      </c>
      <c r="Q14" s="135" t="s">
        <v>332</v>
      </c>
      <c r="R14" s="122">
        <v>1</v>
      </c>
      <c r="S14" s="175" t="s">
        <v>321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402</v>
      </c>
      <c r="Q15" s="171" t="s">
        <v>332</v>
      </c>
      <c r="R15" s="172">
        <f>R273</f>
        <v>1.5203252032520327</v>
      </c>
      <c r="S15" s="176" t="s">
        <v>320</v>
      </c>
      <c r="U15" s="137" t="s">
        <v>401</v>
      </c>
      <c r="V15" s="198" t="s">
        <v>332</v>
      </c>
      <c r="W15" s="122">
        <v>12</v>
      </c>
      <c r="X15" s="192" t="s">
        <v>320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389</v>
      </c>
      <c r="V17" s="198" t="s">
        <v>332</v>
      </c>
      <c r="W17" s="149" t="s">
        <v>395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389</v>
      </c>
      <c r="V18" s="199" t="s">
        <v>332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390</v>
      </c>
      <c r="V20" s="198" t="s">
        <v>332</v>
      </c>
      <c r="W20" s="149" t="s">
        <v>396</v>
      </c>
      <c r="X20" s="5"/>
    </row>
    <row r="21" spans="16:24" ht="35.5" customHeight="1" x14ac:dyDescent="0.8">
      <c r="U21" s="155" t="s">
        <v>390</v>
      </c>
      <c r="V21" s="199" t="s">
        <v>332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391</v>
      </c>
      <c r="V23" s="198" t="s">
        <v>332</v>
      </c>
      <c r="W23" s="149" t="s">
        <v>397</v>
      </c>
      <c r="X23" s="5"/>
    </row>
    <row r="24" spans="16:24" ht="35.5" customHeight="1" x14ac:dyDescent="0.8">
      <c r="U24" s="155" t="s">
        <v>391</v>
      </c>
      <c r="V24" s="199" t="s">
        <v>332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392</v>
      </c>
      <c r="V26" s="198" t="s">
        <v>332</v>
      </c>
      <c r="W26" s="149" t="s">
        <v>398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392</v>
      </c>
      <c r="V27" s="199" t="s">
        <v>332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393</v>
      </c>
      <c r="V30" s="198" t="s">
        <v>332</v>
      </c>
      <c r="W30" s="162" t="s">
        <v>399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393</v>
      </c>
      <c r="V31" s="199" t="s">
        <v>332</v>
      </c>
      <c r="W31" s="166">
        <f>W68*R11</f>
        <v>2.0534759358288772</v>
      </c>
      <c r="X31" s="166" t="s">
        <v>320</v>
      </c>
    </row>
    <row r="32" spans="16:24" ht="35.5" customHeight="1" x14ac:dyDescent="0.35"/>
    <row r="33" spans="3:24" ht="35.5" customHeight="1" x14ac:dyDescent="0.85">
      <c r="U33" s="160" t="s">
        <v>394</v>
      </c>
      <c r="V33" s="198" t="s">
        <v>332</v>
      </c>
      <c r="W33" s="162" t="s">
        <v>400</v>
      </c>
      <c r="X33" s="193"/>
    </row>
    <row r="34" spans="3:24" ht="35.5" customHeight="1" x14ac:dyDescent="0.85">
      <c r="U34" s="165" t="s">
        <v>394</v>
      </c>
      <c r="V34" s="199" t="s">
        <v>332</v>
      </c>
      <c r="W34" s="166">
        <f>W68*R12</f>
        <v>2.0534759358288772</v>
      </c>
      <c r="X34" s="166" t="s">
        <v>320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323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343</v>
      </c>
      <c r="Q58" s="135" t="s">
        <v>332</v>
      </c>
      <c r="R58" s="124" t="s">
        <v>347</v>
      </c>
      <c r="S58" s="177"/>
      <c r="U58" s="160" t="s">
        <v>383</v>
      </c>
      <c r="V58" s="198" t="s">
        <v>332</v>
      </c>
      <c r="W58" s="162" t="s">
        <v>385</v>
      </c>
      <c r="X58" s="193"/>
    </row>
    <row r="59" spans="16:24" ht="32.5" x14ac:dyDescent="0.85">
      <c r="P59" s="139" t="s">
        <v>343</v>
      </c>
      <c r="Q59" s="140" t="s">
        <v>332</v>
      </c>
      <c r="R59" s="141">
        <f>1/(1/R6+1/R7)</f>
        <v>0.33333333333333331</v>
      </c>
      <c r="S59" s="178" t="s">
        <v>321</v>
      </c>
      <c r="U59" s="165" t="s">
        <v>383</v>
      </c>
      <c r="V59" s="199" t="s">
        <v>332</v>
      </c>
      <c r="W59" s="166">
        <f>W48*W50</f>
        <v>0.38502673796791448</v>
      </c>
      <c r="X59" s="166" t="s">
        <v>320</v>
      </c>
    </row>
    <row r="61" spans="16:24" ht="32.5" x14ac:dyDescent="0.85">
      <c r="P61" s="123" t="s">
        <v>344</v>
      </c>
      <c r="Q61" s="135" t="s">
        <v>332</v>
      </c>
      <c r="R61" s="124" t="s">
        <v>348</v>
      </c>
      <c r="S61" s="177"/>
      <c r="U61" s="160" t="s">
        <v>384</v>
      </c>
      <c r="V61" s="198" t="s">
        <v>332</v>
      </c>
      <c r="W61" s="162" t="s">
        <v>386</v>
      </c>
      <c r="X61" s="193"/>
    </row>
    <row r="62" spans="16:24" ht="32.5" x14ac:dyDescent="0.85">
      <c r="P62" s="139" t="s">
        <v>344</v>
      </c>
      <c r="Q62" s="140" t="s">
        <v>332</v>
      </c>
      <c r="R62" s="141">
        <f>1/(1/R8+1/R9)</f>
        <v>0.66666666666666663</v>
      </c>
      <c r="S62" s="178" t="s">
        <v>321</v>
      </c>
      <c r="U62" s="165" t="s">
        <v>408</v>
      </c>
      <c r="V62" s="199" t="s">
        <v>332</v>
      </c>
      <c r="W62" s="166">
        <f>W48*W51</f>
        <v>0.25668449197860965</v>
      </c>
      <c r="X62" s="166" t="s">
        <v>320</v>
      </c>
    </row>
    <row r="64" spans="16:24" ht="30" x14ac:dyDescent="0.8">
      <c r="P64" s="123" t="s">
        <v>345</v>
      </c>
      <c r="Q64" s="135" t="s">
        <v>332</v>
      </c>
      <c r="R64" s="124" t="s">
        <v>349</v>
      </c>
      <c r="S64" s="177"/>
      <c r="U64" s="127" t="s">
        <v>382</v>
      </c>
      <c r="V64" s="198" t="s">
        <v>332</v>
      </c>
      <c r="W64" s="149" t="s">
        <v>387</v>
      </c>
      <c r="X64" s="5"/>
    </row>
    <row r="65" spans="16:24" ht="30" x14ac:dyDescent="0.8">
      <c r="P65" s="139" t="s">
        <v>345</v>
      </c>
      <c r="Q65" s="140" t="s">
        <v>332</v>
      </c>
      <c r="R65" s="141">
        <f>R11+R12</f>
        <v>1</v>
      </c>
      <c r="S65" s="178" t="s">
        <v>321</v>
      </c>
      <c r="U65" s="155" t="s">
        <v>382</v>
      </c>
      <c r="V65" s="199" t="s">
        <v>332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381</v>
      </c>
      <c r="V67" s="198" t="s">
        <v>332</v>
      </c>
      <c r="W67" s="149" t="s">
        <v>388</v>
      </c>
      <c r="X67" s="5"/>
    </row>
    <row r="68" spans="16:24" ht="30" x14ac:dyDescent="0.8">
      <c r="U68" s="155" t="s">
        <v>409</v>
      </c>
      <c r="V68" s="199" t="s">
        <v>332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404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405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328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346</v>
      </c>
      <c r="Q97" s="135" t="s">
        <v>332</v>
      </c>
      <c r="R97" s="124" t="s">
        <v>350</v>
      </c>
      <c r="S97" s="177"/>
      <c r="U97" s="127" t="s">
        <v>377</v>
      </c>
      <c r="V97" s="198" t="s">
        <v>332</v>
      </c>
      <c r="W97" s="149" t="s">
        <v>378</v>
      </c>
      <c r="X97" s="5"/>
    </row>
    <row r="98" spans="16:24" ht="30" x14ac:dyDescent="0.8">
      <c r="P98" s="139" t="s">
        <v>346</v>
      </c>
      <c r="Q98" s="140" t="s">
        <v>332</v>
      </c>
      <c r="R98" s="141">
        <f>R90+R88</f>
        <v>0.83333333333333326</v>
      </c>
      <c r="S98" s="178" t="s">
        <v>321</v>
      </c>
      <c r="U98" s="155" t="s">
        <v>412</v>
      </c>
      <c r="V98" s="199" t="s">
        <v>332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351</v>
      </c>
      <c r="Q100" s="135" t="s">
        <v>332</v>
      </c>
      <c r="R100" s="124" t="s">
        <v>352</v>
      </c>
      <c r="S100" s="177"/>
      <c r="U100" s="127" t="s">
        <v>379</v>
      </c>
      <c r="V100" s="198" t="s">
        <v>332</v>
      </c>
      <c r="W100" s="149" t="s">
        <v>380</v>
      </c>
      <c r="X100" s="5"/>
    </row>
    <row r="101" spans="16:24" ht="30" x14ac:dyDescent="0.8">
      <c r="P101" s="139" t="s">
        <v>351</v>
      </c>
      <c r="Q101" s="140" t="s">
        <v>332</v>
      </c>
      <c r="R101" s="141">
        <f>1/(1/R89+1/R91)</f>
        <v>0.66666666666666663</v>
      </c>
      <c r="S101" s="178" t="s">
        <v>321</v>
      </c>
      <c r="U101" s="155" t="s">
        <v>379</v>
      </c>
      <c r="V101" s="199" t="s">
        <v>332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403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327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353</v>
      </c>
      <c r="Q140" s="135" t="s">
        <v>332</v>
      </c>
      <c r="R140" s="124" t="s">
        <v>354</v>
      </c>
      <c r="S140" s="179"/>
      <c r="U140" s="160" t="s">
        <v>374</v>
      </c>
      <c r="V140" s="198" t="s">
        <v>332</v>
      </c>
      <c r="W140" s="162" t="s">
        <v>368</v>
      </c>
      <c r="X140" s="193"/>
    </row>
    <row r="141" spans="3:24" ht="32.5" x14ac:dyDescent="0.85">
      <c r="P141" s="144" t="s">
        <v>353</v>
      </c>
      <c r="Q141" s="140" t="s">
        <v>332</v>
      </c>
      <c r="R141" s="145">
        <f>1/(1/R135+1/R136)</f>
        <v>0.37037037037037035</v>
      </c>
      <c r="S141" s="180" t="s">
        <v>321</v>
      </c>
      <c r="U141" s="165" t="s">
        <v>407</v>
      </c>
      <c r="V141" s="199" t="s">
        <v>332</v>
      </c>
      <c r="W141" s="166">
        <f>W137*W135</f>
        <v>0.64171122994652408</v>
      </c>
      <c r="X141" s="166" t="s">
        <v>320</v>
      </c>
    </row>
    <row r="143" spans="3:24" ht="32.5" x14ac:dyDescent="0.85">
      <c r="U143" s="160" t="s">
        <v>375</v>
      </c>
      <c r="V143" s="198" t="s">
        <v>332</v>
      </c>
      <c r="W143" s="162" t="s">
        <v>370</v>
      </c>
      <c r="X143" s="193"/>
    </row>
    <row r="144" spans="3:24" ht="32.5" x14ac:dyDescent="0.85">
      <c r="U144" s="165" t="s">
        <v>375</v>
      </c>
      <c r="V144" s="199" t="s">
        <v>332</v>
      </c>
      <c r="W144" s="166">
        <f>W137*W136</f>
        <v>3.4652406417112305</v>
      </c>
      <c r="X144" s="166" t="s">
        <v>320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376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326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355</v>
      </c>
      <c r="Q179" s="135" t="s">
        <v>332</v>
      </c>
      <c r="R179" s="126" t="s">
        <v>356</v>
      </c>
      <c r="S179" s="181"/>
      <c r="U179" s="127" t="s">
        <v>365</v>
      </c>
      <c r="V179" s="198" t="s">
        <v>332</v>
      </c>
      <c r="W179" s="149" t="s">
        <v>364</v>
      </c>
      <c r="X179" s="194"/>
    </row>
    <row r="180" spans="4:24" ht="30" x14ac:dyDescent="0.8">
      <c r="P180" s="151" t="s">
        <v>355</v>
      </c>
      <c r="Q180" s="140" t="s">
        <v>332</v>
      </c>
      <c r="R180" s="152">
        <f>R172+R173</f>
        <v>2.3703703703703702</v>
      </c>
      <c r="S180" s="182" t="s">
        <v>321</v>
      </c>
      <c r="U180" s="155" t="s">
        <v>365</v>
      </c>
      <c r="V180" s="199" t="s">
        <v>332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367</v>
      </c>
      <c r="V182" s="198" t="s">
        <v>332</v>
      </c>
      <c r="W182" s="149" t="s">
        <v>366</v>
      </c>
      <c r="X182" s="194"/>
    </row>
    <row r="183" spans="4:24" ht="30" x14ac:dyDescent="0.8">
      <c r="U183" s="155" t="s">
        <v>411</v>
      </c>
      <c r="V183" s="199" t="s">
        <v>332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329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325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357</v>
      </c>
      <c r="Q225" s="135" t="s">
        <v>332</v>
      </c>
      <c r="R225" s="126" t="s">
        <v>358</v>
      </c>
      <c r="S225" s="181"/>
      <c r="T225" s="128"/>
      <c r="U225" s="157" t="s">
        <v>372</v>
      </c>
      <c r="V225" s="198" t="s">
        <v>332</v>
      </c>
      <c r="W225" s="161" t="s">
        <v>362</v>
      </c>
      <c r="X225" s="195"/>
    </row>
    <row r="226" spans="9:24" ht="30" x14ac:dyDescent="0.8">
      <c r="P226" s="151" t="s">
        <v>357</v>
      </c>
      <c r="Q226" s="140" t="s">
        <v>332</v>
      </c>
      <c r="R226" s="152">
        <f>1/(1/R217+1/R218)</f>
        <v>0.52032520325203258</v>
      </c>
      <c r="S226" s="182" t="s">
        <v>321</v>
      </c>
      <c r="T226" s="128"/>
      <c r="U226" s="158" t="s">
        <v>406</v>
      </c>
      <c r="V226" s="199" t="s">
        <v>332</v>
      </c>
      <c r="W226" s="159">
        <f>W218*W217</f>
        <v>4.1069518716577544</v>
      </c>
      <c r="X226" s="159" t="s">
        <v>320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371</v>
      </c>
      <c r="V228" s="198" t="s">
        <v>332</v>
      </c>
      <c r="W228" s="149" t="s">
        <v>363</v>
      </c>
      <c r="X228" s="195"/>
    </row>
    <row r="229" spans="9:24" ht="30" x14ac:dyDescent="0.8">
      <c r="U229" s="158" t="s">
        <v>371</v>
      </c>
      <c r="V229" s="199" t="s">
        <v>332</v>
      </c>
      <c r="W229" s="159">
        <f>W217*W219</f>
        <v>7.8930481283422456</v>
      </c>
      <c r="X229" s="159" t="s">
        <v>320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373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324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361</v>
      </c>
      <c r="Q272" s="135" t="s">
        <v>332</v>
      </c>
      <c r="R272" s="126" t="s">
        <v>359</v>
      </c>
      <c r="S272" s="181"/>
      <c r="U272" s="127" t="s">
        <v>360</v>
      </c>
      <c r="V272" s="198" t="s">
        <v>332</v>
      </c>
      <c r="W272" s="149" t="s">
        <v>369</v>
      </c>
      <c r="X272" s="196"/>
    </row>
    <row r="273" spans="9:24" ht="30" x14ac:dyDescent="0.8">
      <c r="I273" s="164">
        <f>W267</f>
        <v>12</v>
      </c>
      <c r="P273" s="151" t="s">
        <v>361</v>
      </c>
      <c r="Q273" s="140" t="s">
        <v>332</v>
      </c>
      <c r="R273" s="152">
        <f>R267+R268</f>
        <v>1.5203252032520327</v>
      </c>
      <c r="S273" s="182" t="s">
        <v>321</v>
      </c>
      <c r="U273" s="155" t="s">
        <v>410</v>
      </c>
      <c r="V273" s="205" t="s">
        <v>332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489</v>
      </c>
    </row>
  </sheetData>
  <pageMargins left="0.7" right="0.7" top="0.78740157499999996" bottom="0.78740157499999996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490</v>
      </c>
    </row>
    <row r="21" spans="3:13" ht="15" thickBot="1" x14ac:dyDescent="0.4"/>
    <row r="22" spans="3:13" ht="16.5" x14ac:dyDescent="0.45">
      <c r="C22" s="261" t="s">
        <v>499</v>
      </c>
      <c r="D22" s="262" t="s">
        <v>415</v>
      </c>
      <c r="E22" s="262" t="s">
        <v>416</v>
      </c>
      <c r="F22" s="262" t="s">
        <v>491</v>
      </c>
      <c r="G22" s="262" t="s">
        <v>492</v>
      </c>
      <c r="H22" s="263" t="s">
        <v>493</v>
      </c>
      <c r="L22" t="s">
        <v>510</v>
      </c>
      <c r="M22" t="s">
        <v>511</v>
      </c>
    </row>
    <row r="23" spans="3:13" x14ac:dyDescent="0.35">
      <c r="C23" s="264" t="s">
        <v>495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496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497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498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500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501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502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503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504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505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506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507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508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509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494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512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513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514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515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516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517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518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519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520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521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513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522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523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524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525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526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527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528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529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530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531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532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533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534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535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536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537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538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539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515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540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541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542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543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544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545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546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547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548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30</vt:i4>
      </vt:variant>
    </vt:vector>
  </HeadingPairs>
  <TitlesOfParts>
    <vt:vector size="30" baseType="lpstr">
      <vt:lpstr>TOC</vt:lpstr>
      <vt:lpstr>Belasteter Spannungsteiler</vt:lpstr>
      <vt:lpstr>Magnetismus</vt:lpstr>
      <vt:lpstr>Einheitenvorsätze</vt:lpstr>
      <vt:lpstr>Edizio_Bestellungen</vt:lpstr>
      <vt:lpstr>Elektronische Schaltzeichen</vt:lpstr>
      <vt:lpstr>LCR-Glieder</vt:lpstr>
      <vt:lpstr>Kondensator an Gleichspannung</vt:lpstr>
      <vt:lpstr>Quelle mit Innenwiderstand</vt:lpstr>
      <vt:lpstr>Leistung bei Wechselstrom</vt:lpstr>
      <vt:lpstr>Schiefeebene</vt:lpstr>
      <vt:lpstr>Schiefe-Ebene (alt)</vt:lpstr>
      <vt:lpstr>Sinus_Cosinus</vt:lpstr>
      <vt:lpstr>Sinuskurve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2026-03-27T04:43:05Z</cp:lastPrinted>
  <dcterms:created xsi:type="dcterms:W3CDTF">2015-06-05T18:19:34Z</dcterms:created>
  <dcterms:modified xsi:type="dcterms:W3CDTF">2026-05-21T08:36:48Z</dcterms:modified>
</cp:coreProperties>
</file>